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tabRatio="791"/>
  </bookViews>
  <sheets>
    <sheet name="全县汇总" sheetId="1" r:id="rId1"/>
    <sheet name="2018年" sheetId="2" r:id="rId2"/>
    <sheet name="2019年" sheetId="3" r:id="rId3"/>
    <sheet name="2020年" sheetId="4" r:id="rId4"/>
    <sheet name="八布" sheetId="5" state="hidden" r:id="rId5"/>
    <sheet name="大坪" sheetId="6" state="hidden" r:id="rId6"/>
    <sheet name="董干" sheetId="7" state="hidden" r:id="rId7"/>
    <sheet name="六河" sheetId="8" state="hidden" r:id="rId8"/>
    <sheet name="麻栗镇" sheetId="9" state="hidden" r:id="rId9"/>
    <sheet name="马街" sheetId="10" state="hidden" r:id="rId10"/>
    <sheet name="猛硐" sheetId="11" state="hidden" r:id="rId11"/>
    <sheet name="天保" sheetId="12" state="hidden" r:id="rId12"/>
    <sheet name="铁厂" sheetId="13" state="hidden" r:id="rId13"/>
    <sheet name="下金厂" sheetId="14" state="hidden" r:id="rId14"/>
    <sheet name="杨万" sheetId="15" state="hidden" r:id="rId15"/>
    <sheet name="县级层面项目" sheetId="16" state="hidden" r:id="rId16"/>
    <sheet name="Sheet1" sheetId="17" state="hidden" r:id="rId17"/>
  </sheets>
  <externalReferences>
    <externalReference r:id="rId18"/>
  </externalReferences>
  <definedNames>
    <definedName name="_xlnm._FilterDatabase" localSheetId="4" hidden="1">八布!$A$6:$Y$428</definedName>
    <definedName name="_xlnm._FilterDatabase" localSheetId="5" hidden="1">大坪!$A$6:$AH$235</definedName>
    <definedName name="_xlnm._FilterDatabase" localSheetId="6" hidden="1">董干!$A$6:$FV$834</definedName>
    <definedName name="_xlnm._FilterDatabase" localSheetId="7" hidden="1">六河!$A$6:$AH$173</definedName>
    <definedName name="_xlnm._FilterDatabase" localSheetId="8" hidden="1">麻栗镇!$A$6:$Z$6</definedName>
    <definedName name="_xlnm._FilterDatabase" localSheetId="9" hidden="1">马街!$A$6:$V$6</definedName>
    <definedName name="_xlnm._FilterDatabase" localSheetId="10" hidden="1">猛硐!$A$6:$AF$309</definedName>
    <definedName name="_xlnm._FilterDatabase" localSheetId="0" hidden="1">全县汇总!$A$7:$IC$858</definedName>
    <definedName name="_xlnm._FilterDatabase" localSheetId="11" hidden="1">天保!$A$6:$AO$6</definedName>
    <definedName name="_xlnm._FilterDatabase" localSheetId="12" hidden="1">铁厂!$A$6:$AM$6</definedName>
    <definedName name="_xlnm._FilterDatabase" localSheetId="13" hidden="1">下金厂!$A$6:$V$374</definedName>
    <definedName name="_xlnm._FilterDatabase" localSheetId="15" hidden="1">县级层面项目!$A$6:$AA$6</definedName>
    <definedName name="_xlnm._FilterDatabase" localSheetId="14" hidden="1">杨万!$A$6:$W$6</definedName>
    <definedName name="_xlnm.Print_Area" localSheetId="6">董干!$A$1:$AD$834</definedName>
    <definedName name="_xlnm.Print_Area" localSheetId="7">六河!$A$1:$V$340</definedName>
    <definedName name="_xlnm.Print_Area" localSheetId="8">麻栗镇!$A$1:$W$913</definedName>
    <definedName name="_xlnm.Print_Area" localSheetId="0">全县汇总!$A$1:$AG$858</definedName>
    <definedName name="_xlnm.Print_Area" localSheetId="11">天保!$A$1:$AC$133</definedName>
    <definedName name="_xlnm.Print_Area" localSheetId="12">铁厂!$A$1:$Z$569</definedName>
    <definedName name="_xlnm.Print_Titles" localSheetId="4">八布!$2:$5</definedName>
    <definedName name="_xlnm.Print_Titles" localSheetId="5">大坪!$4:$5</definedName>
    <definedName name="_xlnm.Print_Titles" localSheetId="6">董干!$4:$6</definedName>
    <definedName name="_xlnm.Print_Titles" localSheetId="7">六河!$1:$6</definedName>
    <definedName name="_xlnm.Print_Titles" localSheetId="8">麻栗镇!$4:$6</definedName>
    <definedName name="_xlnm.Print_Titles" localSheetId="9">马街!$4:$6</definedName>
    <definedName name="_xlnm.Print_Titles" localSheetId="10">猛硐!$4:$6</definedName>
    <definedName name="_xlnm.Print_Titles" localSheetId="0">全县汇总!$4:$6</definedName>
    <definedName name="_xlnm.Print_Titles" localSheetId="11">天保!$2:$6</definedName>
    <definedName name="_xlnm.Print_Titles" localSheetId="12">铁厂!$2:$6</definedName>
    <definedName name="_xlnm.Print_Titles" localSheetId="13">下金厂!$1:$6</definedName>
    <definedName name="_xlnm.Print_Titles" localSheetId="15">县级层面项目!$4:$6</definedName>
    <definedName name="_xlnm.Print_Titles" localSheetId="14">杨万!$4:$6</definedName>
    <definedName name="_xlnm.Print_Titles" localSheetId="1">'2018年'!$4:$6</definedName>
    <definedName name="_xlnm.Print_Titles" localSheetId="2">'2019年'!$4:$6</definedName>
    <definedName name="_xlnm.Print_Titles" localSheetId="3">'2020年'!$4:$6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J9" authorId="0">
      <text>
        <r>
          <rPr>
            <b/>
            <sz val="9"/>
            <rFont val="宋体"/>
            <charset val="134"/>
          </rPr>
          <t>lenovo:</t>
        </r>
        <r>
          <rPr>
            <sz val="9"/>
            <rFont val="宋体"/>
            <charset val="134"/>
          </rPr>
          <t xml:space="preserve">
2018年补助5.775万元/人，2019年补助7.8万元/人，同步搬迁户4万元/户</t>
        </r>
      </text>
    </comment>
    <comment ref="J19" authorId="0">
      <text>
        <r>
          <rPr>
            <b/>
            <sz val="9"/>
            <rFont val="宋体"/>
            <charset val="134"/>
          </rPr>
          <t>lenovo:</t>
        </r>
        <r>
          <rPr>
            <sz val="9"/>
            <rFont val="宋体"/>
            <charset val="134"/>
          </rPr>
          <t xml:space="preserve">
3万元/户</t>
        </r>
      </text>
    </comment>
    <comment ref="J37" authorId="0">
      <text>
        <r>
          <rPr>
            <b/>
            <sz val="9"/>
            <rFont val="宋体"/>
            <charset val="134"/>
          </rPr>
          <t>lenovo:</t>
        </r>
        <r>
          <rPr>
            <sz val="9"/>
            <rFont val="宋体"/>
            <charset val="134"/>
          </rPr>
          <t xml:space="preserve">
1.8万元/户</t>
        </r>
      </text>
    </comment>
    <comment ref="J55" authorId="0">
      <text>
        <r>
          <rPr>
            <b/>
            <sz val="9"/>
            <rFont val="宋体"/>
            <charset val="134"/>
          </rPr>
          <t>lenovo:</t>
        </r>
        <r>
          <rPr>
            <sz val="9"/>
            <rFont val="宋体"/>
            <charset val="134"/>
          </rPr>
          <t xml:space="preserve">
4万元/户</t>
        </r>
      </text>
    </comment>
    <comment ref="J73" authorId="0">
      <text>
        <r>
          <rPr>
            <b/>
            <sz val="9"/>
            <rFont val="宋体"/>
            <charset val="134"/>
          </rPr>
          <t>lenovo:</t>
        </r>
        <r>
          <rPr>
            <sz val="9"/>
            <rFont val="宋体"/>
            <charset val="134"/>
          </rPr>
          <t xml:space="preserve">
1.8万元/户</t>
        </r>
      </text>
    </comment>
    <comment ref="J93" authorId="0">
      <text>
        <r>
          <rPr>
            <b/>
            <sz val="9"/>
            <rFont val="宋体"/>
            <charset val="134"/>
          </rPr>
          <t>lenovo:</t>
        </r>
        <r>
          <rPr>
            <sz val="9"/>
            <rFont val="宋体"/>
            <charset val="134"/>
          </rPr>
          <t xml:space="preserve">
0.125万元每人</t>
        </r>
      </text>
    </comment>
    <comment ref="J191" authorId="0">
      <text>
        <r>
          <rPr>
            <b/>
            <sz val="9"/>
            <rFont val="宋体"/>
            <charset val="134"/>
          </rPr>
          <t>lenovo:</t>
        </r>
        <r>
          <rPr>
            <sz val="9"/>
            <rFont val="宋体"/>
            <charset val="134"/>
          </rPr>
          <t xml:space="preserve">
180元/人/年</t>
        </r>
      </text>
    </comment>
  </commentList>
</comments>
</file>

<file path=xl/comments2.xml><?xml version="1.0" encoding="utf-8"?>
<comments xmlns="http://schemas.openxmlformats.org/spreadsheetml/2006/main">
  <authors>
    <author>Administrator</author>
  </authors>
  <commentList>
    <comment ref="K134" authorId="0">
      <text>
        <r>
          <rPr>
            <b/>
            <sz val="9"/>
            <rFont val="宋体"/>
            <charset val="134"/>
          </rPr>
          <t>Administrator:</t>
        </r>
        <r>
          <rPr>
            <sz val="9"/>
            <rFont val="宋体"/>
            <charset val="134"/>
          </rPr>
          <t xml:space="preserve">
</t>
        </r>
      </text>
    </comment>
    <comment ref="M180" authorId="0">
      <text>
        <r>
          <rPr>
            <b/>
            <sz val="9"/>
            <rFont val="宋体"/>
            <charset val="134"/>
          </rPr>
          <t>Administrator:</t>
        </r>
        <r>
          <rPr>
            <sz val="9"/>
            <rFont val="宋体"/>
            <charset val="134"/>
          </rPr>
          <t xml:space="preserve">
乡级层面保留</t>
        </r>
      </text>
    </comment>
  </commentList>
</comments>
</file>

<file path=xl/sharedStrings.xml><?xml version="1.0" encoding="utf-8"?>
<sst xmlns="http://schemas.openxmlformats.org/spreadsheetml/2006/main" count="46668" uniqueCount="3131">
  <si>
    <t>表3</t>
  </si>
  <si>
    <t>富源县2018年至2020年脱贫攻坚三年行动计划（实施方案）项目汇总表</t>
  </si>
  <si>
    <t>填报单位：富源县扶贫开发领导小组办公室                                           填表人：                            审核人：                          填表日期：2019年4月</t>
  </si>
  <si>
    <t>序号</t>
  </si>
  <si>
    <t>项目类别及名称</t>
  </si>
  <si>
    <t>建设性质（新建/改扩建）</t>
  </si>
  <si>
    <t>单位</t>
  </si>
  <si>
    <r>
      <rPr>
        <sz val="16"/>
        <rFont val="宋体"/>
        <charset val="134"/>
      </rPr>
      <t>项目个数</t>
    </r>
    <r>
      <rPr>
        <sz val="16"/>
        <rFont val="Times New Roman"/>
        <charset val="134"/>
      </rPr>
      <t xml:space="preserve">
</t>
    </r>
  </si>
  <si>
    <t>建设地点</t>
  </si>
  <si>
    <t>主要建设内容及补助标准</t>
  </si>
  <si>
    <t>建设进度安排</t>
  </si>
  <si>
    <t>时间进度</t>
  </si>
  <si>
    <t>需要投入资金（万元）</t>
  </si>
  <si>
    <t>资金来源</t>
  </si>
  <si>
    <t>群众参与和带贫减贫机制</t>
  </si>
  <si>
    <t>绩效目标</t>
  </si>
  <si>
    <t>覆盖贫困人口</t>
  </si>
  <si>
    <t>项目分类（个数）</t>
  </si>
  <si>
    <t>责任人
（对应户表）</t>
  </si>
  <si>
    <t>行业责任部门</t>
  </si>
  <si>
    <t>备注</t>
  </si>
  <si>
    <t>总任务</t>
  </si>
  <si>
    <t>开工年度</t>
  </si>
  <si>
    <t>完工年度</t>
  </si>
  <si>
    <t>分年度投入</t>
  </si>
  <si>
    <t>行业部门专项资金</t>
  </si>
  <si>
    <t>涉农整合资金</t>
  </si>
  <si>
    <t>县级自筹资金</t>
  </si>
  <si>
    <t>上海帮扶资金</t>
  </si>
  <si>
    <t>其它</t>
  </si>
  <si>
    <t>户数</t>
  </si>
  <si>
    <t>人数</t>
  </si>
  <si>
    <t>I  类</t>
  </si>
  <si>
    <t>II 类</t>
  </si>
  <si>
    <t>III类</t>
  </si>
  <si>
    <r>
      <rPr>
        <sz val="16"/>
        <rFont val="Times New Roman"/>
        <charset val="134"/>
      </rPr>
      <t>2018年</t>
    </r>
  </si>
  <si>
    <r>
      <rPr>
        <sz val="16"/>
        <rFont val="Times New Roman"/>
        <charset val="134"/>
      </rPr>
      <t>2019</t>
    </r>
    <r>
      <rPr>
        <sz val="16"/>
        <rFont val="方正仿宋_GBK"/>
        <charset val="134"/>
      </rPr>
      <t>年</t>
    </r>
  </si>
  <si>
    <r>
      <rPr>
        <sz val="16"/>
        <rFont val="Times New Roman"/>
        <charset val="134"/>
      </rPr>
      <t>2020</t>
    </r>
    <r>
      <rPr>
        <sz val="16"/>
        <rFont val="方正仿宋_GBK"/>
        <charset val="134"/>
      </rPr>
      <t>年</t>
    </r>
  </si>
  <si>
    <t>合计</t>
  </si>
  <si>
    <t>合  计</t>
  </si>
  <si>
    <t>一、特色产业脱贫行动和集体经济</t>
  </si>
  <si>
    <t>对应村级施工图</t>
  </si>
  <si>
    <t>（一）种植业</t>
  </si>
  <si>
    <t>农业</t>
  </si>
  <si>
    <t>1.规模化种植（由村级分项自行填）</t>
  </si>
  <si>
    <t>亩</t>
  </si>
  <si>
    <t>公司+合作社+农户</t>
  </si>
  <si>
    <t>增收</t>
  </si>
  <si>
    <t>*</t>
  </si>
  <si>
    <t>1.蔬菜种植</t>
  </si>
  <si>
    <t>韩开宇</t>
  </si>
  <si>
    <t>胜境街道</t>
  </si>
  <si>
    <t>新建</t>
  </si>
  <si>
    <t>肖亚飞</t>
  </si>
  <si>
    <t>彭胜华</t>
  </si>
  <si>
    <t>大河镇</t>
  </si>
  <si>
    <t>李云</t>
  </si>
  <si>
    <t>潘爱查</t>
  </si>
  <si>
    <t>竹园镇</t>
  </si>
  <si>
    <t>孔令彪</t>
  </si>
  <si>
    <t>王祥德</t>
  </si>
  <si>
    <t>富村镇</t>
  </si>
  <si>
    <t>李良</t>
  </si>
  <si>
    <t>肖礼燕</t>
  </si>
  <si>
    <t>十八连山镇</t>
  </si>
  <si>
    <t>龚文超</t>
  </si>
  <si>
    <t>耿  辉</t>
  </si>
  <si>
    <t>2.辣椒种植</t>
  </si>
  <si>
    <t>谷华</t>
  </si>
  <si>
    <t>中安街道</t>
  </si>
  <si>
    <t>杨礼娟</t>
  </si>
  <si>
    <t>李胜</t>
  </si>
  <si>
    <t>后所镇</t>
  </si>
  <si>
    <t>黄朝飞</t>
  </si>
  <si>
    <t>高燕山</t>
  </si>
  <si>
    <t>营上镇</t>
  </si>
  <si>
    <t>杨鑫稳</t>
  </si>
  <si>
    <t>叶会良</t>
  </si>
  <si>
    <t>黄泥河镇</t>
  </si>
  <si>
    <t>李超奇</t>
  </si>
  <si>
    <t>徐状武</t>
  </si>
  <si>
    <t>墨红</t>
  </si>
  <si>
    <t>李全宏</t>
  </si>
  <si>
    <t>谷健康</t>
  </si>
  <si>
    <t>十八连山</t>
  </si>
  <si>
    <t>耿辉</t>
  </si>
  <si>
    <t>3.桃</t>
  </si>
  <si>
    <t>1.3.桃</t>
  </si>
  <si>
    <t>丰社光</t>
  </si>
  <si>
    <t>刁明跃</t>
  </si>
  <si>
    <t>4.魔芋种植</t>
  </si>
  <si>
    <t>墨红镇</t>
  </si>
  <si>
    <t>老厂镇</t>
  </si>
  <si>
    <t>文小利</t>
  </si>
  <si>
    <t>李雄锋</t>
  </si>
  <si>
    <t>5.萝卜种植</t>
  </si>
  <si>
    <t>种植</t>
  </si>
  <si>
    <t>6.花椒</t>
  </si>
  <si>
    <t>大河</t>
  </si>
  <si>
    <t>7.洋芋</t>
  </si>
  <si>
    <t>黄泥河</t>
  </si>
  <si>
    <t>中安</t>
  </si>
  <si>
    <t>富村</t>
  </si>
  <si>
    <t>8.烤烟种植</t>
  </si>
  <si>
    <t>烟草</t>
  </si>
  <si>
    <t>周通</t>
  </si>
  <si>
    <t>张新陆</t>
  </si>
  <si>
    <t>万  红</t>
  </si>
  <si>
    <t>9.中药材</t>
  </si>
  <si>
    <t>10.软籽石榴种植</t>
  </si>
  <si>
    <t>11.油菜</t>
  </si>
  <si>
    <t>12.山药种植</t>
  </si>
  <si>
    <t>13.黑玉米</t>
  </si>
  <si>
    <t>14.水稻</t>
  </si>
  <si>
    <t>古敢乡</t>
  </si>
  <si>
    <t>胡开操</t>
  </si>
  <si>
    <t>谢祥</t>
  </si>
  <si>
    <t>15.藜麦</t>
  </si>
  <si>
    <t>16.种植茶树</t>
  </si>
  <si>
    <t>17.蚕豆</t>
  </si>
  <si>
    <t>18.车厘子</t>
  </si>
  <si>
    <t>19.草莓</t>
  </si>
  <si>
    <t>20.生姜种植</t>
  </si>
  <si>
    <t>21.薏仁种植</t>
  </si>
  <si>
    <t>22.猕猴桃</t>
  </si>
  <si>
    <t>23.梨</t>
  </si>
  <si>
    <t>24.杨梅</t>
  </si>
  <si>
    <t>1.24.杨梅</t>
  </si>
  <si>
    <t>25.食用菌</t>
  </si>
  <si>
    <t>吨</t>
  </si>
  <si>
    <t>（二）养殖业</t>
  </si>
  <si>
    <t>头、只、羽</t>
  </si>
  <si>
    <t>1.规模化养殖业</t>
  </si>
  <si>
    <t>1.生猪养殖</t>
  </si>
  <si>
    <t>头</t>
  </si>
  <si>
    <t>晏华维</t>
  </si>
  <si>
    <t>李明芳</t>
  </si>
  <si>
    <t>杨成稳</t>
  </si>
  <si>
    <t>陈勇</t>
  </si>
  <si>
    <t>2.摩山鸡养殖</t>
  </si>
  <si>
    <t>只</t>
  </si>
  <si>
    <t>3.山羊养殖</t>
  </si>
  <si>
    <t>4.母牛养殖</t>
  </si>
  <si>
    <t>老厂</t>
  </si>
  <si>
    <t>5.养蜂</t>
  </si>
  <si>
    <t>窝</t>
  </si>
  <si>
    <t>（三）采取参与加工、商贸、大户、抱团发展、乡村旅游、电商、专业合作社等合作发展方式</t>
  </si>
  <si>
    <t>人</t>
  </si>
  <si>
    <t>……。分别列出各乡镇</t>
  </si>
  <si>
    <t>（四）参与龙头企业或新型经营主体（温氏养殖）</t>
  </si>
  <si>
    <t>个</t>
  </si>
  <si>
    <t>胜境</t>
  </si>
  <si>
    <t>肖植胜</t>
  </si>
  <si>
    <t>杨锦辉</t>
  </si>
  <si>
    <t>后所</t>
  </si>
  <si>
    <t>竹园</t>
  </si>
  <si>
    <t>晏云良</t>
  </si>
  <si>
    <t>莫叔章</t>
  </si>
  <si>
    <t>（五）需要小额信贷</t>
  </si>
  <si>
    <t>万</t>
  </si>
  <si>
    <t>扶贫</t>
  </si>
  <si>
    <t>1.小额信贷风险补偿金</t>
  </si>
  <si>
    <t>改扩建</t>
  </si>
  <si>
    <t>万元</t>
  </si>
  <si>
    <t>2.小额信贷贴息资金</t>
  </si>
  <si>
    <t>蒋少年</t>
  </si>
  <si>
    <t>吴玉华</t>
  </si>
  <si>
    <t>李铭</t>
  </si>
  <si>
    <t>尹黎倩</t>
  </si>
  <si>
    <t>周纪秀</t>
  </si>
  <si>
    <t>殷富华</t>
  </si>
  <si>
    <t>王小跃</t>
  </si>
  <si>
    <t>王维</t>
  </si>
  <si>
    <t>庄新平</t>
  </si>
  <si>
    <t>张立平</t>
  </si>
  <si>
    <t>邓小勇</t>
  </si>
  <si>
    <t>蔡锡艳</t>
  </si>
  <si>
    <t>杨永</t>
  </si>
  <si>
    <t>游界</t>
  </si>
  <si>
    <t>李华明</t>
  </si>
  <si>
    <t>陈再波</t>
  </si>
  <si>
    <t>桂常胜</t>
  </si>
  <si>
    <t>崔晋明</t>
  </si>
  <si>
    <t>朱华成</t>
  </si>
  <si>
    <t>李国兵</t>
  </si>
  <si>
    <t>高映松</t>
  </si>
  <si>
    <t>施传恒</t>
  </si>
  <si>
    <t>张权</t>
  </si>
  <si>
    <t>王留玉</t>
  </si>
  <si>
    <t>2019年计划数</t>
  </si>
  <si>
    <t>（六）农田水利建设</t>
  </si>
  <si>
    <t>……分别列出各乡镇</t>
  </si>
  <si>
    <t>公里</t>
  </si>
  <si>
    <t>（七）农业技能培训</t>
  </si>
  <si>
    <t>人次</t>
  </si>
  <si>
    <t>人社</t>
  </si>
  <si>
    <t>（八）村集体经济</t>
  </si>
  <si>
    <t>1.资产收益扶贫</t>
  </si>
  <si>
    <t>（1）建村级光伏扶贫电站</t>
  </si>
  <si>
    <t>古齐敏</t>
  </si>
  <si>
    <t>刘云武</t>
  </si>
  <si>
    <t>发改</t>
  </si>
  <si>
    <t>座</t>
  </si>
  <si>
    <t>王志平</t>
  </si>
  <si>
    <t>彭永兵</t>
  </si>
  <si>
    <t>李娟</t>
  </si>
  <si>
    <t>郭家征</t>
  </si>
  <si>
    <t>徐留伟</t>
  </si>
  <si>
    <t>田松丽</t>
  </si>
  <si>
    <t>李德林</t>
  </si>
  <si>
    <t>尹瑞金</t>
  </si>
  <si>
    <t>营上</t>
  </si>
  <si>
    <t>董加勇</t>
  </si>
  <si>
    <t>尹选雄</t>
  </si>
  <si>
    <t>肖梦成</t>
  </si>
  <si>
    <t>史刚</t>
  </si>
  <si>
    <t>阮国坤</t>
  </si>
  <si>
    <t>张正平</t>
  </si>
  <si>
    <t>熊跃</t>
  </si>
  <si>
    <t>姚国才</t>
  </si>
  <si>
    <t>李永江</t>
  </si>
  <si>
    <t>吴志高</t>
  </si>
  <si>
    <t>刘小英</t>
  </si>
  <si>
    <t>（2）土地山林使用权入股情况</t>
  </si>
  <si>
    <t>（3）通过财政投入开展资产收益扶贫</t>
  </si>
  <si>
    <t>2.生产经营性扶贫</t>
  </si>
  <si>
    <t>3.生态公益林补助资金</t>
  </si>
  <si>
    <t>（九）农业发展项目</t>
  </si>
  <si>
    <t>1.富源县区域性粪污收集处理中心</t>
  </si>
  <si>
    <t>2.扶持发展农民专业合作社项目</t>
  </si>
  <si>
    <t>3.基层农技推广体系改革与建设补助项目</t>
  </si>
  <si>
    <t>4.农作物病虫害统防统治及绿色防控</t>
  </si>
  <si>
    <t>5.魔芋新品种引进育种及试验研究</t>
  </si>
  <si>
    <t>6.湿地保护及渔业生产</t>
  </si>
  <si>
    <t>7.现代农业产业园建设总体规划</t>
  </si>
  <si>
    <t>8.一二三产业融合发展（农产品产地初加工冷库建设）项目</t>
  </si>
  <si>
    <t>9.供给侧结构性改革粮改饲补贴项目</t>
  </si>
  <si>
    <t>徐得翔</t>
  </si>
  <si>
    <t>二、就业扶贫行动</t>
  </si>
  <si>
    <t>（一）稳定转移就业</t>
  </si>
  <si>
    <t>务工</t>
  </si>
  <si>
    <t>1.县内</t>
  </si>
  <si>
    <t>郭芳</t>
  </si>
  <si>
    <t>陈娅</t>
  </si>
  <si>
    <t>保明耀</t>
  </si>
  <si>
    <t>奠志开</t>
  </si>
  <si>
    <t>温翰飞</t>
  </si>
  <si>
    <t>杨芳</t>
  </si>
  <si>
    <t>敖乔耘</t>
  </si>
  <si>
    <t>王云国</t>
  </si>
  <si>
    <t>刁文本</t>
  </si>
  <si>
    <t>顾志坤</t>
  </si>
  <si>
    <t>乔锦跃</t>
  </si>
  <si>
    <t>毛万丽</t>
  </si>
  <si>
    <t>施少礼</t>
  </si>
  <si>
    <t>赵龙</t>
  </si>
  <si>
    <t>陈红先</t>
  </si>
  <si>
    <t>田大坤</t>
  </si>
  <si>
    <t>杨立波</t>
  </si>
  <si>
    <t>古敢</t>
  </si>
  <si>
    <t>王方</t>
  </si>
  <si>
    <t>陈小会</t>
  </si>
  <si>
    <t>苏鹏</t>
  </si>
  <si>
    <t>余孝福</t>
  </si>
  <si>
    <t>2.县外省内</t>
  </si>
  <si>
    <t>3.省外</t>
  </si>
  <si>
    <t>4.境外</t>
  </si>
  <si>
    <t>（二）就业培训</t>
  </si>
  <si>
    <t>（三）公益岗位就业</t>
  </si>
  <si>
    <t>1.护边员</t>
  </si>
  <si>
    <t>2.护路员</t>
  </si>
  <si>
    <t>交通</t>
  </si>
  <si>
    <t>3.保洁员</t>
  </si>
  <si>
    <t>住建</t>
  </si>
  <si>
    <t>4.河道治理员</t>
  </si>
  <si>
    <t>水务</t>
  </si>
  <si>
    <t>5.地质灾害监测员</t>
  </si>
  <si>
    <t>国土</t>
  </si>
  <si>
    <t>6.乡村社会综治协管员</t>
  </si>
  <si>
    <t>7.孤寡老人、留守儿童和残疾人帮护员</t>
  </si>
  <si>
    <t>8.移风易俗协理员</t>
  </si>
  <si>
    <t>9.乡村环境卫生清洁员</t>
  </si>
  <si>
    <t>10.乡村道路维护员</t>
  </si>
  <si>
    <t>11.乡村饮水维护员</t>
  </si>
  <si>
    <t>12.乡村河道（湖泊）维护员</t>
  </si>
  <si>
    <t>13、滇沪协作乡村公共服务岗位</t>
  </si>
  <si>
    <t>14、公益性岗位就业</t>
  </si>
  <si>
    <t>（四）扶贫工厂</t>
  </si>
  <si>
    <t>1、扶贫工厂吸纳就业给予一次性奖补</t>
  </si>
  <si>
    <t>2、贫困劳动力培训期间给予生活补贴</t>
  </si>
  <si>
    <t>3、本地企业吸纳贫困劳动力给予奖补</t>
  </si>
  <si>
    <t>十八连山
镇</t>
  </si>
  <si>
    <t>三、教育脱贫攻坚行动</t>
  </si>
  <si>
    <t>教育有保障</t>
  </si>
  <si>
    <t>教育</t>
  </si>
  <si>
    <t>（一）义务教育阶段落实控辍保学，确保100%入学</t>
  </si>
  <si>
    <t>姚和东</t>
  </si>
  <si>
    <t>赵伟</t>
  </si>
  <si>
    <t>李敏权</t>
  </si>
  <si>
    <t>丁文</t>
  </si>
  <si>
    <t>雷衡</t>
  </si>
  <si>
    <t>吴定稳</t>
  </si>
  <si>
    <t>潘云翻</t>
  </si>
  <si>
    <t>丁宪富</t>
  </si>
  <si>
    <t>周丁友</t>
  </si>
  <si>
    <t>温石宝</t>
  </si>
  <si>
    <t>田绍武</t>
  </si>
  <si>
    <t>杨加煌</t>
  </si>
  <si>
    <t>孙维生</t>
  </si>
  <si>
    <t>徐翔</t>
  </si>
  <si>
    <t>胡开雄</t>
  </si>
  <si>
    <t>张奇林</t>
  </si>
  <si>
    <t>胡德鹏</t>
  </si>
  <si>
    <t>王玉</t>
  </si>
  <si>
    <t>高忠良</t>
  </si>
  <si>
    <t>郎如锦</t>
  </si>
  <si>
    <t>吕林</t>
  </si>
  <si>
    <t>朱保良</t>
  </si>
  <si>
    <t>郭应武</t>
  </si>
  <si>
    <t>（二）初中高中后继续教育</t>
  </si>
  <si>
    <t>—</t>
  </si>
  <si>
    <t>（三）高中阶段资助</t>
  </si>
  <si>
    <t>（四）中等职业资助</t>
  </si>
  <si>
    <t>（五）高等教育资助</t>
  </si>
  <si>
    <t>（六）通用语言及普通话推广</t>
  </si>
  <si>
    <t>四、健康扶贫行动</t>
  </si>
  <si>
    <t>医疗有保障</t>
  </si>
  <si>
    <t>（一）落实基本医保</t>
  </si>
  <si>
    <t>李杰</t>
  </si>
  <si>
    <t>董加永</t>
  </si>
  <si>
    <t>丰良</t>
  </si>
  <si>
    <t>陈小会、彭休礼</t>
  </si>
  <si>
    <t>（二）落实大病保险</t>
  </si>
  <si>
    <t>保明寿</t>
  </si>
  <si>
    <t>张小丽</t>
  </si>
  <si>
    <t>（三）落实医疗救助</t>
  </si>
  <si>
    <t>杨会琼</t>
  </si>
  <si>
    <t>袁加贵</t>
  </si>
  <si>
    <t>民政</t>
  </si>
  <si>
    <t>尹奇卡</t>
  </si>
  <si>
    <t>刘小会</t>
  </si>
  <si>
    <t>彭传立</t>
  </si>
  <si>
    <t>朱爱国</t>
  </si>
  <si>
    <t>朱跃龙</t>
  </si>
  <si>
    <t>李光俊</t>
  </si>
  <si>
    <t>朱永升</t>
  </si>
  <si>
    <t>张维</t>
  </si>
  <si>
    <t>董有舜</t>
  </si>
  <si>
    <t>杨泽飞</t>
  </si>
  <si>
    <t>李四海</t>
  </si>
  <si>
    <t>李再祺</t>
  </si>
  <si>
    <t>李加雄</t>
  </si>
  <si>
    <t>尹荣福</t>
  </si>
  <si>
    <t>杨德宏</t>
  </si>
  <si>
    <t>苏朋</t>
  </si>
  <si>
    <t>（四）大病集中救治</t>
  </si>
  <si>
    <t>敖成卓</t>
  </si>
  <si>
    <t>杨虎    杨峰</t>
  </si>
  <si>
    <t>卫计</t>
  </si>
  <si>
    <t>陈甫</t>
  </si>
  <si>
    <t>孙煜程</t>
  </si>
  <si>
    <t>吴红飞</t>
  </si>
  <si>
    <t>胡光稳</t>
  </si>
  <si>
    <t>张永祥</t>
  </si>
  <si>
    <t>安亚</t>
  </si>
  <si>
    <t>段罗瑞</t>
  </si>
  <si>
    <t>黄文涛</t>
  </si>
  <si>
    <t>彭休礼</t>
  </si>
  <si>
    <t>王操林</t>
  </si>
  <si>
    <t>王显东</t>
  </si>
  <si>
    <t>（五）重病兜底保障</t>
  </si>
  <si>
    <t>（六）村医队伍建设</t>
  </si>
  <si>
    <t>姬智丹</t>
  </si>
  <si>
    <t>李波</t>
  </si>
  <si>
    <t>张尚坤</t>
  </si>
  <si>
    <t>肖鑫</t>
  </si>
  <si>
    <t>姚应斌</t>
  </si>
  <si>
    <t>何丽敏</t>
  </si>
  <si>
    <t>聂大坤</t>
  </si>
  <si>
    <t>五、易地扶贫搬迁行动</t>
  </si>
  <si>
    <t>（一）易地扶贫搬迁</t>
  </si>
  <si>
    <t>六、农村危房改造行动</t>
  </si>
  <si>
    <t>住房有保障</t>
  </si>
  <si>
    <t>（一）D级拆除重建</t>
  </si>
  <si>
    <t>户</t>
  </si>
  <si>
    <t>龙春华</t>
  </si>
  <si>
    <t>杨荃富</t>
  </si>
  <si>
    <t>罗文成</t>
  </si>
  <si>
    <t>段志敏</t>
  </si>
  <si>
    <t>杨斌</t>
  </si>
  <si>
    <t>段学良</t>
  </si>
  <si>
    <t>张学元</t>
  </si>
  <si>
    <t>莫冲</t>
  </si>
  <si>
    <t>周川</t>
  </si>
  <si>
    <t>雷如云</t>
  </si>
  <si>
    <t>张国飞</t>
  </si>
  <si>
    <t>李宝红</t>
  </si>
  <si>
    <t>肖本金</t>
  </si>
  <si>
    <t>何云伟</t>
  </si>
  <si>
    <t>杨强鸿</t>
  </si>
  <si>
    <t>孙加强</t>
  </si>
  <si>
    <t>黄加勇</t>
  </si>
  <si>
    <t>董建福</t>
  </si>
  <si>
    <t>段仕龙</t>
  </si>
  <si>
    <t>朱恩宪</t>
  </si>
  <si>
    <t>张兆昆</t>
  </si>
  <si>
    <t>侯鹏维</t>
  </si>
  <si>
    <t>赵培德</t>
  </si>
  <si>
    <t>（二）C级加固修缮</t>
  </si>
  <si>
    <t>维修</t>
  </si>
  <si>
    <t>（三）兜底保障拆除重建</t>
  </si>
  <si>
    <t>（四）非“四类对象”无安全稳固住房</t>
  </si>
  <si>
    <t>七、生态保护扶贫行动</t>
  </si>
  <si>
    <t>（一）退耕还林还草</t>
  </si>
  <si>
    <t>（二）省级陡坡地生态治理</t>
  </si>
  <si>
    <t>赵柒军</t>
  </si>
  <si>
    <t>温绍能</t>
  </si>
  <si>
    <t>林业</t>
  </si>
  <si>
    <t>许润华</t>
  </si>
  <si>
    <t>汤学华</t>
  </si>
  <si>
    <t>王选俊</t>
  </si>
  <si>
    <t>张德文</t>
  </si>
  <si>
    <t>田鹏</t>
  </si>
  <si>
    <t>（三）生态护林员</t>
  </si>
  <si>
    <t>秦洪源</t>
  </si>
  <si>
    <t>郭永佳</t>
  </si>
  <si>
    <t>向明芳</t>
  </si>
  <si>
    <t>雷起宪</t>
  </si>
  <si>
    <t>牛小彦</t>
  </si>
  <si>
    <t>李伟</t>
  </si>
  <si>
    <t>刘稳权</t>
  </si>
  <si>
    <t>黄石柱</t>
  </si>
  <si>
    <t>文有旺</t>
  </si>
  <si>
    <t>邓学院</t>
  </si>
  <si>
    <t>（四）生态护草员</t>
  </si>
  <si>
    <t>农科</t>
  </si>
  <si>
    <t>（五）参加生态扶贫造林合作社</t>
  </si>
  <si>
    <t>（六）太阳能</t>
  </si>
  <si>
    <t>台</t>
  </si>
  <si>
    <t>改善生活</t>
  </si>
  <si>
    <t>李兴佳</t>
  </si>
  <si>
    <t>徐会权</t>
  </si>
  <si>
    <t>八、综合保障扶贫行动</t>
  </si>
  <si>
    <t>（一）实施农村低保保障</t>
  </si>
  <si>
    <t>生活有保障</t>
  </si>
  <si>
    <t>刘小慧</t>
  </si>
  <si>
    <t>（二）实施特困人员救助供养</t>
  </si>
  <si>
    <t>1.分散供养</t>
  </si>
  <si>
    <t>2.集中供养</t>
  </si>
  <si>
    <t>（三）落实残疾人补贴</t>
  </si>
  <si>
    <t>王树斌</t>
  </si>
  <si>
    <t>袁宏飞</t>
  </si>
  <si>
    <t>残联</t>
  </si>
  <si>
    <t>陈东方</t>
  </si>
  <si>
    <t>瞿祥</t>
  </si>
  <si>
    <t>李雄</t>
  </si>
  <si>
    <t>陈红先段罗瑞</t>
  </si>
  <si>
    <t>（四）农村养老</t>
  </si>
  <si>
    <t>1.互助养老</t>
  </si>
  <si>
    <t>2.集中养老</t>
  </si>
  <si>
    <t>九、基础设施和人居环境改善行动</t>
  </si>
  <si>
    <t>（一）贫困村贫困发生率&lt;3%</t>
  </si>
  <si>
    <t>（二）道路硬化</t>
  </si>
  <si>
    <t>改善生产生活条件</t>
  </si>
  <si>
    <t>1.县城、乡镇到建档立卡贫困行政村通硬化道路的危险路段有必要的防护措施</t>
  </si>
  <si>
    <t>肖汉</t>
  </si>
  <si>
    <t>高志武</t>
  </si>
  <si>
    <t>晏刚</t>
  </si>
  <si>
    <t>肖正斌</t>
  </si>
  <si>
    <t>牛坤</t>
  </si>
  <si>
    <t>周正荣</t>
  </si>
  <si>
    <t>卢华生</t>
  </si>
  <si>
    <t>吕天保</t>
  </si>
  <si>
    <t>刘云锋</t>
  </si>
  <si>
    <t>李敏良</t>
  </si>
  <si>
    <t>李兴柱</t>
  </si>
  <si>
    <t>彭云</t>
  </si>
  <si>
    <t>赵华</t>
  </si>
  <si>
    <t>李永华</t>
  </si>
  <si>
    <t>李本飞</t>
  </si>
  <si>
    <t>罗忠华</t>
  </si>
  <si>
    <t>尹玉</t>
  </si>
  <si>
    <t>王平</t>
  </si>
  <si>
    <t>吕国武</t>
  </si>
  <si>
    <t>罗文龙</t>
  </si>
  <si>
    <t>范正强</t>
  </si>
  <si>
    <t>杨宏春</t>
  </si>
  <si>
    <t>2.村组道路建设</t>
  </si>
  <si>
    <t>改建</t>
  </si>
  <si>
    <t>3.建制村道路通畅工程</t>
  </si>
  <si>
    <t>4.进村路硬化</t>
  </si>
  <si>
    <t>5.自然村村内道路硬化</t>
  </si>
  <si>
    <t>㎡</t>
  </si>
  <si>
    <t>6.窄路基路面改造</t>
  </si>
  <si>
    <t>7.农村公路危桥改造</t>
  </si>
  <si>
    <t>（三）通动力电（10千伏以上动力电）</t>
  </si>
  <si>
    <t>村</t>
  </si>
  <si>
    <t>工信</t>
  </si>
  <si>
    <t>千米</t>
  </si>
  <si>
    <t>（四）通广播电视（广播电视信号户户通）</t>
  </si>
  <si>
    <t>文广</t>
  </si>
  <si>
    <t>（五）通宽带网络</t>
  </si>
  <si>
    <t>1.通行政村</t>
  </si>
  <si>
    <t>2.通学校</t>
  </si>
  <si>
    <t>3.通村卫生室</t>
  </si>
  <si>
    <t>（六）农村饮水有保障</t>
  </si>
  <si>
    <t>饮水有保障</t>
  </si>
  <si>
    <t>李来稳</t>
  </si>
  <si>
    <t>董强</t>
  </si>
  <si>
    <t>件</t>
  </si>
  <si>
    <t>刘光兴</t>
  </si>
  <si>
    <t>高志永</t>
  </si>
  <si>
    <t>徐宇</t>
  </si>
  <si>
    <t>蒋定所</t>
  </si>
  <si>
    <t>杨华</t>
  </si>
  <si>
    <t>张雪</t>
  </si>
  <si>
    <t>王学新</t>
  </si>
  <si>
    <t>董永明</t>
  </si>
  <si>
    <t>王学浩</t>
  </si>
  <si>
    <t>张维锋</t>
  </si>
  <si>
    <t>崔  昀</t>
  </si>
  <si>
    <t>毛胜达</t>
  </si>
  <si>
    <t>徐新平</t>
  </si>
  <si>
    <t>陈华益</t>
  </si>
  <si>
    <t>农村饮水安全管护维修费</t>
  </si>
  <si>
    <t>中安街道农村饮水安全管护维修费</t>
  </si>
  <si>
    <t>胜境街道农村饮水安全管护维修费</t>
  </si>
  <si>
    <t>后所镇农村饮水安全管护维修费</t>
  </si>
  <si>
    <t>墨红镇农村饮水安全管护维修费</t>
  </si>
  <si>
    <t>大河镇农村饮水安全管护维修费</t>
  </si>
  <si>
    <t>营上镇农村饮水安全管护维修费</t>
  </si>
  <si>
    <t>竹园镇农村饮水安全管护维修费</t>
  </si>
  <si>
    <t>富村镇农村饮水安全管护维修费</t>
  </si>
  <si>
    <t>黄泥河镇农村饮水安全管护维修费</t>
  </si>
  <si>
    <t>古敢乡农村饮水安全管护维修费</t>
  </si>
  <si>
    <t>十八连山镇农村饮水安全管护维修费</t>
  </si>
  <si>
    <t>老厂镇农村饮水安全管护维修费</t>
  </si>
  <si>
    <t>（七）卫生室建设</t>
  </si>
  <si>
    <t>1.村级卫生室建设</t>
  </si>
  <si>
    <t>新建/改扩建</t>
  </si>
  <si>
    <t>吴远庭  杨虎</t>
  </si>
  <si>
    <t>2.乡级卫生院建设</t>
  </si>
  <si>
    <t>新建/扩建</t>
  </si>
  <si>
    <t>胜境扩建建精神病科</t>
  </si>
  <si>
    <t>胜境中医馆建设</t>
  </si>
  <si>
    <t>墨红卫生院建设</t>
  </si>
  <si>
    <t>扩建</t>
  </si>
  <si>
    <t>墨红中医馆建设</t>
  </si>
  <si>
    <t>竹园卫生院建设</t>
  </si>
  <si>
    <t>老厂卫生院建设</t>
  </si>
  <si>
    <t>大河卫生院建设</t>
  </si>
  <si>
    <t>富村卫生院建设</t>
  </si>
  <si>
    <t>（八）公共活动场所</t>
  </si>
  <si>
    <t>组织  文化</t>
  </si>
  <si>
    <t>按退出标准新建综合活动场所</t>
  </si>
  <si>
    <t>（九）适龄儿童少年有学上</t>
  </si>
  <si>
    <t>1.确保建档立卡贫困户适龄儿童义务教育入学率达到国家规定标准，确保建档立卡贫困户适龄儿童入学率达100%</t>
  </si>
  <si>
    <t>2.基础设施建设</t>
  </si>
  <si>
    <t>就学有保障</t>
  </si>
  <si>
    <t>2.1.新建校舍</t>
  </si>
  <si>
    <t>平方米</t>
  </si>
  <si>
    <t>黄立坤</t>
  </si>
  <si>
    <t>杨家煌</t>
  </si>
  <si>
    <t>高中良</t>
  </si>
  <si>
    <t>富源县教育局</t>
  </si>
  <si>
    <t>2.2.新建附属工程</t>
  </si>
  <si>
    <t>2.3.添置仪器设备</t>
  </si>
  <si>
    <t>3.村级学前教育基础设施</t>
  </si>
  <si>
    <t>所</t>
  </si>
  <si>
    <t>富村镇祖德村委会</t>
  </si>
  <si>
    <t>(十)人居环境提升改造</t>
  </si>
  <si>
    <t>1.提升人居环境</t>
  </si>
  <si>
    <t>2.人居环境提升沪滇协作项目</t>
  </si>
  <si>
    <t>黄家勇</t>
  </si>
  <si>
    <t>3.“四位一体”建设项目</t>
  </si>
  <si>
    <t>4.一事一议财政奖补美丽乡村建设项目</t>
  </si>
  <si>
    <t>刘波</t>
  </si>
  <si>
    <t>张韬</t>
  </si>
  <si>
    <t>财政</t>
  </si>
  <si>
    <t>蔡进华</t>
  </si>
  <si>
    <t>5.民族示范村建设</t>
  </si>
  <si>
    <t>马君鸿</t>
  </si>
  <si>
    <t>刘继华</t>
  </si>
  <si>
    <t>民宗</t>
  </si>
  <si>
    <t>6.“一部手机游云南”平台建设</t>
  </si>
  <si>
    <t>方盛仙</t>
  </si>
  <si>
    <t>(十一)其他项目</t>
  </si>
  <si>
    <t xml:space="preserve">填表说明：
1.项目分类：一级项目：对照贫困县摘帽“五条”标准、贫困村退出“十条”标准、户退出“六条”标准和“保基本补短板”要求，属于必须实施的项目，前期准备工作已经就绪且资金有保障，可以立即组织实施的项目,共实施　 　个项目　  　   　亿元；
            二级项目：对照贫困县摘帽“五条”标准、贫困村退出“十条”标准、户退出“六条”标准和“保基本补短板”要求属于必须实施的项目，但前期准备工作尚未完成或资金尚未明确落实，有待下一步再组织实施的项目，共实施  　个项目 　       亿元；
            三级项目：与脱贫攻坚相关联的提升类储备项目，此类项目可根据今后政策要求和资金到位情况作调整和优化后再作安排，共实施　   个项目　　      亿元。
2.分年度实施2018年　　　个项目投资　　　亿元、2019年　　　个项目投资　　　亿元、2020年　　　个项目（含续建）投资　　亿元。
3.请不要随意更改表内项目顺序，如表内没有的项目可自行添加或在（十一）项其他项目栏内添加。
4.表中资金来源项中凡属社会事业类资金都属行业专项扶贫资金，其他类属涉农整合资金，有上海沪滇扶贫协作项目的放在上海帮扶资金栏。
</t>
  </si>
  <si>
    <t>表7</t>
  </si>
  <si>
    <t>富源县2018年脱贫攻坚三年行动计划（实施方案）项目统计表</t>
  </si>
  <si>
    <t xml:space="preserve">项目个数
</t>
  </si>
  <si>
    <t>2018年</t>
  </si>
  <si>
    <t>2019年</t>
  </si>
  <si>
    <t>2020年</t>
  </si>
  <si>
    <t>1.1.蔬菜种植</t>
  </si>
  <si>
    <t>1.2.辣椒种植</t>
  </si>
  <si>
    <t>1.4.魔芋种植</t>
  </si>
  <si>
    <t>1.5.萝卜种植</t>
  </si>
  <si>
    <t>1.6.花椒</t>
  </si>
  <si>
    <t>1.7.洋芋</t>
  </si>
  <si>
    <t>1.8.烤烟种植</t>
  </si>
  <si>
    <t>1.9.中药材</t>
  </si>
  <si>
    <t>1.10.软籽石榴种植</t>
  </si>
  <si>
    <t>1.11.油菜</t>
  </si>
  <si>
    <t>1.12.山药种植</t>
  </si>
  <si>
    <t>1.13.黑玉米</t>
  </si>
  <si>
    <t>1.14.水稻</t>
  </si>
  <si>
    <t>1.15.藜麦</t>
  </si>
  <si>
    <t>1.16.种植茶树</t>
  </si>
  <si>
    <t>1.17.蚕豆</t>
  </si>
  <si>
    <t>1.18.车厘子</t>
  </si>
  <si>
    <t>1.19.草莓</t>
  </si>
  <si>
    <t>1.20.生姜种植</t>
  </si>
  <si>
    <t>1.21.薏仁种植</t>
  </si>
  <si>
    <t>1.22.猕猴桃</t>
  </si>
  <si>
    <t>1.23.梨</t>
  </si>
  <si>
    <t>1.25.食用菌</t>
  </si>
  <si>
    <t>1.规模化养殖业（由村级分项自行填）</t>
  </si>
  <si>
    <t>刘经能</t>
  </si>
  <si>
    <t>后所镇卡尼村委会亢家桥完成公路危桥改造1座</t>
  </si>
  <si>
    <t>李勇</t>
  </si>
  <si>
    <t>张浩兴</t>
  </si>
  <si>
    <t>供电</t>
  </si>
  <si>
    <t>孟开洪</t>
  </si>
  <si>
    <t>丰静</t>
  </si>
  <si>
    <t>刁开志</t>
  </si>
  <si>
    <t>肖进</t>
  </si>
  <si>
    <t>黄垚</t>
  </si>
  <si>
    <t>陈绍昆</t>
  </si>
  <si>
    <t>钱华飞</t>
  </si>
  <si>
    <t>毛继华</t>
  </si>
  <si>
    <t>黄峰</t>
  </si>
  <si>
    <t>何志丹</t>
  </si>
  <si>
    <t>沙建飞</t>
  </si>
  <si>
    <t>叶平</t>
  </si>
  <si>
    <t>王恩福</t>
  </si>
  <si>
    <t>肖本胜</t>
  </si>
  <si>
    <t>刘文富</t>
  </si>
  <si>
    <t>李雄飞</t>
  </si>
  <si>
    <t>雷恒</t>
  </si>
  <si>
    <t>张浩</t>
  </si>
  <si>
    <t>表8</t>
  </si>
  <si>
    <t>富源县2019年脱贫攻坚三年行动计划（实施方案）项目统计表</t>
  </si>
  <si>
    <t>12各乡镇（街道）</t>
  </si>
  <si>
    <t>建设区域性粪污收集处理中心，每个补助80万元。</t>
  </si>
  <si>
    <t>户均增加养殖收入2000元，满意度达到90%。</t>
  </si>
  <si>
    <t>黄泥村委会、恩乐村委会</t>
  </si>
  <si>
    <t>龙海社区</t>
  </si>
  <si>
    <t>则黑村</t>
  </si>
  <si>
    <t>烂滩村</t>
  </si>
  <si>
    <t xml:space="preserve"> 扶持发展农民专业合作社。</t>
  </si>
  <si>
    <t>贫困户年户均增加收入5000元以上（含5000元）</t>
  </si>
  <si>
    <t>新街村委会新街村、七六村</t>
  </si>
  <si>
    <t>卡锡村委会新发村</t>
  </si>
  <si>
    <t>迤启村委会鲁卡村</t>
  </si>
  <si>
    <t>鲁木克村委会鲁木克村</t>
  </si>
  <si>
    <t>培育农业科技示范主体、发展农村集体经济。</t>
  </si>
  <si>
    <t>培育农业科技示范主体115户</t>
  </si>
  <si>
    <t>民家社区、都格村</t>
  </si>
  <si>
    <t>小腊甲村</t>
  </si>
  <si>
    <t>辣椒病虫害统防统治及绿色防控</t>
  </si>
  <si>
    <t>病虫害通防统治达95%，确保示范区生产安。</t>
  </si>
  <si>
    <t>吉克、鲁木克、九河、加克、江浪、玉麦</t>
  </si>
  <si>
    <t>卡锡、腊甲</t>
  </si>
  <si>
    <t>白马</t>
  </si>
  <si>
    <t>示范推广1000亩、实现产值1000万元。</t>
  </si>
  <si>
    <t>富源县农业局示范园、寨子口</t>
  </si>
  <si>
    <t xml:space="preserve"> 魔芋新品种育种（杂交育种、太空育种）</t>
  </si>
  <si>
    <t>洗洋塘</t>
  </si>
  <si>
    <t>种植白魔芋200亩</t>
  </si>
  <si>
    <t>双诺村委会</t>
  </si>
  <si>
    <t>种植白魔芋100亩</t>
  </si>
  <si>
    <t>光山头村委会</t>
  </si>
  <si>
    <t>圭山村委会</t>
  </si>
  <si>
    <t>都格村委会</t>
  </si>
  <si>
    <t>新街村委会</t>
  </si>
  <si>
    <t>种类：白魔芋，面积：100亩，建立试验研究点1个100亩。</t>
  </si>
  <si>
    <t>亦佐村委会</t>
  </si>
  <si>
    <t>建立试验研究点1个100亩</t>
  </si>
  <si>
    <t>龙潭村委会</t>
  </si>
  <si>
    <t>腊甲村委会</t>
  </si>
  <si>
    <t>种植白魔芋50亩</t>
  </si>
  <si>
    <t>黑克村委会</t>
  </si>
  <si>
    <t>后所镇杨家坟村小海子湿地</t>
  </si>
  <si>
    <t xml:space="preserve">   对300亩精养池塘，2000亩沼泽地、水涝地、湿地进行除涝防旱建设。
</t>
  </si>
  <si>
    <t>湿地得到有效保护，带动乡村旅游发展。年生产水产品150吨，带动贫困户均增收300元。</t>
  </si>
  <si>
    <t>中安街道寨子口村委会</t>
  </si>
  <si>
    <t>专项研究农村一二三产业融合为主的特色产业进行分析比对，提出中长期发展规划。</t>
  </si>
  <si>
    <t>吉克村委会</t>
  </si>
  <si>
    <t>3座保鲜冷藏库建设、10.5万元/500立方</t>
  </si>
  <si>
    <t>建设果蔬保鲜冷藏库1500立方，单批处理能力达300吨</t>
  </si>
  <si>
    <t>四屯社区</t>
  </si>
  <si>
    <t>6座保鲜冷藏库建设、10.5万元/500立方</t>
  </si>
  <si>
    <t>建设果蔬保鲜冷藏库3000立方，单批处理能力达600吨</t>
  </si>
  <si>
    <t>大梨村委会</t>
  </si>
  <si>
    <t>2座保鲜冷藏库建设、10.5万元/500立方</t>
  </si>
  <si>
    <t>建设果蔬保鲜冷藏库1000立方，单批处理能力达200吨</t>
  </si>
  <si>
    <t>黄泥村委会、起铺村委会</t>
  </si>
  <si>
    <t>9座保鲜冷藏库建设、10.5万元/500立方</t>
  </si>
  <si>
    <t>建设果蔬保鲜冷藏库900立方，单批处理能力达900吨</t>
  </si>
  <si>
    <t>寨子口社区</t>
  </si>
  <si>
    <t>完成种植收储任务，实现贫困户户均增收1000元</t>
  </si>
  <si>
    <t>白马山</t>
  </si>
  <si>
    <t>种植青贮330亩，收储青贮1000吨，与5户贫困户签订收购合同</t>
  </si>
  <si>
    <t>洗洋塘、肖家梁子、凉水井</t>
  </si>
  <si>
    <t>种植青贮330亩，收储青贮1000吨，与3户贫困户签订收购合同</t>
  </si>
  <si>
    <t>补木村委会、么山村委会香冲、田冲村委会、世迆村委会发土村、三台村委会</t>
  </si>
  <si>
    <t>种植青贮340亩，收储青贮1000吨，与2户贫困户签订收购合同</t>
  </si>
  <si>
    <t>下得麦、民家村委会</t>
  </si>
  <si>
    <t>种植青贮340亩，收储青贮1000吨，与4户贫困户签订收购合同</t>
  </si>
  <si>
    <t>补木村委会</t>
  </si>
  <si>
    <t>种植青贮1100亩，收储青贮3000吨，与15户贫困户签订收购合同</t>
  </si>
  <si>
    <t>下中寨</t>
  </si>
  <si>
    <t>种植青贮270亩，收储青贮800吨，与2户贫困户签订收购合同</t>
  </si>
  <si>
    <t>祭羊山</t>
  </si>
  <si>
    <t>种植青贮270亩，收储青贮800吨，与1户贫困户签订收购合同</t>
  </si>
  <si>
    <t>中安街道农村饮水安全管护维修工程</t>
  </si>
  <si>
    <t>解决农村饮水困难，保证饮水安全</t>
  </si>
  <si>
    <t>胜境街道农村饮水安全管护维修工程</t>
  </si>
  <si>
    <t>后所镇农村饮水安全管护维修工程</t>
  </si>
  <si>
    <t>墨红镇农村饮水安全管护维修工程</t>
  </si>
  <si>
    <t>大河镇农村饮水安全管护维修工程</t>
  </si>
  <si>
    <t>营上镇农村饮水安全管护维修工程</t>
  </si>
  <si>
    <t>竹园镇农村饮水安全管护维修工程</t>
  </si>
  <si>
    <t>富村镇农村饮水安全管护维修工程</t>
  </si>
  <si>
    <t>黄泥河镇农村饮水安全管护维修工程</t>
  </si>
  <si>
    <t>古敢乡农村饮水安全管护维修工程</t>
  </si>
  <si>
    <t>十八连山镇农村饮水安全管护维修工程</t>
  </si>
  <si>
    <t>老厂镇农村饮水安全管护维修工程</t>
  </si>
  <si>
    <t>胜境海田</t>
  </si>
  <si>
    <t>提升优化城市名片、景区名片内容；建立诚信评价体系，对县内涉旅企业开展诚信体系评价；推进多乐原风景区智慧停车场、A级旅游厕所建设；推进景区闸机、票务系统改造建设。</t>
  </si>
  <si>
    <t>表9</t>
  </si>
  <si>
    <t>富源县2020年脱贫攻坚三年行动计划（实施方案）项目统计表</t>
  </si>
  <si>
    <t>八布乡2018年至2020年脱贫攻坚乡级路线图（实施方案）项目统计表</t>
  </si>
  <si>
    <r>
      <rPr>
        <sz val="14"/>
        <rFont val="宋体"/>
        <charset val="134"/>
      </rPr>
      <t>填报单位：八布乡人民政府</t>
    </r>
    <r>
      <rPr>
        <sz val="14"/>
        <rFont val="Times New Roman"/>
        <charset val="134"/>
      </rPr>
      <t xml:space="preserve">      </t>
    </r>
  </si>
  <si>
    <t>建设
性质</t>
  </si>
  <si>
    <t>规模及内容</t>
  </si>
  <si>
    <t>建档立卡直接受益</t>
  </si>
  <si>
    <t>开工
年度</t>
  </si>
  <si>
    <t>完工
年度</t>
  </si>
  <si>
    <t>7=8+9+10</t>
  </si>
  <si>
    <r>
      <rPr>
        <sz val="10"/>
        <rFont val="宋体"/>
        <charset val="134"/>
      </rPr>
      <t>合</t>
    </r>
    <r>
      <rPr>
        <sz val="10"/>
        <rFont val="Times New Roman"/>
        <charset val="134"/>
      </rPr>
      <t xml:space="preserve">  </t>
    </r>
    <r>
      <rPr>
        <sz val="10"/>
        <rFont val="宋体"/>
        <charset val="134"/>
      </rPr>
      <t>计</t>
    </r>
  </si>
  <si>
    <t>一、安全稳固住房</t>
  </si>
  <si>
    <t>张坤静</t>
  </si>
  <si>
    <t>张红卫</t>
  </si>
  <si>
    <r>
      <rPr>
        <sz val="10"/>
        <rFont val="宋体"/>
        <charset val="134"/>
      </rPr>
      <t>八布集镇易地搬迁项目－筑梦小区，项目概算总投资</t>
    </r>
    <r>
      <rPr>
        <sz val="10"/>
        <rFont val="Times New Roman"/>
        <charset val="134"/>
      </rPr>
      <t>1186.4</t>
    </r>
    <r>
      <rPr>
        <sz val="10"/>
        <rFont val="宋体"/>
        <charset val="134"/>
      </rPr>
      <t>万元，其中已落实资金</t>
    </r>
    <r>
      <rPr>
        <sz val="10"/>
        <rFont val="Times New Roman"/>
        <charset val="134"/>
      </rPr>
      <t>577.5</t>
    </r>
    <r>
      <rPr>
        <sz val="10"/>
        <rFont val="宋体"/>
        <charset val="134"/>
      </rPr>
      <t>万元（按人均</t>
    </r>
    <r>
      <rPr>
        <sz val="10"/>
        <rFont val="Times New Roman"/>
        <charset val="134"/>
      </rPr>
      <t>5.775</t>
    </r>
    <r>
      <rPr>
        <sz val="10"/>
        <rFont val="宋体"/>
        <charset val="134"/>
      </rPr>
      <t>万元测算），缺口资金</t>
    </r>
    <r>
      <rPr>
        <sz val="10"/>
        <rFont val="Times New Roman"/>
        <charset val="134"/>
      </rPr>
      <t>608.86</t>
    </r>
    <r>
      <rPr>
        <sz val="10"/>
        <rFont val="宋体"/>
        <charset val="134"/>
      </rPr>
      <t>万元。</t>
    </r>
  </si>
  <si>
    <t>羊皮寨村委会</t>
  </si>
  <si>
    <r>
      <rPr>
        <sz val="10"/>
        <rFont val="宋体"/>
        <charset val="134"/>
      </rPr>
      <t>何</t>
    </r>
    <r>
      <rPr>
        <sz val="10"/>
        <rFont val="Times New Roman"/>
        <charset val="134"/>
      </rPr>
      <t xml:space="preserve">  </t>
    </r>
    <r>
      <rPr>
        <sz val="10"/>
        <rFont val="宋体"/>
        <charset val="134"/>
      </rPr>
      <t>东</t>
    </r>
  </si>
  <si>
    <r>
      <rPr>
        <sz val="10"/>
        <rFont val="宋体"/>
        <charset val="134"/>
      </rPr>
      <t>赵</t>
    </r>
    <r>
      <rPr>
        <sz val="10"/>
        <rFont val="Times New Roman"/>
        <charset val="134"/>
      </rPr>
      <t xml:space="preserve">  </t>
    </r>
    <r>
      <rPr>
        <sz val="10"/>
        <rFont val="宋体"/>
        <charset val="134"/>
      </rPr>
      <t>伟</t>
    </r>
  </si>
  <si>
    <t>龙龙村委会</t>
  </si>
  <si>
    <t>李显瑞</t>
  </si>
  <si>
    <t>罗廷荣</t>
  </si>
  <si>
    <t>东油村委会</t>
  </si>
  <si>
    <t>杨国富</t>
  </si>
  <si>
    <t>石绍祥</t>
  </si>
  <si>
    <t>和平村委会</t>
  </si>
  <si>
    <t>周光政</t>
  </si>
  <si>
    <r>
      <rPr>
        <sz val="10"/>
        <rFont val="宋体"/>
        <charset val="134"/>
      </rPr>
      <t>胥</t>
    </r>
    <r>
      <rPr>
        <sz val="10"/>
        <rFont val="Times New Roman"/>
        <charset val="134"/>
      </rPr>
      <t xml:space="preserve">  </t>
    </r>
    <r>
      <rPr>
        <sz val="10"/>
        <rFont val="宋体"/>
        <charset val="134"/>
      </rPr>
      <t>靖</t>
    </r>
  </si>
  <si>
    <t>江东村委会</t>
  </si>
  <si>
    <t>黄明兴</t>
  </si>
  <si>
    <t>王仕锐</t>
  </si>
  <si>
    <t>（二）危房改造</t>
  </si>
  <si>
    <r>
      <rPr>
        <sz val="10"/>
        <rFont val="Times New Roman"/>
        <charset val="134"/>
      </rPr>
      <t>1.D</t>
    </r>
    <r>
      <rPr>
        <sz val="10"/>
        <rFont val="宋体"/>
        <charset val="134"/>
      </rPr>
      <t>级拆除重建</t>
    </r>
  </si>
  <si>
    <r>
      <rPr>
        <sz val="10"/>
        <rFont val="宋体"/>
        <charset val="134"/>
      </rPr>
      <t>按户均</t>
    </r>
    <r>
      <rPr>
        <sz val="10"/>
        <rFont val="Times New Roman"/>
        <charset val="134"/>
      </rPr>
      <t>3</t>
    </r>
    <r>
      <rPr>
        <sz val="10"/>
        <rFont val="宋体"/>
        <charset val="134"/>
      </rPr>
      <t>万元测算。</t>
    </r>
  </si>
  <si>
    <t>荒田村委会</t>
  </si>
  <si>
    <t>熊世金</t>
  </si>
  <si>
    <t>刘成丰</t>
  </si>
  <si>
    <t>八布村委会</t>
  </si>
  <si>
    <t>项永周</t>
  </si>
  <si>
    <t>戴一平</t>
  </si>
  <si>
    <t>哪灯村委会</t>
  </si>
  <si>
    <r>
      <rPr>
        <sz val="10"/>
        <rFont val="宋体"/>
        <charset val="134"/>
      </rPr>
      <t>郑</t>
    </r>
    <r>
      <rPr>
        <sz val="10"/>
        <rFont val="Times New Roman"/>
        <charset val="134"/>
      </rPr>
      <t xml:space="preserve">  </t>
    </r>
    <r>
      <rPr>
        <sz val="10"/>
        <rFont val="宋体"/>
        <charset val="134"/>
      </rPr>
      <t>勇</t>
    </r>
  </si>
  <si>
    <t>刘清藻</t>
  </si>
  <si>
    <r>
      <rPr>
        <sz val="10"/>
        <rFont val="Times New Roman"/>
        <charset val="134"/>
      </rPr>
      <t>2.C</t>
    </r>
    <r>
      <rPr>
        <sz val="10"/>
        <rFont val="宋体"/>
        <charset val="134"/>
      </rPr>
      <t>级加固修缮</t>
    </r>
  </si>
  <si>
    <r>
      <rPr>
        <sz val="10"/>
        <rFont val="宋体"/>
        <charset val="134"/>
      </rPr>
      <t>按户均</t>
    </r>
    <r>
      <rPr>
        <sz val="10"/>
        <rFont val="Times New Roman"/>
        <charset val="134"/>
      </rPr>
      <t>1.8</t>
    </r>
    <r>
      <rPr>
        <sz val="10"/>
        <rFont val="宋体"/>
        <charset val="134"/>
      </rPr>
      <t>万元测算。</t>
    </r>
  </si>
  <si>
    <r>
      <rPr>
        <sz val="10"/>
        <rFont val="宋体"/>
        <charset val="134"/>
      </rPr>
      <t>羊皮寨村委会</t>
    </r>
    <r>
      <rPr>
        <sz val="10"/>
        <rFont val="Times New Roman"/>
        <charset val="134"/>
      </rPr>
      <t xml:space="preserve"> </t>
    </r>
  </si>
  <si>
    <r>
      <rPr>
        <sz val="10"/>
        <rFont val="Times New Roman"/>
        <charset val="134"/>
      </rPr>
      <t>3.</t>
    </r>
    <r>
      <rPr>
        <sz val="10"/>
        <rFont val="宋体"/>
        <charset val="134"/>
      </rPr>
      <t>兜底保障拆除重建</t>
    </r>
  </si>
  <si>
    <r>
      <rPr>
        <sz val="10"/>
        <rFont val="宋体"/>
        <charset val="134"/>
      </rPr>
      <t>按户均</t>
    </r>
    <r>
      <rPr>
        <sz val="10"/>
        <rFont val="Times New Roman"/>
        <charset val="134"/>
      </rPr>
      <t>4</t>
    </r>
    <r>
      <rPr>
        <sz val="10"/>
        <rFont val="宋体"/>
        <charset val="134"/>
      </rPr>
      <t>万元测算。</t>
    </r>
  </si>
  <si>
    <r>
      <rPr>
        <sz val="10"/>
        <rFont val="宋体"/>
        <charset val="134"/>
      </rPr>
      <t>（三）非</t>
    </r>
    <r>
      <rPr>
        <sz val="10"/>
        <rFont val="Times New Roman"/>
        <charset val="134"/>
      </rPr>
      <t>“</t>
    </r>
    <r>
      <rPr>
        <sz val="10"/>
        <rFont val="宋体"/>
        <charset val="134"/>
      </rPr>
      <t>四类对象</t>
    </r>
    <r>
      <rPr>
        <sz val="10"/>
        <rFont val="Times New Roman"/>
        <charset val="134"/>
      </rPr>
      <t>”</t>
    </r>
    <r>
      <rPr>
        <sz val="10"/>
        <rFont val="宋体"/>
        <charset val="134"/>
      </rPr>
      <t>无安全稳固住房</t>
    </r>
  </si>
  <si>
    <t>二、适龄青少年就学</t>
  </si>
  <si>
    <r>
      <rPr>
        <sz val="10"/>
        <rFont val="宋体"/>
        <charset val="134"/>
      </rPr>
      <t>（一）义务教育阶段落实控辍保学，确保</t>
    </r>
    <r>
      <rPr>
        <sz val="10"/>
        <rFont val="Times New Roman"/>
        <charset val="134"/>
      </rPr>
      <t>100%</t>
    </r>
    <r>
      <rPr>
        <sz val="10"/>
        <rFont val="宋体"/>
        <charset val="134"/>
      </rPr>
      <t>入学</t>
    </r>
  </si>
  <si>
    <r>
      <rPr>
        <sz val="10"/>
        <rFont val="宋体"/>
        <charset val="134"/>
      </rPr>
      <t>陈延鸿</t>
    </r>
    <r>
      <rPr>
        <sz val="10"/>
        <rFont val="Times New Roman"/>
        <charset val="134"/>
      </rPr>
      <t xml:space="preserve"> </t>
    </r>
  </si>
  <si>
    <t>张远恒</t>
  </si>
  <si>
    <t>小学辍学</t>
  </si>
  <si>
    <t>中学辍学</t>
  </si>
  <si>
    <r>
      <rPr>
        <sz val="10"/>
        <rFont val="宋体"/>
        <charset val="134"/>
      </rPr>
      <t>对应村级施工图（按县教育局反馈的两后生花名册统计，补助标准为</t>
    </r>
    <r>
      <rPr>
        <sz val="10"/>
        <rFont val="Times New Roman"/>
        <charset val="134"/>
      </rPr>
      <t>1250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</si>
  <si>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赵</t>
    </r>
    <r>
      <rPr>
        <sz val="10"/>
        <rFont val="Times New Roman"/>
        <charset val="134"/>
      </rPr>
      <t xml:space="preserve"> </t>
    </r>
    <r>
      <rPr>
        <sz val="10"/>
        <rFont val="SimSun"/>
        <charset val="134"/>
      </rPr>
      <t>伟</t>
    </r>
  </si>
  <si>
    <t xml:space="preserve">                                                                                                                                     </t>
  </si>
  <si>
    <r>
      <rPr>
        <sz val="10"/>
        <rFont val="宋体"/>
        <charset val="134"/>
      </rPr>
      <t>对应村级施工图（按县教育局反馈的高中阶段资助花名册统计，补助标准为</t>
    </r>
    <r>
      <rPr>
        <sz val="10"/>
        <rFont val="Times New Roman"/>
        <charset val="134"/>
      </rPr>
      <t>5500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年），资金来源行业部门专项资金每人</t>
    </r>
    <r>
      <rPr>
        <sz val="10"/>
        <rFont val="Times New Roman"/>
        <charset val="134"/>
      </rPr>
      <t>4250</t>
    </r>
    <r>
      <rPr>
        <sz val="10"/>
        <rFont val="宋体"/>
        <charset val="134"/>
      </rPr>
      <t>，县级自筹资金每人</t>
    </r>
    <r>
      <rPr>
        <sz val="10"/>
        <rFont val="Times New Roman"/>
        <charset val="134"/>
      </rPr>
      <t>1250</t>
    </r>
    <r>
      <rPr>
        <sz val="10"/>
        <rFont val="宋体"/>
        <charset val="134"/>
      </rPr>
      <t>元。</t>
    </r>
  </si>
  <si>
    <t xml:space="preserve">                                                  </t>
  </si>
  <si>
    <t xml:space="preserve">                                                                           </t>
  </si>
  <si>
    <t>郑勇</t>
  </si>
  <si>
    <r>
      <rPr>
        <sz val="10"/>
        <rFont val="宋体"/>
        <charset val="134"/>
      </rPr>
      <t>对应村级施工图（按县教育局反馈的中等职业资助花名册统计，补助标准为</t>
    </r>
    <r>
      <rPr>
        <sz val="10"/>
        <rFont val="Times New Roman"/>
        <charset val="134"/>
      </rPr>
      <t>5500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年），资金来源行业部门专项资金每人</t>
    </r>
    <r>
      <rPr>
        <sz val="10"/>
        <rFont val="Times New Roman"/>
        <charset val="134"/>
      </rPr>
      <t>2000</t>
    </r>
    <r>
      <rPr>
        <sz val="10"/>
        <rFont val="宋体"/>
        <charset val="134"/>
      </rPr>
      <t>，涉农整合资金每人</t>
    </r>
    <r>
      <rPr>
        <sz val="10"/>
        <rFont val="Times New Roman"/>
        <charset val="134"/>
      </rPr>
      <t>3000</t>
    </r>
    <r>
      <rPr>
        <sz val="10"/>
        <rFont val="宋体"/>
        <charset val="134"/>
      </rPr>
      <t>元，县级自筹资金每人</t>
    </r>
    <r>
      <rPr>
        <sz val="10"/>
        <rFont val="Times New Roman"/>
        <charset val="134"/>
      </rPr>
      <t>500</t>
    </r>
    <r>
      <rPr>
        <sz val="10"/>
        <rFont val="宋体"/>
        <charset val="134"/>
      </rPr>
      <t>元。</t>
    </r>
  </si>
  <si>
    <r>
      <rPr>
        <sz val="10"/>
        <rFont val="宋体"/>
        <charset val="134"/>
      </rPr>
      <t>对应村级施工图（按县教育局反馈的高等教育资助花名册统计，学生人数以</t>
    </r>
    <r>
      <rPr>
        <sz val="10"/>
        <rFont val="Times New Roman"/>
        <charset val="134"/>
      </rPr>
      <t>2018</t>
    </r>
    <r>
      <rPr>
        <sz val="10"/>
        <rFont val="宋体"/>
        <charset val="134"/>
      </rPr>
      <t>年</t>
    </r>
    <r>
      <rPr>
        <sz val="10"/>
        <rFont val="Times New Roman"/>
        <charset val="134"/>
      </rPr>
      <t>10</t>
    </r>
    <r>
      <rPr>
        <sz val="10"/>
        <rFont val="宋体"/>
        <charset val="134"/>
      </rPr>
      <t>月各乡镇核查的人数为基数。高职：资金按照每人</t>
    </r>
    <r>
      <rPr>
        <sz val="10"/>
        <rFont val="Times New Roman"/>
        <charset val="134"/>
      </rPr>
      <t>6000</t>
    </r>
    <r>
      <rPr>
        <sz val="10"/>
        <rFont val="宋体"/>
        <charset val="134"/>
      </rPr>
      <t>元进行测算，资金来源为：行业部门专项资金每人</t>
    </r>
    <r>
      <rPr>
        <sz val="10"/>
        <rFont val="Times New Roman"/>
        <charset val="134"/>
      </rPr>
      <t>1500</t>
    </r>
    <r>
      <rPr>
        <sz val="10"/>
        <rFont val="SimSun"/>
        <charset val="134"/>
      </rPr>
      <t>元、涉农整合资金每人</t>
    </r>
    <r>
      <rPr>
        <sz val="10"/>
        <rFont val="Times New Roman"/>
        <charset val="134"/>
      </rPr>
      <t>3000</t>
    </r>
    <r>
      <rPr>
        <sz val="10"/>
        <rFont val="SimSun"/>
        <charset val="134"/>
      </rPr>
      <t>元、县级自筹每人</t>
    </r>
    <r>
      <rPr>
        <sz val="10"/>
        <rFont val="Times New Roman"/>
        <charset val="134"/>
      </rPr>
      <t>1500</t>
    </r>
    <r>
      <rPr>
        <sz val="10"/>
        <rFont val="SimSun"/>
        <charset val="134"/>
      </rPr>
      <t>元（八布乡共计</t>
    </r>
    <r>
      <rPr>
        <sz val="10"/>
        <rFont val="宋体"/>
        <charset val="134"/>
      </rPr>
      <t>18</t>
    </r>
    <r>
      <rPr>
        <sz val="10"/>
        <rFont val="SimSun"/>
        <charset val="134"/>
      </rPr>
      <t>人）。专科：资金按照每人</t>
    </r>
    <r>
      <rPr>
        <sz val="10"/>
        <rFont val="Times New Roman"/>
        <charset val="134"/>
      </rPr>
      <t>5500</t>
    </r>
    <r>
      <rPr>
        <sz val="10"/>
        <rFont val="SimSun"/>
        <charset val="134"/>
      </rPr>
      <t>元进行测算，资金来源为：行业部门专项资金每人</t>
    </r>
    <r>
      <rPr>
        <sz val="10"/>
        <rFont val="Times New Roman"/>
        <charset val="134"/>
      </rPr>
      <t>1000</t>
    </r>
    <r>
      <rPr>
        <sz val="10"/>
        <rFont val="SimSun"/>
        <charset val="134"/>
      </rPr>
      <t>元、涉农整合资金每人</t>
    </r>
    <r>
      <rPr>
        <sz val="10"/>
        <rFont val="Times New Roman"/>
        <charset val="134"/>
      </rPr>
      <t>3000</t>
    </r>
    <r>
      <rPr>
        <sz val="10"/>
        <rFont val="SimSun"/>
        <charset val="134"/>
      </rPr>
      <t>元、县级自筹每人</t>
    </r>
    <r>
      <rPr>
        <sz val="10"/>
        <rFont val="Times New Roman"/>
        <charset val="134"/>
      </rPr>
      <t>1500</t>
    </r>
    <r>
      <rPr>
        <sz val="10"/>
        <rFont val="SimSun"/>
        <charset val="134"/>
      </rPr>
      <t>元（八布乡共计</t>
    </r>
    <r>
      <rPr>
        <sz val="10"/>
        <rFont val="宋体"/>
        <charset val="134"/>
      </rPr>
      <t>22</t>
    </r>
    <r>
      <rPr>
        <sz val="10"/>
        <rFont val="SimSun"/>
        <charset val="134"/>
      </rPr>
      <t>人）。本科：资金按照每人</t>
    </r>
    <r>
      <rPr>
        <sz val="10"/>
        <rFont val="Times New Roman"/>
        <charset val="134"/>
      </rPr>
      <t>3000</t>
    </r>
    <r>
      <rPr>
        <sz val="10"/>
        <rFont val="SimSun"/>
        <charset val="134"/>
      </rPr>
      <t>元进行测算，资金来源为：行业部门专项资金每人</t>
    </r>
    <r>
      <rPr>
        <sz val="10"/>
        <rFont val="Times New Roman"/>
        <charset val="134"/>
      </rPr>
      <t>1500</t>
    </r>
    <r>
      <rPr>
        <sz val="10"/>
        <rFont val="SimSun"/>
        <charset val="134"/>
      </rPr>
      <t>元、县级自筹每人</t>
    </r>
    <r>
      <rPr>
        <sz val="10"/>
        <rFont val="Times New Roman"/>
        <charset val="134"/>
      </rPr>
      <t>1500</t>
    </r>
    <r>
      <rPr>
        <sz val="10"/>
        <rFont val="SimSun"/>
        <charset val="134"/>
      </rPr>
      <t>元（八布乡共计</t>
    </r>
    <r>
      <rPr>
        <sz val="10"/>
        <rFont val="宋体"/>
        <charset val="134"/>
      </rPr>
      <t>25</t>
    </r>
    <r>
      <rPr>
        <sz val="10"/>
        <rFont val="SimSun"/>
        <charset val="134"/>
      </rPr>
      <t>人）。研究生及以上：资金按照每人</t>
    </r>
    <r>
      <rPr>
        <sz val="10"/>
        <rFont val="Times New Roman"/>
        <charset val="134"/>
      </rPr>
      <t>1500</t>
    </r>
    <r>
      <rPr>
        <sz val="10"/>
        <rFont val="SimSun"/>
        <charset val="134"/>
      </rPr>
      <t>元进行测算，资金来源为：县级自筹每人</t>
    </r>
    <r>
      <rPr>
        <sz val="10"/>
        <rFont val="Times New Roman"/>
        <charset val="134"/>
      </rPr>
      <t>1500</t>
    </r>
    <r>
      <rPr>
        <sz val="10"/>
        <rFont val="SimSun"/>
        <charset val="134"/>
      </rPr>
      <t>元（八布乡共计</t>
    </r>
    <r>
      <rPr>
        <sz val="10"/>
        <rFont val="Times New Roman"/>
        <charset val="134"/>
      </rPr>
      <t>2</t>
    </r>
    <r>
      <rPr>
        <sz val="10"/>
        <rFont val="SimSun"/>
        <charset val="134"/>
      </rPr>
      <t>人）。</t>
    </r>
  </si>
  <si>
    <r>
      <rPr>
        <sz val="10"/>
        <rFont val="SimSun"/>
        <charset val="134"/>
      </rPr>
      <t>专科</t>
    </r>
    <r>
      <rPr>
        <sz val="10"/>
        <rFont val="Times New Roman"/>
        <charset val="134"/>
      </rPr>
      <t>3</t>
    </r>
    <r>
      <rPr>
        <sz val="10"/>
        <rFont val="SimSun"/>
        <charset val="134"/>
      </rPr>
      <t>人、本科</t>
    </r>
    <r>
      <rPr>
        <sz val="10"/>
        <rFont val="Times New Roman"/>
        <charset val="134"/>
      </rPr>
      <t>5</t>
    </r>
    <r>
      <rPr>
        <sz val="10"/>
        <rFont val="SimSun"/>
        <charset val="134"/>
      </rPr>
      <t>人、高职</t>
    </r>
    <r>
      <rPr>
        <sz val="10"/>
        <rFont val="Times New Roman"/>
        <charset val="134"/>
      </rPr>
      <t>2</t>
    </r>
    <r>
      <rPr>
        <sz val="10"/>
        <rFont val="SimSun"/>
        <charset val="134"/>
      </rPr>
      <t>人</t>
    </r>
  </si>
  <si>
    <r>
      <rPr>
        <sz val="10"/>
        <rFont val="SimSun"/>
        <charset val="134"/>
      </rPr>
      <t>专科</t>
    </r>
    <r>
      <rPr>
        <sz val="10"/>
        <rFont val="Times New Roman"/>
        <charset val="134"/>
      </rPr>
      <t>1</t>
    </r>
    <r>
      <rPr>
        <sz val="10"/>
        <rFont val="SimSun"/>
        <charset val="134"/>
      </rPr>
      <t>人、本科</t>
    </r>
    <r>
      <rPr>
        <sz val="10"/>
        <rFont val="Times New Roman"/>
        <charset val="134"/>
      </rPr>
      <t>5</t>
    </r>
    <r>
      <rPr>
        <sz val="10"/>
        <rFont val="SimSun"/>
        <charset val="134"/>
      </rPr>
      <t>人、高职</t>
    </r>
    <r>
      <rPr>
        <sz val="10"/>
        <rFont val="Times New Roman"/>
        <charset val="134"/>
      </rPr>
      <t>6</t>
    </r>
    <r>
      <rPr>
        <sz val="10"/>
        <rFont val="SimSun"/>
        <charset val="134"/>
      </rPr>
      <t>人</t>
    </r>
  </si>
  <si>
    <t>本科2人</t>
  </si>
  <si>
    <r>
      <rPr>
        <sz val="10"/>
        <rFont val="SimSun"/>
        <charset val="134"/>
      </rPr>
      <t>专科4人、本科4人、高职</t>
    </r>
    <r>
      <rPr>
        <sz val="10"/>
        <rFont val="Times New Roman"/>
        <charset val="134"/>
      </rPr>
      <t>2</t>
    </r>
    <r>
      <rPr>
        <sz val="10"/>
        <rFont val="SimSun"/>
        <charset val="134"/>
      </rPr>
      <t>人</t>
    </r>
  </si>
  <si>
    <r>
      <rPr>
        <sz val="10"/>
        <rFont val="SimSun"/>
        <charset val="134"/>
      </rPr>
      <t>专科7人、本科</t>
    </r>
    <r>
      <rPr>
        <sz val="10"/>
        <rFont val="Times New Roman"/>
        <charset val="134"/>
      </rPr>
      <t>3</t>
    </r>
    <r>
      <rPr>
        <sz val="10"/>
        <rFont val="SimSun"/>
        <charset val="134"/>
      </rPr>
      <t>人、高职</t>
    </r>
    <r>
      <rPr>
        <sz val="10"/>
        <rFont val="Times New Roman"/>
        <charset val="134"/>
      </rPr>
      <t>2</t>
    </r>
    <r>
      <rPr>
        <sz val="10"/>
        <rFont val="SimSun"/>
        <charset val="134"/>
      </rPr>
      <t>人</t>
    </r>
  </si>
  <si>
    <r>
      <rPr>
        <sz val="10"/>
        <rFont val="SimSun"/>
        <charset val="134"/>
      </rPr>
      <t>专科</t>
    </r>
    <r>
      <rPr>
        <sz val="10"/>
        <rFont val="Times New Roman"/>
        <charset val="134"/>
      </rPr>
      <t>5</t>
    </r>
    <r>
      <rPr>
        <sz val="10"/>
        <rFont val="SimSun"/>
        <charset val="134"/>
      </rPr>
      <t>人、高职</t>
    </r>
    <r>
      <rPr>
        <sz val="10"/>
        <rFont val="Times New Roman"/>
        <charset val="134"/>
      </rPr>
      <t>1</t>
    </r>
    <r>
      <rPr>
        <sz val="10"/>
        <rFont val="SimSun"/>
        <charset val="134"/>
      </rPr>
      <t>人</t>
    </r>
  </si>
  <si>
    <r>
      <rPr>
        <sz val="10"/>
        <rFont val="SimSun"/>
        <charset val="134"/>
      </rPr>
      <t>专科</t>
    </r>
    <r>
      <rPr>
        <sz val="10"/>
        <rFont val="Times New Roman"/>
        <charset val="134"/>
      </rPr>
      <t>1</t>
    </r>
    <r>
      <rPr>
        <sz val="10"/>
        <rFont val="SimSun"/>
        <charset val="134"/>
      </rPr>
      <t>人、高职</t>
    </r>
    <r>
      <rPr>
        <sz val="10"/>
        <rFont val="Times New Roman"/>
        <charset val="134"/>
      </rPr>
      <t>2</t>
    </r>
    <r>
      <rPr>
        <sz val="10"/>
        <rFont val="SimSun"/>
        <charset val="134"/>
      </rPr>
      <t>人、研究</t>
    </r>
    <r>
      <rPr>
        <sz val="10"/>
        <rFont val="Times New Roman"/>
        <charset val="134"/>
      </rPr>
      <t>1</t>
    </r>
    <r>
      <rPr>
        <sz val="10"/>
        <rFont val="SimSun"/>
        <charset val="134"/>
      </rPr>
      <t>人</t>
    </r>
  </si>
  <si>
    <r>
      <rPr>
        <sz val="10"/>
        <rFont val="SimSun"/>
        <charset val="134"/>
      </rPr>
      <t>专科</t>
    </r>
    <r>
      <rPr>
        <sz val="10"/>
        <rFont val="Times New Roman"/>
        <charset val="134"/>
      </rPr>
      <t>1</t>
    </r>
    <r>
      <rPr>
        <sz val="10"/>
        <rFont val="SimSun"/>
        <charset val="134"/>
      </rPr>
      <t>人、本科</t>
    </r>
    <r>
      <rPr>
        <sz val="10"/>
        <rFont val="Times New Roman"/>
        <charset val="134"/>
      </rPr>
      <t>6</t>
    </r>
    <r>
      <rPr>
        <sz val="10"/>
        <rFont val="SimSun"/>
        <charset val="134"/>
      </rPr>
      <t>人、高职</t>
    </r>
    <r>
      <rPr>
        <sz val="10"/>
        <rFont val="Times New Roman"/>
        <charset val="134"/>
      </rPr>
      <t>3</t>
    </r>
    <r>
      <rPr>
        <sz val="10"/>
        <rFont val="SimSun"/>
        <charset val="134"/>
      </rPr>
      <t>人、研究</t>
    </r>
    <r>
      <rPr>
        <sz val="10"/>
        <rFont val="Times New Roman"/>
        <charset val="134"/>
      </rPr>
      <t>1</t>
    </r>
    <r>
      <rPr>
        <sz val="10"/>
        <rFont val="SimSun"/>
        <charset val="134"/>
      </rPr>
      <t>人</t>
    </r>
  </si>
  <si>
    <t>三、基本医疗保障</t>
  </si>
  <si>
    <r>
      <rPr>
        <sz val="10"/>
        <rFont val="宋体"/>
        <charset val="134"/>
      </rPr>
      <t>曾游会</t>
    </r>
    <r>
      <rPr>
        <sz val="10"/>
        <rFont val="Times New Roman"/>
        <charset val="134"/>
      </rPr>
      <t xml:space="preserve"> </t>
    </r>
  </si>
  <si>
    <r>
      <rPr>
        <sz val="10"/>
        <rFont val="宋体"/>
        <charset val="134"/>
      </rPr>
      <t>对应村级施工图（按县人社局反馈意见修改，标准为每年补助</t>
    </r>
    <r>
      <rPr>
        <sz val="10"/>
        <rFont val="Times New Roman"/>
        <charset val="134"/>
      </rPr>
      <t>180</t>
    </r>
    <r>
      <rPr>
        <sz val="10"/>
        <rFont val="宋体"/>
        <charset val="134"/>
      </rPr>
      <t>元</t>
    </r>
    <r>
      <rPr>
        <sz val="10"/>
        <rFont val="Times New Roman"/>
        <charset val="134"/>
      </rPr>
      <t>/</t>
    </r>
    <r>
      <rPr>
        <sz val="10"/>
        <rFont val="宋体"/>
        <charset val="134"/>
      </rPr>
      <t>人，资金来源县级自筹资金：未脱贫</t>
    </r>
    <r>
      <rPr>
        <sz val="10"/>
        <rFont val="Times New Roman"/>
        <charset val="134"/>
      </rPr>
      <t>54</t>
    </r>
    <r>
      <rPr>
        <sz val="10"/>
        <rFont val="宋体"/>
        <charset val="134"/>
      </rPr>
      <t>元</t>
    </r>
    <r>
      <rPr>
        <sz val="10"/>
        <rFont val="Times New Roman"/>
        <charset val="134"/>
      </rPr>
      <t>/</t>
    </r>
    <r>
      <rPr>
        <sz val="10"/>
        <rFont val="宋体"/>
        <charset val="134"/>
      </rPr>
      <t>人，已脱贫</t>
    </r>
    <r>
      <rPr>
        <sz val="10"/>
        <rFont val="Times New Roman"/>
        <charset val="134"/>
      </rPr>
      <t>90</t>
    </r>
    <r>
      <rPr>
        <sz val="10"/>
        <rFont val="宋体"/>
        <charset val="134"/>
      </rPr>
      <t>元</t>
    </r>
    <r>
      <rPr>
        <sz val="10"/>
        <rFont val="Times New Roman"/>
        <charset val="134"/>
      </rPr>
      <t>/</t>
    </r>
    <r>
      <rPr>
        <sz val="10"/>
        <rFont val="宋体"/>
        <charset val="134"/>
      </rPr>
      <t>人。行业部门资金：未脱贫</t>
    </r>
    <r>
      <rPr>
        <sz val="10"/>
        <rFont val="Times New Roman"/>
        <charset val="134"/>
      </rPr>
      <t>126</t>
    </r>
    <r>
      <rPr>
        <sz val="10"/>
        <rFont val="宋体"/>
        <charset val="134"/>
      </rPr>
      <t>元</t>
    </r>
    <r>
      <rPr>
        <sz val="10"/>
        <rFont val="Times New Roman"/>
        <charset val="134"/>
      </rPr>
      <t>/</t>
    </r>
    <r>
      <rPr>
        <sz val="10"/>
        <rFont val="宋体"/>
        <charset val="134"/>
      </rPr>
      <t>人，已脱贫</t>
    </r>
    <r>
      <rPr>
        <sz val="10"/>
        <rFont val="Times New Roman"/>
        <charset val="134"/>
      </rPr>
      <t>90</t>
    </r>
    <r>
      <rPr>
        <sz val="10"/>
        <rFont val="宋体"/>
        <charset val="134"/>
      </rPr>
      <t>元</t>
    </r>
    <r>
      <rPr>
        <sz val="10"/>
        <rFont val="Times New Roman"/>
        <charset val="134"/>
      </rPr>
      <t>/</t>
    </r>
    <r>
      <rPr>
        <sz val="10"/>
        <rFont val="宋体"/>
        <charset val="134"/>
      </rPr>
      <t>人。其中</t>
    </r>
    <r>
      <rPr>
        <sz val="10"/>
        <rFont val="Times New Roman"/>
        <charset val="134"/>
      </rPr>
      <t>2018</t>
    </r>
    <r>
      <rPr>
        <sz val="10"/>
        <rFont val="宋体"/>
        <charset val="134"/>
      </rPr>
      <t>年基本医疗费</t>
    </r>
    <r>
      <rPr>
        <sz val="10"/>
        <rFont val="Times New Roman"/>
        <charset val="134"/>
      </rPr>
      <t>2017</t>
    </r>
    <r>
      <rPr>
        <sz val="10"/>
        <rFont val="宋体"/>
        <charset val="134"/>
      </rPr>
      <t>年已收，按</t>
    </r>
    <r>
      <rPr>
        <sz val="10"/>
        <rFont val="Times New Roman"/>
        <charset val="134"/>
      </rPr>
      <t>2017</t>
    </r>
    <r>
      <rPr>
        <sz val="10"/>
        <rFont val="宋体"/>
        <charset val="134"/>
      </rPr>
      <t>年底</t>
    </r>
    <r>
      <rPr>
        <sz val="10"/>
        <rFont val="Times New Roman"/>
        <charset val="134"/>
      </rPr>
      <t>6445</t>
    </r>
    <r>
      <rPr>
        <sz val="10"/>
        <rFont val="宋体"/>
        <charset val="134"/>
      </rPr>
      <t>（已脱</t>
    </r>
    <r>
      <rPr>
        <sz val="10"/>
        <rFont val="Times New Roman"/>
        <charset val="134"/>
      </rPr>
      <t>2413</t>
    </r>
    <r>
      <rPr>
        <sz val="10"/>
        <rFont val="宋体"/>
        <charset val="134"/>
      </rPr>
      <t>人，未脱</t>
    </r>
    <r>
      <rPr>
        <sz val="10"/>
        <rFont val="Times New Roman"/>
        <charset val="134"/>
      </rPr>
      <t>4032</t>
    </r>
    <r>
      <rPr>
        <sz val="10"/>
        <rFont val="宋体"/>
        <charset val="134"/>
      </rPr>
      <t>人）人收取，2019年至2020年落实基本医保、落实大病保险暂时按2018年11月30日国办系统锁定数据计算全乡共计1637户6528人（已脱贫1003户4343人，未脱贫634户2185人。）</t>
    </r>
  </si>
  <si>
    <t>2018年已脱贫200人，未脱贫731人，2019年至2020年落实基本医保、落实大病保险暂时按2018年11月30日国办系统锁定数据计算：已脱贫144户643人，未脱贫88户290人</t>
  </si>
  <si>
    <t>2018年按已脱贫327人、未脱贫669人，2019年至2020年落实基本医保、落实大病保险暂时按2018年11月30日国办系统锁定数据计算已脱贫120户539人，未脱贫134户472人</t>
  </si>
  <si>
    <t>2018年已脱贫102人，未脱贫363人，2019年至2020年落实基本医保、落实大病保险暂时按2018年11月30日国办系统锁定数据计算已脱贫56户239人，未脱贫71户239人</t>
  </si>
  <si>
    <t>2018年已脱贫396人，未脱贫589，2019年至2020年落实基本医保、落实大病保险暂时按2018年11月30日国办系统锁定数据计算已脱贫184户704人，未脱贫80户264人</t>
  </si>
  <si>
    <t>2018年已脱贫289户，未脱贫423人，2019年至2020年落实基本医保、落实大病保险暂时按2018年11月30日国办系统锁定数据计算已脱贫122户547人，未脱贫58户168人</t>
  </si>
  <si>
    <r>
      <rPr>
        <sz val="10"/>
        <rFont val="SimSun"/>
        <charset val="134"/>
      </rPr>
      <t>2018年已脱贫339人，未脱贫601人，2019年至2020年落实基本医保、落实大病保险暂时按2018年11月30日国办系统锁定数据计算已脱贫</t>
    </r>
    <r>
      <rPr>
        <sz val="10"/>
        <rFont val="Times New Roman"/>
        <charset val="134"/>
      </rPr>
      <t>106</t>
    </r>
    <r>
      <rPr>
        <sz val="10"/>
        <rFont val="SimSun"/>
        <charset val="134"/>
      </rPr>
      <t>户515人，未脱贫125户458人</t>
    </r>
  </si>
  <si>
    <r>
      <rPr>
        <sz val="10"/>
        <rFont val="SimSun"/>
        <charset val="134"/>
      </rPr>
      <t>2018年已脱贫312人，未脱贫228人，2019年至2020年落实基本医保、落实大病保险暂时按2018年11月30日国办系统锁定数据计算已脱贫</t>
    </r>
    <r>
      <rPr>
        <sz val="10"/>
        <rFont val="Times New Roman"/>
        <charset val="134"/>
      </rPr>
      <t>123</t>
    </r>
    <r>
      <rPr>
        <sz val="10"/>
        <rFont val="SimSun"/>
        <charset val="134"/>
      </rPr>
      <t>户535人，未脱贫</t>
    </r>
    <r>
      <rPr>
        <sz val="10"/>
        <rFont val="Times New Roman"/>
        <charset val="134"/>
      </rPr>
      <t>9</t>
    </r>
    <r>
      <rPr>
        <sz val="10"/>
        <rFont val="SimSun"/>
        <charset val="134"/>
      </rPr>
      <t>户</t>
    </r>
    <r>
      <rPr>
        <sz val="10"/>
        <rFont val="Times New Roman"/>
        <charset val="134"/>
      </rPr>
      <t>30</t>
    </r>
    <r>
      <rPr>
        <sz val="10"/>
        <rFont val="SimSun"/>
        <charset val="134"/>
      </rPr>
      <t>人</t>
    </r>
  </si>
  <si>
    <t>2018年已脱贫448人，未脱贫428人，2019年至2020年落实基本医保、落实大病保险暂时按2018年11月30日国办系统锁定数据计算已脱贫148户621人，未脱贫69户264人</t>
  </si>
  <si>
    <t>对应村级施工图（按县人社局反馈意见修改）</t>
  </si>
  <si>
    <r>
      <rPr>
        <sz val="10"/>
        <rFont val="宋体"/>
        <charset val="134"/>
      </rPr>
      <t>何</t>
    </r>
    <r>
      <rPr>
        <sz val="10"/>
        <rFont val="Times New Roman"/>
        <charset val="134"/>
      </rPr>
      <t xml:space="preserve"> </t>
    </r>
    <r>
      <rPr>
        <sz val="10"/>
        <rFont val="宋体"/>
        <charset val="134"/>
      </rPr>
      <t>东</t>
    </r>
  </si>
  <si>
    <t>王永俊</t>
  </si>
  <si>
    <r>
      <rPr>
        <sz val="10"/>
        <rFont val="宋体"/>
        <charset val="134"/>
      </rPr>
      <t>按县卫计局反馈填报，</t>
    </r>
    <r>
      <rPr>
        <sz val="10"/>
        <rFont val="Times New Roman"/>
        <charset val="134"/>
      </rPr>
      <t>2018</t>
    </r>
    <r>
      <rPr>
        <sz val="10"/>
        <rFont val="宋体"/>
        <charset val="134"/>
      </rPr>
      <t>年底数</t>
    </r>
    <r>
      <rPr>
        <sz val="10"/>
        <rFont val="Times New Roman"/>
        <charset val="134"/>
      </rPr>
      <t>469</t>
    </r>
    <r>
      <rPr>
        <sz val="10"/>
        <rFont val="宋体"/>
        <charset val="134"/>
      </rPr>
      <t>人次，三年乘以</t>
    </r>
    <r>
      <rPr>
        <sz val="10"/>
        <rFont val="Times New Roman"/>
        <charset val="134"/>
      </rPr>
      <t>3</t>
    </r>
    <r>
      <rPr>
        <sz val="10"/>
        <rFont val="宋体"/>
        <charset val="134"/>
      </rPr>
      <t>为规模数，</t>
    </r>
    <r>
      <rPr>
        <sz val="10"/>
        <rFont val="Times New Roman"/>
        <charset val="134"/>
      </rPr>
      <t>2018</t>
    </r>
    <r>
      <rPr>
        <sz val="10"/>
        <rFont val="宋体"/>
        <charset val="134"/>
      </rPr>
      <t>年医疗救助资金为</t>
    </r>
    <r>
      <rPr>
        <sz val="10"/>
        <rFont val="Times New Roman"/>
        <charset val="134"/>
      </rPr>
      <t>22.4167</t>
    </r>
    <r>
      <rPr>
        <sz val="10"/>
        <rFont val="宋体"/>
        <charset val="134"/>
      </rPr>
      <t>万元，每年按</t>
    </r>
    <r>
      <rPr>
        <sz val="10"/>
        <rFont val="Times New Roman"/>
        <charset val="134"/>
      </rPr>
      <t>20%</t>
    </r>
    <r>
      <rPr>
        <sz val="10"/>
        <rFont val="宋体"/>
        <charset val="134"/>
      </rPr>
      <t>增长。</t>
    </r>
  </si>
  <si>
    <t>根据县卫计局反馈数据统计</t>
  </si>
  <si>
    <r>
      <rPr>
        <sz val="10"/>
        <rFont val="宋体"/>
        <charset val="134"/>
      </rPr>
      <t>按县卫计局反馈填报。</t>
    </r>
    <r>
      <rPr>
        <sz val="10"/>
        <rFont val="Times New Roman"/>
        <charset val="134"/>
      </rPr>
      <t>2018</t>
    </r>
    <r>
      <rPr>
        <sz val="10"/>
        <rFont val="宋体"/>
        <charset val="134"/>
      </rPr>
      <t>年底数</t>
    </r>
    <r>
      <rPr>
        <sz val="10"/>
        <rFont val="Times New Roman"/>
        <charset val="134"/>
      </rPr>
      <t>435</t>
    </r>
    <r>
      <rPr>
        <sz val="10"/>
        <rFont val="宋体"/>
        <charset val="134"/>
      </rPr>
      <t>人次，三年乘以</t>
    </r>
    <r>
      <rPr>
        <sz val="10"/>
        <rFont val="Times New Roman"/>
        <charset val="134"/>
      </rPr>
      <t>3</t>
    </r>
    <r>
      <rPr>
        <sz val="10"/>
        <rFont val="宋体"/>
        <charset val="134"/>
      </rPr>
      <t>为规模数，</t>
    </r>
    <r>
      <rPr>
        <sz val="10"/>
        <rFont val="Times New Roman"/>
        <charset val="134"/>
      </rPr>
      <t>2018</t>
    </r>
    <r>
      <rPr>
        <sz val="10"/>
        <rFont val="宋体"/>
        <charset val="134"/>
      </rPr>
      <t>年医疗救助资金为</t>
    </r>
    <r>
      <rPr>
        <sz val="10"/>
        <rFont val="Times New Roman"/>
        <charset val="134"/>
      </rPr>
      <t>10.9766</t>
    </r>
    <r>
      <rPr>
        <sz val="10"/>
        <rFont val="宋体"/>
        <charset val="134"/>
      </rPr>
      <t>万元，每年按</t>
    </r>
    <r>
      <rPr>
        <sz val="10"/>
        <rFont val="Times New Roman"/>
        <charset val="134"/>
      </rPr>
      <t>20%</t>
    </r>
    <r>
      <rPr>
        <sz val="10"/>
        <rFont val="宋体"/>
        <charset val="134"/>
      </rPr>
      <t>增长。</t>
    </r>
  </si>
  <si>
    <t>四、就业扶贫</t>
  </si>
  <si>
    <r>
      <rPr>
        <sz val="10"/>
        <rFont val="Times New Roman"/>
        <charset val="134"/>
      </rPr>
      <t>1.</t>
    </r>
    <r>
      <rPr>
        <sz val="10"/>
        <rFont val="宋体"/>
        <charset val="134"/>
      </rPr>
      <t>县内</t>
    </r>
  </si>
  <si>
    <t>（按劳动力转移就业信息平台统计，含本乡镇内务工人员）</t>
  </si>
  <si>
    <r>
      <rPr>
        <sz val="10"/>
        <rFont val="宋体"/>
        <charset val="134"/>
      </rPr>
      <t>胥</t>
    </r>
    <r>
      <rPr>
        <sz val="10"/>
        <rFont val="Times New Roman"/>
        <charset val="134"/>
      </rPr>
      <t xml:space="preserve"> </t>
    </r>
    <r>
      <rPr>
        <sz val="10"/>
        <rFont val="宋体"/>
        <charset val="134"/>
      </rPr>
      <t>靖</t>
    </r>
  </si>
  <si>
    <r>
      <rPr>
        <sz val="10"/>
        <rFont val="Times New Roman"/>
        <charset val="134"/>
      </rPr>
      <t>2.</t>
    </r>
    <r>
      <rPr>
        <sz val="10"/>
        <rFont val="宋体"/>
        <charset val="134"/>
      </rPr>
      <t>县外省内</t>
    </r>
  </si>
  <si>
    <t>按劳动力转移就业信息平台统计</t>
  </si>
  <si>
    <r>
      <rPr>
        <sz val="10"/>
        <rFont val="Times New Roman"/>
        <charset val="134"/>
      </rPr>
      <t>3.</t>
    </r>
    <r>
      <rPr>
        <sz val="10"/>
        <rFont val="宋体"/>
        <charset val="134"/>
      </rPr>
      <t>省外</t>
    </r>
  </si>
  <si>
    <r>
      <rPr>
        <sz val="10"/>
        <rFont val="Times New Roman"/>
        <charset val="134"/>
      </rPr>
      <t>4.</t>
    </r>
    <r>
      <rPr>
        <sz val="10"/>
        <rFont val="宋体"/>
        <charset val="134"/>
      </rPr>
      <t>境外</t>
    </r>
  </si>
  <si>
    <t>陈延鸿</t>
  </si>
  <si>
    <r>
      <rPr>
        <sz val="10"/>
        <rFont val="宋体"/>
        <charset val="134"/>
      </rPr>
      <t>按县人社局反馈统计。三年共需开展引导性培训</t>
    </r>
    <r>
      <rPr>
        <sz val="10"/>
        <rFont val="Times New Roman"/>
        <charset val="134"/>
      </rPr>
      <t>3600</t>
    </r>
    <r>
      <rPr>
        <sz val="10"/>
        <rFont val="宋体"/>
        <charset val="134"/>
      </rPr>
      <t>人，开展职业技能培训</t>
    </r>
    <r>
      <rPr>
        <sz val="10"/>
        <rFont val="Times New Roman"/>
        <charset val="134"/>
      </rPr>
      <t>450</t>
    </r>
    <r>
      <rPr>
        <sz val="10"/>
        <rFont val="宋体"/>
        <charset val="134"/>
      </rPr>
      <t>人，</t>
    </r>
  </si>
  <si>
    <r>
      <rPr>
        <sz val="10"/>
        <rFont val="宋体"/>
        <charset val="134"/>
      </rPr>
      <t>何</t>
    </r>
    <r>
      <rPr>
        <sz val="10"/>
        <rFont val="Times New Roman"/>
        <charset val="134"/>
      </rPr>
      <t xml:space="preserve">    </t>
    </r>
    <r>
      <rPr>
        <sz val="10"/>
        <rFont val="宋体"/>
        <charset val="134"/>
      </rPr>
      <t>东</t>
    </r>
  </si>
  <si>
    <r>
      <rPr>
        <sz val="10"/>
        <rFont val="宋体"/>
        <charset val="134"/>
      </rPr>
      <t>胥</t>
    </r>
    <r>
      <rPr>
        <sz val="10"/>
        <rFont val="Times New Roman"/>
        <charset val="134"/>
      </rPr>
      <t xml:space="preserve">   </t>
    </r>
    <r>
      <rPr>
        <sz val="10"/>
        <rFont val="宋体"/>
        <charset val="134"/>
      </rPr>
      <t>靖</t>
    </r>
  </si>
  <si>
    <r>
      <rPr>
        <sz val="10"/>
        <rFont val="宋体"/>
        <charset val="134"/>
      </rPr>
      <t>郑</t>
    </r>
    <r>
      <rPr>
        <sz val="10"/>
        <rFont val="Times New Roman"/>
        <charset val="134"/>
      </rPr>
      <t xml:space="preserve">   </t>
    </r>
    <r>
      <rPr>
        <sz val="10"/>
        <rFont val="宋体"/>
        <charset val="134"/>
      </rPr>
      <t>勇</t>
    </r>
  </si>
  <si>
    <t>刘青藻</t>
  </si>
  <si>
    <r>
      <rPr>
        <sz val="10"/>
        <rFont val="Times New Roman"/>
        <charset val="134"/>
      </rPr>
      <t>1.</t>
    </r>
    <r>
      <rPr>
        <sz val="10"/>
        <rFont val="宋体"/>
        <charset val="134"/>
      </rPr>
      <t>护边员</t>
    </r>
  </si>
  <si>
    <t>杨昌荣</t>
  </si>
  <si>
    <r>
      <rPr>
        <sz val="10"/>
        <rFont val="宋体"/>
        <charset val="134"/>
      </rPr>
      <t>按县发改局反馈意见统计，补助标准为</t>
    </r>
    <r>
      <rPr>
        <sz val="10"/>
        <rFont val="Times New Roman"/>
        <charset val="134"/>
      </rPr>
      <t>6000</t>
    </r>
    <r>
      <rPr>
        <sz val="10"/>
        <rFont val="宋体"/>
        <charset val="134"/>
      </rPr>
      <t>元</t>
    </r>
    <r>
      <rPr>
        <sz val="10"/>
        <rFont val="Times New Roman"/>
        <charset val="134"/>
      </rPr>
      <t>/</t>
    </r>
    <r>
      <rPr>
        <sz val="10"/>
        <rFont val="宋体"/>
        <charset val="134"/>
      </rPr>
      <t>人</t>
    </r>
    <r>
      <rPr>
        <sz val="10"/>
        <rFont val="Times New Roman"/>
        <charset val="134"/>
      </rPr>
      <t>/</t>
    </r>
    <r>
      <rPr>
        <sz val="10"/>
        <rFont val="宋体"/>
        <charset val="134"/>
      </rPr>
      <t>年。</t>
    </r>
  </si>
  <si>
    <r>
      <rPr>
        <sz val="10"/>
        <rFont val="Times New Roman"/>
        <charset val="134"/>
      </rPr>
      <t>2.</t>
    </r>
    <r>
      <rPr>
        <sz val="10"/>
        <rFont val="宋体"/>
        <charset val="134"/>
      </rPr>
      <t>乡村道路维护员</t>
    </r>
  </si>
  <si>
    <t>刘元辉</t>
  </si>
  <si>
    <t>张登永</t>
  </si>
  <si>
    <r>
      <rPr>
        <sz val="10"/>
        <rFont val="宋体"/>
        <charset val="134"/>
      </rPr>
      <t>资金来源于上海援建项目，每人每月补助</t>
    </r>
    <r>
      <rPr>
        <sz val="10"/>
        <rFont val="Times New Roman"/>
        <charset val="134"/>
      </rPr>
      <t>500</t>
    </r>
    <r>
      <rPr>
        <sz val="10"/>
        <rFont val="宋体"/>
        <charset val="134"/>
      </rPr>
      <t>元，每人每月工商保险</t>
    </r>
    <r>
      <rPr>
        <sz val="10"/>
        <rFont val="Times New Roman"/>
        <charset val="134"/>
      </rPr>
      <t>18</t>
    </r>
    <r>
      <rPr>
        <sz val="10"/>
        <rFont val="宋体"/>
        <charset val="134"/>
      </rPr>
      <t>元（保险资金来源于县级自筹资金），其中</t>
    </r>
    <r>
      <rPr>
        <sz val="10"/>
        <rFont val="Times New Roman"/>
        <charset val="134"/>
      </rPr>
      <t>2018</t>
    </r>
    <r>
      <rPr>
        <sz val="10"/>
        <rFont val="宋体"/>
        <charset val="134"/>
      </rPr>
      <t>年资金补助和保险缴纳只算前</t>
    </r>
    <r>
      <rPr>
        <sz val="10"/>
        <rFont val="Times New Roman"/>
        <charset val="134"/>
      </rPr>
      <t>3</t>
    </r>
    <r>
      <rPr>
        <sz val="10"/>
        <rFont val="宋体"/>
        <charset val="134"/>
      </rPr>
      <t>个月，</t>
    </r>
    <r>
      <rPr>
        <sz val="10"/>
        <rFont val="Times New Roman"/>
        <charset val="134"/>
      </rPr>
      <t>2018</t>
    </r>
    <r>
      <rPr>
        <sz val="10"/>
        <rFont val="宋体"/>
        <charset val="134"/>
      </rPr>
      <t>年补助资金共计</t>
    </r>
    <r>
      <rPr>
        <sz val="10"/>
        <rFont val="Times New Roman"/>
        <charset val="134"/>
      </rPr>
      <t>2.1</t>
    </r>
    <r>
      <rPr>
        <sz val="10"/>
        <rFont val="宋体"/>
        <charset val="134"/>
      </rPr>
      <t>万元，缴纳保险共计</t>
    </r>
    <r>
      <rPr>
        <sz val="10"/>
        <rFont val="Times New Roman"/>
        <charset val="134"/>
      </rPr>
      <t>756</t>
    </r>
    <r>
      <rPr>
        <sz val="10"/>
        <rFont val="宋体"/>
        <charset val="134"/>
      </rPr>
      <t>元，</t>
    </r>
    <r>
      <rPr>
        <sz val="10"/>
        <rFont val="Times New Roman"/>
        <charset val="134"/>
      </rPr>
      <t>2019</t>
    </r>
    <r>
      <rPr>
        <sz val="10"/>
        <rFont val="宋体"/>
        <charset val="134"/>
      </rPr>
      <t>年补助资金共计</t>
    </r>
    <r>
      <rPr>
        <sz val="10"/>
        <rFont val="Times New Roman"/>
        <charset val="134"/>
      </rPr>
      <t>8.4</t>
    </r>
    <r>
      <rPr>
        <sz val="10"/>
        <rFont val="宋体"/>
        <charset val="134"/>
      </rPr>
      <t>万元，缴纳保险共计</t>
    </r>
    <r>
      <rPr>
        <sz val="10"/>
        <rFont val="Times New Roman"/>
        <charset val="134"/>
      </rPr>
      <t>3024</t>
    </r>
    <r>
      <rPr>
        <sz val="10"/>
        <rFont val="宋体"/>
        <charset val="134"/>
      </rPr>
      <t>元，</t>
    </r>
    <r>
      <rPr>
        <sz val="10"/>
        <rFont val="Times New Roman"/>
        <charset val="134"/>
      </rPr>
      <t>2020</t>
    </r>
    <r>
      <rPr>
        <sz val="10"/>
        <rFont val="宋体"/>
        <charset val="134"/>
      </rPr>
      <t>年共计补助资金共计</t>
    </r>
    <r>
      <rPr>
        <sz val="10"/>
        <rFont val="Times New Roman"/>
        <charset val="134"/>
      </rPr>
      <t>8.4</t>
    </r>
    <r>
      <rPr>
        <sz val="10"/>
        <rFont val="宋体"/>
        <charset val="134"/>
      </rPr>
      <t>万元，缴纳保险共计</t>
    </r>
    <r>
      <rPr>
        <sz val="10"/>
        <rFont val="Times New Roman"/>
        <charset val="134"/>
      </rPr>
      <t>3024</t>
    </r>
    <r>
      <rPr>
        <sz val="10"/>
        <rFont val="宋体"/>
        <charset val="134"/>
      </rPr>
      <t>元。</t>
    </r>
  </si>
  <si>
    <r>
      <rPr>
        <sz val="10"/>
        <rFont val="Times New Roman"/>
        <charset val="134"/>
      </rPr>
      <t>3.</t>
    </r>
    <r>
      <rPr>
        <sz val="10"/>
        <rFont val="宋体"/>
        <charset val="134"/>
      </rPr>
      <t>保洁员</t>
    </r>
  </si>
  <si>
    <r>
      <rPr>
        <sz val="10"/>
        <rFont val="宋体"/>
        <charset val="134"/>
      </rPr>
      <t>按村小组农户数</t>
    </r>
    <r>
      <rPr>
        <sz val="10"/>
        <rFont val="Times New Roman"/>
        <charset val="134"/>
      </rPr>
      <t>30</t>
    </r>
    <r>
      <rPr>
        <sz val="10"/>
        <rFont val="宋体"/>
        <charset val="134"/>
      </rPr>
      <t>户以下</t>
    </r>
    <r>
      <rPr>
        <sz val="10"/>
        <rFont val="Times New Roman"/>
        <charset val="134"/>
      </rPr>
      <t>1</t>
    </r>
    <r>
      <rPr>
        <sz val="10"/>
        <rFont val="宋体"/>
        <charset val="134"/>
      </rPr>
      <t>人，</t>
    </r>
    <r>
      <rPr>
        <sz val="10"/>
        <rFont val="Times New Roman"/>
        <charset val="134"/>
      </rPr>
      <t>30</t>
    </r>
    <r>
      <rPr>
        <sz val="10"/>
        <rFont val="宋体"/>
        <charset val="134"/>
      </rPr>
      <t>户</t>
    </r>
    <r>
      <rPr>
        <sz val="10"/>
        <rFont val="Times New Roman"/>
        <charset val="134"/>
      </rPr>
      <t>-100</t>
    </r>
    <r>
      <rPr>
        <sz val="10"/>
        <rFont val="宋体"/>
        <charset val="134"/>
      </rPr>
      <t>户</t>
    </r>
    <r>
      <rPr>
        <sz val="10"/>
        <rFont val="Times New Roman"/>
        <charset val="134"/>
      </rPr>
      <t>2</t>
    </r>
    <r>
      <rPr>
        <sz val="10"/>
        <rFont val="宋体"/>
        <charset val="134"/>
      </rPr>
      <t>人规划</t>
    </r>
    <r>
      <rPr>
        <sz val="10"/>
        <rFont val="Times New Roman"/>
        <charset val="134"/>
      </rPr>
      <t>,</t>
    </r>
    <r>
      <rPr>
        <sz val="10"/>
        <rFont val="宋体"/>
        <charset val="134"/>
      </rPr>
      <t>全乡拟聘用建档立卡贫困人口</t>
    </r>
    <r>
      <rPr>
        <sz val="10"/>
        <rFont val="Times New Roman"/>
        <charset val="134"/>
      </rPr>
      <t>210</t>
    </r>
    <r>
      <rPr>
        <sz val="10"/>
        <rFont val="宋体"/>
        <charset val="134"/>
      </rPr>
      <t>人</t>
    </r>
    <r>
      <rPr>
        <sz val="10"/>
        <rFont val="Times New Roman"/>
        <charset val="134"/>
      </rPr>
      <t>,</t>
    </r>
    <r>
      <rPr>
        <sz val="10"/>
        <rFont val="宋体"/>
        <charset val="134"/>
      </rPr>
      <t>其中上海援建公益岗位解决就业</t>
    </r>
    <r>
      <rPr>
        <sz val="10"/>
        <rFont val="Times New Roman"/>
        <charset val="134"/>
      </rPr>
      <t>34</t>
    </r>
    <r>
      <rPr>
        <sz val="10"/>
        <rFont val="宋体"/>
        <charset val="134"/>
      </rPr>
      <t>人（按每人每月补助</t>
    </r>
    <r>
      <rPr>
        <sz val="10"/>
        <rFont val="Times New Roman"/>
        <charset val="134"/>
      </rPr>
      <t>500</t>
    </r>
    <r>
      <rPr>
        <sz val="10"/>
        <rFont val="宋体"/>
        <charset val="134"/>
      </rPr>
      <t>元，每人每月工商保险</t>
    </r>
    <r>
      <rPr>
        <sz val="10"/>
        <rFont val="Times New Roman"/>
        <charset val="134"/>
      </rPr>
      <t>18</t>
    </r>
    <r>
      <rPr>
        <sz val="10"/>
        <rFont val="宋体"/>
        <charset val="134"/>
      </rPr>
      <t>元（保险资金来源于县级自筹资金），其中</t>
    </r>
    <r>
      <rPr>
        <sz val="10"/>
        <rFont val="Times New Roman"/>
        <charset val="134"/>
      </rPr>
      <t>2018</t>
    </r>
    <r>
      <rPr>
        <sz val="10"/>
        <rFont val="宋体"/>
        <charset val="134"/>
      </rPr>
      <t>年资金补助和保险缴纳只算前</t>
    </r>
    <r>
      <rPr>
        <sz val="10"/>
        <rFont val="Times New Roman"/>
        <charset val="134"/>
      </rPr>
      <t>3</t>
    </r>
    <r>
      <rPr>
        <sz val="10"/>
        <rFont val="宋体"/>
        <charset val="134"/>
      </rPr>
      <t>个月，</t>
    </r>
    <r>
      <rPr>
        <sz val="10"/>
        <rFont val="Times New Roman"/>
        <charset val="134"/>
      </rPr>
      <t>2018</t>
    </r>
    <r>
      <rPr>
        <sz val="10"/>
        <rFont val="宋体"/>
        <charset val="134"/>
      </rPr>
      <t>年投入补助资金</t>
    </r>
    <r>
      <rPr>
        <sz val="10"/>
        <rFont val="Times New Roman"/>
        <charset val="134"/>
      </rPr>
      <t>5.1</t>
    </r>
    <r>
      <rPr>
        <sz val="10"/>
        <rFont val="宋体"/>
        <charset val="134"/>
      </rPr>
      <t>万元，保险</t>
    </r>
    <r>
      <rPr>
        <sz val="10"/>
        <rFont val="Times New Roman"/>
        <charset val="134"/>
      </rPr>
      <t>0.1836</t>
    </r>
    <r>
      <rPr>
        <sz val="10"/>
        <rFont val="宋体"/>
        <charset val="134"/>
      </rPr>
      <t>万元，</t>
    </r>
    <r>
      <rPr>
        <sz val="10"/>
        <rFont val="Times New Roman"/>
        <charset val="134"/>
      </rPr>
      <t>2019</t>
    </r>
    <r>
      <rPr>
        <sz val="10"/>
        <rFont val="宋体"/>
        <charset val="134"/>
      </rPr>
      <t>年投入补助资金</t>
    </r>
    <r>
      <rPr>
        <sz val="10"/>
        <rFont val="Times New Roman"/>
        <charset val="134"/>
      </rPr>
      <t>20.4</t>
    </r>
    <r>
      <rPr>
        <sz val="10"/>
        <rFont val="宋体"/>
        <charset val="134"/>
      </rPr>
      <t>万元，保险</t>
    </r>
    <r>
      <rPr>
        <sz val="10"/>
        <rFont val="Times New Roman"/>
        <charset val="134"/>
      </rPr>
      <t>0.734</t>
    </r>
    <r>
      <rPr>
        <sz val="10"/>
        <rFont val="宋体"/>
        <charset val="134"/>
      </rPr>
      <t>万元</t>
    </r>
    <r>
      <rPr>
        <sz val="10"/>
        <rFont val="Times New Roman"/>
        <charset val="134"/>
      </rPr>
      <t>,2020</t>
    </r>
    <r>
      <rPr>
        <sz val="10"/>
        <rFont val="宋体"/>
        <charset val="134"/>
      </rPr>
      <t>年投入补助资金</t>
    </r>
    <r>
      <rPr>
        <sz val="10"/>
        <rFont val="Times New Roman"/>
        <charset val="134"/>
      </rPr>
      <t>204</t>
    </r>
    <r>
      <rPr>
        <sz val="10"/>
        <rFont val="宋体"/>
        <charset val="134"/>
      </rPr>
      <t>万元，保险</t>
    </r>
    <r>
      <rPr>
        <sz val="10"/>
        <rFont val="Times New Roman"/>
        <charset val="134"/>
      </rPr>
      <t>0.734</t>
    </r>
    <r>
      <rPr>
        <sz val="10"/>
        <rFont val="宋体"/>
        <charset val="134"/>
      </rPr>
      <t>万元），剩余</t>
    </r>
    <r>
      <rPr>
        <sz val="10"/>
        <rFont val="Times New Roman"/>
        <charset val="134"/>
      </rPr>
      <t>176</t>
    </r>
    <r>
      <rPr>
        <sz val="10"/>
        <rFont val="宋体"/>
        <charset val="134"/>
      </rPr>
      <t>个岗位2019年计划实施，按每人每月</t>
    </r>
    <r>
      <rPr>
        <sz val="10"/>
        <rFont val="Times New Roman"/>
        <charset val="134"/>
      </rPr>
      <t>200</t>
    </r>
    <r>
      <rPr>
        <sz val="10"/>
        <rFont val="宋体"/>
        <charset val="134"/>
      </rPr>
      <t>元补助计算</t>
    </r>
    <r>
      <rPr>
        <sz val="10"/>
        <rFont val="Times New Roman"/>
        <charset val="134"/>
      </rPr>
      <t>,</t>
    </r>
    <r>
      <rPr>
        <sz val="10"/>
        <rFont val="宋体"/>
        <charset val="134"/>
      </rPr>
      <t>每年需投入财政奖补资金</t>
    </r>
    <r>
      <rPr>
        <sz val="10"/>
        <rFont val="Times New Roman"/>
        <charset val="134"/>
      </rPr>
      <t>42.24</t>
    </r>
    <r>
      <rPr>
        <sz val="10"/>
        <rFont val="宋体"/>
        <charset val="134"/>
      </rPr>
      <t>万元</t>
    </r>
    <r>
      <rPr>
        <sz val="10"/>
        <rFont val="Times New Roman"/>
        <charset val="134"/>
      </rPr>
      <t>,2</t>
    </r>
    <r>
      <rPr>
        <sz val="10"/>
        <rFont val="宋体"/>
        <charset val="134"/>
      </rPr>
      <t>年共需投入财政将补资金84.48万元。</t>
    </r>
  </si>
  <si>
    <r>
      <rPr>
        <sz val="10"/>
        <rFont val="Times New Roman"/>
        <charset val="134"/>
      </rPr>
      <t>4.</t>
    </r>
    <r>
      <rPr>
        <sz val="10"/>
        <rFont val="宋体"/>
        <charset val="134"/>
      </rPr>
      <t>乡村环境卫生清洁员</t>
    </r>
  </si>
  <si>
    <r>
      <rPr>
        <sz val="10"/>
        <rFont val="SimSun"/>
        <charset val="134"/>
      </rPr>
      <t>来自上海援建公益岗位，项目从</t>
    </r>
    <r>
      <rPr>
        <sz val="10"/>
        <rFont val="Times New Roman"/>
        <charset val="134"/>
      </rPr>
      <t>2018</t>
    </r>
    <r>
      <rPr>
        <sz val="10"/>
        <rFont val="SimSun"/>
        <charset val="134"/>
      </rPr>
      <t>年</t>
    </r>
    <r>
      <rPr>
        <sz val="10"/>
        <rFont val="Times New Roman"/>
        <charset val="134"/>
      </rPr>
      <t>10</t>
    </r>
    <r>
      <rPr>
        <sz val="10"/>
        <rFont val="SimSun"/>
        <charset val="134"/>
      </rPr>
      <t>月实施。</t>
    </r>
  </si>
  <si>
    <r>
      <rPr>
        <sz val="10"/>
        <rFont val="SimSun"/>
        <charset val="134"/>
      </rPr>
      <t>含上海援建公益岗位</t>
    </r>
    <r>
      <rPr>
        <sz val="10"/>
        <rFont val="Times New Roman"/>
        <charset val="134"/>
      </rPr>
      <t>4</t>
    </r>
    <r>
      <rPr>
        <sz val="10"/>
        <rFont val="SimSun"/>
        <charset val="134"/>
      </rPr>
      <t>人，</t>
    </r>
    <r>
      <rPr>
        <sz val="10"/>
        <rFont val="Times New Roman"/>
        <charset val="134"/>
      </rPr>
      <t>2018</t>
    </r>
    <r>
      <rPr>
        <sz val="10"/>
        <rFont val="SimSun"/>
        <charset val="134"/>
      </rPr>
      <t>年</t>
    </r>
    <r>
      <rPr>
        <sz val="10"/>
        <rFont val="Times New Roman"/>
        <charset val="134"/>
      </rPr>
      <t>10</t>
    </r>
    <r>
      <rPr>
        <sz val="10"/>
        <rFont val="SimSun"/>
        <charset val="134"/>
      </rPr>
      <t>月实施，剩余岗位计划</t>
    </r>
    <r>
      <rPr>
        <sz val="10"/>
        <rFont val="Times New Roman"/>
        <charset val="134"/>
      </rPr>
      <t>2019</t>
    </r>
    <r>
      <rPr>
        <sz val="10"/>
        <rFont val="SimSun"/>
        <charset val="134"/>
      </rPr>
      <t>年实施。</t>
    </r>
  </si>
  <si>
    <r>
      <rPr>
        <sz val="10"/>
        <rFont val="SimSun"/>
        <charset val="134"/>
      </rPr>
      <t>含公益岗位2人，</t>
    </r>
    <r>
      <rPr>
        <sz val="10"/>
        <rFont val="Times New Roman"/>
        <charset val="134"/>
      </rPr>
      <t>2018</t>
    </r>
    <r>
      <rPr>
        <sz val="10"/>
        <rFont val="SimSun"/>
        <charset val="134"/>
      </rPr>
      <t>年</t>
    </r>
    <r>
      <rPr>
        <sz val="10"/>
        <rFont val="Times New Roman"/>
        <charset val="134"/>
      </rPr>
      <t>10</t>
    </r>
    <r>
      <rPr>
        <sz val="10"/>
        <rFont val="SimSun"/>
        <charset val="134"/>
      </rPr>
      <t>月实施，剩余岗位计划</t>
    </r>
    <r>
      <rPr>
        <sz val="10"/>
        <rFont val="Times New Roman"/>
        <charset val="134"/>
      </rPr>
      <t>2019</t>
    </r>
    <r>
      <rPr>
        <sz val="10"/>
        <rFont val="SimSun"/>
        <charset val="134"/>
      </rPr>
      <t>年实施。</t>
    </r>
  </si>
  <si>
    <r>
      <rPr>
        <sz val="10"/>
        <rFont val="SimSun"/>
        <charset val="134"/>
      </rPr>
      <t>含上海援建公益岗位4人，</t>
    </r>
    <r>
      <rPr>
        <sz val="10"/>
        <rFont val="Times New Roman"/>
        <charset val="134"/>
      </rPr>
      <t>2018</t>
    </r>
    <r>
      <rPr>
        <sz val="10"/>
        <rFont val="SimSun"/>
        <charset val="134"/>
      </rPr>
      <t>年</t>
    </r>
    <r>
      <rPr>
        <sz val="10"/>
        <rFont val="Times New Roman"/>
        <charset val="134"/>
      </rPr>
      <t>10</t>
    </r>
    <r>
      <rPr>
        <sz val="10"/>
        <rFont val="SimSun"/>
        <charset val="134"/>
      </rPr>
      <t>月实施，剩余岗位计划</t>
    </r>
    <r>
      <rPr>
        <sz val="10"/>
        <rFont val="Times New Roman"/>
        <charset val="134"/>
      </rPr>
      <t>2019</t>
    </r>
    <r>
      <rPr>
        <sz val="10"/>
        <rFont val="SimSun"/>
        <charset val="134"/>
      </rPr>
      <t>年实施。</t>
    </r>
  </si>
  <si>
    <r>
      <rPr>
        <sz val="10"/>
        <rFont val="SimSun"/>
        <charset val="134"/>
      </rPr>
      <t>含上海援建公益岗位6人，</t>
    </r>
    <r>
      <rPr>
        <sz val="10"/>
        <rFont val="Times New Roman"/>
        <charset val="134"/>
      </rPr>
      <t>2018</t>
    </r>
    <r>
      <rPr>
        <sz val="10"/>
        <rFont val="SimSun"/>
        <charset val="134"/>
      </rPr>
      <t>年</t>
    </r>
    <r>
      <rPr>
        <sz val="10"/>
        <rFont val="Times New Roman"/>
        <charset val="134"/>
      </rPr>
      <t>10</t>
    </r>
    <r>
      <rPr>
        <sz val="10"/>
        <rFont val="SimSun"/>
        <charset val="134"/>
      </rPr>
      <t>月实施，剩余岗位计划</t>
    </r>
    <r>
      <rPr>
        <sz val="10"/>
        <rFont val="Times New Roman"/>
        <charset val="134"/>
      </rPr>
      <t>2019</t>
    </r>
    <r>
      <rPr>
        <sz val="10"/>
        <rFont val="SimSun"/>
        <charset val="134"/>
      </rPr>
      <t>年实施。</t>
    </r>
  </si>
  <si>
    <r>
      <rPr>
        <sz val="10"/>
        <rFont val="SimSun"/>
        <charset val="134"/>
      </rPr>
      <t>含上海援建公益岗位7人，</t>
    </r>
    <r>
      <rPr>
        <sz val="10"/>
        <rFont val="Times New Roman"/>
        <charset val="134"/>
      </rPr>
      <t>2018</t>
    </r>
    <r>
      <rPr>
        <sz val="10"/>
        <rFont val="SimSun"/>
        <charset val="134"/>
      </rPr>
      <t>年</t>
    </r>
    <r>
      <rPr>
        <sz val="10"/>
        <rFont val="Times New Roman"/>
        <charset val="134"/>
      </rPr>
      <t>10</t>
    </r>
    <r>
      <rPr>
        <sz val="10"/>
        <rFont val="SimSun"/>
        <charset val="134"/>
      </rPr>
      <t>月实施，剩余岗位计划</t>
    </r>
    <r>
      <rPr>
        <sz val="10"/>
        <rFont val="Times New Roman"/>
        <charset val="134"/>
      </rPr>
      <t>2019</t>
    </r>
    <r>
      <rPr>
        <sz val="10"/>
        <rFont val="SimSun"/>
        <charset val="134"/>
      </rPr>
      <t>年实施。</t>
    </r>
  </si>
  <si>
    <r>
      <rPr>
        <sz val="10"/>
        <rFont val="SimSun"/>
        <charset val="134"/>
      </rPr>
      <t>所有岗位计划</t>
    </r>
    <r>
      <rPr>
        <sz val="10"/>
        <rFont val="Times New Roman"/>
        <charset val="134"/>
      </rPr>
      <t>2019</t>
    </r>
    <r>
      <rPr>
        <sz val="10"/>
        <rFont val="SimSun"/>
        <charset val="134"/>
      </rPr>
      <t>年实施。</t>
    </r>
  </si>
  <si>
    <r>
      <rPr>
        <sz val="10"/>
        <rFont val="Times New Roman"/>
        <charset val="134"/>
      </rPr>
      <t>5.</t>
    </r>
    <r>
      <rPr>
        <sz val="10"/>
        <rFont val="宋体"/>
        <charset val="134"/>
      </rPr>
      <t>乡村河（湖）道维护员</t>
    </r>
  </si>
  <si>
    <t>常兴州</t>
  </si>
  <si>
    <t>韦文丹</t>
  </si>
  <si>
    <r>
      <rPr>
        <sz val="10"/>
        <rFont val="宋体"/>
        <charset val="134"/>
      </rPr>
      <t>全乡共需管护河流</t>
    </r>
    <r>
      <rPr>
        <sz val="10"/>
        <rFont val="Times New Roman"/>
        <charset val="134"/>
      </rPr>
      <t>7</t>
    </r>
    <r>
      <rPr>
        <sz val="10"/>
        <rFont val="宋体"/>
        <charset val="134"/>
      </rPr>
      <t>条</t>
    </r>
    <r>
      <rPr>
        <sz val="10"/>
        <rFont val="Times New Roman"/>
        <charset val="134"/>
      </rPr>
      <t>,</t>
    </r>
    <r>
      <rPr>
        <sz val="10"/>
        <rFont val="宋体"/>
        <charset val="134"/>
      </rPr>
      <t>分别为八布河、大寨河、东油河、江东河、八斗河、那马河和南清河</t>
    </r>
    <r>
      <rPr>
        <sz val="10"/>
        <rFont val="Times New Roman"/>
        <charset val="134"/>
      </rPr>
      <t>,</t>
    </r>
    <r>
      <rPr>
        <sz val="10"/>
        <rFont val="宋体"/>
        <charset val="134"/>
      </rPr>
      <t>需安排治理员</t>
    </r>
    <r>
      <rPr>
        <sz val="10"/>
        <rFont val="Times New Roman"/>
        <charset val="134"/>
      </rPr>
      <t>15</t>
    </r>
    <r>
      <rPr>
        <sz val="10"/>
        <rFont val="宋体"/>
        <charset val="134"/>
      </rPr>
      <t>人，其中上海援建公益岗位解决就业</t>
    </r>
    <r>
      <rPr>
        <sz val="10"/>
        <rFont val="Times New Roman"/>
        <charset val="134"/>
      </rPr>
      <t>15</t>
    </r>
    <r>
      <rPr>
        <sz val="10"/>
        <rFont val="宋体"/>
        <charset val="134"/>
      </rPr>
      <t>人（按每人每月补助</t>
    </r>
    <r>
      <rPr>
        <sz val="10"/>
        <rFont val="Times New Roman"/>
        <charset val="134"/>
      </rPr>
      <t>500</t>
    </r>
    <r>
      <rPr>
        <sz val="10"/>
        <rFont val="宋体"/>
        <charset val="134"/>
      </rPr>
      <t>元，每人每月工商保险</t>
    </r>
    <r>
      <rPr>
        <sz val="10"/>
        <rFont val="Times New Roman"/>
        <charset val="134"/>
      </rPr>
      <t>18</t>
    </r>
    <r>
      <rPr>
        <sz val="10"/>
        <rFont val="宋体"/>
        <charset val="134"/>
      </rPr>
      <t>元（保险资金来源于县级自筹资金），其中</t>
    </r>
    <r>
      <rPr>
        <sz val="10"/>
        <rFont val="Times New Roman"/>
        <charset val="134"/>
      </rPr>
      <t>2018</t>
    </r>
    <r>
      <rPr>
        <sz val="10"/>
        <rFont val="宋体"/>
        <charset val="134"/>
      </rPr>
      <t>年资金补助和保险缴纳只算前</t>
    </r>
    <r>
      <rPr>
        <sz val="10"/>
        <rFont val="Times New Roman"/>
        <charset val="134"/>
      </rPr>
      <t>3</t>
    </r>
    <r>
      <rPr>
        <sz val="10"/>
        <rFont val="宋体"/>
        <charset val="134"/>
      </rPr>
      <t>个月，</t>
    </r>
    <r>
      <rPr>
        <sz val="10"/>
        <rFont val="Times New Roman"/>
        <charset val="134"/>
      </rPr>
      <t>2018</t>
    </r>
    <r>
      <rPr>
        <sz val="10"/>
        <rFont val="宋体"/>
        <charset val="134"/>
      </rPr>
      <t>年投入补助资金</t>
    </r>
    <r>
      <rPr>
        <sz val="10"/>
        <rFont val="Times New Roman"/>
        <charset val="134"/>
      </rPr>
      <t>2.25</t>
    </r>
    <r>
      <rPr>
        <sz val="10"/>
        <rFont val="宋体"/>
        <charset val="134"/>
      </rPr>
      <t>万元，保险</t>
    </r>
    <r>
      <rPr>
        <sz val="10"/>
        <rFont val="Times New Roman"/>
        <charset val="134"/>
      </rPr>
      <t>0.081</t>
    </r>
    <r>
      <rPr>
        <sz val="10"/>
        <rFont val="宋体"/>
        <charset val="134"/>
      </rPr>
      <t>万元，</t>
    </r>
    <r>
      <rPr>
        <sz val="10"/>
        <rFont val="Times New Roman"/>
        <charset val="134"/>
      </rPr>
      <t>2019</t>
    </r>
    <r>
      <rPr>
        <sz val="10"/>
        <rFont val="宋体"/>
        <charset val="134"/>
      </rPr>
      <t>年投入补助资金</t>
    </r>
    <r>
      <rPr>
        <sz val="10"/>
        <rFont val="Times New Roman"/>
        <charset val="134"/>
      </rPr>
      <t>9</t>
    </r>
    <r>
      <rPr>
        <sz val="10"/>
        <rFont val="宋体"/>
        <charset val="134"/>
      </rPr>
      <t>万元，保险</t>
    </r>
    <r>
      <rPr>
        <sz val="10"/>
        <rFont val="Times New Roman"/>
        <charset val="134"/>
      </rPr>
      <t>0.324</t>
    </r>
    <r>
      <rPr>
        <sz val="10"/>
        <rFont val="宋体"/>
        <charset val="134"/>
      </rPr>
      <t>万元</t>
    </r>
    <r>
      <rPr>
        <sz val="10"/>
        <rFont val="Times New Roman"/>
        <charset val="134"/>
      </rPr>
      <t>,2020</t>
    </r>
    <r>
      <rPr>
        <sz val="10"/>
        <rFont val="宋体"/>
        <charset val="134"/>
      </rPr>
      <t>年投入补助资金</t>
    </r>
    <r>
      <rPr>
        <sz val="10"/>
        <rFont val="Times New Roman"/>
        <charset val="134"/>
      </rPr>
      <t>9</t>
    </r>
    <r>
      <rPr>
        <sz val="10"/>
        <rFont val="宋体"/>
        <charset val="134"/>
      </rPr>
      <t>万元，保险</t>
    </r>
    <r>
      <rPr>
        <sz val="10"/>
        <rFont val="Times New Roman"/>
        <charset val="134"/>
      </rPr>
      <t>0.324</t>
    </r>
    <r>
      <rPr>
        <sz val="10"/>
        <rFont val="宋体"/>
        <charset val="134"/>
      </rPr>
      <t>万元），</t>
    </r>
    <r>
      <rPr>
        <sz val="10"/>
        <rFont val="Times New Roman"/>
        <charset val="134"/>
      </rPr>
      <t>3</t>
    </r>
    <r>
      <rPr>
        <sz val="10"/>
        <rFont val="宋体"/>
        <charset val="134"/>
      </rPr>
      <t>年共需投入资金</t>
    </r>
    <r>
      <rPr>
        <sz val="10"/>
        <rFont val="Times New Roman"/>
        <charset val="134"/>
      </rPr>
      <t>20.979</t>
    </r>
    <r>
      <rPr>
        <sz val="10"/>
        <rFont val="宋体"/>
        <charset val="134"/>
      </rPr>
      <t>万元。</t>
    </r>
  </si>
  <si>
    <r>
      <rPr>
        <sz val="10"/>
        <rFont val="Times New Roman"/>
        <charset val="134"/>
      </rPr>
      <t>6.</t>
    </r>
    <r>
      <rPr>
        <sz val="10"/>
        <rFont val="宋体"/>
        <charset val="134"/>
      </rPr>
      <t>地质灾害监测员</t>
    </r>
  </si>
  <si>
    <t>林开明</t>
  </si>
  <si>
    <r>
      <rPr>
        <sz val="10"/>
        <rFont val="宋体"/>
        <charset val="134"/>
      </rPr>
      <t>全乡共</t>
    </r>
    <r>
      <rPr>
        <sz val="10"/>
        <rFont val="Times New Roman"/>
        <charset val="134"/>
      </rPr>
      <t>5</t>
    </r>
    <r>
      <rPr>
        <sz val="10"/>
        <rFont val="宋体"/>
        <charset val="134"/>
      </rPr>
      <t>个地质灾害点</t>
    </r>
    <r>
      <rPr>
        <sz val="10"/>
        <rFont val="Times New Roman"/>
        <charset val="134"/>
      </rPr>
      <t>,</t>
    </r>
    <r>
      <rPr>
        <sz val="10"/>
        <rFont val="宋体"/>
        <charset val="134"/>
      </rPr>
      <t>共需监测员</t>
    </r>
    <r>
      <rPr>
        <sz val="10"/>
        <rFont val="Times New Roman"/>
        <charset val="134"/>
      </rPr>
      <t>8</t>
    </r>
    <r>
      <rPr>
        <sz val="10"/>
        <rFont val="宋体"/>
        <charset val="134"/>
      </rPr>
      <t>人</t>
    </r>
    <r>
      <rPr>
        <sz val="10"/>
        <rFont val="Times New Roman"/>
        <charset val="134"/>
      </rPr>
      <t>,</t>
    </r>
    <r>
      <rPr>
        <sz val="10"/>
        <rFont val="宋体"/>
        <charset val="134"/>
      </rPr>
      <t>按每人每年</t>
    </r>
    <r>
      <rPr>
        <sz val="10"/>
        <rFont val="Times New Roman"/>
        <charset val="134"/>
      </rPr>
      <t>1500</t>
    </r>
    <r>
      <rPr>
        <sz val="10"/>
        <rFont val="宋体"/>
        <charset val="134"/>
      </rPr>
      <t>元计算</t>
    </r>
    <r>
      <rPr>
        <sz val="10"/>
        <rFont val="Times New Roman"/>
        <charset val="134"/>
      </rPr>
      <t>,</t>
    </r>
    <r>
      <rPr>
        <sz val="10"/>
        <rFont val="宋体"/>
        <charset val="134"/>
      </rPr>
      <t>每年共需投入资金</t>
    </r>
    <r>
      <rPr>
        <sz val="10"/>
        <rFont val="Times New Roman"/>
        <charset val="134"/>
      </rPr>
      <t>1.2</t>
    </r>
    <r>
      <rPr>
        <sz val="10"/>
        <rFont val="宋体"/>
        <charset val="134"/>
      </rPr>
      <t>万元</t>
    </r>
    <r>
      <rPr>
        <sz val="10"/>
        <rFont val="Times New Roman"/>
        <charset val="134"/>
      </rPr>
      <t>,3</t>
    </r>
    <r>
      <rPr>
        <sz val="10"/>
        <rFont val="宋体"/>
        <charset val="134"/>
      </rPr>
      <t>年共需投入资金</t>
    </r>
    <r>
      <rPr>
        <sz val="10"/>
        <rFont val="Times New Roman"/>
        <charset val="134"/>
      </rPr>
      <t>3.6</t>
    </r>
    <r>
      <rPr>
        <sz val="10"/>
        <rFont val="宋体"/>
        <charset val="134"/>
      </rPr>
      <t>万元。</t>
    </r>
  </si>
  <si>
    <t>五、产业扶贫</t>
  </si>
  <si>
    <t>陈光宏</t>
  </si>
  <si>
    <r>
      <rPr>
        <sz val="10"/>
        <rFont val="Times New Roman"/>
        <charset val="134"/>
      </rPr>
      <t>1.</t>
    </r>
    <r>
      <rPr>
        <sz val="10"/>
        <rFont val="宋体"/>
        <charset val="134"/>
      </rPr>
      <t>农户自发种植</t>
    </r>
  </si>
  <si>
    <t>水稻</t>
  </si>
  <si>
    <t>玉米</t>
  </si>
  <si>
    <t>香蕉</t>
  </si>
  <si>
    <t>蔬菜</t>
  </si>
  <si>
    <t>香草</t>
  </si>
  <si>
    <t>草果</t>
  </si>
  <si>
    <t>草药</t>
  </si>
  <si>
    <t>甘蔗</t>
  </si>
  <si>
    <t>菠萝</t>
  </si>
  <si>
    <t>西瓜</t>
  </si>
  <si>
    <t>其他</t>
  </si>
  <si>
    <r>
      <rPr>
        <sz val="10"/>
        <rFont val="Times New Roman"/>
        <charset val="134"/>
      </rPr>
      <t>2.</t>
    </r>
    <r>
      <rPr>
        <sz val="10"/>
        <rFont val="宋体"/>
        <charset val="134"/>
      </rPr>
      <t>规模化种植</t>
    </r>
  </si>
  <si>
    <r>
      <rPr>
        <sz val="10"/>
        <rFont val="宋体"/>
        <charset val="134"/>
      </rPr>
      <t>新建</t>
    </r>
    <r>
      <rPr>
        <sz val="10"/>
        <rFont val="Times New Roman"/>
        <charset val="134"/>
      </rPr>
      <t>/</t>
    </r>
    <r>
      <rPr>
        <sz val="10"/>
        <rFont val="宋体"/>
        <charset val="134"/>
      </rPr>
      <t>扩改建</t>
    </r>
  </si>
  <si>
    <t>羊皮寨百香果种植</t>
  </si>
  <si>
    <r>
      <rPr>
        <sz val="10"/>
        <rFont val="宋体"/>
        <charset val="134"/>
      </rPr>
      <t>利用整乡推进产业发展资金</t>
    </r>
    <r>
      <rPr>
        <sz val="10"/>
        <rFont val="Times New Roman"/>
        <charset val="134"/>
      </rPr>
      <t>50</t>
    </r>
    <r>
      <rPr>
        <sz val="10"/>
        <rFont val="宋体"/>
        <charset val="134"/>
      </rPr>
      <t>万元，用于百香果试验示范种植，现将羊皮寨村委会百香果试验示范种植基地管理经营权转让给砚山鑫珵农业科技发展有限公司，公司每出售一公斤百香果分红</t>
    </r>
    <r>
      <rPr>
        <sz val="10"/>
        <rFont val="Times New Roman"/>
        <charset val="134"/>
      </rPr>
      <t>2</t>
    </r>
    <r>
      <rPr>
        <sz val="10"/>
        <rFont val="宋体"/>
        <charset val="134"/>
      </rPr>
      <t>元，用于支持百香果产业发展。</t>
    </r>
  </si>
  <si>
    <r>
      <rPr>
        <sz val="10"/>
        <rFont val="Times New Roman"/>
        <charset val="134"/>
      </rPr>
      <t>1.</t>
    </r>
    <r>
      <rPr>
        <sz val="10"/>
        <rFont val="宋体"/>
        <charset val="134"/>
      </rPr>
      <t>农户自发养殖</t>
    </r>
  </si>
  <si>
    <t>鸡</t>
  </si>
  <si>
    <t>羽</t>
  </si>
  <si>
    <t>猪</t>
  </si>
  <si>
    <t>牛</t>
  </si>
  <si>
    <r>
      <rPr>
        <sz val="10"/>
        <rFont val="Times New Roman"/>
        <charset val="134"/>
      </rPr>
      <t>2.</t>
    </r>
    <r>
      <rPr>
        <sz val="10"/>
        <rFont val="宋体"/>
        <charset val="134"/>
      </rPr>
      <t>规模化养殖业（由村级分项自行填）</t>
    </r>
  </si>
  <si>
    <t>江东泰国小菠萝种植</t>
  </si>
  <si>
    <r>
      <rPr>
        <sz val="10"/>
        <rFont val="宋体"/>
        <charset val="134"/>
      </rPr>
      <t>采取</t>
    </r>
    <r>
      <rPr>
        <sz val="10"/>
        <rFont val="Times New Roman"/>
        <charset val="134"/>
      </rPr>
      <t>“</t>
    </r>
    <r>
      <rPr>
        <sz val="10"/>
        <rFont val="宋体"/>
        <charset val="134"/>
      </rPr>
      <t>大户带动</t>
    </r>
    <r>
      <rPr>
        <sz val="10"/>
        <rFont val="Times New Roman"/>
        <charset val="134"/>
      </rPr>
      <t>”</t>
    </r>
    <r>
      <rPr>
        <sz val="10"/>
        <rFont val="宋体"/>
        <charset val="134"/>
      </rPr>
      <t>的模式，建设种植基地，带动农户发展泰国小菠萝种植，基地建设资金由种植大户出资，贫困户发展种植资金按照《麻栗坡县建档立卡贫困户自主发展产业扶持奖励补助办法》（麻办发〔</t>
    </r>
    <r>
      <rPr>
        <sz val="10"/>
        <rFont val="Times New Roman"/>
        <charset val="134"/>
      </rPr>
      <t>2018</t>
    </r>
    <r>
      <rPr>
        <sz val="10"/>
        <rFont val="宋体"/>
        <charset val="134"/>
      </rPr>
      <t>〕</t>
    </r>
    <r>
      <rPr>
        <sz val="10"/>
        <rFont val="Times New Roman"/>
        <charset val="134"/>
      </rPr>
      <t>169</t>
    </r>
    <r>
      <rPr>
        <sz val="10"/>
        <rFont val="宋体"/>
        <charset val="134"/>
      </rPr>
      <t>号）给予补助。</t>
    </r>
  </si>
  <si>
    <t>江东芒果种植</t>
  </si>
  <si>
    <t>龙龙皇帝柑种植</t>
  </si>
  <si>
    <r>
      <rPr>
        <sz val="10"/>
        <rFont val="宋体"/>
        <charset val="134"/>
      </rPr>
      <t>采取</t>
    </r>
    <r>
      <rPr>
        <sz val="10"/>
        <rFont val="Times New Roman"/>
        <charset val="134"/>
      </rPr>
      <t>“</t>
    </r>
    <r>
      <rPr>
        <sz val="10"/>
        <rFont val="宋体"/>
        <charset val="134"/>
      </rPr>
      <t>合作社</t>
    </r>
    <r>
      <rPr>
        <sz val="10"/>
        <rFont val="Times New Roman"/>
        <charset val="134"/>
      </rPr>
      <t>+</t>
    </r>
    <r>
      <rPr>
        <sz val="10"/>
        <rFont val="宋体"/>
        <charset val="134"/>
      </rPr>
      <t>基地</t>
    </r>
    <r>
      <rPr>
        <sz val="10"/>
        <rFont val="Times New Roman"/>
        <charset val="134"/>
      </rPr>
      <t>+</t>
    </r>
    <r>
      <rPr>
        <sz val="10"/>
        <rFont val="宋体"/>
        <charset val="134"/>
      </rPr>
      <t>农户</t>
    </r>
    <r>
      <rPr>
        <sz val="10"/>
        <rFont val="Times New Roman"/>
        <charset val="134"/>
      </rPr>
      <t>”</t>
    </r>
    <r>
      <rPr>
        <sz val="10"/>
        <rFont val="宋体"/>
        <charset val="134"/>
      </rPr>
      <t>的模式，合作社出资建设</t>
    </r>
    <r>
      <rPr>
        <sz val="10"/>
        <rFont val="Times New Roman"/>
        <charset val="134"/>
      </rPr>
      <t>800</t>
    </r>
    <r>
      <rPr>
        <sz val="10"/>
        <rFont val="宋体"/>
        <charset val="134"/>
      </rPr>
      <t>亩皇帝柑种植基地，农户利用土地入股，按照出资比例</t>
    </r>
    <r>
      <rPr>
        <sz val="10"/>
        <rFont val="Times New Roman"/>
        <charset val="134"/>
      </rPr>
      <t>20%</t>
    </r>
    <r>
      <rPr>
        <sz val="10"/>
        <rFont val="宋体"/>
        <charset val="134"/>
      </rPr>
      <t>分红给农户。</t>
    </r>
  </si>
  <si>
    <t>荒田肉牛养殖合作社</t>
  </si>
  <si>
    <r>
      <rPr>
        <sz val="10"/>
        <rFont val="宋体"/>
        <charset val="134"/>
      </rPr>
      <t>组建合作社，建设养殖场</t>
    </r>
    <r>
      <rPr>
        <sz val="10"/>
        <rFont val="Times New Roman"/>
        <charset val="134"/>
      </rPr>
      <t>1</t>
    </r>
    <r>
      <rPr>
        <sz val="10"/>
        <rFont val="宋体"/>
        <charset val="134"/>
      </rPr>
      <t>个，养殖能繁母牛</t>
    </r>
    <r>
      <rPr>
        <sz val="10"/>
        <rFont val="Times New Roman"/>
        <charset val="134"/>
      </rPr>
      <t>150</t>
    </r>
    <r>
      <rPr>
        <sz val="10"/>
        <rFont val="宋体"/>
        <charset val="134"/>
      </rPr>
      <t>头，年出栏肉牛</t>
    </r>
    <r>
      <rPr>
        <sz val="10"/>
        <rFont val="Times New Roman"/>
        <charset val="134"/>
      </rPr>
      <t>1500</t>
    </r>
    <r>
      <rPr>
        <sz val="10"/>
        <rFont val="宋体"/>
        <charset val="134"/>
      </rPr>
      <t>头。带动周边群众养殖肉牛，种植青储玉米饲料增加收入。</t>
    </r>
  </si>
  <si>
    <t>田源牧业专业合作社肉兔养殖</t>
  </si>
  <si>
    <t>刘文书</t>
  </si>
  <si>
    <r>
      <rPr>
        <sz val="10"/>
        <rFont val="宋体"/>
        <charset val="134"/>
      </rPr>
      <t>利用整乡推进产业发展资金</t>
    </r>
    <r>
      <rPr>
        <sz val="10"/>
        <rFont val="Times New Roman"/>
        <charset val="134"/>
      </rPr>
      <t>304.8</t>
    </r>
    <r>
      <rPr>
        <sz val="10"/>
        <rFont val="宋体"/>
        <charset val="134"/>
      </rPr>
      <t>万元，为</t>
    </r>
    <r>
      <rPr>
        <sz val="10"/>
        <rFont val="Times New Roman"/>
        <charset val="134"/>
      </rPr>
      <t>1016</t>
    </r>
    <r>
      <rPr>
        <sz val="10"/>
        <rFont val="宋体"/>
        <charset val="134"/>
      </rPr>
      <t>户</t>
    </r>
    <r>
      <rPr>
        <sz val="10"/>
        <rFont val="Times New Roman"/>
        <charset val="134"/>
      </rPr>
      <t>4307</t>
    </r>
    <r>
      <rPr>
        <sz val="10"/>
        <rFont val="宋体"/>
        <charset val="134"/>
      </rPr>
      <t>人按照每户</t>
    </r>
    <r>
      <rPr>
        <sz val="10"/>
        <rFont val="Times New Roman"/>
        <charset val="134"/>
      </rPr>
      <t>3000</t>
    </r>
    <r>
      <rPr>
        <sz val="10"/>
        <rFont val="宋体"/>
        <charset val="134"/>
      </rPr>
      <t>元注入田园牧业专业合作社用于肉兔养殖，年出栏肉兔</t>
    </r>
    <r>
      <rPr>
        <sz val="10"/>
        <rFont val="Times New Roman"/>
        <charset val="134"/>
      </rPr>
      <t>30</t>
    </r>
    <r>
      <rPr>
        <sz val="10"/>
        <rFont val="宋体"/>
        <charset val="134"/>
      </rPr>
      <t>万只，按</t>
    </r>
    <r>
      <rPr>
        <sz val="10"/>
        <rFont val="Times New Roman"/>
        <charset val="134"/>
      </rPr>
      <t>10%</t>
    </r>
    <r>
      <rPr>
        <sz val="10"/>
        <rFont val="宋体"/>
        <charset val="134"/>
      </rPr>
      <t>的比例进行分红，每年每户增收</t>
    </r>
    <r>
      <rPr>
        <sz val="10"/>
        <rFont val="Times New Roman"/>
        <charset val="134"/>
      </rPr>
      <t>300</t>
    </r>
    <r>
      <rPr>
        <sz val="10"/>
        <rFont val="宋体"/>
        <charset val="134"/>
      </rPr>
      <t>元。</t>
    </r>
  </si>
  <si>
    <t>参与民盛农业技术服务有限公司帮带发展</t>
  </si>
  <si>
    <r>
      <rPr>
        <sz val="10"/>
        <rFont val="宋体"/>
        <charset val="134"/>
      </rPr>
      <t>争取涉农整合资金187.8万元，为626户2341人按照每户3000元注入民盛农业技术服务有限公司帮带发展，按</t>
    </r>
    <r>
      <rPr>
        <sz val="10"/>
        <rFont val="Times New Roman"/>
        <charset val="134"/>
      </rPr>
      <t>10%</t>
    </r>
    <r>
      <rPr>
        <sz val="10"/>
        <rFont val="宋体"/>
        <charset val="134"/>
      </rPr>
      <t>的比例进行分红，每年每户增收</t>
    </r>
    <r>
      <rPr>
        <sz val="10"/>
        <rFont val="Times New Roman"/>
        <charset val="134"/>
      </rPr>
      <t>300</t>
    </r>
    <r>
      <rPr>
        <sz val="10"/>
        <rFont val="宋体"/>
        <charset val="134"/>
      </rPr>
      <t>元。（其中：东油村委会182户661人，54.6万元，和平村委会119户426人，35.7万元，江东村委会158户597人，47.4万元，龙龙村委会1户4人，0.3万元，羊皮寨村委会166户653人，49.8万元。）</t>
    </r>
  </si>
  <si>
    <t>（四）参与龙头企业或新型经营主体</t>
  </si>
  <si>
    <t>王文龙</t>
  </si>
  <si>
    <t>产业办</t>
  </si>
  <si>
    <r>
      <rPr>
        <sz val="10"/>
        <rFont val="宋体"/>
        <charset val="134"/>
      </rPr>
      <t>对应村级施工图</t>
    </r>
    <r>
      <rPr>
        <sz val="10"/>
        <rFont val="Times New Roman"/>
        <charset val="134"/>
      </rPr>
      <t>.</t>
    </r>
    <r>
      <rPr>
        <sz val="10"/>
        <rFont val="宋体"/>
        <charset val="134"/>
      </rPr>
      <t>全乡实施小额信贷受益档卡户311户1089人，三年实施小额贷款贴息规模84.713892万元，其中</t>
    </r>
    <r>
      <rPr>
        <sz val="10"/>
        <rFont val="Times New Roman"/>
        <charset val="134"/>
      </rPr>
      <t>2018</t>
    </r>
    <r>
      <rPr>
        <sz val="10"/>
        <rFont val="宋体"/>
        <charset val="134"/>
      </rPr>
      <t>年16.17万元，</t>
    </r>
    <r>
      <rPr>
        <sz val="10"/>
        <rFont val="Times New Roman"/>
        <charset val="134"/>
      </rPr>
      <t>2019</t>
    </r>
    <r>
      <rPr>
        <sz val="10"/>
        <rFont val="宋体"/>
        <charset val="134"/>
      </rPr>
      <t>年贷款规模28.237964万元，</t>
    </r>
    <r>
      <rPr>
        <sz val="10"/>
        <rFont val="Times New Roman"/>
        <charset val="134"/>
      </rPr>
      <t>2020</t>
    </r>
    <r>
      <rPr>
        <sz val="10"/>
        <rFont val="宋体"/>
        <charset val="134"/>
      </rPr>
      <t>年贷款规模40.305928万元。</t>
    </r>
  </si>
  <si>
    <t>（六）乡村旅游产业基础设施建设</t>
  </si>
  <si>
    <t>串户路建设</t>
  </si>
  <si>
    <t>唐修祥</t>
  </si>
  <si>
    <t>潘衍杭</t>
  </si>
  <si>
    <t>扶贫、发改、财政、民宗、</t>
  </si>
  <si>
    <t>新建串户道路355563平方米，每平方米100元测算）</t>
  </si>
  <si>
    <t>八布乡羊皮寨村委会串户路建设项目</t>
  </si>
  <si>
    <r>
      <rPr>
        <sz val="10"/>
        <rFont val="宋体"/>
        <charset val="134"/>
      </rPr>
      <t>新建串户道路80631平方米，每平方米100元测算，里面包含</t>
    </r>
    <r>
      <rPr>
        <sz val="10"/>
        <rFont val="Times New Roman"/>
        <charset val="134"/>
      </rPr>
      <t>3</t>
    </r>
    <r>
      <rPr>
        <sz val="10"/>
        <rFont val="宋体"/>
        <charset val="134"/>
      </rPr>
      <t>米支路，</t>
    </r>
    <r>
      <rPr>
        <sz val="10"/>
        <rFont val="Times New Roman"/>
        <charset val="134"/>
      </rPr>
      <t>1.5</t>
    </r>
    <r>
      <rPr>
        <sz val="10"/>
        <rFont val="宋体"/>
        <charset val="134"/>
      </rPr>
      <t>米入户路，院子建设，其中：运河山</t>
    </r>
    <r>
      <rPr>
        <sz val="10"/>
        <rFont val="Times New Roman"/>
        <charset val="134"/>
      </rPr>
      <t>14036</t>
    </r>
    <r>
      <rPr>
        <sz val="10"/>
        <rFont val="宋体"/>
        <charset val="134"/>
      </rPr>
      <t>㎡，凹塘</t>
    </r>
    <r>
      <rPr>
        <sz val="10"/>
        <rFont val="Times New Roman"/>
        <charset val="134"/>
      </rPr>
      <t>10608.5</t>
    </r>
    <r>
      <rPr>
        <sz val="10"/>
        <rFont val="宋体"/>
        <charset val="134"/>
      </rPr>
      <t>㎡，大寨</t>
    </r>
    <r>
      <rPr>
        <sz val="10"/>
        <rFont val="Times New Roman"/>
        <charset val="134"/>
      </rPr>
      <t>1392.2</t>
    </r>
    <r>
      <rPr>
        <sz val="10"/>
        <rFont val="宋体"/>
        <charset val="134"/>
      </rPr>
      <t>㎡，格斗</t>
    </r>
    <r>
      <rPr>
        <sz val="10"/>
        <rFont val="Times New Roman"/>
        <charset val="134"/>
      </rPr>
      <t>3895.5</t>
    </r>
    <r>
      <rPr>
        <sz val="10"/>
        <rFont val="宋体"/>
        <charset val="134"/>
      </rPr>
      <t>㎡，回龙</t>
    </r>
    <r>
      <rPr>
        <sz val="10"/>
        <rFont val="Times New Roman"/>
        <charset val="134"/>
      </rPr>
      <t>2547.5</t>
    </r>
    <r>
      <rPr>
        <sz val="10"/>
        <rFont val="宋体"/>
        <charset val="134"/>
      </rPr>
      <t>㎡，老屋厂</t>
    </r>
    <r>
      <rPr>
        <sz val="10"/>
        <rFont val="Times New Roman"/>
        <charset val="134"/>
      </rPr>
      <t>2535.5</t>
    </r>
    <r>
      <rPr>
        <sz val="10"/>
        <rFont val="宋体"/>
        <charset val="134"/>
      </rPr>
      <t>㎡，良天飞</t>
    </r>
    <r>
      <rPr>
        <sz val="10"/>
        <rFont val="Times New Roman"/>
        <charset val="134"/>
      </rPr>
      <t>6858.4</t>
    </r>
    <r>
      <rPr>
        <sz val="10"/>
        <rFont val="宋体"/>
        <charset val="134"/>
      </rPr>
      <t>㎡，茂光</t>
    </r>
    <r>
      <rPr>
        <sz val="10"/>
        <rFont val="Times New Roman"/>
        <charset val="134"/>
      </rPr>
      <t>16392.5</t>
    </r>
    <r>
      <rPr>
        <sz val="10"/>
        <rFont val="宋体"/>
        <charset val="134"/>
      </rPr>
      <t>㎡，三坤</t>
    </r>
    <r>
      <rPr>
        <sz val="10"/>
        <rFont val="Times New Roman"/>
        <charset val="134"/>
      </rPr>
      <t>6321.5</t>
    </r>
    <r>
      <rPr>
        <sz val="10"/>
        <rFont val="宋体"/>
        <charset val="134"/>
      </rPr>
      <t>㎡，小寨</t>
    </r>
    <r>
      <rPr>
        <sz val="10"/>
        <rFont val="Times New Roman"/>
        <charset val="134"/>
      </rPr>
      <t>2074.5</t>
    </r>
    <r>
      <rPr>
        <sz val="10"/>
        <rFont val="宋体"/>
        <charset val="134"/>
      </rPr>
      <t>㎡，丫口</t>
    </r>
    <r>
      <rPr>
        <sz val="10"/>
        <rFont val="Times New Roman"/>
        <charset val="134"/>
      </rPr>
      <t>1210.5</t>
    </r>
    <r>
      <rPr>
        <sz val="10"/>
        <rFont val="宋体"/>
        <charset val="134"/>
      </rPr>
      <t>㎡，羊皮寨</t>
    </r>
    <r>
      <rPr>
        <sz val="10"/>
        <rFont val="Times New Roman"/>
        <charset val="134"/>
      </rPr>
      <t>7623</t>
    </r>
    <r>
      <rPr>
        <sz val="10"/>
        <rFont val="宋体"/>
        <charset val="134"/>
      </rPr>
      <t>㎡，半坡</t>
    </r>
    <r>
      <rPr>
        <sz val="10"/>
        <rFont val="Times New Roman"/>
        <charset val="134"/>
      </rPr>
      <t>5135</t>
    </r>
    <r>
      <rPr>
        <sz val="10"/>
        <rFont val="宋体"/>
        <charset val="134"/>
      </rPr>
      <t>㎡。</t>
    </r>
  </si>
  <si>
    <t>八布乡东油村委会串户路建设</t>
  </si>
  <si>
    <r>
      <rPr>
        <sz val="10"/>
        <rFont val="宋体"/>
        <charset val="134"/>
      </rPr>
      <t>硬化串户路</t>
    </r>
    <r>
      <rPr>
        <sz val="10"/>
        <rFont val="Times New Roman"/>
        <charset val="134"/>
      </rPr>
      <t>80509.5</t>
    </r>
    <r>
      <rPr>
        <sz val="10"/>
        <rFont val="宋体"/>
        <charset val="134"/>
      </rPr>
      <t>㎡，其中：顶铳</t>
    </r>
    <r>
      <rPr>
        <sz val="10"/>
        <rFont val="Times New Roman"/>
        <charset val="134"/>
      </rPr>
      <t>2223</t>
    </r>
    <r>
      <rPr>
        <sz val="10"/>
        <rFont val="宋体"/>
        <charset val="134"/>
      </rPr>
      <t>㎡、哪茂</t>
    </r>
    <r>
      <rPr>
        <sz val="10"/>
        <rFont val="Times New Roman"/>
        <charset val="134"/>
      </rPr>
      <t>5022</t>
    </r>
    <r>
      <rPr>
        <sz val="10"/>
        <rFont val="宋体"/>
        <charset val="134"/>
      </rPr>
      <t>㎡、沟坝</t>
    </r>
    <r>
      <rPr>
        <sz val="10"/>
        <rFont val="Times New Roman"/>
        <charset val="134"/>
      </rPr>
      <t>4312.5</t>
    </r>
    <r>
      <rPr>
        <sz val="10"/>
        <rFont val="宋体"/>
        <charset val="134"/>
      </rPr>
      <t>㎡、六里冲１</t>
    </r>
    <r>
      <rPr>
        <sz val="10"/>
        <rFont val="Times New Roman"/>
        <charset val="134"/>
      </rPr>
      <t>650</t>
    </r>
    <r>
      <rPr>
        <sz val="10"/>
        <rFont val="宋体"/>
        <charset val="134"/>
      </rPr>
      <t>㎡、波丘</t>
    </r>
    <r>
      <rPr>
        <sz val="10"/>
        <rFont val="Times New Roman"/>
        <charset val="134"/>
      </rPr>
      <t>4611</t>
    </r>
    <r>
      <rPr>
        <sz val="10"/>
        <rFont val="宋体"/>
        <charset val="134"/>
      </rPr>
      <t>㎡、东油</t>
    </r>
    <r>
      <rPr>
        <sz val="10"/>
        <rFont val="Times New Roman"/>
        <charset val="134"/>
      </rPr>
      <t>1200</t>
    </r>
    <r>
      <rPr>
        <sz val="10"/>
        <rFont val="宋体"/>
        <charset val="134"/>
      </rPr>
      <t>㎡、坝尾</t>
    </r>
    <r>
      <rPr>
        <sz val="10"/>
        <rFont val="Times New Roman"/>
        <charset val="134"/>
      </rPr>
      <t>4234.5</t>
    </r>
    <r>
      <rPr>
        <sz val="10"/>
        <rFont val="宋体"/>
        <charset val="134"/>
      </rPr>
      <t>㎡、老屋基</t>
    </r>
    <r>
      <rPr>
        <sz val="10"/>
        <rFont val="Times New Roman"/>
        <charset val="134"/>
      </rPr>
      <t>8475</t>
    </r>
    <r>
      <rPr>
        <sz val="10"/>
        <rFont val="宋体"/>
        <charset val="134"/>
      </rPr>
      <t>㎡、者拉</t>
    </r>
    <r>
      <rPr>
        <sz val="10"/>
        <rFont val="Times New Roman"/>
        <charset val="134"/>
      </rPr>
      <t>9943.5</t>
    </r>
    <r>
      <rPr>
        <sz val="10"/>
        <rFont val="宋体"/>
        <charset val="134"/>
      </rPr>
      <t>㎡、龙榜</t>
    </r>
    <r>
      <rPr>
        <sz val="10"/>
        <rFont val="Times New Roman"/>
        <charset val="134"/>
      </rPr>
      <t>3000</t>
    </r>
    <r>
      <rPr>
        <sz val="10"/>
        <rFont val="宋体"/>
        <charset val="134"/>
      </rPr>
      <t>㎡、龙标</t>
    </r>
    <r>
      <rPr>
        <sz val="10"/>
        <rFont val="Times New Roman"/>
        <charset val="134"/>
      </rPr>
      <t>4500</t>
    </r>
    <r>
      <rPr>
        <sz val="10"/>
        <rFont val="宋体"/>
        <charset val="134"/>
      </rPr>
      <t>㎡、上南江</t>
    </r>
    <r>
      <rPr>
        <sz val="10"/>
        <rFont val="Times New Roman"/>
        <charset val="134"/>
      </rPr>
      <t>1800</t>
    </r>
    <r>
      <rPr>
        <sz val="10"/>
        <rFont val="宋体"/>
        <charset val="134"/>
      </rPr>
      <t>㎡、太阳寨</t>
    </r>
    <r>
      <rPr>
        <sz val="10"/>
        <rFont val="Times New Roman"/>
        <charset val="134"/>
      </rPr>
      <t>15150</t>
    </r>
    <r>
      <rPr>
        <sz val="10"/>
        <rFont val="宋体"/>
        <charset val="134"/>
      </rPr>
      <t>㎡、龙滚</t>
    </r>
    <r>
      <rPr>
        <sz val="10"/>
        <rFont val="Times New Roman"/>
        <charset val="134"/>
      </rPr>
      <t>2895</t>
    </r>
    <r>
      <rPr>
        <sz val="10"/>
        <rFont val="SimSun"/>
        <charset val="134"/>
      </rPr>
      <t>㎡、锡厂</t>
    </r>
    <r>
      <rPr>
        <sz val="10"/>
        <rFont val="Times New Roman"/>
        <charset val="134"/>
      </rPr>
      <t>3480</t>
    </r>
    <r>
      <rPr>
        <sz val="10"/>
        <rFont val="SimSun"/>
        <charset val="134"/>
      </rPr>
      <t>㎡、上广窝</t>
    </r>
    <r>
      <rPr>
        <sz val="10"/>
        <rFont val="Times New Roman"/>
        <charset val="134"/>
      </rPr>
      <t>904.5</t>
    </r>
    <r>
      <rPr>
        <sz val="10"/>
        <rFont val="SimSun"/>
        <charset val="134"/>
      </rPr>
      <t>㎡、下广窝</t>
    </r>
    <r>
      <rPr>
        <sz val="10"/>
        <rFont val="Times New Roman"/>
        <charset val="134"/>
      </rPr>
      <t>1042.5</t>
    </r>
    <r>
      <rPr>
        <sz val="10"/>
        <rFont val="SimSun"/>
        <charset val="134"/>
      </rPr>
      <t>㎡、上龙堡</t>
    </r>
    <r>
      <rPr>
        <sz val="10"/>
        <rFont val="Times New Roman"/>
        <charset val="134"/>
      </rPr>
      <t>3576</t>
    </r>
    <r>
      <rPr>
        <sz val="10"/>
        <rFont val="SimSun"/>
        <charset val="134"/>
      </rPr>
      <t>㎡、下龙堡</t>
    </r>
    <r>
      <rPr>
        <sz val="10"/>
        <rFont val="Times New Roman"/>
        <charset val="134"/>
      </rPr>
      <t>2490</t>
    </r>
    <r>
      <rPr>
        <sz val="10"/>
        <rFont val="SimSun"/>
        <charset val="134"/>
      </rPr>
      <t>㎡。</t>
    </r>
  </si>
  <si>
    <t>八布乡荒田村委会串户路建设</t>
  </si>
  <si>
    <r>
      <rPr>
        <sz val="10"/>
        <rFont val="宋体"/>
        <charset val="134"/>
      </rPr>
      <t>硬化串户路13170㎡，其中：中坪寨910㎡、牛场1310㎡、老寨720</t>
    </r>
    <r>
      <rPr>
        <sz val="10"/>
        <rFont val="SimSun"/>
        <charset val="134"/>
      </rPr>
      <t>㎡、丫口</t>
    </r>
    <r>
      <rPr>
        <sz val="10"/>
        <rFont val="宋体"/>
        <charset val="134"/>
      </rPr>
      <t>860</t>
    </r>
    <r>
      <rPr>
        <sz val="10"/>
        <rFont val="SimSun"/>
        <charset val="134"/>
      </rPr>
      <t>㎡、岩头</t>
    </r>
    <r>
      <rPr>
        <sz val="10"/>
        <rFont val="宋体"/>
        <charset val="134"/>
      </rPr>
      <t>1230</t>
    </r>
    <r>
      <rPr>
        <sz val="10"/>
        <rFont val="SimSun"/>
        <charset val="134"/>
      </rPr>
      <t>㎡、下荒田</t>
    </r>
    <r>
      <rPr>
        <sz val="10"/>
        <rFont val="宋体"/>
        <charset val="134"/>
      </rPr>
      <t>1270</t>
    </r>
    <r>
      <rPr>
        <sz val="10"/>
        <rFont val="SimSun"/>
        <charset val="134"/>
      </rPr>
      <t>㎡、马安田</t>
    </r>
    <r>
      <rPr>
        <sz val="10"/>
        <rFont val="宋体"/>
        <charset val="134"/>
      </rPr>
      <t>1120</t>
    </r>
    <r>
      <rPr>
        <sz val="10"/>
        <rFont val="SimSun"/>
        <charset val="134"/>
      </rPr>
      <t>㎡、新寨</t>
    </r>
    <r>
      <rPr>
        <sz val="10"/>
        <rFont val="宋体"/>
        <charset val="134"/>
      </rPr>
      <t>3650</t>
    </r>
    <r>
      <rPr>
        <sz val="10"/>
        <rFont val="SimSun"/>
        <charset val="134"/>
      </rPr>
      <t>㎡、凹塘</t>
    </r>
    <r>
      <rPr>
        <sz val="10"/>
        <rFont val="宋体"/>
        <charset val="134"/>
      </rPr>
      <t>1240</t>
    </r>
    <r>
      <rPr>
        <sz val="10"/>
        <rFont val="SimSun"/>
        <charset val="134"/>
      </rPr>
      <t>㎡、坪子</t>
    </r>
    <r>
      <rPr>
        <sz val="10"/>
        <rFont val="宋体"/>
        <charset val="134"/>
      </rPr>
      <t>860</t>
    </r>
    <r>
      <rPr>
        <sz val="10"/>
        <rFont val="SimSun"/>
        <charset val="134"/>
      </rPr>
      <t>㎡</t>
    </r>
  </si>
  <si>
    <t>八布乡龙龙村委会串户路建设项目</t>
  </si>
  <si>
    <r>
      <rPr>
        <sz val="10"/>
        <rFont val="宋体"/>
        <charset val="134"/>
      </rPr>
      <t>硬化串户路</t>
    </r>
    <r>
      <rPr>
        <sz val="10"/>
        <rFont val="Times New Roman"/>
        <charset val="134"/>
      </rPr>
      <t>57490</t>
    </r>
    <r>
      <rPr>
        <sz val="10"/>
        <rFont val="宋体"/>
        <charset val="134"/>
      </rPr>
      <t>㎡，里面包含</t>
    </r>
    <r>
      <rPr>
        <sz val="10"/>
        <rFont val="Times New Roman"/>
        <charset val="134"/>
      </rPr>
      <t>3</t>
    </r>
    <r>
      <rPr>
        <sz val="10"/>
        <rFont val="宋体"/>
        <charset val="134"/>
      </rPr>
      <t>米支路，</t>
    </r>
    <r>
      <rPr>
        <sz val="10"/>
        <rFont val="Times New Roman"/>
        <charset val="134"/>
      </rPr>
      <t>1.5</t>
    </r>
    <r>
      <rPr>
        <sz val="10"/>
        <rFont val="宋体"/>
        <charset val="134"/>
      </rPr>
      <t>米入户路，院子建设，其中：茅草坪</t>
    </r>
    <r>
      <rPr>
        <sz val="10"/>
        <rFont val="Times New Roman"/>
        <charset val="134"/>
      </rPr>
      <t>1321.5</t>
    </r>
    <r>
      <rPr>
        <sz val="10"/>
        <rFont val="宋体"/>
        <charset val="134"/>
      </rPr>
      <t>㎡，达嘎</t>
    </r>
    <r>
      <rPr>
        <sz val="10"/>
        <rFont val="Times New Roman"/>
        <charset val="134"/>
      </rPr>
      <t>2197.5</t>
    </r>
    <r>
      <rPr>
        <sz val="10"/>
        <rFont val="宋体"/>
        <charset val="134"/>
      </rPr>
      <t>㎡，龙龙</t>
    </r>
    <r>
      <rPr>
        <sz val="10"/>
        <rFont val="Times New Roman"/>
        <charset val="134"/>
      </rPr>
      <t>3688</t>
    </r>
    <r>
      <rPr>
        <sz val="10"/>
        <rFont val="宋体"/>
        <charset val="134"/>
      </rPr>
      <t>㎡，哪门</t>
    </r>
    <r>
      <rPr>
        <sz val="10"/>
        <rFont val="Times New Roman"/>
        <charset val="134"/>
      </rPr>
      <t>5718</t>
    </r>
    <r>
      <rPr>
        <sz val="10"/>
        <rFont val="宋体"/>
        <charset val="134"/>
      </rPr>
      <t>㎡，桥头</t>
    </r>
    <r>
      <rPr>
        <sz val="10"/>
        <rFont val="Times New Roman"/>
        <charset val="134"/>
      </rPr>
      <t>603</t>
    </r>
    <r>
      <rPr>
        <sz val="10"/>
        <rFont val="宋体"/>
        <charset val="134"/>
      </rPr>
      <t>㎡，奎龙老寨</t>
    </r>
    <r>
      <rPr>
        <sz val="10"/>
        <rFont val="Times New Roman"/>
        <charset val="134"/>
      </rPr>
      <t>3711</t>
    </r>
    <r>
      <rPr>
        <sz val="10"/>
        <rFont val="宋体"/>
        <charset val="134"/>
      </rPr>
      <t>㎡，上扣忙</t>
    </r>
    <r>
      <rPr>
        <sz val="10"/>
        <rFont val="Times New Roman"/>
        <charset val="134"/>
      </rPr>
      <t>6655.5</t>
    </r>
    <r>
      <rPr>
        <sz val="10"/>
        <rFont val="宋体"/>
        <charset val="134"/>
      </rPr>
      <t>㎡，炭山新寨</t>
    </r>
    <r>
      <rPr>
        <sz val="10"/>
        <rFont val="Times New Roman"/>
        <charset val="134"/>
      </rPr>
      <t>4512</t>
    </r>
    <r>
      <rPr>
        <sz val="10"/>
        <rFont val="宋体"/>
        <charset val="134"/>
      </rPr>
      <t>㎡，歪拷</t>
    </r>
    <r>
      <rPr>
        <sz val="10"/>
        <rFont val="Times New Roman"/>
        <charset val="134"/>
      </rPr>
      <t>2809.5</t>
    </r>
    <r>
      <rPr>
        <sz val="10"/>
        <rFont val="宋体"/>
        <charset val="134"/>
      </rPr>
      <t>㎡，哪崩</t>
    </r>
    <r>
      <rPr>
        <sz val="10"/>
        <rFont val="Times New Roman"/>
        <charset val="134"/>
      </rPr>
      <t>2671.5</t>
    </r>
    <r>
      <rPr>
        <sz val="10"/>
        <rFont val="宋体"/>
        <charset val="134"/>
      </rPr>
      <t>㎡，下扣忙</t>
    </r>
    <r>
      <rPr>
        <sz val="10"/>
        <rFont val="Times New Roman"/>
        <charset val="134"/>
      </rPr>
      <t>3753.7</t>
    </r>
    <r>
      <rPr>
        <sz val="10"/>
        <rFont val="宋体"/>
        <charset val="134"/>
      </rPr>
      <t>㎡，炭山一、二</t>
    </r>
    <r>
      <rPr>
        <sz val="10"/>
        <rFont val="Times New Roman"/>
        <charset val="134"/>
      </rPr>
      <t>2122.5</t>
    </r>
    <r>
      <rPr>
        <sz val="10"/>
        <rFont val="宋体"/>
        <charset val="134"/>
      </rPr>
      <t>㎡，扣湾</t>
    </r>
    <r>
      <rPr>
        <sz val="10"/>
        <rFont val="Times New Roman"/>
        <charset val="134"/>
      </rPr>
      <t>4724.5</t>
    </r>
    <r>
      <rPr>
        <sz val="10"/>
        <rFont val="宋体"/>
        <charset val="134"/>
      </rPr>
      <t>㎡，奎竜新寨</t>
    </r>
    <r>
      <rPr>
        <sz val="10"/>
        <rFont val="Times New Roman"/>
        <charset val="134"/>
      </rPr>
      <t>4675</t>
    </r>
    <r>
      <rPr>
        <sz val="10"/>
        <rFont val="宋体"/>
        <charset val="134"/>
      </rPr>
      <t>㎡，坝脚</t>
    </r>
    <r>
      <rPr>
        <sz val="10"/>
        <rFont val="Times New Roman"/>
        <charset val="134"/>
      </rPr>
      <t>8331</t>
    </r>
    <r>
      <rPr>
        <sz val="10"/>
        <rFont val="宋体"/>
        <charset val="134"/>
      </rPr>
      <t>㎡。</t>
    </r>
  </si>
  <si>
    <r>
      <rPr>
        <sz val="10"/>
        <rFont val="宋体"/>
        <charset val="134"/>
      </rPr>
      <t>硬化串户路</t>
    </r>
    <r>
      <rPr>
        <sz val="10"/>
        <rFont val="Times New Roman"/>
        <charset val="134"/>
      </rPr>
      <t>38200</t>
    </r>
    <r>
      <rPr>
        <sz val="10"/>
        <rFont val="宋体"/>
        <charset val="134"/>
      </rPr>
      <t>㎡，里面包含</t>
    </r>
    <r>
      <rPr>
        <sz val="10"/>
        <rFont val="Times New Roman"/>
        <charset val="134"/>
      </rPr>
      <t>3</t>
    </r>
    <r>
      <rPr>
        <sz val="10"/>
        <rFont val="宋体"/>
        <charset val="134"/>
      </rPr>
      <t>米支路，</t>
    </r>
    <r>
      <rPr>
        <sz val="10"/>
        <rFont val="Times New Roman"/>
        <charset val="134"/>
      </rPr>
      <t>1.5</t>
    </r>
    <r>
      <rPr>
        <sz val="10"/>
        <rFont val="宋体"/>
        <charset val="134"/>
      </rPr>
      <t>米入户路，院子建设，其中：和平</t>
    </r>
    <r>
      <rPr>
        <sz val="10"/>
        <rFont val="Times New Roman"/>
        <charset val="134"/>
      </rPr>
      <t>961.05</t>
    </r>
    <r>
      <rPr>
        <sz val="10"/>
        <rFont val="宋体"/>
        <charset val="134"/>
      </rPr>
      <t>㎡，蚂蟥箐</t>
    </r>
    <r>
      <rPr>
        <sz val="10"/>
        <rFont val="Times New Roman"/>
        <charset val="134"/>
      </rPr>
      <t>1387.8</t>
    </r>
    <r>
      <rPr>
        <sz val="10"/>
        <rFont val="宋体"/>
        <charset val="134"/>
      </rPr>
      <t>㎡，棉花地</t>
    </r>
    <r>
      <rPr>
        <sz val="10"/>
        <rFont val="Times New Roman"/>
        <charset val="134"/>
      </rPr>
      <t>159.6</t>
    </r>
    <r>
      <rPr>
        <sz val="10"/>
        <rFont val="宋体"/>
        <charset val="134"/>
      </rPr>
      <t>㎡，牛场</t>
    </r>
    <r>
      <rPr>
        <sz val="10"/>
        <rFont val="Times New Roman"/>
        <charset val="134"/>
      </rPr>
      <t>2947.9</t>
    </r>
    <r>
      <rPr>
        <sz val="10"/>
        <rFont val="宋体"/>
        <charset val="134"/>
      </rPr>
      <t>㎡，坪子村</t>
    </r>
    <r>
      <rPr>
        <sz val="10"/>
        <rFont val="Times New Roman"/>
        <charset val="134"/>
      </rPr>
      <t>1909.5</t>
    </r>
    <r>
      <rPr>
        <sz val="10"/>
        <rFont val="宋体"/>
        <charset val="134"/>
      </rPr>
      <t>㎡，白口洞</t>
    </r>
    <r>
      <rPr>
        <sz val="10"/>
        <rFont val="Times New Roman"/>
        <charset val="134"/>
      </rPr>
      <t>3480.75</t>
    </r>
    <r>
      <rPr>
        <sz val="10"/>
        <rFont val="宋体"/>
        <charset val="134"/>
      </rPr>
      <t>㎡，大湾子</t>
    </r>
    <r>
      <rPr>
        <sz val="10"/>
        <rFont val="Times New Roman"/>
        <charset val="134"/>
      </rPr>
      <t>2169.6</t>
    </r>
    <r>
      <rPr>
        <sz val="10"/>
        <rFont val="宋体"/>
        <charset val="134"/>
      </rPr>
      <t>㎡，竜湾村</t>
    </r>
    <r>
      <rPr>
        <sz val="10"/>
        <rFont val="Times New Roman"/>
        <charset val="134"/>
      </rPr>
      <t>7702.8</t>
    </r>
    <r>
      <rPr>
        <sz val="10"/>
        <rFont val="宋体"/>
        <charset val="134"/>
      </rPr>
      <t>㎡，马家寨</t>
    </r>
    <r>
      <rPr>
        <sz val="10"/>
        <rFont val="Times New Roman"/>
        <charset val="134"/>
      </rPr>
      <t>2744.85</t>
    </r>
    <r>
      <rPr>
        <sz val="10"/>
        <rFont val="宋体"/>
        <charset val="134"/>
      </rPr>
      <t>㎡，新发寨小组</t>
    </r>
    <r>
      <rPr>
        <sz val="10"/>
        <rFont val="Times New Roman"/>
        <charset val="134"/>
      </rPr>
      <t>3438</t>
    </r>
    <r>
      <rPr>
        <sz val="10"/>
        <rFont val="宋体"/>
        <charset val="134"/>
      </rPr>
      <t>㎡，新房子村</t>
    </r>
    <r>
      <rPr>
        <sz val="10"/>
        <rFont val="Times New Roman"/>
        <charset val="134"/>
      </rPr>
      <t>2478.3</t>
    </r>
    <r>
      <rPr>
        <sz val="10"/>
        <rFont val="宋体"/>
        <charset val="134"/>
      </rPr>
      <t>㎡，猪滚塘村</t>
    </r>
    <r>
      <rPr>
        <sz val="10"/>
        <rFont val="Times New Roman"/>
        <charset val="134"/>
      </rPr>
      <t>1731.45</t>
    </r>
    <r>
      <rPr>
        <sz val="10"/>
        <rFont val="宋体"/>
        <charset val="134"/>
      </rPr>
      <t>㎡，安恩寨</t>
    </r>
    <r>
      <rPr>
        <sz val="10"/>
        <rFont val="Times New Roman"/>
        <charset val="134"/>
      </rPr>
      <t>5833</t>
    </r>
    <r>
      <rPr>
        <sz val="10"/>
        <rFont val="宋体"/>
        <charset val="134"/>
      </rPr>
      <t>㎡，桐子湾</t>
    </r>
    <r>
      <rPr>
        <sz val="10"/>
        <rFont val="Times New Roman"/>
        <charset val="134"/>
      </rPr>
      <t>1255.5</t>
    </r>
    <r>
      <rPr>
        <sz val="10"/>
        <rFont val="宋体"/>
        <charset val="134"/>
      </rPr>
      <t>㎡。</t>
    </r>
  </si>
  <si>
    <r>
      <rPr>
        <sz val="10"/>
        <rFont val="宋体"/>
        <charset val="134"/>
      </rPr>
      <t>硬化串户路</t>
    </r>
    <r>
      <rPr>
        <sz val="10"/>
        <rFont val="Times New Roman"/>
        <charset val="134"/>
      </rPr>
      <t>40123.5</t>
    </r>
    <r>
      <rPr>
        <sz val="10"/>
        <rFont val="宋体"/>
        <charset val="134"/>
      </rPr>
      <t>㎡，其中：老汪冲</t>
    </r>
    <r>
      <rPr>
        <sz val="10"/>
        <rFont val="Times New Roman"/>
        <charset val="134"/>
      </rPr>
      <t>1604</t>
    </r>
    <r>
      <rPr>
        <sz val="10"/>
        <rFont val="宋体"/>
        <charset val="134"/>
      </rPr>
      <t>㎡，老汪箐</t>
    </r>
    <r>
      <rPr>
        <sz val="10"/>
        <rFont val="Times New Roman"/>
        <charset val="134"/>
      </rPr>
      <t>2800</t>
    </r>
    <r>
      <rPr>
        <sz val="10"/>
        <rFont val="宋体"/>
        <charset val="134"/>
      </rPr>
      <t>㎡，新寨</t>
    </r>
    <r>
      <rPr>
        <sz val="10"/>
        <rFont val="Times New Roman"/>
        <charset val="134"/>
      </rPr>
      <t>2800</t>
    </r>
    <r>
      <rPr>
        <sz val="10"/>
        <rFont val="宋体"/>
        <charset val="134"/>
      </rPr>
      <t>㎡，良子</t>
    </r>
    <r>
      <rPr>
        <sz val="10"/>
        <rFont val="Times New Roman"/>
        <charset val="134"/>
      </rPr>
      <t>3500</t>
    </r>
    <r>
      <rPr>
        <sz val="10"/>
        <rFont val="宋体"/>
        <charset val="134"/>
      </rPr>
      <t>㎡，奎样</t>
    </r>
    <r>
      <rPr>
        <sz val="10"/>
        <rFont val="Times New Roman"/>
        <charset val="134"/>
      </rPr>
      <t>3500</t>
    </r>
    <r>
      <rPr>
        <sz val="10"/>
        <rFont val="宋体"/>
        <charset val="134"/>
      </rPr>
      <t>㎡，新堡寨</t>
    </r>
    <r>
      <rPr>
        <sz val="10"/>
        <rFont val="Times New Roman"/>
        <charset val="134"/>
      </rPr>
      <t>7000</t>
    </r>
    <r>
      <rPr>
        <sz val="10"/>
        <rFont val="宋体"/>
        <charset val="134"/>
      </rPr>
      <t>㎡、扣广</t>
    </r>
    <r>
      <rPr>
        <sz val="10"/>
        <rFont val="Times New Roman"/>
        <charset val="134"/>
      </rPr>
      <t>2000</t>
    </r>
    <r>
      <rPr>
        <sz val="10"/>
        <rFont val="宋体"/>
        <charset val="134"/>
      </rPr>
      <t>㎡、上奎师</t>
    </r>
    <r>
      <rPr>
        <sz val="10"/>
        <rFont val="Times New Roman"/>
        <charset val="134"/>
      </rPr>
      <t>6500</t>
    </r>
    <r>
      <rPr>
        <sz val="10"/>
        <rFont val="宋体"/>
        <charset val="134"/>
      </rPr>
      <t>㎡、奎来</t>
    </r>
    <r>
      <rPr>
        <sz val="10"/>
        <rFont val="Times New Roman"/>
        <charset val="134"/>
      </rPr>
      <t>5500</t>
    </r>
    <r>
      <rPr>
        <sz val="10"/>
        <rFont val="宋体"/>
        <charset val="134"/>
      </rPr>
      <t>㎡、哪波</t>
    </r>
    <r>
      <rPr>
        <sz val="10"/>
        <rFont val="Times New Roman"/>
        <charset val="134"/>
      </rPr>
      <t>1000</t>
    </r>
    <r>
      <rPr>
        <sz val="10"/>
        <rFont val="宋体"/>
        <charset val="134"/>
      </rPr>
      <t>㎡、下奎师</t>
    </r>
    <r>
      <rPr>
        <sz val="10"/>
        <rFont val="Times New Roman"/>
        <charset val="134"/>
      </rPr>
      <t>420</t>
    </r>
    <r>
      <rPr>
        <sz val="10"/>
        <rFont val="宋体"/>
        <charset val="134"/>
      </rPr>
      <t>㎡、下江南</t>
    </r>
    <r>
      <rPr>
        <sz val="10"/>
        <rFont val="Times New Roman"/>
        <charset val="134"/>
      </rPr>
      <t>1500</t>
    </r>
    <r>
      <rPr>
        <sz val="10"/>
        <rFont val="宋体"/>
        <charset val="134"/>
      </rPr>
      <t>㎡、哪龙村</t>
    </r>
    <r>
      <rPr>
        <sz val="10"/>
        <rFont val="Times New Roman"/>
        <charset val="134"/>
      </rPr>
      <t>2000</t>
    </r>
    <r>
      <rPr>
        <sz val="10"/>
        <rFont val="宋体"/>
        <charset val="134"/>
      </rPr>
      <t>㎡。</t>
    </r>
  </si>
  <si>
    <t>带一平</t>
  </si>
  <si>
    <r>
      <rPr>
        <sz val="10"/>
        <rFont val="宋体"/>
        <charset val="134"/>
      </rPr>
      <t>硬化串户路硬化串户路</t>
    </r>
    <r>
      <rPr>
        <sz val="10"/>
        <rFont val="Times New Roman"/>
        <charset val="134"/>
      </rPr>
      <t>23965</t>
    </r>
    <r>
      <rPr>
        <sz val="10"/>
        <rFont val="宋体"/>
        <charset val="134"/>
      </rPr>
      <t>平方米里面包含</t>
    </r>
    <r>
      <rPr>
        <sz val="10"/>
        <rFont val="Times New Roman"/>
        <charset val="134"/>
      </rPr>
      <t>3</t>
    </r>
    <r>
      <rPr>
        <sz val="10"/>
        <rFont val="宋体"/>
        <charset val="134"/>
      </rPr>
      <t>米支路，</t>
    </r>
    <r>
      <rPr>
        <sz val="10"/>
        <rFont val="Times New Roman"/>
        <charset val="134"/>
      </rPr>
      <t>1.5</t>
    </r>
    <r>
      <rPr>
        <sz val="10"/>
        <rFont val="宋体"/>
        <charset val="134"/>
      </rPr>
      <t>米入户路，院子建设，其中：坝拉</t>
    </r>
    <r>
      <rPr>
        <sz val="10"/>
        <rFont val="Times New Roman"/>
        <charset val="134"/>
      </rPr>
      <t>3137</t>
    </r>
    <r>
      <rPr>
        <sz val="10"/>
        <rFont val="宋体"/>
        <charset val="134"/>
      </rPr>
      <t>㎡，坝门</t>
    </r>
    <r>
      <rPr>
        <sz val="10"/>
        <rFont val="Times New Roman"/>
        <charset val="134"/>
      </rPr>
      <t>2463</t>
    </r>
    <r>
      <rPr>
        <sz val="10"/>
        <rFont val="宋体"/>
        <charset val="134"/>
      </rPr>
      <t>㎡，老虎坡</t>
    </r>
    <r>
      <rPr>
        <sz val="10"/>
        <rFont val="Times New Roman"/>
        <charset val="134"/>
      </rPr>
      <t>1040</t>
    </r>
    <r>
      <rPr>
        <sz val="10"/>
        <rFont val="宋体"/>
        <charset val="134"/>
      </rPr>
      <t>㎡，二碇岩</t>
    </r>
    <r>
      <rPr>
        <sz val="10"/>
        <rFont val="Times New Roman"/>
        <charset val="134"/>
      </rPr>
      <t>2431</t>
    </r>
    <r>
      <rPr>
        <sz val="10"/>
        <rFont val="宋体"/>
        <charset val="134"/>
      </rPr>
      <t>㎡，新田</t>
    </r>
    <r>
      <rPr>
        <sz val="10"/>
        <rFont val="Times New Roman"/>
        <charset val="134"/>
      </rPr>
      <t>2385</t>
    </r>
    <r>
      <rPr>
        <sz val="10"/>
        <rFont val="宋体"/>
        <charset val="134"/>
      </rPr>
      <t>㎡，哪马</t>
    </r>
    <r>
      <rPr>
        <sz val="10"/>
        <rFont val="Times New Roman"/>
        <charset val="134"/>
      </rPr>
      <t>1.217</t>
    </r>
    <r>
      <rPr>
        <sz val="10"/>
        <rFont val="宋体"/>
        <charset val="134"/>
      </rPr>
      <t>㎡，两家寨</t>
    </r>
    <r>
      <rPr>
        <sz val="10"/>
        <rFont val="Times New Roman"/>
        <charset val="134"/>
      </rPr>
      <t>3060</t>
    </r>
    <r>
      <rPr>
        <sz val="10"/>
        <rFont val="宋体"/>
        <charset val="134"/>
      </rPr>
      <t>㎡，新村</t>
    </r>
    <r>
      <rPr>
        <sz val="10"/>
        <rFont val="Times New Roman"/>
        <charset val="134"/>
      </rPr>
      <t>4174</t>
    </r>
    <r>
      <rPr>
        <sz val="10"/>
        <rFont val="宋体"/>
        <charset val="134"/>
      </rPr>
      <t>㎡，三家寨</t>
    </r>
    <r>
      <rPr>
        <sz val="10"/>
        <rFont val="Times New Roman"/>
        <charset val="134"/>
      </rPr>
      <t>3101</t>
    </r>
    <r>
      <rPr>
        <sz val="10"/>
        <rFont val="宋体"/>
        <charset val="134"/>
      </rPr>
      <t>㎡。</t>
    </r>
  </si>
  <si>
    <r>
      <rPr>
        <sz val="10"/>
        <rFont val="宋体"/>
        <charset val="134"/>
      </rPr>
      <t>硬化串户路</t>
    </r>
    <r>
      <rPr>
        <sz val="10"/>
        <rFont val="Times New Roman"/>
        <charset val="134"/>
      </rPr>
      <t>21473.5</t>
    </r>
    <r>
      <rPr>
        <sz val="10"/>
        <rFont val="宋体"/>
        <charset val="134"/>
      </rPr>
      <t>㎡，其中：鱼塘</t>
    </r>
    <r>
      <rPr>
        <sz val="10"/>
        <rFont val="Times New Roman"/>
        <charset val="134"/>
      </rPr>
      <t>2400.5</t>
    </r>
    <r>
      <rPr>
        <sz val="10"/>
        <rFont val="宋体"/>
        <charset val="134"/>
      </rPr>
      <t>㎡、太阳冲</t>
    </r>
    <r>
      <rPr>
        <sz val="10"/>
        <rFont val="Times New Roman"/>
        <charset val="134"/>
      </rPr>
      <t>5175</t>
    </r>
    <r>
      <rPr>
        <sz val="10"/>
        <rFont val="宋体"/>
        <charset val="134"/>
      </rPr>
      <t>㎡、坪子</t>
    </r>
    <r>
      <rPr>
        <sz val="10"/>
        <rFont val="Times New Roman"/>
        <charset val="134"/>
      </rPr>
      <t>1035</t>
    </r>
    <r>
      <rPr>
        <sz val="10"/>
        <rFont val="宋体"/>
        <charset val="134"/>
      </rPr>
      <t>㎡、丁榔</t>
    </r>
    <r>
      <rPr>
        <sz val="10"/>
        <rFont val="Times New Roman"/>
        <charset val="134"/>
      </rPr>
      <t>2005</t>
    </r>
    <r>
      <rPr>
        <sz val="10"/>
        <rFont val="宋体"/>
        <charset val="134"/>
      </rPr>
      <t>㎡、哪龙</t>
    </r>
    <r>
      <rPr>
        <sz val="10"/>
        <rFont val="Times New Roman"/>
        <charset val="134"/>
      </rPr>
      <t>2010</t>
    </r>
    <r>
      <rPr>
        <sz val="10"/>
        <rFont val="宋体"/>
        <charset val="134"/>
      </rPr>
      <t>㎡、攀枝花</t>
    </r>
    <r>
      <rPr>
        <sz val="10"/>
        <rFont val="Times New Roman"/>
        <charset val="134"/>
      </rPr>
      <t>4200</t>
    </r>
    <r>
      <rPr>
        <sz val="10"/>
        <rFont val="宋体"/>
        <charset val="134"/>
      </rPr>
      <t>㎡、下奎布</t>
    </r>
    <r>
      <rPr>
        <sz val="10"/>
        <rFont val="Times New Roman"/>
        <charset val="134"/>
      </rPr>
      <t>2600.5</t>
    </r>
    <r>
      <rPr>
        <sz val="10"/>
        <rFont val="宋体"/>
        <charset val="134"/>
      </rPr>
      <t>㎡、牛场</t>
    </r>
    <r>
      <rPr>
        <sz val="10"/>
        <rFont val="Times New Roman"/>
        <charset val="134"/>
      </rPr>
      <t>540</t>
    </r>
    <r>
      <rPr>
        <sz val="10"/>
        <rFont val="SimSun"/>
        <charset val="134"/>
      </rPr>
      <t>㎡、田坝</t>
    </r>
    <r>
      <rPr>
        <sz val="10"/>
        <rFont val="Times New Roman"/>
        <charset val="134"/>
      </rPr>
      <t>1558.5</t>
    </r>
    <r>
      <rPr>
        <sz val="10"/>
        <rFont val="SimSun"/>
        <charset val="134"/>
      </rPr>
      <t>㎡。</t>
    </r>
  </si>
  <si>
    <t>六、生态扶贫</t>
  </si>
  <si>
    <t>（一）退耕还林</t>
  </si>
  <si>
    <r>
      <rPr>
        <sz val="10"/>
        <rFont val="宋体"/>
        <charset val="134"/>
      </rPr>
      <t>按县林业局反馈意见进行统计，</t>
    </r>
    <r>
      <rPr>
        <sz val="10"/>
        <rFont val="Times New Roman"/>
        <charset val="134"/>
      </rPr>
      <t>2018</t>
    </r>
    <r>
      <rPr>
        <sz val="10"/>
        <rFont val="宋体"/>
        <charset val="134"/>
      </rPr>
      <t>年实施</t>
    </r>
    <r>
      <rPr>
        <sz val="10"/>
        <rFont val="Times New Roman"/>
        <charset val="134"/>
      </rPr>
      <t>6000</t>
    </r>
    <r>
      <rPr>
        <sz val="10"/>
        <rFont val="宋体"/>
        <charset val="134"/>
      </rPr>
      <t>亩，</t>
    </r>
    <r>
      <rPr>
        <sz val="10"/>
        <rFont val="Times New Roman"/>
        <charset val="134"/>
      </rPr>
      <t>2019</t>
    </r>
    <r>
      <rPr>
        <sz val="10"/>
        <rFont val="宋体"/>
        <charset val="134"/>
      </rPr>
      <t>年实施</t>
    </r>
    <r>
      <rPr>
        <sz val="10"/>
        <rFont val="Times New Roman"/>
        <charset val="134"/>
      </rPr>
      <t>5000</t>
    </r>
    <r>
      <rPr>
        <sz val="10"/>
        <rFont val="宋体"/>
        <charset val="134"/>
      </rPr>
      <t>亩，</t>
    </r>
    <r>
      <rPr>
        <sz val="10"/>
        <rFont val="Times New Roman"/>
        <charset val="134"/>
      </rPr>
      <t>2020</t>
    </r>
    <r>
      <rPr>
        <sz val="10"/>
        <rFont val="宋体"/>
        <charset val="134"/>
      </rPr>
      <t>年实施</t>
    </r>
    <r>
      <rPr>
        <sz val="10"/>
        <rFont val="Times New Roman"/>
        <charset val="134"/>
      </rPr>
      <t>7000</t>
    </r>
    <r>
      <rPr>
        <sz val="10"/>
        <rFont val="宋体"/>
        <charset val="134"/>
      </rPr>
      <t>亩；补助标准为</t>
    </r>
    <r>
      <rPr>
        <sz val="10"/>
        <rFont val="Times New Roman"/>
        <charset val="134"/>
      </rPr>
      <t>1600</t>
    </r>
    <r>
      <rPr>
        <sz val="10"/>
        <rFont val="宋体"/>
        <charset val="134"/>
      </rPr>
      <t>元</t>
    </r>
    <r>
      <rPr>
        <sz val="10"/>
        <rFont val="Times New Roman"/>
        <charset val="134"/>
      </rPr>
      <t>/</t>
    </r>
    <r>
      <rPr>
        <sz val="10"/>
        <rFont val="宋体"/>
        <charset val="134"/>
      </rPr>
      <t>亩，其中第一年补助</t>
    </r>
    <r>
      <rPr>
        <sz val="10"/>
        <rFont val="Times New Roman"/>
        <charset val="134"/>
      </rPr>
      <t>900</t>
    </r>
    <r>
      <rPr>
        <sz val="10"/>
        <rFont val="宋体"/>
        <charset val="134"/>
      </rPr>
      <t>元，第三年补助</t>
    </r>
    <r>
      <rPr>
        <sz val="10"/>
        <rFont val="Times New Roman"/>
        <charset val="134"/>
      </rPr>
      <t>300</t>
    </r>
    <r>
      <rPr>
        <sz val="10"/>
        <rFont val="宋体"/>
        <charset val="134"/>
      </rPr>
      <t>元，第五年补助</t>
    </r>
    <r>
      <rPr>
        <sz val="10"/>
        <rFont val="Times New Roman"/>
        <charset val="134"/>
      </rPr>
      <t>400</t>
    </r>
    <r>
      <rPr>
        <sz val="10"/>
        <rFont val="宋体"/>
        <charset val="134"/>
      </rPr>
      <t>元。</t>
    </r>
  </si>
  <si>
    <t>（二）退耕还草</t>
  </si>
  <si>
    <t>骆俊</t>
  </si>
  <si>
    <r>
      <rPr>
        <sz val="10"/>
        <rFont val="宋体"/>
        <charset val="134"/>
      </rPr>
      <t>对应村级施工图（按县农科局反馈意见进行统计，补助标准为</t>
    </r>
    <r>
      <rPr>
        <sz val="10"/>
        <rFont val="Times New Roman"/>
        <charset val="134"/>
      </rPr>
      <t>1000</t>
    </r>
    <r>
      <rPr>
        <sz val="10"/>
        <rFont val="宋体"/>
        <charset val="134"/>
      </rPr>
      <t>元</t>
    </r>
    <r>
      <rPr>
        <sz val="10"/>
        <rFont val="Times New Roman"/>
        <charset val="134"/>
      </rPr>
      <t>/</t>
    </r>
    <r>
      <rPr>
        <sz val="10"/>
        <rFont val="宋体"/>
        <charset val="134"/>
      </rPr>
      <t>亩）</t>
    </r>
  </si>
  <si>
    <t>赵永然</t>
  </si>
  <si>
    <r>
      <rPr>
        <sz val="10"/>
        <rFont val="宋体"/>
        <charset val="134"/>
      </rPr>
      <t>对应村级施工图（按县林业局反馈意见进行统计，补助标准为</t>
    </r>
    <r>
      <rPr>
        <sz val="10"/>
        <rFont val="Times New Roman"/>
        <charset val="134"/>
      </rPr>
      <t>8000</t>
    </r>
    <r>
      <rPr>
        <sz val="10"/>
        <rFont val="宋体"/>
        <charset val="134"/>
      </rPr>
      <t>元</t>
    </r>
    <r>
      <rPr>
        <sz val="10"/>
        <rFont val="Times New Roman"/>
        <charset val="134"/>
      </rPr>
      <t>/</t>
    </r>
    <r>
      <rPr>
        <sz val="10"/>
        <rFont val="宋体"/>
        <charset val="134"/>
      </rPr>
      <t>人</t>
    </r>
    <r>
      <rPr>
        <sz val="10"/>
        <rFont val="Times New Roman"/>
        <charset val="134"/>
      </rPr>
      <t>/</t>
    </r>
    <r>
      <rPr>
        <sz val="10"/>
        <rFont val="宋体"/>
        <charset val="134"/>
      </rPr>
      <t>年）</t>
    </r>
  </si>
  <si>
    <t>七、兜底保障工程</t>
  </si>
  <si>
    <t>杨秀华</t>
  </si>
  <si>
    <r>
      <rPr>
        <sz val="10"/>
        <rFont val="宋体"/>
        <charset val="134"/>
      </rPr>
      <t>对应村级施工图（按民政反馈意见，补助标准为</t>
    </r>
    <r>
      <rPr>
        <sz val="10"/>
        <rFont val="Times New Roman"/>
        <charset val="134"/>
      </rPr>
      <t>2018</t>
    </r>
    <r>
      <rPr>
        <sz val="10"/>
        <rFont val="宋体"/>
        <charset val="134"/>
      </rPr>
      <t>年</t>
    </r>
    <r>
      <rPr>
        <sz val="10"/>
        <rFont val="Times New Roman"/>
        <charset val="134"/>
      </rPr>
      <t>168</t>
    </r>
    <r>
      <rPr>
        <sz val="10"/>
        <rFont val="宋体"/>
        <charset val="134"/>
      </rPr>
      <t>元</t>
    </r>
    <r>
      <rPr>
        <sz val="10"/>
        <rFont val="Times New Roman"/>
        <charset val="134"/>
      </rPr>
      <t>/</t>
    </r>
    <r>
      <rPr>
        <sz val="10"/>
        <rFont val="宋体"/>
        <charset val="134"/>
      </rPr>
      <t>人</t>
    </r>
    <r>
      <rPr>
        <sz val="10"/>
        <rFont val="Times New Roman"/>
        <charset val="134"/>
      </rPr>
      <t>/</t>
    </r>
    <r>
      <rPr>
        <sz val="10"/>
        <rFont val="宋体"/>
        <charset val="134"/>
      </rPr>
      <t>月，</t>
    </r>
    <r>
      <rPr>
        <sz val="10"/>
        <rFont val="Times New Roman"/>
        <charset val="134"/>
      </rPr>
      <t>2019</t>
    </r>
    <r>
      <rPr>
        <sz val="10"/>
        <rFont val="宋体"/>
        <charset val="134"/>
      </rPr>
      <t>年为</t>
    </r>
    <r>
      <rPr>
        <sz val="10"/>
        <rFont val="Times New Roman"/>
        <charset val="134"/>
      </rPr>
      <t>2018</t>
    </r>
    <r>
      <rPr>
        <sz val="10"/>
        <rFont val="宋体"/>
        <charset val="134"/>
      </rPr>
      <t>年的</t>
    </r>
    <r>
      <rPr>
        <sz val="10"/>
        <rFont val="Times New Roman"/>
        <charset val="134"/>
      </rPr>
      <t>115%</t>
    </r>
    <r>
      <rPr>
        <sz val="10"/>
        <rFont val="宋体"/>
        <charset val="134"/>
      </rPr>
      <t>，</t>
    </r>
    <r>
      <rPr>
        <sz val="10"/>
        <rFont val="Times New Roman"/>
        <charset val="134"/>
      </rPr>
      <t>2020</t>
    </r>
    <r>
      <rPr>
        <sz val="10"/>
        <rFont val="宋体"/>
        <charset val="134"/>
      </rPr>
      <t>年为</t>
    </r>
    <r>
      <rPr>
        <sz val="10"/>
        <rFont val="Times New Roman"/>
        <charset val="134"/>
      </rPr>
      <t>2019</t>
    </r>
    <r>
      <rPr>
        <sz val="10"/>
        <rFont val="宋体"/>
        <charset val="134"/>
      </rPr>
      <t>年的</t>
    </r>
    <r>
      <rPr>
        <sz val="10"/>
        <rFont val="Times New Roman"/>
        <charset val="134"/>
      </rPr>
      <t>115%</t>
    </r>
    <r>
      <rPr>
        <sz val="10"/>
        <rFont val="宋体"/>
        <charset val="134"/>
      </rPr>
      <t>）。</t>
    </r>
  </si>
  <si>
    <r>
      <rPr>
        <sz val="10"/>
        <rFont val="宋体"/>
        <charset val="134"/>
      </rPr>
      <t>一类</t>
    </r>
    <r>
      <rPr>
        <sz val="10"/>
        <rFont val="Times New Roman"/>
        <charset val="134"/>
      </rPr>
      <t>26</t>
    </r>
    <r>
      <rPr>
        <sz val="10"/>
        <rFont val="宋体"/>
        <charset val="134"/>
      </rPr>
      <t>人，二类</t>
    </r>
    <r>
      <rPr>
        <sz val="10"/>
        <rFont val="Times New Roman"/>
        <charset val="134"/>
      </rPr>
      <t>40</t>
    </r>
    <r>
      <rPr>
        <sz val="10"/>
        <rFont val="宋体"/>
        <charset val="134"/>
      </rPr>
      <t>人，三类</t>
    </r>
    <r>
      <rPr>
        <sz val="10"/>
        <rFont val="Times New Roman"/>
        <charset val="134"/>
      </rPr>
      <t>10</t>
    </r>
    <r>
      <rPr>
        <sz val="10"/>
        <rFont val="宋体"/>
        <charset val="134"/>
      </rPr>
      <t>人</t>
    </r>
  </si>
  <si>
    <t>一类2人，二类7人，三类0人</t>
  </si>
  <si>
    <t>一类4人，二类6人，三类2人</t>
  </si>
  <si>
    <t>一类10人，二类14人，三类0人</t>
  </si>
  <si>
    <t>胥靖</t>
  </si>
  <si>
    <r>
      <rPr>
        <sz val="10"/>
        <rFont val="宋体"/>
        <charset val="134"/>
      </rPr>
      <t>一类</t>
    </r>
    <r>
      <rPr>
        <sz val="10"/>
        <rFont val="Times New Roman"/>
        <charset val="134"/>
      </rPr>
      <t>22</t>
    </r>
    <r>
      <rPr>
        <sz val="10"/>
        <rFont val="宋体"/>
        <charset val="134"/>
      </rPr>
      <t>人，二类0人，三类3人</t>
    </r>
  </si>
  <si>
    <r>
      <rPr>
        <sz val="10"/>
        <rFont val="宋体"/>
        <charset val="134"/>
      </rPr>
      <t>一类6人，二类9人，三类</t>
    </r>
    <r>
      <rPr>
        <sz val="10"/>
        <rFont val="Times New Roman"/>
        <charset val="134"/>
      </rPr>
      <t>1</t>
    </r>
    <r>
      <rPr>
        <sz val="10"/>
        <rFont val="宋体"/>
        <charset val="134"/>
      </rPr>
      <t>人</t>
    </r>
  </si>
  <si>
    <t>一类3人，二类5人，三类0人</t>
  </si>
  <si>
    <t>一类0人，二类2人，三类0人</t>
  </si>
  <si>
    <r>
      <rPr>
        <sz val="10"/>
        <rFont val="Times New Roman"/>
        <charset val="134"/>
      </rPr>
      <t>1.</t>
    </r>
    <r>
      <rPr>
        <sz val="10"/>
        <rFont val="宋体"/>
        <charset val="134"/>
      </rPr>
      <t>分散供养</t>
    </r>
  </si>
  <si>
    <r>
      <rPr>
        <sz val="10"/>
        <rFont val="宋体"/>
        <charset val="134"/>
      </rPr>
      <t>对应村级施工图（根据县残联及乡民政反馈名单统计，补助标准为</t>
    </r>
    <r>
      <rPr>
        <sz val="10"/>
        <rFont val="Times New Roman"/>
        <charset val="134"/>
      </rPr>
      <t>455</t>
    </r>
    <r>
      <rPr>
        <sz val="10"/>
        <rFont val="宋体"/>
        <charset val="134"/>
      </rPr>
      <t>元</t>
    </r>
    <r>
      <rPr>
        <sz val="10"/>
        <rFont val="Times New Roman"/>
        <charset val="134"/>
      </rPr>
      <t>/</t>
    </r>
    <r>
      <rPr>
        <sz val="10"/>
        <rFont val="宋体"/>
        <charset val="134"/>
      </rPr>
      <t>人</t>
    </r>
    <r>
      <rPr>
        <sz val="10"/>
        <rFont val="Times New Roman"/>
        <charset val="134"/>
      </rPr>
      <t>/</t>
    </r>
    <r>
      <rPr>
        <sz val="10"/>
        <rFont val="宋体"/>
        <charset val="134"/>
      </rPr>
      <t>月）</t>
    </r>
  </si>
  <si>
    <r>
      <rPr>
        <sz val="10"/>
        <rFont val="Times New Roman"/>
        <charset val="134"/>
      </rPr>
      <t>2.</t>
    </r>
    <r>
      <rPr>
        <sz val="10"/>
        <rFont val="宋体"/>
        <charset val="134"/>
      </rPr>
      <t>集中供养</t>
    </r>
  </si>
  <si>
    <t>对应村级施工图（根据县残联及乡民政反馈名单统计，补助标准为一级残疾补贴1440元/人/年，二级残疾补贴1080元/人/年），八布乡共计147人残疾，其中一级残疾70人，二级残疾77人。</t>
  </si>
  <si>
    <r>
      <rPr>
        <sz val="10"/>
        <rFont val="宋体"/>
        <charset val="134"/>
      </rPr>
      <t>赵</t>
    </r>
    <r>
      <rPr>
        <sz val="10"/>
        <rFont val="Times New Roman"/>
        <charset val="134"/>
      </rPr>
      <t xml:space="preserve">   </t>
    </r>
    <r>
      <rPr>
        <sz val="10"/>
        <rFont val="宋体"/>
        <charset val="134"/>
      </rPr>
      <t>伟</t>
    </r>
  </si>
  <si>
    <t xml:space="preserve"> 其中一级残疾10人，二级残疾13人。</t>
  </si>
  <si>
    <t xml:space="preserve"> 其中一级残疾14人，二级残疾7人。</t>
  </si>
  <si>
    <t xml:space="preserve"> 其中一级残疾2人，二级残疾4人。</t>
  </si>
  <si>
    <t xml:space="preserve"> 其中一级残疾9人，二级残疾6人。</t>
  </si>
  <si>
    <t xml:space="preserve"> 其中一级残疾10人，二级残疾9人。</t>
  </si>
  <si>
    <t xml:space="preserve"> 其中一级残疾9人，二级残疾12人。（包含农场2人）</t>
  </si>
  <si>
    <t xml:space="preserve"> 其中一级残疾3人，二级残疾9人。</t>
  </si>
  <si>
    <t xml:space="preserve"> 其中一级残疾13人，二级残疾17人。</t>
  </si>
  <si>
    <r>
      <rPr>
        <sz val="10"/>
        <rFont val="Times New Roman"/>
        <charset val="134"/>
      </rPr>
      <t>1.</t>
    </r>
    <r>
      <rPr>
        <sz val="10"/>
        <rFont val="宋体"/>
        <charset val="134"/>
      </rPr>
      <t>互助养老</t>
    </r>
  </si>
  <si>
    <r>
      <rPr>
        <sz val="10"/>
        <rFont val="Times New Roman"/>
        <charset val="134"/>
      </rPr>
      <t>2.</t>
    </r>
    <r>
      <rPr>
        <sz val="10"/>
        <rFont val="宋体"/>
        <charset val="134"/>
      </rPr>
      <t>集中养老</t>
    </r>
  </si>
  <si>
    <t>八、农村基础设施和公共服务</t>
  </si>
  <si>
    <r>
      <rPr>
        <sz val="10"/>
        <rFont val="宋体"/>
        <charset val="134"/>
      </rPr>
      <t>（一）贫困村贫困发生率＜</t>
    </r>
    <r>
      <rPr>
        <sz val="10"/>
        <rFont val="Times New Roman"/>
        <charset val="134"/>
      </rPr>
      <t>3%</t>
    </r>
  </si>
  <si>
    <r>
      <rPr>
        <sz val="10"/>
        <rFont val="Times New Roman"/>
        <charset val="134"/>
      </rPr>
      <t>1.</t>
    </r>
    <r>
      <rPr>
        <sz val="10"/>
        <rFont val="宋体"/>
        <charset val="134"/>
      </rPr>
      <t>县城、乡镇到建档立卡贫困行政村通硬化道路的危险路段有必要的防护措施</t>
    </r>
  </si>
  <si>
    <t>粑五线</t>
  </si>
  <si>
    <t>龙龙线</t>
  </si>
  <si>
    <r>
      <rPr>
        <sz val="10"/>
        <rFont val="宋体"/>
        <charset val="134"/>
      </rPr>
      <t>阿岗</t>
    </r>
    <r>
      <rPr>
        <sz val="10"/>
        <rFont val="Times New Roman"/>
        <charset val="134"/>
      </rPr>
      <t>-</t>
    </r>
    <r>
      <rPr>
        <sz val="10"/>
        <rFont val="宋体"/>
        <charset val="134"/>
      </rPr>
      <t>铁厂</t>
    </r>
  </si>
  <si>
    <t>八和线</t>
  </si>
  <si>
    <t>作南线</t>
  </si>
  <si>
    <r>
      <rPr>
        <sz val="10"/>
        <rFont val="宋体"/>
        <charset val="134"/>
      </rPr>
      <t>已下达资金</t>
    </r>
    <r>
      <rPr>
        <sz val="10"/>
        <rFont val="Times New Roman"/>
        <charset val="134"/>
      </rPr>
      <t>100</t>
    </r>
    <r>
      <rPr>
        <sz val="10"/>
        <rFont val="宋体"/>
        <charset val="134"/>
      </rPr>
      <t>万元</t>
    </r>
  </si>
  <si>
    <t>东凹线</t>
  </si>
  <si>
    <t>已下达资金36万元</t>
  </si>
  <si>
    <t>江新线</t>
  </si>
  <si>
    <t>已下达资金20万元</t>
  </si>
  <si>
    <t>哪样线</t>
  </si>
  <si>
    <t>已下达资金80万元</t>
  </si>
  <si>
    <r>
      <rPr>
        <sz val="10"/>
        <rFont val="Times New Roman"/>
        <charset val="134"/>
      </rPr>
      <t>2.</t>
    </r>
    <r>
      <rPr>
        <sz val="10"/>
        <rFont val="宋体"/>
        <charset val="134"/>
      </rPr>
      <t>建制村道路通畅工程</t>
    </r>
  </si>
  <si>
    <t>作房至荒田公路</t>
  </si>
  <si>
    <t>南清至荒田公路</t>
  </si>
  <si>
    <t>八布乡荒田委会坪子至凹塘村组公路工程</t>
  </si>
  <si>
    <t>续建</t>
  </si>
  <si>
    <r>
      <rPr>
        <sz val="10"/>
        <rFont val="宋体"/>
        <charset val="134"/>
      </rPr>
      <t>该项目</t>
    </r>
    <r>
      <rPr>
        <sz val="10"/>
        <rFont val="Times New Roman"/>
        <charset val="134"/>
      </rPr>
      <t>2018</t>
    </r>
    <r>
      <rPr>
        <sz val="10"/>
        <rFont val="宋体"/>
        <charset val="134"/>
      </rPr>
      <t>年</t>
    </r>
    <r>
      <rPr>
        <sz val="10"/>
        <rFont val="Times New Roman"/>
        <charset val="134"/>
      </rPr>
      <t>7</t>
    </r>
    <r>
      <rPr>
        <sz val="10"/>
        <rFont val="宋体"/>
        <charset val="134"/>
      </rPr>
      <t>月开工，完工时间</t>
    </r>
    <r>
      <rPr>
        <sz val="10"/>
        <rFont val="Times New Roman"/>
        <charset val="134"/>
      </rPr>
      <t>2019</t>
    </r>
    <r>
      <rPr>
        <sz val="10"/>
        <rFont val="宋体"/>
        <charset val="134"/>
      </rPr>
      <t>年</t>
    </r>
    <r>
      <rPr>
        <sz val="10"/>
        <rFont val="Times New Roman"/>
        <charset val="134"/>
      </rPr>
      <t>9</t>
    </r>
    <r>
      <rPr>
        <sz val="10"/>
        <rFont val="宋体"/>
        <charset val="134"/>
      </rPr>
      <t>月，已下达资金76万元</t>
    </r>
  </si>
  <si>
    <t>八布乡荒田委会作房路至蚂蚁地村组公路工程</t>
  </si>
  <si>
    <r>
      <rPr>
        <sz val="10"/>
        <rFont val="宋体"/>
        <charset val="134"/>
      </rPr>
      <t>该项目</t>
    </r>
    <r>
      <rPr>
        <sz val="10"/>
        <rFont val="Times New Roman"/>
        <charset val="134"/>
      </rPr>
      <t>2018</t>
    </r>
    <r>
      <rPr>
        <sz val="10"/>
        <rFont val="宋体"/>
        <charset val="134"/>
      </rPr>
      <t>年</t>
    </r>
    <r>
      <rPr>
        <sz val="10"/>
        <rFont val="Times New Roman"/>
        <charset val="134"/>
      </rPr>
      <t>7</t>
    </r>
    <r>
      <rPr>
        <sz val="10"/>
        <rFont val="宋体"/>
        <charset val="134"/>
      </rPr>
      <t>月开工，完工时间</t>
    </r>
    <r>
      <rPr>
        <sz val="10"/>
        <rFont val="Times New Roman"/>
        <charset val="134"/>
      </rPr>
      <t>2019</t>
    </r>
    <r>
      <rPr>
        <sz val="10"/>
        <rFont val="宋体"/>
        <charset val="134"/>
      </rPr>
      <t>年</t>
    </r>
    <r>
      <rPr>
        <sz val="10"/>
        <rFont val="Times New Roman"/>
        <charset val="134"/>
      </rPr>
      <t>9</t>
    </r>
    <r>
      <rPr>
        <sz val="10"/>
        <rFont val="宋体"/>
        <charset val="134"/>
      </rPr>
      <t>月，已下达资金</t>
    </r>
    <r>
      <rPr>
        <sz val="10"/>
        <rFont val="Times New Roman"/>
        <charset val="134"/>
      </rPr>
      <t>102</t>
    </r>
    <r>
      <rPr>
        <sz val="10"/>
        <rFont val="宋体"/>
        <charset val="134"/>
      </rPr>
      <t>万元</t>
    </r>
  </si>
  <si>
    <t>八布乡哪灯委会奎补至那龙村组公路工程</t>
  </si>
  <si>
    <r>
      <rPr>
        <sz val="10"/>
        <rFont val="宋体"/>
        <charset val="134"/>
      </rPr>
      <t>该项目</t>
    </r>
    <r>
      <rPr>
        <sz val="10"/>
        <rFont val="Times New Roman"/>
        <charset val="134"/>
      </rPr>
      <t>2018</t>
    </r>
    <r>
      <rPr>
        <sz val="10"/>
        <rFont val="宋体"/>
        <charset val="134"/>
      </rPr>
      <t>年</t>
    </r>
    <r>
      <rPr>
        <sz val="10"/>
        <rFont val="Times New Roman"/>
        <charset val="134"/>
      </rPr>
      <t>7</t>
    </r>
    <r>
      <rPr>
        <sz val="10"/>
        <rFont val="宋体"/>
        <charset val="134"/>
      </rPr>
      <t>月开工，完工时间</t>
    </r>
    <r>
      <rPr>
        <sz val="10"/>
        <rFont val="Times New Roman"/>
        <charset val="134"/>
      </rPr>
      <t>2019</t>
    </r>
    <r>
      <rPr>
        <sz val="10"/>
        <rFont val="宋体"/>
        <charset val="134"/>
      </rPr>
      <t>年</t>
    </r>
    <r>
      <rPr>
        <sz val="10"/>
        <rFont val="Times New Roman"/>
        <charset val="134"/>
      </rPr>
      <t>9</t>
    </r>
    <r>
      <rPr>
        <sz val="10"/>
        <rFont val="宋体"/>
        <charset val="134"/>
      </rPr>
      <t>月，已下达资金180万元</t>
    </r>
  </si>
  <si>
    <t>八布乡哪灯委会攀枝花至达干桥村组公路工程</t>
  </si>
  <si>
    <r>
      <rPr>
        <sz val="10"/>
        <rFont val="宋体"/>
        <charset val="134"/>
      </rPr>
      <t>该项目</t>
    </r>
    <r>
      <rPr>
        <sz val="10"/>
        <rFont val="Times New Roman"/>
        <charset val="134"/>
      </rPr>
      <t>2018</t>
    </r>
    <r>
      <rPr>
        <sz val="10"/>
        <rFont val="宋体"/>
        <charset val="134"/>
      </rPr>
      <t>年</t>
    </r>
    <r>
      <rPr>
        <sz val="10"/>
        <rFont val="Times New Roman"/>
        <charset val="134"/>
      </rPr>
      <t>7</t>
    </r>
    <r>
      <rPr>
        <sz val="10"/>
        <rFont val="宋体"/>
        <charset val="134"/>
      </rPr>
      <t>月开工，完工时间</t>
    </r>
    <r>
      <rPr>
        <sz val="10"/>
        <rFont val="Times New Roman"/>
        <charset val="134"/>
      </rPr>
      <t>2019</t>
    </r>
    <r>
      <rPr>
        <sz val="10"/>
        <rFont val="宋体"/>
        <charset val="134"/>
      </rPr>
      <t>年</t>
    </r>
    <r>
      <rPr>
        <sz val="10"/>
        <rFont val="Times New Roman"/>
        <charset val="134"/>
      </rPr>
      <t>9</t>
    </r>
    <r>
      <rPr>
        <sz val="10"/>
        <rFont val="宋体"/>
        <charset val="134"/>
      </rPr>
      <t>月，已下达资金456万元</t>
    </r>
  </si>
  <si>
    <t>八布乡哪灯委会坪子至太阳冲村组公路工程</t>
  </si>
  <si>
    <r>
      <rPr>
        <sz val="10"/>
        <rFont val="宋体"/>
        <charset val="134"/>
      </rPr>
      <t>该项目</t>
    </r>
    <r>
      <rPr>
        <sz val="10"/>
        <rFont val="Times New Roman"/>
        <charset val="134"/>
      </rPr>
      <t>2018</t>
    </r>
    <r>
      <rPr>
        <sz val="10"/>
        <rFont val="宋体"/>
        <charset val="134"/>
      </rPr>
      <t>年</t>
    </r>
    <r>
      <rPr>
        <sz val="10"/>
        <rFont val="Times New Roman"/>
        <charset val="134"/>
      </rPr>
      <t>7</t>
    </r>
    <r>
      <rPr>
        <sz val="10"/>
        <rFont val="宋体"/>
        <charset val="134"/>
      </rPr>
      <t>月开工，完工时间</t>
    </r>
    <r>
      <rPr>
        <sz val="10"/>
        <rFont val="Times New Roman"/>
        <charset val="134"/>
      </rPr>
      <t>2019</t>
    </r>
    <r>
      <rPr>
        <sz val="10"/>
        <rFont val="宋体"/>
        <charset val="134"/>
      </rPr>
      <t>年</t>
    </r>
    <r>
      <rPr>
        <sz val="10"/>
        <rFont val="Times New Roman"/>
        <charset val="134"/>
      </rPr>
      <t>9</t>
    </r>
    <r>
      <rPr>
        <sz val="10"/>
        <rFont val="宋体"/>
        <charset val="134"/>
      </rPr>
      <t>月，已下达资金79万元</t>
    </r>
  </si>
  <si>
    <r>
      <rPr>
        <sz val="10"/>
        <rFont val="宋体"/>
        <charset val="134"/>
      </rPr>
      <t>（三）通动力电（</t>
    </r>
    <r>
      <rPr>
        <sz val="10"/>
        <rFont val="Times New Roman"/>
        <charset val="134"/>
      </rPr>
      <t>10</t>
    </r>
    <r>
      <rPr>
        <sz val="10"/>
        <rFont val="宋体"/>
        <charset val="134"/>
      </rPr>
      <t>千伏以上动力电）</t>
    </r>
  </si>
  <si>
    <t>凹塘村小组贫困村通动力电新建工程</t>
  </si>
  <si>
    <r>
      <rPr>
        <sz val="10"/>
        <rFont val="宋体"/>
        <charset val="134"/>
      </rPr>
      <t>实施贫困村通动力电改造工程，计划</t>
    </r>
    <r>
      <rPr>
        <sz val="10"/>
        <rFont val="Times New Roman"/>
        <charset val="134"/>
      </rPr>
      <t>2018</t>
    </r>
    <r>
      <rPr>
        <sz val="10"/>
        <rFont val="宋体"/>
        <charset val="134"/>
      </rPr>
      <t>年实施，</t>
    </r>
    <r>
      <rPr>
        <sz val="10"/>
        <rFont val="Times New Roman"/>
        <charset val="134"/>
      </rPr>
      <t>2019</t>
    </r>
    <r>
      <rPr>
        <sz val="10"/>
        <rFont val="宋体"/>
        <charset val="134"/>
      </rPr>
      <t>年完成。</t>
    </r>
  </si>
  <si>
    <t>马安田村小组贫困村通动力电改造工程</t>
  </si>
  <si>
    <t>下荒田村小组贫困村通动力电改造工程</t>
  </si>
  <si>
    <t>中坪寨村小组贫困村通动力电改造工程</t>
  </si>
  <si>
    <t>奎竜新寨村小组贫困村通动力电新建工程</t>
  </si>
  <si>
    <r>
      <rPr>
        <sz val="10"/>
        <rFont val="宋体"/>
        <charset val="134"/>
      </rPr>
      <t>实施贫困村通动力电改造工程，计划</t>
    </r>
    <r>
      <rPr>
        <sz val="10"/>
        <rFont val="Times New Roman"/>
        <charset val="134"/>
      </rPr>
      <t>2018</t>
    </r>
    <r>
      <rPr>
        <sz val="10"/>
        <rFont val="宋体"/>
        <charset val="134"/>
      </rPr>
      <t>年实施，已完成。</t>
    </r>
  </si>
  <si>
    <t>茅草坪村小组通动力电改造工程</t>
  </si>
  <si>
    <t>桥头村贫困村通动力电改造工程</t>
  </si>
  <si>
    <t>八布村老虎坡村小组贫困村通动力电新建工程</t>
  </si>
  <si>
    <t>卢啓琼</t>
  </si>
  <si>
    <r>
      <rPr>
        <sz val="10"/>
        <rFont val="宋体"/>
        <charset val="134"/>
      </rPr>
      <t>按户均</t>
    </r>
    <r>
      <rPr>
        <sz val="10"/>
        <rFont val="Times New Roman"/>
        <charset val="134"/>
      </rPr>
      <t>350</t>
    </r>
    <r>
      <rPr>
        <sz val="10"/>
        <rFont val="宋体"/>
        <charset val="134"/>
      </rPr>
      <t>元测算。</t>
    </r>
  </si>
  <si>
    <r>
      <rPr>
        <sz val="10"/>
        <rFont val="Times New Roman"/>
        <charset val="134"/>
      </rPr>
      <t>1.</t>
    </r>
    <r>
      <rPr>
        <sz val="10"/>
        <rFont val="宋体"/>
        <charset val="134"/>
      </rPr>
      <t>通行政村</t>
    </r>
  </si>
  <si>
    <r>
      <rPr>
        <sz val="10"/>
        <rFont val="Times New Roman"/>
        <charset val="134"/>
      </rPr>
      <t>2.</t>
    </r>
    <r>
      <rPr>
        <sz val="10"/>
        <rFont val="宋体"/>
        <charset val="134"/>
      </rPr>
      <t>通学校</t>
    </r>
  </si>
  <si>
    <r>
      <rPr>
        <sz val="10"/>
        <rFont val="Times New Roman"/>
        <charset val="134"/>
      </rPr>
      <t>3.</t>
    </r>
    <r>
      <rPr>
        <sz val="10"/>
        <rFont val="宋体"/>
        <charset val="134"/>
      </rPr>
      <t>通村卫生室</t>
    </r>
  </si>
  <si>
    <t>2018年农村饮水安全巩固提升工程独立费用</t>
  </si>
  <si>
    <t xml:space="preserve">2018年农村饮水安全巩固提升工程独立费用22.98万元（其中监理费11.93万元 、质检费4.77万元、审计费6.28万元）                                                  </t>
  </si>
  <si>
    <t>和平坪子农村饮水安全巩固提升工程</t>
  </si>
  <si>
    <t>已完工</t>
  </si>
  <si>
    <r>
      <rPr>
        <sz val="10"/>
        <rFont val="宋体"/>
        <charset val="134"/>
      </rPr>
      <t>和平马家寨新建</t>
    </r>
    <r>
      <rPr>
        <sz val="10"/>
        <rFont val="Times New Roman"/>
        <charset val="134"/>
      </rPr>
      <t>7</t>
    </r>
    <r>
      <rPr>
        <sz val="10"/>
        <rFont val="宋体"/>
        <charset val="134"/>
      </rPr>
      <t>口小水窖（青流松、青方红、青流聪、青流成、陶荣发、陶荣光、青流兵）</t>
    </r>
  </si>
  <si>
    <t>龙龙炭山一、二组农村饮水安全巩固提升工程</t>
  </si>
  <si>
    <t>已开工</t>
  </si>
  <si>
    <t>龙龙炭山新寨农村饮水安全巩固提升工程</t>
  </si>
  <si>
    <t>已提前开工完工</t>
  </si>
  <si>
    <t>龙龙坝脚农村饮水安全巩固提升工程</t>
  </si>
  <si>
    <t>江东片区农村饮水安全巩固提升工程（包括扣广、奎莱、新寨、良子、老汪冲、老汪箐、上、下奎师）</t>
  </si>
  <si>
    <t>江东哪竜农村饮水安全巩固提升工程</t>
  </si>
  <si>
    <t>羊皮寨良天飞农村饮水安全巩固提升工程</t>
  </si>
  <si>
    <t>荒田中坪寨片区农村饮水安全巩固提升工程（包括中坪寨、老寨、牛场、达迷供、马安田、新寨）</t>
  </si>
  <si>
    <t>未开工</t>
  </si>
  <si>
    <t>荒田岩头片区农村饮水安全巩固提升工程（包括岩头、丫口、坪子）</t>
  </si>
  <si>
    <t>江东哪波农村饮水安全巩固提升工程</t>
  </si>
  <si>
    <t>龙龙歪拷农村饮水安全巩固提升工程</t>
  </si>
  <si>
    <t>东油片区农村饮水安全巩固提升工程（东油、龙标、南青）</t>
  </si>
  <si>
    <t>和平马家寨农村饮水安全巩固提升工程</t>
  </si>
  <si>
    <t>和平大湾子农村饮水安全巩固提升工程</t>
  </si>
  <si>
    <t>小水窖防渗处理安全饮用水建设项目</t>
  </si>
  <si>
    <t>口</t>
  </si>
  <si>
    <t>按退出标准新建标准化卫生室</t>
  </si>
  <si>
    <r>
      <rPr>
        <sz val="10"/>
        <rFont val="宋体"/>
        <charset val="134"/>
      </rPr>
      <t>修缮</t>
    </r>
    <r>
      <rPr>
        <sz val="10"/>
        <rFont val="Times New Roman"/>
        <charset val="134"/>
      </rPr>
      <t xml:space="preserve">
</t>
    </r>
    <r>
      <rPr>
        <sz val="10"/>
        <rFont val="宋体"/>
        <charset val="134"/>
      </rPr>
      <t>改造</t>
    </r>
  </si>
  <si>
    <r>
      <rPr>
        <sz val="10"/>
        <rFont val="宋体"/>
        <charset val="134"/>
      </rPr>
      <t>对应村级施工图（对现有卫生室进行修缮改造，建设标准为</t>
    </r>
    <r>
      <rPr>
        <sz val="10"/>
        <rFont val="Times New Roman"/>
        <charset val="134"/>
      </rPr>
      <t>12</t>
    </r>
    <r>
      <rPr>
        <sz val="10"/>
        <rFont val="宋体"/>
        <charset val="134"/>
      </rPr>
      <t>万元</t>
    </r>
    <r>
      <rPr>
        <sz val="10"/>
        <rFont val="Times New Roman"/>
        <charset val="134"/>
      </rPr>
      <t>/</t>
    </r>
    <r>
      <rPr>
        <sz val="10"/>
        <rFont val="宋体"/>
        <charset val="134"/>
      </rPr>
      <t>个）</t>
    </r>
  </si>
  <si>
    <t>卫生室设备设施配备</t>
  </si>
  <si>
    <t>套</t>
  </si>
  <si>
    <r>
      <rPr>
        <sz val="10"/>
        <rFont val="宋体"/>
        <charset val="134"/>
      </rPr>
      <t>对除八布村外的</t>
    </r>
    <r>
      <rPr>
        <sz val="10"/>
        <rFont val="Times New Roman"/>
        <charset val="134"/>
      </rPr>
      <t>7</t>
    </r>
    <r>
      <rPr>
        <sz val="10"/>
        <rFont val="宋体"/>
        <charset val="134"/>
      </rPr>
      <t>个村委会按标准化配备设备设施，每个4万元。</t>
    </r>
  </si>
  <si>
    <t>刘应春</t>
  </si>
  <si>
    <t>何联富</t>
  </si>
  <si>
    <r>
      <rPr>
        <sz val="10"/>
        <rFont val="宋体"/>
        <charset val="134"/>
      </rPr>
      <t>组织</t>
    </r>
    <r>
      <rPr>
        <sz val="10"/>
        <rFont val="Times New Roman"/>
        <charset val="134"/>
      </rPr>
      <t xml:space="preserve">  </t>
    </r>
    <r>
      <rPr>
        <sz val="10"/>
        <rFont val="宋体"/>
        <charset val="134"/>
      </rPr>
      <t>文化</t>
    </r>
  </si>
  <si>
    <r>
      <rPr>
        <sz val="10"/>
        <rFont val="宋体"/>
        <charset val="134"/>
      </rPr>
      <t>对应村级施工图（按</t>
    </r>
    <r>
      <rPr>
        <sz val="10"/>
        <rFont val="Times New Roman"/>
        <charset val="134"/>
      </rPr>
      <t>2017</t>
    </r>
    <r>
      <rPr>
        <sz val="10"/>
        <rFont val="宋体"/>
        <charset val="134"/>
      </rPr>
      <t>年村民小组活动场建设标准建设，按</t>
    </r>
    <r>
      <rPr>
        <sz val="10"/>
        <rFont val="Times New Roman"/>
        <charset val="134"/>
      </rPr>
      <t>14</t>
    </r>
    <r>
      <rPr>
        <sz val="10"/>
        <rFont val="宋体"/>
        <charset val="134"/>
      </rPr>
      <t>有配备设备设施）</t>
    </r>
  </si>
  <si>
    <t>羊皮寨村委会格斗村小组</t>
  </si>
  <si>
    <t>东油村委会哪茂村小组</t>
  </si>
  <si>
    <t>和平村委会下竜歪村小组</t>
  </si>
  <si>
    <t>江东村委会奎来村小组</t>
  </si>
  <si>
    <r>
      <rPr>
        <sz val="10"/>
        <rFont val="宋体"/>
        <charset val="134"/>
      </rPr>
      <t>确保建档立卡贫困户适龄儿童义务教育入学率达到国家规定标准，确保建档立卡贫困户适龄儿童入学率达</t>
    </r>
    <r>
      <rPr>
        <sz val="10"/>
        <rFont val="Times New Roman"/>
        <charset val="134"/>
      </rPr>
      <t>100%</t>
    </r>
  </si>
  <si>
    <t>对应村级施工图（根据乡中心校反馈的各村委会义务教育阶段适龄儿童人数统计）</t>
  </si>
  <si>
    <t>（十）人居环境提升</t>
  </si>
  <si>
    <t>1.公厕建设项目</t>
  </si>
  <si>
    <r>
      <rPr>
        <sz val="10"/>
        <rFont val="宋体"/>
        <charset val="134"/>
      </rPr>
      <t>新建集镇公厕</t>
    </r>
    <r>
      <rPr>
        <sz val="10"/>
        <rFont val="Times New Roman"/>
        <charset val="134"/>
      </rPr>
      <t>2</t>
    </r>
    <r>
      <rPr>
        <sz val="10"/>
        <rFont val="宋体"/>
        <charset val="134"/>
      </rPr>
      <t>个，荒田村委会公厕</t>
    </r>
    <r>
      <rPr>
        <sz val="10"/>
        <rFont val="Times New Roman"/>
        <charset val="134"/>
      </rPr>
      <t>1</t>
    </r>
    <r>
      <rPr>
        <sz val="10"/>
        <rFont val="宋体"/>
        <charset val="134"/>
      </rPr>
      <t>个，每个投入资金</t>
    </r>
    <r>
      <rPr>
        <sz val="10"/>
        <rFont val="Times New Roman"/>
        <charset val="134"/>
      </rPr>
      <t>20</t>
    </r>
    <r>
      <rPr>
        <sz val="10"/>
        <rFont val="宋体"/>
        <charset val="134"/>
      </rPr>
      <t>万元，共计</t>
    </r>
    <r>
      <rPr>
        <sz val="10"/>
        <rFont val="Times New Roman"/>
        <charset val="134"/>
      </rPr>
      <t>60</t>
    </r>
    <r>
      <rPr>
        <sz val="10"/>
        <rFont val="宋体"/>
        <charset val="134"/>
      </rPr>
      <t>万元。资金已到位。</t>
    </r>
  </si>
  <si>
    <t>√</t>
  </si>
  <si>
    <t>2.民族示范村项目</t>
  </si>
  <si>
    <t>龙龙村委会达嘎村小组民族团结示范村建设项目</t>
  </si>
  <si>
    <r>
      <rPr>
        <sz val="10"/>
        <rFont val="宋体"/>
        <charset val="134"/>
      </rPr>
      <t>新建村内道路硬化、排水排污沟渠、太阳能路灯等内容，总投资</t>
    </r>
    <r>
      <rPr>
        <sz val="10"/>
        <rFont val="Times New Roman"/>
        <charset val="134"/>
      </rPr>
      <t>99</t>
    </r>
    <r>
      <rPr>
        <sz val="10"/>
        <rFont val="宋体"/>
        <charset val="134"/>
      </rPr>
      <t>万元。资金已到位。</t>
    </r>
  </si>
  <si>
    <t>3.道路建设</t>
  </si>
  <si>
    <t>条</t>
  </si>
  <si>
    <t xml:space="preserve">根据麻政复﹝2018﹞58号文件 </t>
  </si>
  <si>
    <t>八布乡龙龙村委会奎竜新寨村小组道路建设</t>
  </si>
  <si>
    <t>荒田村委会朱砂厂村小组进村道路硬化</t>
  </si>
  <si>
    <t xml:space="preserve">根据麻政办﹝2018﹞83号文件 、麻财行﹝2018﹞65号文件 </t>
  </si>
  <si>
    <t>九、村集体经济</t>
  </si>
  <si>
    <t>（一）资产收益扶贫</t>
  </si>
  <si>
    <r>
      <rPr>
        <sz val="10"/>
        <rFont val="Times New Roman"/>
        <charset val="134"/>
      </rPr>
      <t>1.</t>
    </r>
    <r>
      <rPr>
        <sz val="10"/>
        <rFont val="宋体"/>
        <charset val="134"/>
      </rPr>
      <t>建村级光伏扶贫电站</t>
    </r>
  </si>
  <si>
    <r>
      <rPr>
        <sz val="10"/>
        <rFont val="Times New Roman"/>
        <charset val="134"/>
      </rPr>
      <t>2.</t>
    </r>
    <r>
      <rPr>
        <sz val="10"/>
        <rFont val="宋体"/>
        <charset val="134"/>
      </rPr>
      <t>土地山林使用权入股情况</t>
    </r>
  </si>
  <si>
    <r>
      <rPr>
        <sz val="10"/>
        <rFont val="Times New Roman"/>
        <charset val="134"/>
      </rPr>
      <t>3.</t>
    </r>
    <r>
      <rPr>
        <sz val="10"/>
        <rFont val="宋体"/>
        <charset val="134"/>
      </rPr>
      <t>通过财政投入开展资产收益扶贫</t>
    </r>
  </si>
  <si>
    <r>
      <rPr>
        <sz val="10"/>
        <rFont val="宋体"/>
        <charset val="134"/>
      </rPr>
      <t>在八布集镇扩容项目区新建停车场</t>
    </r>
    <r>
      <rPr>
        <sz val="10"/>
        <rFont val="Times New Roman"/>
        <charset val="134"/>
      </rPr>
      <t>1</t>
    </r>
    <r>
      <rPr>
        <sz val="10"/>
        <rFont val="宋体"/>
        <charset val="134"/>
      </rPr>
      <t>个，建设面积</t>
    </r>
    <r>
      <rPr>
        <sz val="10"/>
        <rFont val="Times New Roman"/>
        <charset val="134"/>
      </rPr>
      <t>5250.07</t>
    </r>
    <r>
      <rPr>
        <sz val="10"/>
        <rFont val="宋体"/>
        <charset val="134"/>
      </rPr>
      <t>平方米，规划建设车位</t>
    </r>
    <r>
      <rPr>
        <sz val="10"/>
        <rFont val="Times New Roman"/>
        <charset val="134"/>
      </rPr>
      <t>145</t>
    </r>
    <r>
      <rPr>
        <sz val="10"/>
        <rFont val="宋体"/>
        <charset val="134"/>
      </rPr>
      <t>个，通过停车场固定资产投资收益增加八布村委会集体经济收入，预计每年收入</t>
    </r>
    <r>
      <rPr>
        <sz val="10"/>
        <rFont val="Times New Roman"/>
        <charset val="134"/>
      </rPr>
      <t>3</t>
    </r>
    <r>
      <rPr>
        <sz val="10"/>
        <rFont val="宋体"/>
        <charset val="134"/>
      </rPr>
      <t>万元。项目总投资</t>
    </r>
    <r>
      <rPr>
        <sz val="10"/>
        <rFont val="Times New Roman"/>
        <charset val="134"/>
      </rPr>
      <t>75</t>
    </r>
    <r>
      <rPr>
        <sz val="10"/>
        <rFont val="宋体"/>
        <charset val="134"/>
      </rPr>
      <t>万元，整合上海对口帮扶资金</t>
    </r>
    <r>
      <rPr>
        <sz val="10"/>
        <rFont val="Times New Roman"/>
        <charset val="134"/>
      </rPr>
      <t>40</t>
    </r>
    <r>
      <rPr>
        <sz val="10"/>
        <rFont val="宋体"/>
        <charset val="134"/>
      </rPr>
      <t>万元，缺口</t>
    </r>
    <r>
      <rPr>
        <sz val="10"/>
        <rFont val="Times New Roman"/>
        <charset val="134"/>
      </rPr>
      <t>35</t>
    </r>
    <r>
      <rPr>
        <sz val="10"/>
        <rFont val="宋体"/>
        <charset val="134"/>
      </rPr>
      <t>万元。</t>
    </r>
  </si>
  <si>
    <r>
      <rPr>
        <sz val="10"/>
        <rFont val="宋体"/>
        <charset val="134"/>
      </rPr>
      <t>利用县级安排财政涉农整合资金入股麻栗坡龙阳畜牧发展有限公司</t>
    </r>
    <r>
      <rPr>
        <sz val="10"/>
        <rFont val="Times New Roman"/>
        <charset val="134"/>
      </rPr>
      <t>50</t>
    </r>
    <r>
      <rPr>
        <sz val="10"/>
        <rFont val="宋体"/>
        <charset val="134"/>
      </rPr>
      <t>万元，通过采取入股分红的方式，每年按照不低于</t>
    </r>
    <r>
      <rPr>
        <sz val="10"/>
        <rFont val="Times New Roman"/>
        <charset val="134"/>
      </rPr>
      <t>7%</t>
    </r>
    <r>
      <rPr>
        <sz val="10"/>
        <rFont val="宋体"/>
        <charset val="134"/>
      </rPr>
      <t>的比例分红，每年收益</t>
    </r>
    <r>
      <rPr>
        <sz val="10"/>
        <rFont val="Times New Roman"/>
        <charset val="134"/>
      </rPr>
      <t>35000</t>
    </r>
    <r>
      <rPr>
        <sz val="10"/>
        <rFont val="宋体"/>
        <charset val="134"/>
      </rPr>
      <t>元。</t>
    </r>
  </si>
  <si>
    <r>
      <rPr>
        <sz val="10"/>
        <rFont val="Times New Roman"/>
        <charset val="134"/>
      </rPr>
      <t>1</t>
    </r>
    <r>
      <rPr>
        <sz val="10"/>
        <rFont val="宋体"/>
        <charset val="134"/>
      </rPr>
      <t>、利用县级安排财政涉农整合资金入股麻栗坡龙阳畜牧发展有限公司</t>
    </r>
    <r>
      <rPr>
        <sz val="10"/>
        <rFont val="Times New Roman"/>
        <charset val="134"/>
      </rPr>
      <t>50</t>
    </r>
    <r>
      <rPr>
        <sz val="10"/>
        <rFont val="宋体"/>
        <charset val="134"/>
      </rPr>
      <t>万元，通过采取入股分红的方式，每年按照不低于</t>
    </r>
    <r>
      <rPr>
        <sz val="10"/>
        <rFont val="Times New Roman"/>
        <charset val="134"/>
      </rPr>
      <t>7%</t>
    </r>
    <r>
      <rPr>
        <sz val="10"/>
        <rFont val="宋体"/>
        <charset val="134"/>
      </rPr>
      <t>的比例分红，每年收益</t>
    </r>
    <r>
      <rPr>
        <sz val="10"/>
        <rFont val="Times New Roman"/>
        <charset val="134"/>
      </rPr>
      <t>35000</t>
    </r>
    <r>
      <rPr>
        <sz val="10"/>
        <rFont val="宋体"/>
        <charset val="134"/>
      </rPr>
      <t>元。</t>
    </r>
    <r>
      <rPr>
        <sz val="10"/>
        <rFont val="Times New Roman"/>
        <charset val="134"/>
      </rPr>
      <t xml:space="preserve">
2</t>
    </r>
    <r>
      <rPr>
        <sz val="10"/>
        <rFont val="宋体"/>
        <charset val="134"/>
      </rPr>
      <t>、利用县级安排财政涉农整合资金入股麻栗坡肉兔养殖项目种兔祖代场</t>
    </r>
    <r>
      <rPr>
        <sz val="10"/>
        <rFont val="Times New Roman"/>
        <charset val="134"/>
      </rPr>
      <t>37.5</t>
    </r>
    <r>
      <rPr>
        <sz val="10"/>
        <rFont val="宋体"/>
        <charset val="134"/>
      </rPr>
      <t>万元，通过采取入股分红的方式，每年按照不低于</t>
    </r>
    <r>
      <rPr>
        <sz val="10"/>
        <rFont val="Times New Roman"/>
        <charset val="134"/>
      </rPr>
      <t>6%</t>
    </r>
    <r>
      <rPr>
        <sz val="10"/>
        <rFont val="宋体"/>
        <charset val="134"/>
      </rPr>
      <t>的比例分红，每年收益</t>
    </r>
    <r>
      <rPr>
        <sz val="10"/>
        <rFont val="Times New Roman"/>
        <charset val="134"/>
      </rPr>
      <t>22500</t>
    </r>
    <r>
      <rPr>
        <sz val="10"/>
        <rFont val="宋体"/>
        <charset val="134"/>
      </rPr>
      <t>元。</t>
    </r>
  </si>
  <si>
    <r>
      <rPr>
        <sz val="10"/>
        <rFont val="宋体"/>
        <charset val="134"/>
      </rPr>
      <t>利用县级安排财政涉农整合资金入股麻栗坡县田源牧业农民专业合作社</t>
    </r>
    <r>
      <rPr>
        <sz val="10"/>
        <rFont val="Times New Roman"/>
        <charset val="134"/>
      </rPr>
      <t>48</t>
    </r>
    <r>
      <rPr>
        <sz val="10"/>
        <rFont val="宋体"/>
        <charset val="134"/>
      </rPr>
      <t>万元，通过采取入股分红的方式，每年按照不低于</t>
    </r>
    <r>
      <rPr>
        <sz val="10"/>
        <rFont val="Times New Roman"/>
        <charset val="134"/>
      </rPr>
      <t>7%</t>
    </r>
    <r>
      <rPr>
        <sz val="10"/>
        <rFont val="宋体"/>
        <charset val="134"/>
      </rPr>
      <t>的比例分红，每年收益</t>
    </r>
    <r>
      <rPr>
        <sz val="10"/>
        <rFont val="Times New Roman"/>
        <charset val="134"/>
      </rPr>
      <t>33600</t>
    </r>
    <r>
      <rPr>
        <sz val="10"/>
        <rFont val="宋体"/>
        <charset val="134"/>
      </rPr>
      <t>元。</t>
    </r>
  </si>
  <si>
    <t>何东</t>
  </si>
  <si>
    <r>
      <rPr>
        <sz val="10"/>
        <rFont val="Times New Roman"/>
        <charset val="134"/>
      </rPr>
      <t>1</t>
    </r>
    <r>
      <rPr>
        <sz val="10"/>
        <rFont val="宋体"/>
        <charset val="134"/>
      </rPr>
      <t>、</t>
    </r>
    <r>
      <rPr>
        <sz val="10"/>
        <rFont val="Times New Roman"/>
        <charset val="134"/>
      </rPr>
      <t>2017</t>
    </r>
    <r>
      <rPr>
        <sz val="10"/>
        <rFont val="宋体"/>
        <charset val="134"/>
      </rPr>
      <t>年利用整乡推进产业发展资金</t>
    </r>
    <r>
      <rPr>
        <sz val="10"/>
        <rFont val="Times New Roman"/>
        <charset val="134"/>
      </rPr>
      <t>50</t>
    </r>
    <r>
      <rPr>
        <sz val="10"/>
        <rFont val="宋体"/>
        <charset val="134"/>
      </rPr>
      <t>万元，用于百香果试验示范种植，现将羊皮寨村委会百香果试验示范种植基地管理经营权转让给砚山鑫珵农业科技发展有限公司，转让费用每年</t>
    </r>
    <r>
      <rPr>
        <sz val="10"/>
        <rFont val="Times New Roman"/>
        <charset val="134"/>
      </rPr>
      <t>4</t>
    </r>
    <r>
      <rPr>
        <sz val="10"/>
        <rFont val="宋体"/>
        <charset val="134"/>
      </rPr>
      <t>万元。</t>
    </r>
    <r>
      <rPr>
        <sz val="10"/>
        <rFont val="Times New Roman"/>
        <charset val="134"/>
      </rPr>
      <t xml:space="preserve">
2</t>
    </r>
    <r>
      <rPr>
        <sz val="10"/>
        <rFont val="宋体"/>
        <charset val="134"/>
      </rPr>
      <t>、利用县级安排财政涉农整合资金入股麻栗坡肉兔养殖项目种兔祖代场</t>
    </r>
    <r>
      <rPr>
        <sz val="10"/>
        <rFont val="Times New Roman"/>
        <charset val="134"/>
      </rPr>
      <t>37.5</t>
    </r>
    <r>
      <rPr>
        <sz val="10"/>
        <rFont val="宋体"/>
        <charset val="134"/>
      </rPr>
      <t>万元，通过采取入股分红的方式，每年按照不低于</t>
    </r>
    <r>
      <rPr>
        <sz val="10"/>
        <rFont val="Times New Roman"/>
        <charset val="134"/>
      </rPr>
      <t>6%</t>
    </r>
    <r>
      <rPr>
        <sz val="10"/>
        <rFont val="宋体"/>
        <charset val="134"/>
      </rPr>
      <t>的比例分红，每年收益</t>
    </r>
    <r>
      <rPr>
        <sz val="10"/>
        <rFont val="Times New Roman"/>
        <charset val="134"/>
      </rPr>
      <t>22500</t>
    </r>
    <r>
      <rPr>
        <sz val="10"/>
        <rFont val="宋体"/>
        <charset val="134"/>
      </rPr>
      <t>元。</t>
    </r>
    <r>
      <rPr>
        <sz val="10"/>
        <rFont val="Times New Roman"/>
        <charset val="134"/>
      </rPr>
      <t xml:space="preserve">
3</t>
    </r>
    <r>
      <rPr>
        <sz val="10"/>
        <rFont val="宋体"/>
        <charset val="134"/>
      </rPr>
      <t>、利用县级安排财政涉农整合资金入股麻栗坡龙阳畜牧发展有限公司</t>
    </r>
    <r>
      <rPr>
        <sz val="10"/>
        <rFont val="Times New Roman"/>
        <charset val="134"/>
      </rPr>
      <t>50</t>
    </r>
    <r>
      <rPr>
        <sz val="10"/>
        <rFont val="宋体"/>
        <charset val="134"/>
      </rPr>
      <t>万元，通过采取入股分红的方式，每年按照不低于</t>
    </r>
    <r>
      <rPr>
        <sz val="10"/>
        <rFont val="Times New Roman"/>
        <charset val="134"/>
      </rPr>
      <t>7%</t>
    </r>
    <r>
      <rPr>
        <sz val="10"/>
        <rFont val="宋体"/>
        <charset val="134"/>
      </rPr>
      <t>的比例分红，每年收益</t>
    </r>
    <r>
      <rPr>
        <sz val="10"/>
        <rFont val="Times New Roman"/>
        <charset val="134"/>
      </rPr>
      <t>35000</t>
    </r>
    <r>
      <rPr>
        <sz val="10"/>
        <rFont val="宋体"/>
        <charset val="134"/>
      </rPr>
      <t>元。</t>
    </r>
  </si>
  <si>
    <t>（二）生产经营性扶贫</t>
  </si>
  <si>
    <t>（三）生态公益林补助资金</t>
  </si>
  <si>
    <r>
      <rPr>
        <sz val="10"/>
        <rFont val="宋体"/>
        <charset val="134"/>
      </rPr>
      <t>填表说明：</t>
    </r>
    <r>
      <rPr>
        <sz val="10"/>
        <rFont val="Times New Roman"/>
        <charset val="134"/>
      </rPr>
      <t>1.</t>
    </r>
    <r>
      <rPr>
        <sz val="10"/>
        <rFont val="宋体"/>
        <charset val="134"/>
      </rPr>
      <t>带</t>
    </r>
    <r>
      <rPr>
        <sz val="10"/>
        <rFont val="Times New Roman"/>
        <charset val="134"/>
      </rPr>
      <t>“—”</t>
    </r>
    <r>
      <rPr>
        <sz val="10"/>
        <rFont val="宋体"/>
        <charset val="134"/>
      </rPr>
      <t>符号的栏目不填；项目及资金需求待县级审定反馈后，再完善。</t>
    </r>
  </si>
  <si>
    <r>
      <rPr>
        <sz val="10"/>
        <rFont val="Times New Roman"/>
        <charset val="134"/>
      </rPr>
      <t>2.</t>
    </r>
    <r>
      <rPr>
        <sz val="10"/>
        <rFont val="宋体"/>
        <charset val="134"/>
      </rPr>
      <t>由主要领导牵头，组织班子成员、站所等人员，负责汇总、分析、测算和增减规模种植业、规模养殖业、龙头企业或新型经营主体、村集体经济中的财政投入</t>
    </r>
    <r>
      <rPr>
        <sz val="10"/>
        <rFont val="Times New Roman"/>
        <charset val="134"/>
      </rPr>
      <t xml:space="preserve">
</t>
    </r>
    <r>
      <rPr>
        <sz val="10"/>
        <rFont val="宋体"/>
        <charset val="134"/>
      </rPr>
      <t>开展资产收益扶贫和生产经营类项目和资金需求，对村级项目进行乡级审核。</t>
    </r>
  </si>
  <si>
    <r>
      <rPr>
        <sz val="10"/>
        <rFont val="Times New Roman"/>
        <charset val="134"/>
      </rPr>
      <t>3.6</t>
    </r>
    <r>
      <rPr>
        <sz val="10"/>
        <rFont val="宋体"/>
        <charset val="134"/>
      </rPr>
      <t>月</t>
    </r>
    <r>
      <rPr>
        <sz val="10"/>
        <rFont val="Times New Roman"/>
        <charset val="134"/>
      </rPr>
      <t>15</t>
    </r>
    <r>
      <rPr>
        <sz val="10"/>
        <rFont val="宋体"/>
        <charset val="134"/>
      </rPr>
      <t>日前完成乡级审核，行文请求县级审定，同时将审核后的统计表在乡政府驻地进行公示。</t>
    </r>
  </si>
  <si>
    <t>大坪镇2018年至2020年脱贫攻坚乡级路线图（实施方案）项目统计表</t>
  </si>
  <si>
    <t>填报单位：麻栗坡县大坪镇                                                                                2018年11月</t>
  </si>
  <si>
    <t>建设性质</t>
  </si>
  <si>
    <t>刘万兵</t>
  </si>
  <si>
    <t>朱敏</t>
  </si>
  <si>
    <t>实施中（到位资金1205.15万，缺口3060.95万）</t>
  </si>
  <si>
    <t>杨寿立</t>
  </si>
  <si>
    <t>实施中（到位资金1720万，缺口2730.6万）</t>
  </si>
  <si>
    <t>1.D级拆除重建</t>
  </si>
  <si>
    <t>实施中</t>
  </si>
  <si>
    <t>2.C级加固修缮</t>
  </si>
  <si>
    <t>3.兜底保障拆除重建</t>
  </si>
  <si>
    <t>（三）非“四类对象”无安全稳固住房</t>
  </si>
  <si>
    <t>王文丽</t>
  </si>
  <si>
    <t>吴德智</t>
  </si>
  <si>
    <t>实施中（资金已到位）</t>
  </si>
  <si>
    <t>实施中（资金已到位）资金投入有变动</t>
  </si>
  <si>
    <t>沈佳好</t>
  </si>
  <si>
    <t>唐梓梁</t>
  </si>
  <si>
    <t>资金投入有变动</t>
  </si>
  <si>
    <t>徐再刚</t>
  </si>
  <si>
    <t>职业技能培训</t>
  </si>
  <si>
    <t>大坪</t>
  </si>
  <si>
    <t>马达</t>
  </si>
  <si>
    <t>上凉水井</t>
  </si>
  <si>
    <t>大石洞</t>
  </si>
  <si>
    <t>阿老</t>
  </si>
  <si>
    <t>新地房</t>
  </si>
  <si>
    <t>戈令</t>
  </si>
  <si>
    <t>瓦渣</t>
  </si>
  <si>
    <t>高笕梁</t>
  </si>
  <si>
    <t>引导培训</t>
  </si>
  <si>
    <t>王寿富</t>
  </si>
  <si>
    <t>张廷明</t>
  </si>
  <si>
    <t>朱应富</t>
  </si>
  <si>
    <t>李吉海</t>
  </si>
  <si>
    <t>张朝雄</t>
  </si>
  <si>
    <t>对应村级施工图（资金投入有变化）</t>
  </si>
  <si>
    <t>赵明翠</t>
  </si>
  <si>
    <t>6.孤寡老人和留守儿童及残疾人帮扶员</t>
  </si>
  <si>
    <t>张会琼</t>
  </si>
  <si>
    <t>7.乡村道路维护员</t>
  </si>
  <si>
    <t>8.乡村河道（湖泊）维护员</t>
  </si>
  <si>
    <t>实施中（资金已到位，资金投入有变化）</t>
  </si>
  <si>
    <t>9.乡村河道治理员</t>
  </si>
  <si>
    <t>10.乡村环境卫生清洁员</t>
  </si>
  <si>
    <t>11.乡村社会综治协管员</t>
  </si>
  <si>
    <t>12.乡村饮水维护员</t>
  </si>
  <si>
    <t>13.移风易俗协管员</t>
  </si>
  <si>
    <t>14.移风易俗协理员</t>
  </si>
  <si>
    <t>1.农户自发种植</t>
  </si>
  <si>
    <t>古绍林</t>
  </si>
  <si>
    <t>三七</t>
  </si>
  <si>
    <t>辣椒</t>
  </si>
  <si>
    <t>生姜</t>
  </si>
  <si>
    <t>砂仁</t>
  </si>
  <si>
    <t>土烟</t>
  </si>
  <si>
    <t>陆稻</t>
  </si>
  <si>
    <t>巴西菇</t>
  </si>
  <si>
    <t>2.规模化种植（由村级分项自行填）</t>
  </si>
  <si>
    <t>新建/扩改建</t>
  </si>
  <si>
    <t>1.农户自发养殖</t>
  </si>
  <si>
    <t>张庭书</t>
  </si>
  <si>
    <t>蜜蜂</t>
  </si>
  <si>
    <t>箱</t>
  </si>
  <si>
    <t>2.规模化养殖业（由村级分项自行填）</t>
  </si>
  <si>
    <t>自填</t>
  </si>
  <si>
    <t>上海对口支援大坪镇瓦渣、高笕梁生猪养殖项目</t>
  </si>
  <si>
    <t>养殖商品猪520头、母猪100头</t>
  </si>
  <si>
    <t>分项填</t>
  </si>
  <si>
    <t>大坪镇小龙虾养殖项目</t>
  </si>
  <si>
    <t>大坪镇戈令村委会产业发展项目</t>
  </si>
  <si>
    <t>入股县农投公司</t>
  </si>
  <si>
    <t>大坪镇新地房村委会生猪养殖产业扶贫项目</t>
  </si>
  <si>
    <t>大坪镇大石洞村委会产业发展项目</t>
  </si>
  <si>
    <t>采取扶持资金入股的方式，将65.1万元入股麻栗坡农业开发投资有限责任公司，每年按户均投入总资产的10%比列分红。（实施中）</t>
  </si>
  <si>
    <t>大坪镇马达村委会产业发展项目</t>
  </si>
  <si>
    <t>采取扶持资金入股的方式，将47.1万元入股麻栗坡农业开发投资有限责任公司，每年按户均投入总资产的10%比列分红。（实施中）</t>
  </si>
  <si>
    <t>大坪镇大坪村委会产业发展项目</t>
  </si>
  <si>
    <t>采取扶持资金入股的方式，将39.6万元入股麻栗坡农业开发投资有限责任公司，每年按户均投入总资产的10%比列分红。（实施中）</t>
  </si>
  <si>
    <t>大坪镇阿老村委会产业发展项目</t>
  </si>
  <si>
    <t>采取扶持资金入股的方式，将39.3万元入股麻栗坡农业开发投资有限责任公司，每年按户均投入总资产的10%比列分红。（实施中）</t>
  </si>
  <si>
    <t>大坪镇上凉水井村委会产业发展项目</t>
  </si>
  <si>
    <t>采取扶持资金入股的方式，将49.2万元入股麻栗坡农业开发投资有限责任公司，每年按户均投入总资产的10%比列分红。（实施中）</t>
  </si>
  <si>
    <t>大坪镇新地房村委会产业发展项目</t>
  </si>
  <si>
    <t>采取扶持资金入股的方式，将45.3万元入股麻栗坡农业开发投资有限责任公司，每年按户均投入总资产的10%比列分红。（实施中）</t>
  </si>
  <si>
    <t>符维飞</t>
  </si>
  <si>
    <t>1.串户路建设</t>
  </si>
  <si>
    <t>李华</t>
  </si>
  <si>
    <t>扶贫、发改、财政、民宗</t>
  </si>
  <si>
    <t>大坪村委会</t>
  </si>
  <si>
    <t>马达村委会</t>
  </si>
  <si>
    <t>上凉水井村委会</t>
  </si>
  <si>
    <t>阿老村委会</t>
  </si>
  <si>
    <t>新地房村委会</t>
  </si>
  <si>
    <t>戈令村委会</t>
  </si>
  <si>
    <t>瓦渣村委会</t>
  </si>
  <si>
    <t>高笕梁村委会</t>
  </si>
  <si>
    <t>2.村内道路</t>
  </si>
  <si>
    <t>大坪镇小石山亭子、花架、扶手建设项目</t>
  </si>
  <si>
    <t>文化</t>
  </si>
  <si>
    <t>已实施（资金已到位）</t>
  </si>
  <si>
    <t>大坪镇阿老村委会锅厂村小组道路建设</t>
  </si>
  <si>
    <t>大坪镇上凉水井村委会苍浦塘一组道路建设</t>
  </si>
  <si>
    <t>大坪镇上凉水井村委会漫马村进村道路维修项目</t>
  </si>
  <si>
    <t>冉茂彬</t>
  </si>
  <si>
    <t>2018年退耕还林</t>
  </si>
  <si>
    <t>2019年退耕还林</t>
  </si>
  <si>
    <t>2020年退耕还林</t>
  </si>
  <si>
    <t>王府东</t>
  </si>
  <si>
    <t>实施中（资金有保障）</t>
  </si>
  <si>
    <t>（一）贫困村贫困发生率＜3%</t>
  </si>
  <si>
    <t>黄传昌</t>
  </si>
  <si>
    <t>屏边—麻栗坡</t>
  </si>
  <si>
    <t>危险路段隐患自治</t>
  </si>
  <si>
    <t>那瓦线</t>
  </si>
  <si>
    <t>马阿线</t>
  </si>
  <si>
    <t>兴大线</t>
  </si>
  <si>
    <t>河上线</t>
  </si>
  <si>
    <t>南高线</t>
  </si>
  <si>
    <t>库戈线</t>
  </si>
  <si>
    <t>茅猫线</t>
  </si>
  <si>
    <t>三下线</t>
  </si>
  <si>
    <t>南河线</t>
  </si>
  <si>
    <t>大坪镇阿老村委会上冲头村贫困村通动力电改造工程（380伏）</t>
  </si>
  <si>
    <t>大坪镇大坪村委会长田通动力电新建工程（380伏）</t>
  </si>
  <si>
    <t>大坪镇马达村委会跌达坡贫困村通动力电新建工程（380伏）</t>
  </si>
  <si>
    <t>刘星</t>
  </si>
  <si>
    <t>大坪龙井农村饮水安全巩固提升工程</t>
  </si>
  <si>
    <t>大坪江西冲农村饮水安全巩固提升工程</t>
  </si>
  <si>
    <t>大坪河沟农村饮水安全巩固提升工程</t>
  </si>
  <si>
    <t>上凉水井麻栗山农村饮水安全巩固提升工程</t>
  </si>
  <si>
    <t>上凉水井烂坝农村饮水安全巩固提升工程</t>
  </si>
  <si>
    <t>大石洞小寨一二三组农村饮水安全巩固提升工程</t>
  </si>
  <si>
    <t>大石洞大寨一二三组农村饮水安全巩固提升工程</t>
  </si>
  <si>
    <t>大石洞水淹塘、茨竹箐农村饮水安全巩固提升工程</t>
  </si>
  <si>
    <t>大石洞芦柴冲农村饮水安全巩固提升工程</t>
  </si>
  <si>
    <t>高笕梁田竹冲农村饮水安全巩固提升工程</t>
  </si>
  <si>
    <t>新地房东瓜树农村饮水安全巩固提升工程</t>
  </si>
  <si>
    <t>大坪镇上凉水井慢马饮水维修项目</t>
  </si>
  <si>
    <t>完工（新纳入，资金有变化）</t>
  </si>
  <si>
    <t>麻栗坡县石桥水库维修养护资金</t>
  </si>
  <si>
    <t>大坪戈割寨农村饮水安全巩固提升工程</t>
  </si>
  <si>
    <t>大坪熊吃水农村饮水安全巩固提升工程</t>
  </si>
  <si>
    <t>大坪南迷农村饮水安全巩固提升工程</t>
  </si>
  <si>
    <t>大坪集镇农村饮水安全巩固提升工程</t>
  </si>
  <si>
    <t>大坪下半坡农村饮水安全巩固提升工程</t>
  </si>
  <si>
    <t>新地房老岩寨100³水池维修</t>
  </si>
  <si>
    <t>上凉水井白沙坡农村饮水安全巩固提升工程</t>
  </si>
  <si>
    <t>上凉水井雷打冲农村饮水安全巩固提升工程</t>
  </si>
  <si>
    <t>上凉水井磨石山、山后农村饮水安全巩固提升工程</t>
  </si>
  <si>
    <t>高笕梁一二三组农村饮水安全巩固提升工程</t>
  </si>
  <si>
    <t>马达大龙潭、河对门农村饮水安全巩固提升工程</t>
  </si>
  <si>
    <t>马达小寨一二组农村饮水安全巩固提升工程</t>
  </si>
  <si>
    <t>马达茶叶箐农村饮水安全巩固提升工程</t>
  </si>
  <si>
    <t>马达大寨农村饮水安全巩固提升工程</t>
  </si>
  <si>
    <t>马达林家寨、赶香寨农村饮水安全巩固提升工程</t>
  </si>
  <si>
    <t>小水窖安全饮用水建设项目</t>
  </si>
  <si>
    <t>除大坪村委会外其余8个村标准化卫生室建设相关设备配备</t>
  </si>
  <si>
    <t>设备配置</t>
  </si>
  <si>
    <t>大坪村委会河沟活动室建设</t>
  </si>
  <si>
    <t>确保建档立卡贫困户适龄儿童义务教育入学率达到国家规定标准，确保建档立卡贫困户适龄儿童入学率达100%</t>
  </si>
  <si>
    <t>1.路灯建设</t>
  </si>
  <si>
    <t>大坪镇大坪村委会箐口村小组路灯建设</t>
  </si>
  <si>
    <t>棵</t>
  </si>
  <si>
    <t>未实施（资金不到位）</t>
  </si>
  <si>
    <t>大坪镇大坪村委会大坪街村小组路灯建设</t>
  </si>
  <si>
    <t>大坪镇大坪村委会新保村小组太阳路灯建设</t>
  </si>
  <si>
    <t>阿老村委会大寨、锅厂村小组太阳能路灯安装</t>
  </si>
  <si>
    <t>2.贫困村功能提升项目</t>
  </si>
  <si>
    <t>麻栗坡县2018年上海对口支援瓦渣贫困村功能提升项目</t>
  </si>
  <si>
    <t>麻栗坡县2018年上海对口支援大石洞贫困村功能提升项目</t>
  </si>
  <si>
    <t>大坪镇上凉水井村委会烂坝村小组功能提升项目</t>
  </si>
  <si>
    <t>1.建村级光伏扶贫电站</t>
  </si>
  <si>
    <t>2.土地山林使用权入股情况</t>
  </si>
  <si>
    <t>3.通过财政投入开展资产收益扶贫</t>
  </si>
  <si>
    <t>大坪镇大坪村委会大坪街三组扶持村集体经济发展建设项目</t>
  </si>
  <si>
    <t>大坪镇马达村委会村集体经济扶持项目</t>
  </si>
  <si>
    <t>采取扶持资金入股的方式，将30万元入股麻栗坡县鑫耀经贸有
限公司，按投入总资产的8%比列分红。</t>
  </si>
  <si>
    <t>大坪镇阿老村委会村集体经济扶持项目</t>
  </si>
  <si>
    <t>大坪镇戈令村委会村集体经济扶持项目</t>
  </si>
  <si>
    <t>大坪镇瓦渣村委会村集体经济扶持项目</t>
  </si>
  <si>
    <t>采取扶持资金入股的方式，将30万元入股文山佶洋农业发展有
限公司，每年按总资产的8%比列分红。</t>
  </si>
  <si>
    <t>大坪镇上凉水井村委会村集体经济扶持项目</t>
  </si>
  <si>
    <t>大坪镇高笕梁村委会村集体经济扶持项目</t>
  </si>
  <si>
    <t>大坪镇新地房村委会村集体经济扶持项目</t>
  </si>
  <si>
    <t>采取扶持资金入股的方式，将资本金75万元(上海静安区对口支援大坪镇工业辣椒种植项目资本金人民币40万元；文山州移民局划拨新地房村委会冬早蔬菜种植35万元）入股文山文山佶洋农业有限公司，按投入总资产的7%以上比列分红。</t>
  </si>
  <si>
    <t>大坪镇大坪村委会村集体经济扶持项目</t>
  </si>
  <si>
    <t>采取扶持资金入股的方式，将20万元(上海静安区对口支援大坪镇工业辣椒种植项目资本金）入股文山文山佶洋农业有限公司，按投入总资产的7%以上比列分红。</t>
  </si>
  <si>
    <t>大坪镇大石洞村委会村集体经济扶持项目</t>
  </si>
  <si>
    <t>采取扶持资金入股的方式，将40万元（上海静安区对口支援大坪镇工业辣椒种植项目资本金）入股文山文山佶洋农业有限公司，按投入总资产的7%以上比列分红。</t>
  </si>
  <si>
    <t>公益林集体补助</t>
  </si>
  <si>
    <t>填表说明：1.带“—”符号的栏目不填；项目及资金需求待县级审定反馈后，再完善。</t>
  </si>
  <si>
    <t>2.由主要领导牵头，组织班子成员、站所等人员，负责汇总、分析、测算和增减规模种植业、规模养殖业、龙头企业或新型经营主体、
村集体经济中的财政投入开展资产收益扶贫和生产经营类项目和资金需求，对村级项目进行乡级审核。</t>
  </si>
  <si>
    <t>3.6月15日前完成乡级审核，行文请求县级审定，同时将审核后的统计表在乡政府驻地进行公示。</t>
  </si>
  <si>
    <t>董干镇脱贫攻坚工作任务清单</t>
  </si>
  <si>
    <t xml:space="preserve">填报单位：董干镇人民政府                 </t>
  </si>
  <si>
    <t>年度建设任务</t>
  </si>
  <si>
    <t>档卡户73户287人，非档卡户31户133人。</t>
  </si>
  <si>
    <t>欧常军</t>
  </si>
  <si>
    <t>陶光树</t>
  </si>
  <si>
    <t>董干</t>
  </si>
  <si>
    <t>长槽</t>
  </si>
  <si>
    <t>白沙杠</t>
  </si>
  <si>
    <t>者挖</t>
  </si>
  <si>
    <t>嘎啊</t>
  </si>
  <si>
    <t>回龙</t>
  </si>
  <si>
    <t>马波</t>
  </si>
  <si>
    <t>镇级层面马林、者挖、普弄、集镇4个搬迁点缺口资金4034.475</t>
  </si>
  <si>
    <t>邬成军</t>
  </si>
  <si>
    <t>何明礼</t>
  </si>
  <si>
    <t>普弄</t>
  </si>
  <si>
    <t>马坤</t>
  </si>
  <si>
    <t>马林</t>
  </si>
  <si>
    <t>马崩</t>
  </si>
  <si>
    <t>麻栗堡</t>
  </si>
  <si>
    <t>永利</t>
  </si>
  <si>
    <t>新寨</t>
  </si>
  <si>
    <t>董来</t>
  </si>
  <si>
    <t>马龙</t>
  </si>
  <si>
    <t>新队</t>
  </si>
  <si>
    <t>龚明亮</t>
  </si>
  <si>
    <t>张文红</t>
  </si>
  <si>
    <t>1、高职</t>
  </si>
  <si>
    <t>2、专科</t>
  </si>
  <si>
    <t>3、本科</t>
  </si>
  <si>
    <t>4、研究生</t>
  </si>
  <si>
    <t>宋金焕</t>
  </si>
  <si>
    <t>雷敏</t>
  </si>
  <si>
    <t>杨代富</t>
  </si>
  <si>
    <t>2.乡村道路维护员</t>
  </si>
  <si>
    <t>3.乡村环境卫生清洁员</t>
  </si>
  <si>
    <t>4.乡村河（湖）道维护员</t>
  </si>
  <si>
    <t>6.乡村社会治安协管员</t>
  </si>
  <si>
    <t>社保</t>
  </si>
  <si>
    <t>7.孤寡老人和留守儿童及残疾人帮扶员</t>
  </si>
  <si>
    <t>8.移风易俗协管员</t>
  </si>
  <si>
    <t>9.乡村饮水维护员</t>
  </si>
  <si>
    <t>戴卫</t>
  </si>
  <si>
    <t>颜江</t>
  </si>
  <si>
    <t>入股农投公司</t>
  </si>
  <si>
    <t>刘义健</t>
  </si>
  <si>
    <t>卞剑翔</t>
  </si>
  <si>
    <t>郭天顺</t>
  </si>
  <si>
    <t>2018年是预计数</t>
  </si>
  <si>
    <t>马波龙树脚</t>
  </si>
  <si>
    <t>马波魁帮</t>
  </si>
  <si>
    <t>董干小卡</t>
  </si>
  <si>
    <t>新寨城寨</t>
  </si>
  <si>
    <t>董来漫江</t>
  </si>
  <si>
    <t>李林爽</t>
  </si>
  <si>
    <t>和谐</t>
  </si>
  <si>
    <t>1.农村交通建设</t>
  </si>
  <si>
    <t>政府办</t>
  </si>
  <si>
    <t>董干镇麻栗堡村委会至小寨村组公路工程</t>
  </si>
  <si>
    <r>
      <rPr>
        <sz val="11"/>
        <rFont val="方正仿宋_GBK"/>
        <charset val="134"/>
      </rPr>
      <t>硬化道路</t>
    </r>
    <r>
      <rPr>
        <sz val="11"/>
        <rFont val="Times New Roman"/>
        <charset val="134"/>
      </rPr>
      <t>4.322</t>
    </r>
    <r>
      <rPr>
        <sz val="11"/>
        <rFont val="方正仿宋_GBK"/>
        <charset val="134"/>
      </rPr>
      <t>公里</t>
    </r>
  </si>
  <si>
    <t>董干镇麻栗堡委会麻栗堡至上寨村组公路工程</t>
  </si>
  <si>
    <r>
      <rPr>
        <sz val="11"/>
        <rFont val="方正仿宋_GBK"/>
        <charset val="134"/>
      </rPr>
      <t>硬化道路</t>
    </r>
    <r>
      <rPr>
        <sz val="11"/>
        <rFont val="Times New Roman"/>
        <charset val="134"/>
      </rPr>
      <t>2.795</t>
    </r>
    <r>
      <rPr>
        <sz val="11"/>
        <rFont val="方正仿宋_GBK"/>
        <charset val="134"/>
      </rPr>
      <t>公里</t>
    </r>
  </si>
  <si>
    <t>董干镇马崩委会董国线至大火焰村组公路工程</t>
  </si>
  <si>
    <r>
      <rPr>
        <sz val="11"/>
        <rFont val="方正仿宋_GBK"/>
        <charset val="134"/>
      </rPr>
      <t>硬化道路</t>
    </r>
    <r>
      <rPr>
        <sz val="11"/>
        <rFont val="Times New Roman"/>
        <charset val="134"/>
      </rPr>
      <t>4.655</t>
    </r>
    <r>
      <rPr>
        <sz val="11"/>
        <rFont val="方正仿宋_GBK"/>
        <charset val="134"/>
      </rPr>
      <t>公里</t>
    </r>
  </si>
  <si>
    <t>董干镇马坤委会马崩至铳文村组公路工程</t>
  </si>
  <si>
    <r>
      <rPr>
        <sz val="11"/>
        <rFont val="方正仿宋_GBK"/>
        <charset val="134"/>
      </rPr>
      <t>硬化道路</t>
    </r>
    <r>
      <rPr>
        <sz val="11"/>
        <rFont val="Times New Roman"/>
        <charset val="134"/>
      </rPr>
      <t>10.278</t>
    </r>
    <r>
      <rPr>
        <sz val="11"/>
        <rFont val="方正仿宋_GBK"/>
        <charset val="134"/>
      </rPr>
      <t>公里</t>
    </r>
  </si>
  <si>
    <t>董干镇者挖村委会者挖至新隆寨村组公路工程</t>
  </si>
  <si>
    <r>
      <rPr>
        <sz val="11"/>
        <rFont val="方正仿宋_GBK"/>
        <charset val="134"/>
      </rPr>
      <t>硬化道路</t>
    </r>
    <r>
      <rPr>
        <sz val="11"/>
        <rFont val="Times New Roman"/>
        <charset val="134"/>
      </rPr>
      <t>1.745</t>
    </r>
    <r>
      <rPr>
        <sz val="11"/>
        <rFont val="方正仿宋_GBK"/>
        <charset val="134"/>
      </rPr>
      <t>公里</t>
    </r>
  </si>
  <si>
    <t>董干镇者挖村委会者挖至金代村组公路工程</t>
  </si>
  <si>
    <r>
      <rPr>
        <sz val="11"/>
        <rFont val="方正仿宋_GBK"/>
        <charset val="134"/>
      </rPr>
      <t>硬化道路</t>
    </r>
    <r>
      <rPr>
        <sz val="11"/>
        <rFont val="Times New Roman"/>
        <charset val="134"/>
      </rPr>
      <t>3.291</t>
    </r>
    <r>
      <rPr>
        <sz val="11"/>
        <rFont val="方正仿宋_GBK"/>
        <charset val="134"/>
      </rPr>
      <t>公里</t>
    </r>
  </si>
  <si>
    <t>董干镇者挖村委会会龙脚丫口至者挖村组公路工程</t>
  </si>
  <si>
    <r>
      <rPr>
        <sz val="11"/>
        <rFont val="方正仿宋_GBK"/>
        <charset val="134"/>
      </rPr>
      <t>硬化道路</t>
    </r>
    <r>
      <rPr>
        <sz val="11"/>
        <rFont val="Times New Roman"/>
        <charset val="134"/>
      </rPr>
      <t>3.148</t>
    </r>
    <r>
      <rPr>
        <sz val="11"/>
        <rFont val="方正仿宋_GBK"/>
        <charset val="134"/>
      </rPr>
      <t>公里</t>
    </r>
  </si>
  <si>
    <t>董干镇普弄村委会八茅线至铳样村组公路工程</t>
  </si>
  <si>
    <r>
      <rPr>
        <sz val="11"/>
        <rFont val="方正仿宋_GBK"/>
        <charset val="134"/>
      </rPr>
      <t>硬化道路</t>
    </r>
    <r>
      <rPr>
        <sz val="11"/>
        <rFont val="Times New Roman"/>
        <charset val="134"/>
      </rPr>
      <t>0.257</t>
    </r>
    <r>
      <rPr>
        <sz val="11"/>
        <rFont val="方正仿宋_GBK"/>
        <charset val="134"/>
      </rPr>
      <t>公里</t>
    </r>
  </si>
  <si>
    <t>董干镇普弄村委会岔口至铳善村组公路工程</t>
  </si>
  <si>
    <r>
      <rPr>
        <sz val="11"/>
        <rFont val="方正仿宋_GBK"/>
        <charset val="134"/>
      </rPr>
      <t>硬化道路</t>
    </r>
    <r>
      <rPr>
        <sz val="11"/>
        <rFont val="Times New Roman"/>
        <charset val="134"/>
      </rPr>
      <t>2.476</t>
    </r>
    <r>
      <rPr>
        <sz val="11"/>
        <rFont val="方正仿宋_GBK"/>
        <charset val="134"/>
      </rPr>
      <t>公里</t>
    </r>
  </si>
  <si>
    <t>董干镇普弄村委会国防路至大土村组公路工程</t>
  </si>
  <si>
    <r>
      <rPr>
        <sz val="11"/>
        <rFont val="方正仿宋_GBK"/>
        <charset val="134"/>
      </rPr>
      <t>硬化道路</t>
    </r>
    <r>
      <rPr>
        <sz val="11"/>
        <rFont val="Times New Roman"/>
        <charset val="134"/>
      </rPr>
      <t>1.941</t>
    </r>
    <r>
      <rPr>
        <sz val="11"/>
        <rFont val="方正仿宋_GBK"/>
        <charset val="134"/>
      </rPr>
      <t>公里</t>
    </r>
  </si>
  <si>
    <t>2.县城、乡镇到建档立卡贫困行政村通硬化道路的危险路段有必要的防护措施</t>
  </si>
  <si>
    <t>小马线（小马林至十号界） 危险路段隐患处治 3公里</t>
  </si>
  <si>
    <t>牛永线（牛厂至永利） 危险路段隐患处治4.948 公里</t>
  </si>
  <si>
    <t>新新线（新队至新寨） 危险路段隐患处治 5.8公里</t>
  </si>
  <si>
    <t>韩马线（韩家湾至马坤） 危险路段隐患处治2.9 公里</t>
  </si>
  <si>
    <t>马回线  Y026532624（马腊寨至回龙） 危险路段隐患处理9.8公里</t>
  </si>
  <si>
    <t>马董线  Y037532624（马波林场至董来） 危险路段隐患处理4.5公里</t>
  </si>
  <si>
    <t>喀纳斯-东兴（上坝至南利大桥） 危险路段隐患处理50公里</t>
  </si>
  <si>
    <t>镇级层面</t>
  </si>
  <si>
    <t>小十线  XH43532624（小马林至十号界碑） 危险路段隐患处理11.3公里</t>
  </si>
  <si>
    <t>八里坪至普弄村委会道路硬化</t>
  </si>
  <si>
    <t>项目安排在普弄村委会</t>
  </si>
  <si>
    <t>董干镇马林村委会半坡贫困村通动力电改造工程</t>
  </si>
  <si>
    <t>董干镇马林村委会金竹山贫困村通动力电改造工程</t>
  </si>
  <si>
    <t>董干镇马林村委会马卷贫困村通动力电改造工程</t>
  </si>
  <si>
    <t>董干镇马林村委会宗家寨贫困村通动力电改造工程</t>
  </si>
  <si>
    <t>董干镇长槽村委会冉家寨贫困村通动力电改造工程</t>
  </si>
  <si>
    <t>董干镇长槽村委会茶地贫困村通动力电改造工程</t>
  </si>
  <si>
    <t>董干镇长槽村委会蜂岩贫困村通动力电改造工程</t>
  </si>
  <si>
    <t>汪春天</t>
  </si>
  <si>
    <t>夏云飞</t>
  </si>
  <si>
    <t>永利大石等农村饮水安全巩固提升工程</t>
  </si>
  <si>
    <t>马龙下马龙、半坡农村饮水安全巩固提升工程</t>
  </si>
  <si>
    <t>马波新发寨农村饮水安全巩固提升工程</t>
  </si>
  <si>
    <t>嘎啊黄瓜寨农村饮水安全巩固提升工程</t>
  </si>
  <si>
    <t>嘎啊上寨农村饮水安全巩固提升工程（上寨、冬瓜树）</t>
  </si>
  <si>
    <t>普弄、者挖、马坤片区农村饮水安全巩固提升工程（包括普弄上、中间、山边、铳发上、下、小卡、铳文；金中、金代、冬瓜林、水井湾、香草硐上、下、者挖、水洞子；马坤、金竹垱、小者挖、龙树、荡子、丫口）</t>
  </si>
  <si>
    <t>长槽木拉新建小水窖1口（陈柏芳）</t>
  </si>
  <si>
    <t>者挖龙标新建小水窖1口（沈正权）</t>
  </si>
  <si>
    <t>马林上弄一、二农村饮水安全巩固提升工程</t>
  </si>
  <si>
    <t>马林凹塘农村饮水安全巩固提升工程</t>
  </si>
  <si>
    <t>马林马生农村饮水安全巩固提升工程</t>
  </si>
  <si>
    <t>董来马骂农村饮水安全巩固提升工程</t>
  </si>
  <si>
    <t>董来龙家湾农村饮水安全巩固提升工程</t>
  </si>
  <si>
    <t>董来烧基地农村饮水安全巩固提升工程</t>
  </si>
  <si>
    <t>董来对门山农村饮水安全巩固提升工程</t>
  </si>
  <si>
    <t>麻栗堡竜嘎农村饮水安全巩固提升工程</t>
  </si>
  <si>
    <t>麻栗堡上、下寨农村饮水安全巩固提升工程</t>
  </si>
  <si>
    <t>董干硐子片区农村饮水安全巩固提升工程（梨子坪、桃子洞、茅草洞、苦竹洞、小卡）</t>
  </si>
  <si>
    <t>新寨摆谷农村饮水安全巩固提升工程</t>
  </si>
  <si>
    <t>新寨营盘一、二农村饮水安全巩固提升工程</t>
  </si>
  <si>
    <t>永利上马甲农村饮水安全巩固提升工程</t>
  </si>
  <si>
    <t>嘎啊白菜田农村饮水安全巩固提升工程</t>
  </si>
  <si>
    <t>长槽庙坎脚农村饮水安全巩固提升工程</t>
  </si>
  <si>
    <t>回龙马桑农村饮水安全巩固提升工程</t>
  </si>
  <si>
    <t>回龙马鹿塘农村饮水安全巩固提升工程</t>
  </si>
  <si>
    <t>回龙瑶仁沟农村饮水安全巩固提升工程</t>
  </si>
  <si>
    <t>马龙桐子坪农村饮水安全巩固提升工程</t>
  </si>
  <si>
    <t>马龙中田湾农村饮水安全巩固提升工程</t>
  </si>
  <si>
    <t>（七）卫生室建设（维修）</t>
  </si>
  <si>
    <t>杨代宏</t>
  </si>
  <si>
    <t>者挖村委会金钟村小组活动场所建设</t>
  </si>
  <si>
    <t>者挖村委会新隆寨村小组活动场所建设</t>
  </si>
  <si>
    <t>普弄村委会铳样村小组活动场所建设</t>
  </si>
  <si>
    <t>普弄村委会山边村小组活动场所建设</t>
  </si>
  <si>
    <t>普弄村委会小卡村小组活动场所建设</t>
  </si>
  <si>
    <t>马坤村委会马坤村小组活动场所建设</t>
  </si>
  <si>
    <t>马坤村委会下马垱村小组活动场所建设</t>
  </si>
  <si>
    <t>新队社区马波一村级活动场所</t>
  </si>
  <si>
    <t>新队社区马波四村级活动场所</t>
  </si>
  <si>
    <t>新队社区新队村级活动场所</t>
  </si>
  <si>
    <t>马波村委会老寨村级活动场所</t>
  </si>
  <si>
    <t>嘎啊村委会黄瓜寨村级活动场所</t>
  </si>
  <si>
    <t>(十)人居环境提升</t>
  </si>
  <si>
    <t>卞剑祥</t>
  </si>
  <si>
    <t>新队社区路灯建设</t>
  </si>
  <si>
    <t>2.农村环境综合整治项目</t>
  </si>
  <si>
    <t>麻栗坡县董干镇者挖村委会农村环境综合整治工程</t>
  </si>
  <si>
    <t>董干镇普弄村委会山弄村小组人居环境提升项目</t>
  </si>
  <si>
    <t>路灯安装、垃圾池建设、排污设施建设</t>
  </si>
  <si>
    <t>36</t>
  </si>
  <si>
    <t>麻栗坡县董干镇新寨村委会新寨村小组民族特色村</t>
  </si>
  <si>
    <t>3.民族示范村项目</t>
  </si>
  <si>
    <t>麻栗坡县董干镇回龙村委会耿家丫口民族团结示范村</t>
  </si>
  <si>
    <t>麻栗坡县董干镇马林马森民族团结示范村</t>
  </si>
  <si>
    <t>麻栗坡县董干镇马林大园子民族特色村</t>
  </si>
  <si>
    <t>麻栗坡县董干镇麻栗堡上下寨民族团结示范村</t>
  </si>
  <si>
    <t>集体经济建设</t>
  </si>
  <si>
    <t>2.由主要领导牵头，组织班子成员、站所等人员，负责汇总、分析、测算和增减规模种植业、规模养殖业、龙头企业或新型经营主体、村集体经济中的财政投入开展资产收益扶贫和生产经营类项目和资金需求，对村级项目进行乡级审核。</t>
  </si>
  <si>
    <t>附件1</t>
  </si>
  <si>
    <t>六河乡2018年至2020年脱贫攻坚乡级路线图（实施方案）项目统计表（锁定）</t>
  </si>
  <si>
    <r>
      <rPr>
        <sz val="14"/>
        <rFont val="宋体"/>
        <charset val="134"/>
      </rPr>
      <t xml:space="preserve">填报单位：麻栗坡县六河乡 </t>
    </r>
    <r>
      <rPr>
        <sz val="12"/>
        <rFont val="宋体"/>
        <charset val="134"/>
      </rPr>
      <t xml:space="preserve">      </t>
    </r>
  </si>
  <si>
    <t>罗治旭</t>
  </si>
  <si>
    <t>田优</t>
  </si>
  <si>
    <t>麻栗坡县集中安置点</t>
  </si>
  <si>
    <t>侬章旭</t>
  </si>
  <si>
    <t>侯朝坤</t>
  </si>
  <si>
    <t>六河村委会</t>
  </si>
  <si>
    <t>转堡村委会</t>
  </si>
  <si>
    <t>听曼村委会</t>
  </si>
  <si>
    <t>营盘山村委会</t>
  </si>
  <si>
    <t>银厂村委会</t>
  </si>
  <si>
    <t>南令村委会</t>
  </si>
  <si>
    <t>黄玉林</t>
  </si>
  <si>
    <t>黄集</t>
  </si>
  <si>
    <t>1.高职阶段</t>
  </si>
  <si>
    <t>2.专科</t>
  </si>
  <si>
    <t>3.本科</t>
  </si>
  <si>
    <t>樊秀俊</t>
  </si>
  <si>
    <t>1.脱贫</t>
  </si>
  <si>
    <t>2.未脱贫</t>
  </si>
  <si>
    <t>陆春梅</t>
  </si>
  <si>
    <t>乡村环境卫生清洁员</t>
  </si>
  <si>
    <t>已实施</t>
  </si>
  <si>
    <t>4.乡村河道维护员</t>
  </si>
  <si>
    <t>邓兴建</t>
  </si>
  <si>
    <t>潘邦跃</t>
  </si>
  <si>
    <t>韦宇杰</t>
  </si>
  <si>
    <t>骆弟琼</t>
  </si>
  <si>
    <t>刘仕龙</t>
  </si>
  <si>
    <t>六河乡转堡、六河村委会柠檬种植</t>
  </si>
  <si>
    <t>刘仕龙、刘万林</t>
  </si>
  <si>
    <t>转堡村委会柠檬种植</t>
  </si>
  <si>
    <t>六河村委会柠檬种植</t>
  </si>
  <si>
    <t>银厂、营盘山青花椒种植</t>
  </si>
  <si>
    <t>银厂青花椒种植</t>
  </si>
  <si>
    <t>营盘山青花椒种植</t>
  </si>
  <si>
    <t>麻栗坡县六河乡魔芋种植项目（营盘山）</t>
  </si>
  <si>
    <t>罗志旭</t>
  </si>
  <si>
    <t>六河乡六河村委会小龙虾养殖项目</t>
  </si>
  <si>
    <t>六河乡扶贫车间建设项目</t>
  </si>
  <si>
    <t>六河乡六河村委会产业发展项目</t>
  </si>
  <si>
    <t>未实施，计划入股农投公司</t>
  </si>
  <si>
    <t>六河乡转堡村委会产业发展项目</t>
  </si>
  <si>
    <t>六河乡听曼村委会产业发展项目</t>
  </si>
  <si>
    <t>已实施。入股麻栗坡农业开发投资有限责任公司帮带发展种养殖业</t>
  </si>
  <si>
    <t>六河乡营盘山村委会产业发展项目</t>
  </si>
  <si>
    <t>六河乡银厂村委会产业发展项目</t>
  </si>
  <si>
    <t>六河乡南令村委会产业发展项目</t>
  </si>
  <si>
    <t>李先刚</t>
  </si>
  <si>
    <t>2017年度麻栗坡县六河乡转堡村委会箐边片区高标准农田建设项目</t>
  </si>
  <si>
    <t>1.新建渠道：1#渠道800m；2#渠道550m；1#支渠300m；2#支渠330m；30m3水窖15口。2. 田间生产道路：2#田间生产道路1380m。科技措施：100m3加盖水池1座；闸阀井1座；管网1.64km。</t>
  </si>
  <si>
    <t>（七）乡村旅游产业基础设施建设</t>
  </si>
  <si>
    <t>六河乡六河村委会串户路建设项目</t>
  </si>
  <si>
    <t>六河乡转堡村委会串户路建设项目</t>
  </si>
  <si>
    <t>六河乡听曼村委会串户路建设项目</t>
  </si>
  <si>
    <t>正在实施</t>
  </si>
  <si>
    <t>六河乡营盘山村委会串户路建设项目</t>
  </si>
  <si>
    <t>六河乡银厂村委会串户路建设项目</t>
  </si>
  <si>
    <t>六河乡南令村委会串户路建设项目</t>
  </si>
  <si>
    <t>2.村内道路硬化</t>
  </si>
  <si>
    <t>麻栗坡县六河乡转堡村委会上懂咪村村内道路硬化建设</t>
  </si>
  <si>
    <t>麻栗坡县民宗局</t>
  </si>
  <si>
    <t>六河乡南令村老哇湾村内道路硬化项目</t>
  </si>
  <si>
    <t>麻栗坡县发改局</t>
  </si>
  <si>
    <t>六河乡六河村小寨、坡头村内道路硬化项目</t>
  </si>
  <si>
    <t>刘万林、李祝荣</t>
  </si>
  <si>
    <t>刘万林</t>
  </si>
  <si>
    <t>李祝荣</t>
  </si>
  <si>
    <t>郭荣武</t>
  </si>
  <si>
    <r>
      <rPr>
        <sz val="10"/>
        <rFont val="宋体"/>
        <charset val="134"/>
      </rPr>
      <t>（一）贫困村贫困发生率＜3</t>
    </r>
    <r>
      <rPr>
        <sz val="14"/>
        <rFont val="宋体"/>
        <charset val="134"/>
      </rPr>
      <t>%</t>
    </r>
  </si>
  <si>
    <t>营盘山、银厂村委会（新董线）</t>
  </si>
  <si>
    <t>六河、南令委会（六南线）</t>
  </si>
  <si>
    <t>六河、转堡、听曼村委会（龙坝线）</t>
  </si>
  <si>
    <t>2.六河乡南令村委会建制村道路通畅工程</t>
  </si>
  <si>
    <t>陈子学</t>
  </si>
  <si>
    <t>六河乡南令村委会关山贫困村通动力电新建工程</t>
  </si>
  <si>
    <t>六河乡营盘山村委会箐口、兴龙贫困村通动力电新建工程</t>
  </si>
  <si>
    <t>刘杰</t>
  </si>
  <si>
    <t>张兰</t>
  </si>
  <si>
    <t>无户户通接收机</t>
  </si>
  <si>
    <t>听曼竜沟农村饮水安全巩固提升工程</t>
  </si>
  <si>
    <t>营盘山（上哪占、平安、牛厂、桐油坪、下哪占、田榜）6个村小组供水工程</t>
  </si>
  <si>
    <t>转堡（丫口、转堡、箐脚3个村小组农提水工程</t>
  </si>
  <si>
    <t>六河（攀枝花、大坪子、良子、偏挖、三岔沟、南脚、湾子）7个村小组供水工程</t>
  </si>
  <si>
    <t>六河乡六河村小寨、坡头安全饮水项目</t>
  </si>
  <si>
    <t>米</t>
  </si>
  <si>
    <t>发改局</t>
  </si>
  <si>
    <t>南令村委会及学校、孙家湾村小供水工程</t>
  </si>
  <si>
    <t>卫生室设备配置</t>
  </si>
  <si>
    <t>杨莉</t>
  </si>
  <si>
    <t>六河村委会哪里村综合活动场所</t>
  </si>
  <si>
    <t>转堡村委会新寨村综合活动场所</t>
  </si>
  <si>
    <t>听曼村委会大沟村综合活动场所</t>
  </si>
  <si>
    <t xml:space="preserve"> </t>
  </si>
  <si>
    <t>六河乡南令村老洼湾活动场所建设项目</t>
  </si>
  <si>
    <t>六河乡南令村委会综合文化服务中心提升改造建设项目</t>
  </si>
  <si>
    <t>（十）人居坏境提升</t>
  </si>
  <si>
    <t>听曼村委会大沟村小组太阳路灯</t>
  </si>
  <si>
    <t>盏</t>
  </si>
  <si>
    <t>银厂村委会银厂村小组太阳路灯</t>
  </si>
  <si>
    <t>麻栗坡县六河乡银厂贫困村提升项目</t>
  </si>
  <si>
    <t>改造卫生厕所85户，太阳能路灯75盏，垃圾池15座等。</t>
  </si>
  <si>
    <t>王璘</t>
  </si>
  <si>
    <t>胡尚剑</t>
  </si>
  <si>
    <t>六河村委会戈刚、新队安置点提升人居环境项目</t>
  </si>
  <si>
    <r>
      <rPr>
        <sz val="8"/>
        <rFont val="方正仿宋_GBK"/>
        <charset val="134"/>
      </rPr>
      <t>屋后排水沟建设，上排做规格</t>
    </r>
    <r>
      <rPr>
        <sz val="8"/>
        <rFont val="Times New Roman"/>
        <charset val="134"/>
      </rPr>
      <t>40cm×40cm</t>
    </r>
    <r>
      <rPr>
        <sz val="8"/>
        <rFont val="方正仿宋_GBK"/>
        <charset val="134"/>
      </rPr>
      <t>的排污沟</t>
    </r>
    <r>
      <rPr>
        <sz val="8"/>
        <rFont val="Times New Roman"/>
        <charset val="134"/>
      </rPr>
      <t>190</t>
    </r>
    <r>
      <rPr>
        <sz val="8"/>
        <rFont val="方正仿宋_GBK"/>
        <charset val="134"/>
      </rPr>
      <t>m；下排做DN400波纹排污管120m,院坝排水沟改造130m（上100m，下排30m），新建24</t>
    </r>
    <r>
      <rPr>
        <sz val="8"/>
        <rFont val="宋体"/>
        <charset val="134"/>
      </rPr>
      <t xml:space="preserve">m³ </t>
    </r>
    <r>
      <rPr>
        <sz val="8"/>
        <rFont val="方正仿宋_GBK"/>
        <charset val="134"/>
      </rPr>
      <t>的污水氧化塘一个，新建公厕1个，新建6</t>
    </r>
    <r>
      <rPr>
        <sz val="8"/>
        <rFont val="宋体"/>
        <charset val="134"/>
      </rPr>
      <t xml:space="preserve">m³ </t>
    </r>
    <r>
      <rPr>
        <sz val="8"/>
        <rFont val="方正仿宋_GBK"/>
        <charset val="134"/>
      </rPr>
      <t>垃圾池1个，新建化粪池（长3米</t>
    </r>
    <r>
      <rPr>
        <sz val="8"/>
        <rFont val="Times New Roman"/>
        <charset val="134"/>
      </rPr>
      <t>×</t>
    </r>
    <r>
      <rPr>
        <sz val="8"/>
        <rFont val="方正仿宋_GBK"/>
        <charset val="134"/>
      </rPr>
      <t>宽2米</t>
    </r>
    <r>
      <rPr>
        <sz val="8"/>
        <rFont val="Times New Roman"/>
        <charset val="134"/>
      </rPr>
      <t>×</t>
    </r>
    <r>
      <rPr>
        <sz val="8"/>
        <rFont val="方正仿宋_GBK"/>
        <charset val="134"/>
      </rPr>
      <t>高1米）1个</t>
    </r>
  </si>
  <si>
    <t>未实施，戈刚、新队村委会片区环境卫生差，人畜不分开，污水乱排放</t>
  </si>
  <si>
    <t>六河村委会扶持村集体经济发展建设项目</t>
  </si>
  <si>
    <t>甘洪兵</t>
  </si>
  <si>
    <t>转堡村委会扶持村集体经济发展建设项目</t>
  </si>
  <si>
    <t>听曼村委会扶持村集体经济发展建设项目、听曼肉兔养殖项目</t>
  </si>
  <si>
    <t>营盘山村委会扶持村集体经济发展建设项目</t>
  </si>
  <si>
    <t>周永光</t>
  </si>
  <si>
    <t>银厂村委会扶持村集体经济发展建设项目</t>
  </si>
  <si>
    <t>南令村委会扶持村集体经济发展建设项目</t>
  </si>
  <si>
    <t>.....</t>
  </si>
  <si>
    <t>麻栗镇2018年至2020年脱贫攻坚路线图（实施方案）乡级统计表</t>
  </si>
  <si>
    <t xml:space="preserve">填报单位：麻栗镇      </t>
  </si>
  <si>
    <t>2019资金下达情况</t>
  </si>
  <si>
    <t>姜勇</t>
  </si>
  <si>
    <t>张野</t>
  </si>
  <si>
    <t>南油</t>
  </si>
  <si>
    <t>老地房</t>
  </si>
  <si>
    <t>豆豉店</t>
  </si>
  <si>
    <t>茅草坪</t>
  </si>
  <si>
    <t>牛滚塘</t>
  </si>
  <si>
    <t>盘龙</t>
  </si>
  <si>
    <t>红岩</t>
  </si>
  <si>
    <t>潘家坝</t>
  </si>
  <si>
    <t>茨竹坝</t>
  </si>
  <si>
    <t>冲头</t>
  </si>
  <si>
    <t>下凉</t>
  </si>
  <si>
    <t>南欧</t>
  </si>
  <si>
    <t>鲍庆国</t>
  </si>
  <si>
    <t>侬文涛</t>
  </si>
  <si>
    <t>冲 头</t>
  </si>
  <si>
    <t>红 岩</t>
  </si>
  <si>
    <t>南 油</t>
  </si>
  <si>
    <t>盘 龙</t>
  </si>
  <si>
    <t>下 凉</t>
  </si>
  <si>
    <t>凃开琼</t>
  </si>
  <si>
    <t>汪伟</t>
  </si>
  <si>
    <t>外乡镇及外县</t>
  </si>
  <si>
    <t>唐文斌</t>
  </si>
  <si>
    <t>周英清</t>
  </si>
  <si>
    <t>姜丽</t>
  </si>
  <si>
    <t>李健</t>
  </si>
  <si>
    <t>5.乡村道路维护员</t>
  </si>
  <si>
    <t>上海公益性岗位、2018年新增</t>
  </si>
  <si>
    <t>6.乡村环境卫生清洁员</t>
  </si>
  <si>
    <t>7.乡村河道（湖泊）维护员</t>
  </si>
  <si>
    <t>8.乡村社会治安协管员</t>
  </si>
  <si>
    <t>9.孤寡老人和留守儿童及残疾人帮扶员</t>
  </si>
  <si>
    <t>10.移风易俗协理员</t>
  </si>
  <si>
    <t>12.地质灾害监测员</t>
  </si>
  <si>
    <t>唐跃</t>
  </si>
  <si>
    <t>张国超</t>
  </si>
  <si>
    <t>玉米1900亩、水稻1500亩</t>
  </si>
  <si>
    <t>水稻1668亩、烤烟333亩、甘蔗600亩、玉米4199亩、蔬菜4232亩</t>
  </si>
  <si>
    <t>玉米2977亩、水稻1123亩、辣椒232亩、甘蔗90亩、生姜180亩、草果200亩</t>
  </si>
  <si>
    <t>蔬菜321亩、甘蔗301亩、水稻210、玉米263</t>
  </si>
  <si>
    <t>玉米330、姜300、水稻20、花椒270、烤烟797、三七622</t>
  </si>
  <si>
    <t>玉米1449亩、水稻2000亩</t>
  </si>
  <si>
    <t>玉米2292、水稻1700、柑桔520、辣椒485、生姜400</t>
  </si>
  <si>
    <t>玉米1976亩、水稻416亩、草果267亩</t>
  </si>
  <si>
    <t>玉米3000亩、草果5000亩、蔬菜6037亩、烤烟114亩</t>
  </si>
  <si>
    <t>玉米1160.75亩、水稻835.2亩、甘蔗100亩</t>
  </si>
  <si>
    <t>玉米793、甘蔗560、烤烟236、辣椒200</t>
  </si>
  <si>
    <t>玉米404亩、水稻102亩、甘蔗100亩</t>
  </si>
  <si>
    <t>雷永宏</t>
  </si>
  <si>
    <t>牛200头、猪1640头、鸡7530只</t>
  </si>
  <si>
    <t>猪1155头、家禽6930只、牛230头</t>
  </si>
  <si>
    <t>猪1310头、鸡7860只、牛252只</t>
  </si>
  <si>
    <t>猪230头、鸡3019只、牛70头</t>
  </si>
  <si>
    <t>猪705、鸡6000、牛90</t>
  </si>
  <si>
    <t>猪1110头、鸡7770只、牛200头</t>
  </si>
  <si>
    <t>猪1490头、牛250头、鸡11900只</t>
  </si>
  <si>
    <t>猪1500头、牛712头、鸡7530只</t>
  </si>
  <si>
    <t>猪2963头、牛1100头、家禽12000只</t>
  </si>
  <si>
    <t>猪700头、鸡4360只、牛35头、羊50只</t>
  </si>
  <si>
    <t>鸡7854只、猪420头、牛100头</t>
  </si>
  <si>
    <t>猪485头、鸡2560只、牛60头</t>
  </si>
  <si>
    <t>肉牛养殖300头</t>
  </si>
  <si>
    <t>雷永宏、张国超</t>
  </si>
  <si>
    <t>参加合作社</t>
  </si>
  <si>
    <t>加入林生俏合作社</t>
  </si>
  <si>
    <t>（六）农田水利</t>
  </si>
  <si>
    <t>茅草坪瓦厂村小组灌溉沟渠建设项目</t>
  </si>
  <si>
    <t>新建30×40cm灌溉沟渠4000米</t>
  </si>
  <si>
    <t>张丹</t>
  </si>
  <si>
    <t>张德帅</t>
  </si>
  <si>
    <t>2019资金已经下达</t>
  </si>
  <si>
    <r>
      <rPr>
        <sz val="11"/>
        <rFont val="Times New Roman"/>
        <charset val="134"/>
      </rPr>
      <t>23300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</si>
  <si>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68350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</si>
  <si>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27250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</si>
  <si>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5250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</si>
  <si>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18200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</si>
  <si>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41400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</si>
  <si>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81000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</si>
  <si>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r>
      <rPr>
        <sz val="11"/>
        <rFont val="Times New Roman"/>
        <charset val="134"/>
      </rPr>
      <t>74700</t>
    </r>
    <r>
      <rPr>
        <sz val="11"/>
        <rFont val="方正仿宋_GBK"/>
        <charset val="134"/>
      </rPr>
      <t>每平方米</t>
    </r>
    <r>
      <rPr>
        <sz val="11"/>
        <rFont val="Times New Roman"/>
        <charset val="134"/>
      </rPr>
      <t>60</t>
    </r>
    <r>
      <rPr>
        <sz val="11"/>
        <rFont val="方正仿宋_GBK"/>
        <charset val="134"/>
      </rPr>
      <t>元测算。</t>
    </r>
  </si>
  <si>
    <r>
      <rPr>
        <sz val="11"/>
        <rFont val="Times New Roman"/>
        <charset val="134"/>
      </rPr>
      <t>106200,</t>
    </r>
    <r>
      <rPr>
        <sz val="11"/>
        <rFont val="方正仿宋_GBK"/>
        <charset val="134"/>
      </rPr>
      <t>每平方米</t>
    </r>
    <r>
      <rPr>
        <sz val="11"/>
        <rFont val="Times New Roman"/>
        <charset val="134"/>
      </rPr>
      <t>60</t>
    </r>
    <r>
      <rPr>
        <sz val="11"/>
        <rFont val="方正仿宋_GBK"/>
        <charset val="134"/>
      </rPr>
      <t>元测算。</t>
    </r>
  </si>
  <si>
    <r>
      <rPr>
        <sz val="11"/>
        <rFont val="Times New Roman"/>
        <charset val="134"/>
      </rPr>
      <t>47170</t>
    </r>
    <r>
      <rPr>
        <sz val="11"/>
        <rFont val="方正仿宋_GBK"/>
        <charset val="134"/>
      </rPr>
      <t>每平方米</t>
    </r>
    <r>
      <rPr>
        <sz val="11"/>
        <rFont val="Times New Roman"/>
        <charset val="134"/>
      </rPr>
      <t>60</t>
    </r>
    <r>
      <rPr>
        <sz val="11"/>
        <rFont val="方正仿宋_GBK"/>
        <charset val="134"/>
      </rPr>
      <t>元测算。</t>
    </r>
  </si>
  <si>
    <r>
      <rPr>
        <sz val="11"/>
        <rFont val="Times New Roman"/>
        <charset val="134"/>
      </rPr>
      <t>10500,</t>
    </r>
    <r>
      <rPr>
        <sz val="11"/>
        <rFont val="方正仿宋_GBK"/>
        <charset val="134"/>
      </rPr>
      <t>每平方米</t>
    </r>
    <r>
      <rPr>
        <sz val="11"/>
        <rFont val="Times New Roman"/>
        <charset val="134"/>
      </rPr>
      <t>60</t>
    </r>
    <r>
      <rPr>
        <sz val="11"/>
        <rFont val="方正仿宋_GBK"/>
        <charset val="134"/>
      </rPr>
      <t>元测算。</t>
    </r>
  </si>
  <si>
    <r>
      <rPr>
        <sz val="11"/>
        <rFont val="Times New Roman"/>
        <charset val="134"/>
      </rPr>
      <t>20250</t>
    </r>
    <r>
      <rPr>
        <sz val="11"/>
        <rFont val="方正仿宋_GBK"/>
        <charset val="134"/>
      </rPr>
      <t>平方米</t>
    </r>
    <r>
      <rPr>
        <sz val="11"/>
        <rFont val="Times New Roman"/>
        <charset val="134"/>
      </rPr>
      <t>,</t>
    </r>
    <r>
      <rPr>
        <sz val="11"/>
        <rFont val="方正仿宋_GBK"/>
        <charset val="134"/>
      </rPr>
      <t>每平方米</t>
    </r>
    <r>
      <rPr>
        <sz val="11"/>
        <rFont val="Times New Roman"/>
        <charset val="134"/>
      </rPr>
      <t>100</t>
    </r>
    <r>
      <rPr>
        <sz val="11"/>
        <rFont val="方正仿宋_GBK"/>
        <charset val="134"/>
      </rPr>
      <t>元测算。</t>
    </r>
  </si>
  <si>
    <t>2.村内道路建设</t>
  </si>
  <si>
    <t>张丹、唐跃</t>
  </si>
  <si>
    <t>1.麻栗镇下凉村委会丫口寨村小组道路建设</t>
  </si>
  <si>
    <t>村组道路硬化3000平方米</t>
  </si>
  <si>
    <t>2.麻栗镇牛滚塘村委会湾坦坡村小组道路路建设</t>
  </si>
  <si>
    <t>硬化村组水泥路600平方米</t>
  </si>
  <si>
    <t>3.麻栗镇冲头村委会样色村小组道路建设</t>
  </si>
  <si>
    <t>村内道路硬化600平方米。</t>
  </si>
  <si>
    <t>4.麻栗镇老地房村委会大坪子村小组道路建设</t>
  </si>
  <si>
    <t>村内道路硬化450平方米，花台130米。</t>
  </si>
  <si>
    <t>5.麻栗镇红岩村委会独田村小组道路建设</t>
  </si>
  <si>
    <t>硬化村组水泥路800平方米。</t>
  </si>
  <si>
    <t>麻栗镇老地房村金塘子村内道路硬化项目</t>
  </si>
  <si>
    <t>村内道路硬化3000㎡</t>
  </si>
  <si>
    <t>2017年已完工，发改局项目</t>
  </si>
  <si>
    <t>麻栗镇茨竹坝村上下月亮坝村内道路硬化项目</t>
  </si>
  <si>
    <t>村内道路硬化15625㎡</t>
  </si>
  <si>
    <t>麻栗镇潘家坝村荒田村内道路硬化项目</t>
  </si>
  <si>
    <t>村内道路硬化10138㎡</t>
  </si>
  <si>
    <t>麻栗镇茨竹坝村干沟村内道路硬化项目</t>
  </si>
  <si>
    <t xml:space="preserve"> 村内道路硬化5000㎡</t>
  </si>
  <si>
    <t>麻栗镇茨竹坝村硝厂村内道路硬化项目</t>
  </si>
  <si>
    <t>村内道路硬化2000㎡</t>
  </si>
  <si>
    <t>麻栗镇老地房村金坪山村内道路硬化项目</t>
  </si>
  <si>
    <t>村内道路硬化11357㎡</t>
  </si>
  <si>
    <t>麻栗镇盘龙村委会新发寨村小组村内道路硬化建设项目</t>
  </si>
  <si>
    <t>硬化村内道路5000平方米</t>
  </si>
  <si>
    <t>2018年资金到位项目，发改局项目</t>
  </si>
  <si>
    <t>麻栗镇南油村湾子进村水泥路建设项目</t>
  </si>
  <si>
    <t>m</t>
  </si>
  <si>
    <t>新建进村水泥路0.4公里，路基宽4.5米，路面3.5米。</t>
  </si>
  <si>
    <t>李武林</t>
  </si>
  <si>
    <t>（茨竹坝）麻锅线</t>
  </si>
  <si>
    <t>生命防护工程</t>
  </si>
  <si>
    <t>（茅草坪）石磨线</t>
  </si>
  <si>
    <t>（南欧）水南线</t>
  </si>
  <si>
    <t>（下凉）炮老线</t>
  </si>
  <si>
    <r>
      <rPr>
        <sz val="11"/>
        <rFont val="宋体"/>
        <charset val="134"/>
      </rPr>
      <t>危险路段隐患处理</t>
    </r>
    <r>
      <rPr>
        <sz val="11"/>
        <rFont val="Times New Roman"/>
        <charset val="134"/>
      </rPr>
      <t>8</t>
    </r>
    <r>
      <rPr>
        <sz val="11"/>
        <rFont val="方正仿宋_GBK"/>
        <charset val="134"/>
      </rPr>
      <t>公里</t>
    </r>
  </si>
  <si>
    <t>（冲头）样冲线</t>
  </si>
  <si>
    <r>
      <rPr>
        <sz val="11"/>
        <rFont val="宋体"/>
        <charset val="134"/>
      </rPr>
      <t>危险路段隐患处理</t>
    </r>
    <r>
      <rPr>
        <sz val="11"/>
        <rFont val="Times New Roman"/>
        <charset val="134"/>
      </rPr>
      <t>1.8</t>
    </r>
    <r>
      <rPr>
        <sz val="11"/>
        <rFont val="方正仿宋_GBK"/>
        <charset val="134"/>
      </rPr>
      <t>公里</t>
    </r>
  </si>
  <si>
    <t>李家山、小铺子、新路坡</t>
  </si>
  <si>
    <t>岩头、样色</t>
  </si>
  <si>
    <t>新厂冲、新田湾</t>
  </si>
  <si>
    <t>新寨村</t>
  </si>
  <si>
    <t>大水沟</t>
  </si>
  <si>
    <t>老屋基、新寨、严家</t>
  </si>
  <si>
    <t>新坪寨、哪亮、沙田湾</t>
  </si>
  <si>
    <t>滴水岩、上卡子</t>
  </si>
  <si>
    <t>上草果冲</t>
  </si>
  <si>
    <t>上南辉、岩子脚</t>
  </si>
  <si>
    <t>下新寨</t>
  </si>
  <si>
    <t>达秧、付基达</t>
  </si>
  <si>
    <t>麻栗镇老地房村委会台区更换大容量变压器解决配变重过载工程（草坪子）</t>
  </si>
  <si>
    <t>资金全部由企业自筹</t>
  </si>
  <si>
    <t>麻栗镇南油村委会更换大容量变压器解决配变重过载工程（新发寨）</t>
  </si>
  <si>
    <t>项定英</t>
  </si>
  <si>
    <t>老地房秀山上、中、下寨农村饮水安全巩固提升工程</t>
  </si>
  <si>
    <t>老地房草果山农村饮水安全巩固提升工程</t>
  </si>
  <si>
    <t>豆鼓店芭蕉冲农村饮水安全巩固提升工程</t>
  </si>
  <si>
    <t>豆鼓店中寨农村饮水安全巩固提升工程</t>
  </si>
  <si>
    <t>红岩柏林寨、董棕湾农村饮水安全巩固提升工程</t>
  </si>
  <si>
    <t>红岩沙田湾农村饮水安全巩固提升工程</t>
  </si>
  <si>
    <t>红岩新坪寨农村饮水安全巩固提升工程</t>
  </si>
  <si>
    <t>红岩南朵农村饮水安全巩固提升工程</t>
  </si>
  <si>
    <t>盘龙窑上片区农村饮水安全巩固提升工程（窑上、盘龙小寨、盘龙街、上云盘）</t>
  </si>
  <si>
    <t>扩改建</t>
  </si>
  <si>
    <t>盘龙老屋基片区农村饮水安全巩固提升工程（老屋基、严家、干田）</t>
  </si>
  <si>
    <t>盘龙董占片区农村饮水安全巩固提升工程（董占、迷董）</t>
  </si>
  <si>
    <t>冲头小南朵农村饮水安全巩固提升工程</t>
  </si>
  <si>
    <t>2018年农村饮水安全巩固提升项目独立费用（包含监理费、质检费、审计费用）</t>
  </si>
  <si>
    <t>小水窖安全饮用水建设项目（麻栗镇）</t>
  </si>
  <si>
    <r>
      <rPr>
        <sz val="11"/>
        <rFont val="方正仿宋_GBK"/>
        <charset val="134"/>
      </rPr>
      <t>小水窖加盖</t>
    </r>
    <r>
      <rPr>
        <sz val="11"/>
        <rFont val="Times New Roman"/>
        <charset val="134"/>
      </rPr>
      <t>45</t>
    </r>
    <r>
      <rPr>
        <sz val="11"/>
        <rFont val="方正仿宋_GBK"/>
        <charset val="134"/>
      </rPr>
      <t>口，单价</t>
    </r>
    <r>
      <rPr>
        <sz val="11"/>
        <rFont val="Times New Roman"/>
        <charset val="134"/>
      </rPr>
      <t>0.6</t>
    </r>
    <r>
      <rPr>
        <sz val="11"/>
        <rFont val="方正仿宋_GBK"/>
        <charset val="134"/>
      </rPr>
      <t>万元</t>
    </r>
    <r>
      <rPr>
        <sz val="11"/>
        <rFont val="Times New Roman"/>
        <charset val="134"/>
      </rPr>
      <t>/</t>
    </r>
    <r>
      <rPr>
        <sz val="11"/>
        <rFont val="方正仿宋_GBK"/>
        <charset val="134"/>
      </rPr>
      <t>口，共计</t>
    </r>
    <r>
      <rPr>
        <sz val="11"/>
        <rFont val="Times New Roman"/>
        <charset val="134"/>
      </rPr>
      <t>27</t>
    </r>
    <r>
      <rPr>
        <sz val="11"/>
        <rFont val="方正仿宋_GBK"/>
        <charset val="134"/>
      </rPr>
      <t>万元；防渗处理</t>
    </r>
    <r>
      <rPr>
        <sz val="11"/>
        <rFont val="Times New Roman"/>
        <charset val="134"/>
      </rPr>
      <t>283</t>
    </r>
    <r>
      <rPr>
        <sz val="11"/>
        <rFont val="方正仿宋_GBK"/>
        <charset val="134"/>
      </rPr>
      <t>口，单价</t>
    </r>
    <r>
      <rPr>
        <sz val="11"/>
        <rFont val="Times New Roman"/>
        <charset val="134"/>
      </rPr>
      <t>0.5</t>
    </r>
    <r>
      <rPr>
        <sz val="11"/>
        <rFont val="方正仿宋_GBK"/>
        <charset val="134"/>
      </rPr>
      <t>万元</t>
    </r>
    <r>
      <rPr>
        <sz val="11"/>
        <rFont val="Times New Roman"/>
        <charset val="134"/>
      </rPr>
      <t>/</t>
    </r>
    <r>
      <rPr>
        <sz val="11"/>
        <rFont val="方正仿宋_GBK"/>
        <charset val="134"/>
      </rPr>
      <t>口，共计</t>
    </r>
    <r>
      <rPr>
        <sz val="11"/>
        <rFont val="Times New Roman"/>
        <charset val="134"/>
      </rPr>
      <t>141.5</t>
    </r>
    <r>
      <rPr>
        <sz val="11"/>
        <rFont val="方正仿宋_GBK"/>
        <charset val="134"/>
      </rPr>
      <t>万元，水体浑浊进行清洗消毒</t>
    </r>
    <r>
      <rPr>
        <sz val="11"/>
        <rFont val="Times New Roman"/>
        <charset val="134"/>
      </rPr>
      <t>859</t>
    </r>
    <r>
      <rPr>
        <sz val="11"/>
        <rFont val="方正仿宋_GBK"/>
        <charset val="134"/>
      </rPr>
      <t>口，单价</t>
    </r>
    <r>
      <rPr>
        <sz val="11"/>
        <rFont val="Times New Roman"/>
        <charset val="134"/>
      </rPr>
      <t>0.005</t>
    </r>
    <r>
      <rPr>
        <sz val="11"/>
        <rFont val="方正仿宋_GBK"/>
        <charset val="134"/>
      </rPr>
      <t>万元</t>
    </r>
    <r>
      <rPr>
        <sz val="11"/>
        <rFont val="Times New Roman"/>
        <charset val="134"/>
      </rPr>
      <t>/</t>
    </r>
    <r>
      <rPr>
        <sz val="11"/>
        <rFont val="方正仿宋_GBK"/>
        <charset val="134"/>
      </rPr>
      <t>口，共计</t>
    </r>
    <r>
      <rPr>
        <sz val="11"/>
        <rFont val="Times New Roman"/>
        <charset val="134"/>
      </rPr>
      <t>4.295</t>
    </r>
    <r>
      <rPr>
        <sz val="11"/>
        <rFont val="方正仿宋_GBK"/>
        <charset val="134"/>
      </rPr>
      <t>万元；有悬浮物进行清理消毒</t>
    </r>
    <r>
      <rPr>
        <sz val="11"/>
        <rFont val="Times New Roman"/>
        <charset val="134"/>
      </rPr>
      <t>848</t>
    </r>
    <r>
      <rPr>
        <sz val="11"/>
        <rFont val="方正仿宋_GBK"/>
        <charset val="134"/>
      </rPr>
      <t>口，单价</t>
    </r>
    <r>
      <rPr>
        <sz val="11"/>
        <rFont val="Times New Roman"/>
        <charset val="134"/>
      </rPr>
      <t>0.005</t>
    </r>
    <r>
      <rPr>
        <sz val="11"/>
        <rFont val="方正仿宋_GBK"/>
        <charset val="134"/>
      </rPr>
      <t>万元</t>
    </r>
    <r>
      <rPr>
        <sz val="11"/>
        <rFont val="Times New Roman"/>
        <charset val="134"/>
      </rPr>
      <t>/</t>
    </r>
    <r>
      <rPr>
        <sz val="11"/>
        <rFont val="方正仿宋_GBK"/>
        <charset val="134"/>
      </rPr>
      <t>口，共计</t>
    </r>
    <r>
      <rPr>
        <sz val="11"/>
        <rFont val="Times New Roman"/>
        <charset val="134"/>
      </rPr>
      <t>4.24</t>
    </r>
    <r>
      <rPr>
        <sz val="11"/>
        <rFont val="方正仿宋_GBK"/>
        <charset val="134"/>
      </rPr>
      <t>万元；黑臭水体进行清理消毒</t>
    </r>
    <r>
      <rPr>
        <sz val="11"/>
        <rFont val="Times New Roman"/>
        <charset val="134"/>
      </rPr>
      <t>31</t>
    </r>
    <r>
      <rPr>
        <sz val="11"/>
        <rFont val="方正仿宋_GBK"/>
        <charset val="134"/>
      </rPr>
      <t>口，单价</t>
    </r>
    <r>
      <rPr>
        <sz val="11"/>
        <rFont val="Times New Roman"/>
        <charset val="134"/>
      </rPr>
      <t>0.005</t>
    </r>
    <r>
      <rPr>
        <sz val="11"/>
        <rFont val="方正仿宋_GBK"/>
        <charset val="134"/>
      </rPr>
      <t>万元，共计</t>
    </r>
    <r>
      <rPr>
        <sz val="11"/>
        <rFont val="Times New Roman"/>
        <charset val="134"/>
      </rPr>
      <t>0.155</t>
    </r>
    <r>
      <rPr>
        <sz val="11"/>
        <rFont val="方正仿宋_GBK"/>
        <charset val="134"/>
      </rPr>
      <t>万元。</t>
    </r>
  </si>
  <si>
    <t>新增加资金《麻栗坡县2019年脱贫攻坚财政涉农整合资金项目安排计划表》</t>
  </si>
  <si>
    <t>南油岔帮新建1户小水窖（辛永海）</t>
  </si>
  <si>
    <t>盘龙苦竹冲新建1户小水窖（田恩德）</t>
  </si>
  <si>
    <t>牛滚塘片区农村饮水安全巩固提升工程（牛滚塘、弯担坡）</t>
  </si>
  <si>
    <t>2个点项目属于2018年新增饮水安全巩固提升项目，计划用水务局防汛抢险经费进行解决，但是2018年项目资金一直没有下达，现将这2个项目点建设所需资金100万元列入2019年脱贫攻坚财政涉农整合资金计划。</t>
  </si>
  <si>
    <t>下凉水井片区农村饮水安全巩固提升工程（涉及下凉水井村委会全部村小组及牛滚塘村委会塘子边、黄土坡村小组）</t>
  </si>
  <si>
    <t>南油麻栗山大寨农村饮水安全巩固提升工程</t>
  </si>
  <si>
    <t>2019年下达资金530万元，剩余资金暂时列入2020年，否则资金不能对应。</t>
  </si>
  <si>
    <t>南油南油村农村饮水安全巩固提升工程</t>
  </si>
  <si>
    <t>南油李家山农村饮水安全巩固提升工程</t>
  </si>
  <si>
    <t>南油松山坡农村饮水安全巩固提升工程</t>
  </si>
  <si>
    <t>南油火石地农村饮水安全巩固提升工程</t>
  </si>
  <si>
    <t>潘家坝茶山农村饮水安全巩固提升工程</t>
  </si>
  <si>
    <t>潘家坝大山脚农村饮水安全巩固提升工程</t>
  </si>
  <si>
    <t>潘家坝上卡农村饮水安全巩固提升工程</t>
  </si>
  <si>
    <t>潘家坝万家坡农村饮水安全巩固提升工程</t>
  </si>
  <si>
    <t>潘家坝岩子脚农村饮水安全巩固提升工程</t>
  </si>
  <si>
    <t>红岩竜保农村饮水安全巩固提升工程</t>
  </si>
  <si>
    <t>红岩竹林沟农村饮水安全巩固提升工程</t>
  </si>
  <si>
    <t>红岩三家农村饮水安全巩固提升工程</t>
  </si>
  <si>
    <t>红岩上、下村农村饮水安全巩固提升工程</t>
  </si>
  <si>
    <t>冲头老房子农村饮水安全巩固提升工程</t>
  </si>
  <si>
    <t>冲头岩边农村饮水安全巩固提升工程</t>
  </si>
  <si>
    <t>冲头岜罕冲农村饮水安全巩固提升工程</t>
  </si>
  <si>
    <t>冲头竹山农村饮水安全巩固提升工程</t>
  </si>
  <si>
    <t>茅草坪新寨农村饮水安全巩固提升工程</t>
  </si>
  <si>
    <t>茅草坪大岩仟农村饮水安全巩固提升工程</t>
  </si>
  <si>
    <t>茅草坪瓦厂农村饮水安全巩固提升工程</t>
  </si>
  <si>
    <t>茨竹坝片区农村饮水安全巩固提升工程（包括大水沟、麻塘寨、火烧寨、新岩、锅底塘上、下）</t>
  </si>
  <si>
    <t>盘龙节基坡农村饮水安全巩固提升工程</t>
  </si>
  <si>
    <t>盘龙新寨农村饮水安全巩固提升工程</t>
  </si>
  <si>
    <t>南欧付基达农村饮水安全巩固提升工程</t>
  </si>
  <si>
    <t>麻栗镇茨竹坝村上下月亮坝安全饮水项目</t>
  </si>
  <si>
    <t>架设引水主管道4000米，分管6000米，新建畜水池1个120m³</t>
  </si>
  <si>
    <t>麻栗镇潘家坝村荒田安全饮水项目</t>
  </si>
  <si>
    <t>架设引水主管道3000米，分管5500米，新建畜水池1个100m³</t>
  </si>
  <si>
    <t>2018年已完工，发改局项目</t>
  </si>
  <si>
    <t>麻栗镇茨竹坝村干沟安全饮水项目</t>
  </si>
  <si>
    <t>架设引水主管道2000米，分管6000米，新建畜水池1个120m³</t>
  </si>
  <si>
    <t>2019年已完工，发改局项目</t>
  </si>
  <si>
    <t>麻栗镇茨竹坝村硝厂安全饮水项目</t>
  </si>
  <si>
    <t>架设引水主管道5000米，分管2000米，新建畜水池1个60m³</t>
  </si>
  <si>
    <t>2020年已完工，发改局项目</t>
  </si>
  <si>
    <t>麻栗镇老地房村金坪山安全饮水项目</t>
  </si>
  <si>
    <t>架设引水主管道1200米，分管1600米，新建畜水池1个100m³</t>
  </si>
  <si>
    <t>2021年已完工，发改局项目</t>
  </si>
  <si>
    <t>11个点的设备购买</t>
  </si>
  <si>
    <t>侬科智</t>
  </si>
  <si>
    <t>江浦寨20万（2018已到位10万）,大湾子、麻栗山、南油（使用南油“四位一体”项目资金）</t>
  </si>
  <si>
    <t>茶山、凹塘寨</t>
  </si>
  <si>
    <t>梅汤</t>
  </si>
  <si>
    <t>1.麻栗镇董站村小组边民市场建设项目</t>
  </si>
  <si>
    <t>新建长15米、宽8米市场大棚一个；15平方米垃圾池一个，场地维修300平方米即相关配套设施。</t>
  </si>
  <si>
    <t>2.进村路硬化</t>
  </si>
  <si>
    <t>麻栗镇下凉水井村委会坡头村小组进村道路硬化建设项目</t>
  </si>
  <si>
    <t>新建进村水泥路3公里，路基宽4.5米，路面3.5米。</t>
  </si>
  <si>
    <t>交通局</t>
  </si>
  <si>
    <t>2018年新增脱贫村基础设施建设</t>
  </si>
  <si>
    <t>麻栗镇下凉水井村委会丫口寨村小组进村道路硬化建设项目</t>
  </si>
  <si>
    <t>新建进村水泥路2.8公里，路基宽4.5米，路面3.5米。</t>
  </si>
  <si>
    <t>3.路灯建设</t>
  </si>
  <si>
    <t>麻栗镇豆豉店村委会广藤箐路灯建设项目</t>
  </si>
  <si>
    <r>
      <rPr>
        <sz val="11"/>
        <rFont val="宋体"/>
        <charset val="134"/>
      </rPr>
      <t>安装村小组太阳能路灯</t>
    </r>
    <r>
      <rPr>
        <sz val="11"/>
        <rFont val="宋体"/>
        <charset val="134"/>
      </rPr>
      <t>10</t>
    </r>
    <r>
      <rPr>
        <sz val="11"/>
        <rFont val="宋体"/>
        <charset val="134"/>
      </rPr>
      <t>盏</t>
    </r>
  </si>
  <si>
    <t>麻栗镇冲头村委会石马村小组太阳能路灯安装项目</t>
  </si>
  <si>
    <t>安装太阳能路灯60盏（其中冲头小南朵安装4盏。</t>
  </si>
  <si>
    <t>麻栗镇南油及落水洞村太阳能路灯安装项目</t>
  </si>
  <si>
    <t>安装路灯50盏（南油、落水洞等）</t>
  </si>
  <si>
    <t>4.“四位一体”项目</t>
  </si>
  <si>
    <t>麻栗镇南油“四位一体”项目</t>
  </si>
  <si>
    <t>村内道路、路灯建设</t>
  </si>
  <si>
    <t>麻栗镇茨竹坝“四位一体”项目</t>
  </si>
  <si>
    <t>村间道路、广场舞台、背景墙.</t>
  </si>
  <si>
    <t>茨竹坝“四位一体”项目资金共计530万，2018年到位250万（50万为行业部门资金），2019年到位280万；农贸市场建设，收取管理费2万元/年；与资产收益行相加才等于530万。</t>
  </si>
  <si>
    <t>5.南油村小组人居环境提升项目</t>
  </si>
  <si>
    <t>房屋亮化、村内道路建设</t>
  </si>
  <si>
    <t>入股合作社</t>
  </si>
  <si>
    <t>草莓基地（科技园）</t>
  </si>
  <si>
    <t>13.08亩草莓基地（科技园）</t>
  </si>
  <si>
    <t>肉兔养殖50万，2018年已经下达；村级活动场所460万（其中2018年下达260万，2019年下达200万）</t>
  </si>
  <si>
    <t>2019资金已下达</t>
  </si>
  <si>
    <t>茨竹坝“四位一体”项目农贸市场建设，收取管理费2万元/年</t>
  </si>
  <si>
    <t>规模化种养殖产业项目</t>
  </si>
  <si>
    <t>红岩青花椒育苗基地产业项目</t>
  </si>
  <si>
    <t>红岩肉兔养殖大棚代建项目</t>
  </si>
  <si>
    <t>麻栗镇南朵片区规模化种植蔬菜基地扶持项目</t>
  </si>
  <si>
    <t>加入专业合作社发展蔬菜种植，注入资金资金完善蔬菜基地配套基础设施建设，形成资产收益，带动贫困劳动力就业和贫困户自发参与种植</t>
  </si>
  <si>
    <t>调整项目库为资产收益项目，预算项目投入资金</t>
  </si>
  <si>
    <t>麻栗镇南油村委会肉牛规模化养殖基地扶持项目</t>
  </si>
  <si>
    <t>加入专业合作社发展肉牛养殖，注入资金资金完善蔬菜基地配套基础设施建设，形成资产收益，带动贫困劳动力就业。</t>
  </si>
  <si>
    <t>调整增加项目库资产收益项目，预算项目投入资金</t>
  </si>
  <si>
    <t>麻栗镇豆豉店村委会生猪养殖基地扶持项目</t>
  </si>
  <si>
    <t>加入专业合作社发展生猪养殖，注入资金资金完善养殖基地配套基础设施建设，形成资产收益，带动贫困劳动力就业。</t>
  </si>
  <si>
    <t>城北社区集体经济项目</t>
  </si>
  <si>
    <t>中心社区集体经济项目</t>
  </si>
  <si>
    <t>阳光社区集体经济项目</t>
  </si>
  <si>
    <t>莱溪社区集体经济项目</t>
  </si>
  <si>
    <t>企业自筹</t>
  </si>
  <si>
    <t>康家岩石场</t>
  </si>
  <si>
    <t>群众山地山林入股</t>
  </si>
  <si>
    <t>麻栗坡县马街乡2018年至2020年脱贫攻坚路线图（实施方案）乡级统计表</t>
  </si>
  <si>
    <t xml:space="preserve">填报单位：马街乡人民政府       </t>
  </si>
  <si>
    <t>备注（更新）</t>
  </si>
  <si>
    <t>陈永洪</t>
  </si>
  <si>
    <t>舒培宏</t>
  </si>
  <si>
    <t>新增（正在实施）</t>
  </si>
  <si>
    <t>修改（正在实施）</t>
  </si>
  <si>
    <t>罗洪军</t>
  </si>
  <si>
    <t>沈家帆</t>
  </si>
  <si>
    <t>高职</t>
  </si>
  <si>
    <t>修改（增加子项目）</t>
  </si>
  <si>
    <t>专科</t>
  </si>
  <si>
    <t>本科</t>
  </si>
  <si>
    <t>研究生</t>
  </si>
  <si>
    <t>孙艳仙</t>
  </si>
  <si>
    <t>董浪</t>
  </si>
  <si>
    <t>黄家坪</t>
  </si>
  <si>
    <t>马街</t>
  </si>
  <si>
    <t>石龙</t>
  </si>
  <si>
    <t>梁子街</t>
  </si>
  <si>
    <t>品乐</t>
  </si>
  <si>
    <t>普元</t>
  </si>
  <si>
    <t>普留塘</t>
  </si>
  <si>
    <t>张开洪</t>
  </si>
  <si>
    <t>陈锐</t>
  </si>
  <si>
    <t>修改</t>
  </si>
  <si>
    <t>陈杰</t>
  </si>
  <si>
    <t>黄龙林</t>
  </si>
  <si>
    <t>新增 （已实施）</t>
  </si>
  <si>
    <t>杨明强</t>
  </si>
  <si>
    <t>李再斌</t>
  </si>
  <si>
    <t>乡政府聘用</t>
  </si>
  <si>
    <t>不变（已经实施公共就业基金解决）</t>
  </si>
  <si>
    <t>石龙村委会</t>
  </si>
  <si>
    <t>修改（计划聘用）</t>
  </si>
  <si>
    <t>普元村委会</t>
  </si>
  <si>
    <t>黄家坪村委会</t>
  </si>
  <si>
    <t>品乐村委会</t>
  </si>
  <si>
    <t>普留塘村委会</t>
  </si>
  <si>
    <t>董浪村委会</t>
  </si>
  <si>
    <t>马街村委会</t>
  </si>
  <si>
    <t>梁子街村委会</t>
  </si>
  <si>
    <t>水务局</t>
  </si>
  <si>
    <t>修改（未实施）</t>
  </si>
  <si>
    <t>李芳崇</t>
  </si>
  <si>
    <t>修改（已实施）</t>
  </si>
  <si>
    <t>6、乡村环境卫生清洁员</t>
  </si>
  <si>
    <t>新增正在实施</t>
  </si>
  <si>
    <t>7、乡村道路维护员</t>
  </si>
  <si>
    <t>8、乡村社会综治协管员</t>
  </si>
  <si>
    <t>9、孤寡老人、留守儿童和残疾人帮护员</t>
  </si>
  <si>
    <t>10、移风易俗协理员</t>
  </si>
  <si>
    <t>11、乡村饮水维护员</t>
  </si>
  <si>
    <t>12、乡村河（湖）道维护员</t>
  </si>
  <si>
    <t>……</t>
  </si>
  <si>
    <t>吴伟</t>
  </si>
  <si>
    <t>马街乡董浪村委会产业发展项目</t>
  </si>
  <si>
    <t>修改已帮带（规模化种植鑫瀚恒宸农业有限公司苗圃基地建设项目调整）</t>
  </si>
  <si>
    <t>马街乡黄家坪村委会产业发展项目</t>
  </si>
  <si>
    <t>修改正在实施（规模化种植鑫瀚恒宸农业有限公司苗圃基地建设项目调整）</t>
  </si>
  <si>
    <t>马街乡马街村委会产业发展项目</t>
  </si>
  <si>
    <t>马街乡石龙村委会产业发展项目</t>
  </si>
  <si>
    <t>马街乡梁子街村委会产业发展项目</t>
  </si>
  <si>
    <t>马街乡品乐村委会产业发展项目</t>
  </si>
  <si>
    <t>马街乡普元村委会产业发展项目</t>
  </si>
  <si>
    <t>马街乡普留塘村委会产业发展项目</t>
  </si>
  <si>
    <t>马街乡苗圃种植发展项目</t>
  </si>
  <si>
    <t>肖鸣</t>
  </si>
  <si>
    <t>李福能</t>
  </si>
  <si>
    <t>扶贫、发改、财政、</t>
  </si>
  <si>
    <t>张登信</t>
  </si>
  <si>
    <t>张卫华</t>
  </si>
  <si>
    <t>不变（已实施）</t>
  </si>
  <si>
    <t>陈菊</t>
  </si>
  <si>
    <t>已经实施</t>
  </si>
  <si>
    <t>代刚贵</t>
  </si>
  <si>
    <t>（一）贫困发生率＜3%</t>
  </si>
  <si>
    <t>鸡海线(石龙)</t>
  </si>
  <si>
    <t>马篆线（黄家坪）</t>
  </si>
  <si>
    <t>马普线（普元）</t>
  </si>
  <si>
    <t>严普线（普留塘）</t>
  </si>
  <si>
    <t>企业筹集资金</t>
  </si>
  <si>
    <t>马街乡梁子街村委会半坡通动力电新建工程</t>
  </si>
  <si>
    <t>马街乡马街村委会柴坪子通动力电新建工程</t>
  </si>
  <si>
    <t>马街乡马街村委会生地通动力电新建工程</t>
  </si>
  <si>
    <t>马街乡品乐村委会安华寨通动力电改造工程</t>
  </si>
  <si>
    <t>马街乡品乐村委会冯家队通动力电新建工程</t>
  </si>
  <si>
    <t>马街乡品乐村委会华家塘搬迁户通动力电新建工程</t>
  </si>
  <si>
    <t>马街乡品乐村委会麻达通动力电新建工程</t>
  </si>
  <si>
    <t>马街乡品乐村委会马家湾新村通动力电新建工程</t>
  </si>
  <si>
    <t>马街乡品乐村委会矛草冲通动力电新建工程</t>
  </si>
  <si>
    <t>马街乡品乐村委会木里塘通动力电改造工程</t>
  </si>
  <si>
    <t>马街乡品乐村委会大塘子通动力电改造工程</t>
  </si>
  <si>
    <t>马街乡品乐村委会塘子通动力电改造工程</t>
  </si>
  <si>
    <t>马街乡品乐村委会土地坪通动力电改造工程</t>
  </si>
  <si>
    <t>马街乡品乐村委会新房子通动力电改造工程</t>
  </si>
  <si>
    <t>马街乡品乐村委会自维城村通动力电改造工程</t>
  </si>
  <si>
    <t>马街乡石龙村委会凹塘通动力电新建工程</t>
  </si>
  <si>
    <t>马街乡石龙村委会槽子通动力电新建工程</t>
  </si>
  <si>
    <t>马街乡石龙村委会大寨子村通动力电改造工程</t>
  </si>
  <si>
    <t>马街乡石龙村委会上木亭通动力电新建工程</t>
  </si>
  <si>
    <t>马街乡石龙村委会小水井通动力电改造工程</t>
  </si>
  <si>
    <t>马街乡董浪村委会马贵通动力电改造工程</t>
  </si>
  <si>
    <t>马街乡董浪村委会木茅通动力电改造工程</t>
  </si>
  <si>
    <t>马街乡董浪村委会营盘上村通动力电改造工程</t>
  </si>
  <si>
    <t>马街乡黄家坪村委会田坝村通动力电改造工程</t>
  </si>
  <si>
    <t>马街乡梁子街村委会黄果树通动力电新建工程</t>
  </si>
  <si>
    <t>马街乡梁子街村委会亮山通动力电新建工程</t>
  </si>
  <si>
    <t>马街乡梁子街村委会岩腊湾通动力电新建工程</t>
  </si>
  <si>
    <t>马街乡梁子街村委会椅子台搬迁户通动力电新建工程</t>
  </si>
  <si>
    <t>马街乡普元村委会沟边通动力电新建工程</t>
  </si>
  <si>
    <t>马街乡普元村委会函子村通动力电改造工程</t>
  </si>
  <si>
    <t>马街乡普元村委会攀枝花通动力电新建工程</t>
  </si>
  <si>
    <t>马街乡普元村委会岩上通动力电新建工程</t>
  </si>
  <si>
    <t>张克云</t>
  </si>
  <si>
    <t>刘菊</t>
  </si>
  <si>
    <t>不变（未实施）</t>
  </si>
  <si>
    <t>石龙龙马后农村饮水安全巩固提升工程</t>
  </si>
  <si>
    <t>修改（已开工）</t>
  </si>
  <si>
    <t>石龙多依树农村饮水安全巩固提升工程</t>
  </si>
  <si>
    <t>石龙上木亭农村饮水安全巩固提升工程</t>
  </si>
  <si>
    <t>石龙小水井农村饮水安全巩固提升工程</t>
  </si>
  <si>
    <t>马街街背后（柴坪子）农村饮水安全巩固提升工程</t>
  </si>
  <si>
    <t>马街吴家坪片区农村饮水安全巩固提升工程</t>
  </si>
  <si>
    <t>品乐冲头农村饮水安全巩固提升工程</t>
  </si>
  <si>
    <r>
      <rPr>
        <sz val="10"/>
        <rFont val="宋体"/>
        <charset val="134"/>
      </rPr>
      <t>石龙新建</t>
    </r>
    <r>
      <rPr>
        <sz val="10"/>
        <rFont val="Times New Roman"/>
        <charset val="134"/>
      </rPr>
      <t>5</t>
    </r>
    <r>
      <rPr>
        <sz val="10"/>
        <rFont val="宋体"/>
        <charset val="134"/>
      </rPr>
      <t>口小水窖：胡朝军（凹塘）、骆裕辉（长冲）、王世金（兴龙塘）、晏文海（生苏凹）、骆诗兴（大房子）</t>
    </r>
  </si>
  <si>
    <r>
      <rPr>
        <sz val="10"/>
        <rFont val="宋体"/>
        <charset val="134"/>
      </rPr>
      <t>品乐新建</t>
    </r>
    <r>
      <rPr>
        <sz val="10"/>
        <rFont val="Times New Roman"/>
        <charset val="134"/>
      </rPr>
      <t>2</t>
    </r>
    <r>
      <rPr>
        <sz val="10"/>
        <rFont val="宋体"/>
        <charset val="134"/>
      </rPr>
      <t>口小水窖：熊应文（苏子塘）、熊道权（马家湾）</t>
    </r>
  </si>
  <si>
    <t>董浪背丫口农村饮水安全巩固提升工程</t>
  </si>
  <si>
    <t>新增（已开工）</t>
  </si>
  <si>
    <t>普元山背后水窖饮水项目</t>
  </si>
  <si>
    <t>黄家坪木楞街农村饮水安全巩固提升工程</t>
  </si>
  <si>
    <t>修改（未开工）</t>
  </si>
  <si>
    <t>黄家坪一二组农村饮水安全巩固提升工程</t>
  </si>
  <si>
    <t>马街牛厂小水窖饮水项目</t>
  </si>
  <si>
    <t>新增（未开工）</t>
  </si>
  <si>
    <t>普元马鹿塘片区农村饮水安全巩固提升工程</t>
  </si>
  <si>
    <t>董浪田坪子农村饮水安全巩固提升工程</t>
  </si>
  <si>
    <t>梁子街木松坡新建2口小水窖（杨荣洪，杨荣成）</t>
  </si>
  <si>
    <t>马街乡实施饮水安全巩固提升小水窖其中：</t>
  </si>
  <si>
    <t>2019年农村饮水安全巩固提升项目（小水窖维修）</t>
  </si>
  <si>
    <t>董浪卫生室</t>
  </si>
  <si>
    <t>选址重建</t>
  </si>
  <si>
    <t>普元卫生室设备配置</t>
  </si>
  <si>
    <t>董浪卫生室设备配置</t>
  </si>
  <si>
    <t>不变（已经实施）</t>
  </si>
  <si>
    <t>普留塘卫生室设备配置</t>
  </si>
  <si>
    <t>梁子街卫生室设备配置</t>
  </si>
  <si>
    <t>品乐卫生室设备配置</t>
  </si>
  <si>
    <t>石龙卫生室设备配置</t>
  </si>
  <si>
    <t>黄家坪卫生设备配置</t>
  </si>
  <si>
    <t>曾斯义</t>
  </si>
  <si>
    <t>在马街石龙实施文化宣传墙</t>
  </si>
  <si>
    <t>道</t>
  </si>
  <si>
    <t>石龙功能提升项目（新增）</t>
  </si>
  <si>
    <t>黄家坪淹坪村小组</t>
  </si>
  <si>
    <t>梁子街白房子村小组</t>
  </si>
  <si>
    <t>马街保上道路硬化及路灯建设</t>
  </si>
  <si>
    <t>马街品乐冲头小组道路硬化</t>
  </si>
  <si>
    <t>马街田冲村小组路灯建设</t>
  </si>
  <si>
    <t>董浪岩脚村小组路灯建设</t>
  </si>
  <si>
    <t>司栗坪太阳能路灯安装项目</t>
  </si>
  <si>
    <t>新增（已实施）</t>
  </si>
  <si>
    <t>马街乡石龙村委会建垃圾处理池20个补助资金32万元</t>
  </si>
  <si>
    <t>马街乡石龙村委会新建公厕</t>
  </si>
  <si>
    <t>马街乡石龙安装太阳能路灯</t>
  </si>
  <si>
    <t>马街乡石龙庭院硬化</t>
  </si>
  <si>
    <t>马街乡黄家坪村委会辖区内实施垃圾池</t>
  </si>
  <si>
    <t>新曾</t>
  </si>
  <si>
    <t>马街普元村委会辖区内实施垃圾池</t>
  </si>
  <si>
    <t>马街乡马街村委会扶持村集体经济发展建设项目</t>
  </si>
  <si>
    <t>马街乡品乐村委会扶持村集体经济发展建设项目</t>
  </si>
  <si>
    <t>马街乡石龙村委会扶持村集体经济发展建设项目</t>
  </si>
  <si>
    <t>马街乡梁子街村委会村集体经济扶持项目</t>
  </si>
  <si>
    <t>修改（18年到位资金已实施）</t>
  </si>
  <si>
    <t>马街乡黄家坪村委会村集体经济扶持项目</t>
  </si>
  <si>
    <t>马街乡普留塘村委会村集体经济扶持项目</t>
  </si>
  <si>
    <t>马街乡普元村委会村集体经济扶持项目</t>
  </si>
  <si>
    <t>马街乡董浪村委会村集体经济扶持项目</t>
  </si>
  <si>
    <r>
      <rPr>
        <sz val="11"/>
        <rFont val="宋体"/>
        <charset val="134"/>
      </rPr>
      <t>表</t>
    </r>
    <r>
      <rPr>
        <sz val="11"/>
        <rFont val="Microsoft New Tai Lue"/>
        <charset val="134"/>
      </rPr>
      <t>3</t>
    </r>
  </si>
  <si>
    <t>猛硐瑶族乡2018年至2020年脱贫攻坚乡级路线图（实施方案）项目统计表</t>
  </si>
  <si>
    <t>填报单位：麻栗坡县猛硐瑶族乡人民政府                         填表人：李方道                        填表时间：2018年11月</t>
  </si>
  <si>
    <r>
      <rPr>
        <sz val="9"/>
        <rFont val="宋体"/>
        <charset val="134"/>
      </rPr>
      <t>责任人</t>
    </r>
    <r>
      <rPr>
        <sz val="9"/>
        <rFont val="Microsoft New Tai Lue"/>
        <charset val="134"/>
      </rPr>
      <t xml:space="preserve">
</t>
    </r>
    <r>
      <rPr>
        <sz val="9"/>
        <rFont val="宋体"/>
        <charset val="134"/>
      </rPr>
      <t>（对应户表）</t>
    </r>
  </si>
  <si>
    <r>
      <rPr>
        <sz val="9"/>
        <rFont val="Microsoft New Tai Lue"/>
        <charset val="134"/>
      </rPr>
      <t>2018</t>
    </r>
    <r>
      <rPr>
        <sz val="9"/>
        <rFont val="宋体"/>
        <charset val="134"/>
      </rPr>
      <t>年</t>
    </r>
  </si>
  <si>
    <r>
      <rPr>
        <sz val="9"/>
        <rFont val="Microsoft New Tai Lue"/>
        <charset val="134"/>
      </rPr>
      <t>2019</t>
    </r>
    <r>
      <rPr>
        <sz val="9"/>
        <rFont val="宋体"/>
        <charset val="134"/>
      </rPr>
      <t>年</t>
    </r>
  </si>
  <si>
    <r>
      <rPr>
        <sz val="9"/>
        <rFont val="Microsoft New Tai Lue"/>
        <charset val="134"/>
      </rPr>
      <t>2020</t>
    </r>
    <r>
      <rPr>
        <sz val="9"/>
        <rFont val="宋体"/>
        <charset val="134"/>
      </rPr>
      <t>年</t>
    </r>
  </si>
  <si>
    <r>
      <rPr>
        <b/>
        <sz val="10"/>
        <rFont val="宋体"/>
        <charset val="134"/>
      </rPr>
      <t>合</t>
    </r>
    <r>
      <rPr>
        <b/>
        <sz val="10"/>
        <rFont val="Microsoft New Tai Lue"/>
        <charset val="134"/>
      </rPr>
      <t xml:space="preserve">  </t>
    </r>
    <r>
      <rPr>
        <b/>
        <sz val="10"/>
        <rFont val="宋体"/>
        <charset val="134"/>
      </rPr>
      <t>计</t>
    </r>
  </si>
  <si>
    <t>查兴宾</t>
  </si>
  <si>
    <t>邓朝敏</t>
  </si>
  <si>
    <t>冯永西</t>
  </si>
  <si>
    <t>昆老村委会</t>
  </si>
  <si>
    <t>雷永生</t>
  </si>
  <si>
    <t>项正美、邓朝富</t>
  </si>
  <si>
    <t>猛硐村委会</t>
  </si>
  <si>
    <t>向远江</t>
  </si>
  <si>
    <t>王凤品、李飞</t>
  </si>
  <si>
    <t>坝子村委会</t>
  </si>
  <si>
    <t>李国发、李兴富</t>
  </si>
  <si>
    <t>铜塔村委会</t>
  </si>
  <si>
    <t>老陶坪村委会</t>
  </si>
  <si>
    <t>陆通曲</t>
  </si>
  <si>
    <t>李正刚、戴朝进</t>
  </si>
  <si>
    <t>盘云发、高阳</t>
  </si>
  <si>
    <t>李正新</t>
  </si>
  <si>
    <t>向远江、李正新</t>
  </si>
  <si>
    <t>项正美、王凤品、盘云发、李正刚</t>
  </si>
  <si>
    <t>有专项资金</t>
  </si>
  <si>
    <t>徐春艳</t>
  </si>
  <si>
    <t>周贤平</t>
  </si>
  <si>
    <t>专项、引导性培训</t>
  </si>
  <si>
    <r>
      <rPr>
        <sz val="10"/>
        <rFont val="宋体"/>
        <charset val="134"/>
      </rPr>
      <t>昆老、猛硐、坝子、铜塔、老陶坪各</t>
    </r>
    <r>
      <rPr>
        <sz val="10"/>
        <rFont val="Times New Roman"/>
        <charset val="134"/>
      </rPr>
      <t>240</t>
    </r>
    <r>
      <rPr>
        <sz val="10"/>
        <rFont val="宋体"/>
        <charset val="134"/>
      </rPr>
      <t>人</t>
    </r>
  </si>
  <si>
    <t>技能培训</t>
  </si>
  <si>
    <r>
      <rPr>
        <sz val="10"/>
        <rFont val="宋体"/>
        <charset val="134"/>
      </rPr>
      <t>昆老、猛硐、坝子、铜塔、老陶坪各</t>
    </r>
    <r>
      <rPr>
        <sz val="10"/>
        <rFont val="Times New Roman"/>
        <charset val="134"/>
      </rPr>
      <t>50</t>
    </r>
    <r>
      <rPr>
        <sz val="10"/>
        <rFont val="宋体"/>
        <charset val="134"/>
      </rPr>
      <t>人</t>
    </r>
  </si>
  <si>
    <t>邱联吉</t>
  </si>
  <si>
    <r>
      <rPr>
        <sz val="10"/>
        <rFont val="Times New Roman"/>
        <charset val="134"/>
      </rPr>
      <t>2.</t>
    </r>
    <r>
      <rPr>
        <sz val="10"/>
        <rFont val="宋体"/>
        <charset val="134"/>
      </rPr>
      <t>护路员</t>
    </r>
  </si>
  <si>
    <t>罗瑞敏</t>
  </si>
  <si>
    <r>
      <rPr>
        <sz val="10"/>
        <rFont val="Times New Roman"/>
        <charset val="134"/>
      </rPr>
      <t>4.</t>
    </r>
    <r>
      <rPr>
        <sz val="10"/>
        <rFont val="宋体"/>
        <charset val="134"/>
      </rPr>
      <t>河道治理员</t>
    </r>
  </si>
  <si>
    <r>
      <rPr>
        <sz val="10"/>
        <rFont val="Times New Roman"/>
        <charset val="134"/>
      </rPr>
      <t>5.</t>
    </r>
    <r>
      <rPr>
        <sz val="10"/>
        <rFont val="宋体"/>
        <charset val="134"/>
      </rPr>
      <t>地质灾害监测员</t>
    </r>
  </si>
  <si>
    <r>
      <rPr>
        <sz val="10"/>
        <rFont val="Times New Roman"/>
        <charset val="134"/>
      </rPr>
      <t>6.</t>
    </r>
    <r>
      <rPr>
        <sz val="10"/>
        <rFont val="宋体"/>
        <charset val="134"/>
      </rPr>
      <t>乡村社会综治协管员</t>
    </r>
  </si>
  <si>
    <t>雷永森、盘云明、陆通曲</t>
  </si>
  <si>
    <t>项正美、李国发、李正刚</t>
  </si>
  <si>
    <t>资金有保障，正在组织实施</t>
  </si>
  <si>
    <r>
      <rPr>
        <sz val="10"/>
        <rFont val="Times New Roman"/>
        <charset val="134"/>
      </rPr>
      <t>7.</t>
    </r>
    <r>
      <rPr>
        <sz val="10"/>
        <rFont val="宋体"/>
        <charset val="134"/>
      </rPr>
      <t>孤寡老人、留守儿童和残疾人帮护员</t>
    </r>
  </si>
  <si>
    <t>盘云明</t>
  </si>
  <si>
    <t>李国发</t>
  </si>
  <si>
    <r>
      <rPr>
        <sz val="10"/>
        <rFont val="Times New Roman"/>
        <charset val="134"/>
      </rPr>
      <t>8.</t>
    </r>
    <r>
      <rPr>
        <sz val="10"/>
        <rFont val="宋体"/>
        <charset val="134"/>
      </rPr>
      <t>移风易俗协理员</t>
    </r>
  </si>
  <si>
    <t>冯永西、陆通曲</t>
  </si>
  <si>
    <t>盘云发、李正刚</t>
  </si>
  <si>
    <r>
      <rPr>
        <sz val="10"/>
        <rFont val="Times New Roman"/>
        <charset val="134"/>
      </rPr>
      <t>9.</t>
    </r>
    <r>
      <rPr>
        <sz val="10"/>
        <rFont val="宋体"/>
        <charset val="134"/>
      </rPr>
      <t>乡村环境卫生清洁员</t>
    </r>
  </si>
  <si>
    <r>
      <rPr>
        <sz val="10"/>
        <rFont val="Times New Roman"/>
        <charset val="134"/>
      </rPr>
      <t>10.</t>
    </r>
    <r>
      <rPr>
        <sz val="10"/>
        <rFont val="宋体"/>
        <charset val="134"/>
      </rPr>
      <t>乡村道路维护员</t>
    </r>
  </si>
  <si>
    <t>铁发娟</t>
  </si>
  <si>
    <t>李明荣</t>
  </si>
  <si>
    <r>
      <rPr>
        <sz val="10"/>
        <rFont val="Times New Roman"/>
        <charset val="134"/>
      </rPr>
      <t>2.</t>
    </r>
    <r>
      <rPr>
        <sz val="10"/>
        <rFont val="宋体"/>
        <charset val="134"/>
      </rPr>
      <t>规模化养殖业</t>
    </r>
  </si>
  <si>
    <t>旷开建</t>
  </si>
  <si>
    <t xml:space="preserve"> 冯永西</t>
  </si>
  <si>
    <t>李明荣、旷开健</t>
  </si>
  <si>
    <t>紫山药（铜塔）</t>
  </si>
  <si>
    <t>老陶坪村委会产业发展项目</t>
  </si>
  <si>
    <t>资金到位，正在实施。</t>
  </si>
  <si>
    <t>铜塔村委会产业发展项目</t>
  </si>
  <si>
    <t>猛硐村委会产业发展项目</t>
  </si>
  <si>
    <r>
      <rPr>
        <sz val="10"/>
        <rFont val="Times New Roman"/>
        <charset val="134"/>
      </rPr>
      <t>343</t>
    </r>
    <r>
      <rPr>
        <sz val="10"/>
        <rFont val="宋体"/>
        <charset val="134"/>
      </rPr>
      <t>户建档立卡贫困户均</t>
    </r>
    <r>
      <rPr>
        <sz val="10"/>
        <rFont val="Times New Roman"/>
        <charset val="134"/>
      </rPr>
      <t>3000</t>
    </r>
    <r>
      <rPr>
        <sz val="10"/>
        <rFont val="宋体"/>
        <charset val="134"/>
      </rPr>
      <t>元入股参与合作社发展</t>
    </r>
  </si>
  <si>
    <t>坝子村委会产业发展项目</t>
  </si>
  <si>
    <r>
      <rPr>
        <sz val="10"/>
        <rFont val="Times New Roman"/>
        <charset val="134"/>
      </rPr>
      <t>297</t>
    </r>
    <r>
      <rPr>
        <sz val="10"/>
        <rFont val="宋体"/>
        <charset val="134"/>
      </rPr>
      <t>户建档立卡贫困户均</t>
    </r>
    <r>
      <rPr>
        <sz val="10"/>
        <rFont val="Times New Roman"/>
        <charset val="134"/>
      </rPr>
      <t>3000</t>
    </r>
    <r>
      <rPr>
        <sz val="10"/>
        <rFont val="宋体"/>
        <charset val="134"/>
      </rPr>
      <t>元入股参与合作社发展</t>
    </r>
  </si>
  <si>
    <t>昆老村委会产业发展项目</t>
  </si>
  <si>
    <r>
      <rPr>
        <sz val="10"/>
        <rFont val="Times New Roman"/>
        <charset val="134"/>
      </rPr>
      <t>272</t>
    </r>
    <r>
      <rPr>
        <sz val="10"/>
        <rFont val="宋体"/>
        <charset val="134"/>
      </rPr>
      <t>户建档立卡贫困户均</t>
    </r>
    <r>
      <rPr>
        <sz val="10"/>
        <rFont val="Times New Roman"/>
        <charset val="134"/>
      </rPr>
      <t>3000</t>
    </r>
    <r>
      <rPr>
        <sz val="10"/>
        <rFont val="宋体"/>
        <charset val="134"/>
      </rPr>
      <t>元入股参与合作社发展</t>
    </r>
  </si>
  <si>
    <t>李方道</t>
  </si>
  <si>
    <t>六、乡村旅游产业基础设施建设</t>
  </si>
  <si>
    <r>
      <rPr>
        <sz val="10"/>
        <rFont val="Times New Roman"/>
        <charset val="134"/>
      </rPr>
      <t>1.</t>
    </r>
    <r>
      <rPr>
        <sz val="10"/>
        <rFont val="宋体"/>
        <charset val="134"/>
      </rPr>
      <t>串户路建设</t>
    </r>
  </si>
  <si>
    <r>
      <rPr>
        <sz val="9"/>
        <rFont val="宋体"/>
        <charset val="134"/>
      </rPr>
      <t>上海项目已经规划实施硬化村组道路</t>
    </r>
    <r>
      <rPr>
        <sz val="9"/>
        <rFont val="Times New Roman"/>
        <charset val="134"/>
      </rPr>
      <t>15756</t>
    </r>
    <r>
      <rPr>
        <sz val="9"/>
        <rFont val="宋体"/>
        <charset val="134"/>
      </rPr>
      <t>平方米；硬化入户路</t>
    </r>
    <r>
      <rPr>
        <sz val="9"/>
        <rFont val="Times New Roman"/>
        <charset val="134"/>
      </rPr>
      <t>7650</t>
    </r>
    <r>
      <rPr>
        <sz val="9"/>
        <rFont val="宋体"/>
        <charset val="134"/>
      </rPr>
      <t>平方米。</t>
    </r>
  </si>
  <si>
    <r>
      <rPr>
        <sz val="9"/>
        <rFont val="宋体"/>
        <charset val="134"/>
      </rPr>
      <t>上海项目已经规划实施硬化村组道路</t>
    </r>
    <r>
      <rPr>
        <sz val="9"/>
        <rFont val="Times New Roman"/>
        <charset val="134"/>
      </rPr>
      <t>32985</t>
    </r>
    <r>
      <rPr>
        <sz val="9"/>
        <rFont val="宋体"/>
        <charset val="134"/>
      </rPr>
      <t>平方米；硬化入户路</t>
    </r>
    <r>
      <rPr>
        <sz val="9"/>
        <rFont val="Times New Roman"/>
        <charset val="134"/>
      </rPr>
      <t>17550</t>
    </r>
    <r>
      <rPr>
        <sz val="9"/>
        <rFont val="宋体"/>
        <charset val="134"/>
      </rPr>
      <t>平方米。</t>
    </r>
  </si>
  <si>
    <t>资金已到位，正在组织实施</t>
  </si>
  <si>
    <r>
      <rPr>
        <sz val="10"/>
        <rFont val="Times New Roman"/>
        <charset val="134"/>
      </rPr>
      <t>2.</t>
    </r>
    <r>
      <rPr>
        <sz val="10"/>
        <rFont val="宋体"/>
        <charset val="134"/>
      </rPr>
      <t>村内道路硬化</t>
    </r>
  </si>
  <si>
    <t>猛硐乡铜塔村上铜塔村内道路硬化项目</t>
  </si>
  <si>
    <t>已竣工</t>
  </si>
  <si>
    <t>猛硐乡昆老村野猪塘村内道理硬化项目</t>
  </si>
  <si>
    <t>猛硐乡铜塔村委会垮土村小组道路建设</t>
  </si>
  <si>
    <t>七、生态扶贫</t>
  </si>
  <si>
    <t>徐世磊</t>
  </si>
  <si>
    <t>八、兜底保障工程</t>
  </si>
  <si>
    <t>吴云海</t>
  </si>
  <si>
    <r>
      <rPr>
        <sz val="9"/>
        <rFont val="宋体"/>
        <charset val="134"/>
      </rPr>
      <t>天保散水村</t>
    </r>
    <r>
      <rPr>
        <sz val="9"/>
        <rFont val="Times New Roman"/>
        <charset val="134"/>
      </rPr>
      <t>1</t>
    </r>
    <r>
      <rPr>
        <sz val="9"/>
        <rFont val="宋体"/>
        <charset val="134"/>
      </rPr>
      <t>个</t>
    </r>
  </si>
  <si>
    <t>一级</t>
  </si>
  <si>
    <t>二级</t>
  </si>
  <si>
    <t>九、农村基础设施和公共服务</t>
  </si>
  <si>
    <t>猛野线</t>
  </si>
  <si>
    <t>危险路段隐患处治</t>
  </si>
  <si>
    <t>坝船线</t>
  </si>
  <si>
    <t>屏边至麻栗坡</t>
  </si>
  <si>
    <t>猛石线</t>
  </si>
  <si>
    <r>
      <rPr>
        <sz val="10"/>
        <rFont val="Times New Roman"/>
        <charset val="134"/>
      </rPr>
      <t>2.</t>
    </r>
    <r>
      <rPr>
        <sz val="10"/>
        <rFont val="宋体"/>
        <charset val="134"/>
      </rPr>
      <t>进村路硬化</t>
    </r>
  </si>
  <si>
    <t>猛硐乡昆老村委会茅草坪至坪山进村路</t>
  </si>
  <si>
    <t>猛硐乡坝子村委会老河弄电站至老河弄村小组公路桥建设</t>
  </si>
  <si>
    <r>
      <rPr>
        <sz val="11"/>
        <rFont val="方正仿宋_GBK"/>
        <charset val="134"/>
      </rPr>
      <t>新建公路桥</t>
    </r>
    <r>
      <rPr>
        <sz val="11"/>
        <rFont val="Times New Roman"/>
        <charset val="134"/>
      </rPr>
      <t>1</t>
    </r>
    <r>
      <rPr>
        <sz val="11"/>
        <rFont val="方正仿宋_GBK"/>
        <charset val="134"/>
      </rPr>
      <t>座</t>
    </r>
  </si>
  <si>
    <t>猛硐乡铜塔村委会小南坪贫困村通动力点改造工程</t>
  </si>
  <si>
    <t>猛硐乡坝子村委会楼梯贫困村通动力点改造工程</t>
  </si>
  <si>
    <t>杨林芬</t>
  </si>
  <si>
    <t>无户户通</t>
  </si>
  <si>
    <t>铜塔下慢哪农村饮水安全巩固提升工程</t>
  </si>
  <si>
    <t>铜塔上、下铜塔农村饮水安全巩固提升工程</t>
  </si>
  <si>
    <r>
      <rPr>
        <sz val="10"/>
        <rFont val="宋体"/>
        <charset val="134"/>
      </rPr>
      <t>昆老河边新建</t>
    </r>
    <r>
      <rPr>
        <sz val="10"/>
        <rFont val="Times New Roman"/>
        <charset val="134"/>
      </rPr>
      <t>2</t>
    </r>
    <r>
      <rPr>
        <sz val="10"/>
        <rFont val="宋体"/>
        <charset val="134"/>
      </rPr>
      <t>口小水窖（鲍廷忠、鲍廷应）</t>
    </r>
  </si>
  <si>
    <r>
      <rPr>
        <sz val="8"/>
        <rFont val="方正仿宋_GBK"/>
        <charset val="134"/>
      </rPr>
      <t>小水窖防渗处理</t>
    </r>
    <r>
      <rPr>
        <sz val="8"/>
        <rFont val="Times New Roman"/>
        <charset val="134"/>
      </rPr>
      <t>20</t>
    </r>
    <r>
      <rPr>
        <sz val="8"/>
        <rFont val="方正仿宋_GBK"/>
        <charset val="134"/>
      </rPr>
      <t>口</t>
    </r>
  </si>
  <si>
    <t>卫生室缺设备</t>
  </si>
  <si>
    <t>昆老、坝子、铜塔、老陶坪</t>
  </si>
  <si>
    <t>猛硐乡铜塔村委会上铜塔活动场所建设项目</t>
  </si>
  <si>
    <t>项</t>
  </si>
  <si>
    <t>猛硐乡老陶坪村委会老陶坪活动场所建设项目</t>
  </si>
  <si>
    <t>猛硐乡昆老村野猪塘活动场所建设项目</t>
  </si>
  <si>
    <r>
      <rPr>
        <sz val="10"/>
        <rFont val="Times New Roman"/>
        <charset val="134"/>
      </rPr>
      <t>(</t>
    </r>
    <r>
      <rPr>
        <sz val="10"/>
        <rFont val="宋体"/>
        <charset val="134"/>
      </rPr>
      <t>十</t>
    </r>
    <r>
      <rPr>
        <sz val="10"/>
        <rFont val="Times New Roman"/>
        <charset val="134"/>
      </rPr>
      <t>)</t>
    </r>
    <r>
      <rPr>
        <sz val="10"/>
        <rFont val="宋体"/>
        <charset val="134"/>
      </rPr>
      <t>人居环境提升改造</t>
    </r>
  </si>
  <si>
    <r>
      <rPr>
        <sz val="10"/>
        <rFont val="Times New Roman"/>
        <charset val="134"/>
      </rPr>
      <t>1.</t>
    </r>
    <r>
      <rPr>
        <sz val="10"/>
        <rFont val="宋体"/>
        <charset val="134"/>
      </rPr>
      <t>路灯建设</t>
    </r>
  </si>
  <si>
    <t>猛硐乡老陶坪村小组太阳能路灯</t>
  </si>
  <si>
    <t>新安装</t>
  </si>
  <si>
    <r>
      <rPr>
        <sz val="10"/>
        <rFont val="Times New Roman"/>
        <charset val="134"/>
      </rPr>
      <t>2.</t>
    </r>
    <r>
      <rPr>
        <sz val="10"/>
        <rFont val="宋体"/>
        <charset val="134"/>
      </rPr>
      <t>功能提升</t>
    </r>
  </si>
  <si>
    <t>猛硐乡铜塔村委会下慢哪贫困村提升工程项目</t>
  </si>
  <si>
    <r>
      <rPr>
        <sz val="10"/>
        <rFont val="宋体"/>
        <charset val="134"/>
      </rPr>
      <t>安装太阳能路灯</t>
    </r>
    <r>
      <rPr>
        <sz val="10"/>
        <rFont val="Times New Roman"/>
        <charset val="134"/>
      </rPr>
      <t>50</t>
    </r>
    <r>
      <rPr>
        <sz val="10"/>
        <rFont val="宋体"/>
        <charset val="134"/>
      </rPr>
      <t>盏；新建垃圾处理设施一套</t>
    </r>
  </si>
  <si>
    <t>猛硐乡猛硐村委会贫困村功能提升</t>
  </si>
  <si>
    <r>
      <rPr>
        <sz val="9"/>
        <rFont val="宋体"/>
        <charset val="134"/>
      </rPr>
      <t>硬化村组道路</t>
    </r>
    <r>
      <rPr>
        <sz val="9"/>
        <rFont val="Times New Roman"/>
        <charset val="134"/>
      </rPr>
      <t>32985</t>
    </r>
    <r>
      <rPr>
        <sz val="9"/>
        <rFont val="宋体"/>
        <charset val="134"/>
      </rPr>
      <t>平方米；硬化入户路</t>
    </r>
    <r>
      <rPr>
        <sz val="9"/>
        <rFont val="Times New Roman"/>
        <charset val="134"/>
      </rPr>
      <t>17550</t>
    </r>
    <r>
      <rPr>
        <sz val="9"/>
        <rFont val="宋体"/>
        <charset val="134"/>
      </rPr>
      <t>平方米；农户庭院硬化</t>
    </r>
    <r>
      <rPr>
        <sz val="9"/>
        <rFont val="Times New Roman"/>
        <charset val="134"/>
      </rPr>
      <t>128</t>
    </r>
    <r>
      <rPr>
        <sz val="9"/>
        <rFont val="宋体"/>
        <charset val="134"/>
      </rPr>
      <t>户；新建卫生厕所</t>
    </r>
    <r>
      <rPr>
        <sz val="9"/>
        <rFont val="Times New Roman"/>
        <charset val="134"/>
      </rPr>
      <t>149</t>
    </r>
    <r>
      <rPr>
        <sz val="9"/>
        <rFont val="宋体"/>
        <charset val="134"/>
      </rPr>
      <t>户；活动室建设</t>
    </r>
    <r>
      <rPr>
        <sz val="9"/>
        <rFont val="Times New Roman"/>
        <charset val="134"/>
      </rPr>
      <t>70</t>
    </r>
    <r>
      <rPr>
        <sz val="9"/>
        <rFont val="宋体"/>
        <charset val="134"/>
      </rPr>
      <t>平米；活动场地硬化</t>
    </r>
    <r>
      <rPr>
        <sz val="9"/>
        <rFont val="Times New Roman"/>
        <charset val="134"/>
      </rPr>
      <t>150</t>
    </r>
    <r>
      <rPr>
        <sz val="9"/>
        <rFont val="宋体"/>
        <charset val="134"/>
      </rPr>
      <t>平方米；安装太阳能路灯</t>
    </r>
    <r>
      <rPr>
        <sz val="9"/>
        <rFont val="Times New Roman"/>
        <charset val="134"/>
      </rPr>
      <t>677</t>
    </r>
    <r>
      <rPr>
        <sz val="9"/>
        <rFont val="宋体"/>
        <charset val="134"/>
      </rPr>
      <t>盏；新建垃圾处理池</t>
    </r>
    <r>
      <rPr>
        <sz val="9"/>
        <rFont val="Times New Roman"/>
        <charset val="134"/>
      </rPr>
      <t>22</t>
    </r>
    <r>
      <rPr>
        <sz val="9"/>
        <rFont val="宋体"/>
        <charset val="134"/>
      </rPr>
      <t>座；新建公厕</t>
    </r>
    <r>
      <rPr>
        <sz val="9"/>
        <rFont val="Times New Roman"/>
        <charset val="134"/>
      </rPr>
      <t>1</t>
    </r>
    <r>
      <rPr>
        <sz val="9"/>
        <rFont val="宋体"/>
        <charset val="134"/>
      </rPr>
      <t>座；新建文化宣传墙</t>
    </r>
    <r>
      <rPr>
        <sz val="9"/>
        <rFont val="Times New Roman"/>
        <charset val="134"/>
      </rPr>
      <t>2</t>
    </r>
    <r>
      <rPr>
        <sz val="9"/>
        <rFont val="宋体"/>
        <charset val="134"/>
      </rPr>
      <t>道。</t>
    </r>
  </si>
  <si>
    <r>
      <rPr>
        <sz val="9"/>
        <rFont val="宋体"/>
        <charset val="134"/>
      </rPr>
      <t>香草棚、下阳坡、上阳坡、上新寨、下新寨、新村、瓦厂阳坡、洒西、陶家、大树脚、查排、哪秧、平河、丫口、岩脚、上扣林、下扣林</t>
    </r>
    <r>
      <rPr>
        <sz val="9"/>
        <rFont val="Times New Roman"/>
        <charset val="134"/>
      </rPr>
      <t>17</t>
    </r>
    <r>
      <rPr>
        <sz val="9"/>
        <rFont val="宋体"/>
        <charset val="134"/>
      </rPr>
      <t>个贫困村小组功能提升</t>
    </r>
  </si>
  <si>
    <t>猛硐乡昆老村委会贫困村功能提升</t>
  </si>
  <si>
    <r>
      <rPr>
        <sz val="9"/>
        <rFont val="宋体"/>
        <charset val="134"/>
      </rPr>
      <t>硬化村组道路</t>
    </r>
    <r>
      <rPr>
        <sz val="9"/>
        <rFont val="Times New Roman"/>
        <charset val="134"/>
      </rPr>
      <t>15756</t>
    </r>
    <r>
      <rPr>
        <sz val="9"/>
        <rFont val="宋体"/>
        <charset val="134"/>
      </rPr>
      <t>平方米；硬化入户路</t>
    </r>
    <r>
      <rPr>
        <sz val="9"/>
        <rFont val="Times New Roman"/>
        <charset val="134"/>
      </rPr>
      <t>7650</t>
    </r>
    <r>
      <rPr>
        <sz val="9"/>
        <rFont val="宋体"/>
        <charset val="134"/>
      </rPr>
      <t>平方米；农户庭院硬化</t>
    </r>
    <r>
      <rPr>
        <sz val="9"/>
        <rFont val="Times New Roman"/>
        <charset val="134"/>
      </rPr>
      <t>387</t>
    </r>
    <r>
      <rPr>
        <sz val="9"/>
        <rFont val="宋体"/>
        <charset val="134"/>
      </rPr>
      <t>户；新建卫生厕所</t>
    </r>
    <r>
      <rPr>
        <sz val="9"/>
        <rFont val="Times New Roman"/>
        <charset val="134"/>
      </rPr>
      <t>245</t>
    </r>
    <r>
      <rPr>
        <sz val="9"/>
        <rFont val="宋体"/>
        <charset val="134"/>
      </rPr>
      <t>户；活动室建设</t>
    </r>
    <r>
      <rPr>
        <sz val="9"/>
        <rFont val="Times New Roman"/>
        <charset val="134"/>
      </rPr>
      <t>70</t>
    </r>
    <r>
      <rPr>
        <sz val="9"/>
        <rFont val="宋体"/>
        <charset val="134"/>
      </rPr>
      <t>平方米；安装太阳能路灯</t>
    </r>
    <r>
      <rPr>
        <sz val="9"/>
        <rFont val="Times New Roman"/>
        <charset val="134"/>
      </rPr>
      <t>404</t>
    </r>
    <r>
      <rPr>
        <sz val="9"/>
        <rFont val="宋体"/>
        <charset val="134"/>
      </rPr>
      <t>盏；新建垃圾处理池</t>
    </r>
    <r>
      <rPr>
        <sz val="9"/>
        <rFont val="Times New Roman"/>
        <charset val="134"/>
      </rPr>
      <t>19</t>
    </r>
    <r>
      <rPr>
        <sz val="9"/>
        <rFont val="宋体"/>
        <charset val="134"/>
      </rPr>
      <t>座；新建文化宣传墙</t>
    </r>
    <r>
      <rPr>
        <sz val="9"/>
        <rFont val="Times New Roman"/>
        <charset val="134"/>
      </rPr>
      <t>3</t>
    </r>
    <r>
      <rPr>
        <sz val="9"/>
        <rFont val="宋体"/>
        <charset val="134"/>
      </rPr>
      <t>道。</t>
    </r>
  </si>
  <si>
    <r>
      <rPr>
        <sz val="9"/>
        <rFont val="宋体"/>
        <charset val="134"/>
      </rPr>
      <t>冬瓜坪、龙竹河、昆老、茅草坪、坪山、中寨、龙山、新寨、河边、卡房脚、黄瓜坡一、黄瓜坡二、三棵树</t>
    </r>
    <r>
      <rPr>
        <sz val="9"/>
        <rFont val="Times New Roman"/>
        <charset val="134"/>
      </rPr>
      <t>13</t>
    </r>
    <r>
      <rPr>
        <sz val="9"/>
        <rFont val="宋体"/>
        <charset val="134"/>
      </rPr>
      <t>个贫困村小组功能提升</t>
    </r>
  </si>
  <si>
    <t>十、村集体经济</t>
  </si>
  <si>
    <t>铜塔村委会村集体项目</t>
  </si>
  <si>
    <r>
      <rPr>
        <sz val="9"/>
        <rFont val="宋体"/>
        <charset val="134"/>
      </rPr>
      <t>在铜塔村委会</t>
    </r>
    <r>
      <rPr>
        <sz val="9"/>
        <rFont val="Times New Roman"/>
        <charset val="134"/>
      </rPr>
      <t>3</t>
    </r>
    <r>
      <rPr>
        <sz val="9"/>
        <rFont val="宋体"/>
        <charset val="134"/>
      </rPr>
      <t>个点建设高炮广告牌招租广告位，广告费用纳入集体经济，用于帮助困难群众发展产业。高炮广告牌招租广告位计划投入</t>
    </r>
    <r>
      <rPr>
        <sz val="9"/>
        <rFont val="Times New Roman"/>
        <charset val="134"/>
      </rPr>
      <t>30</t>
    </r>
    <r>
      <rPr>
        <sz val="9"/>
        <rFont val="宋体"/>
        <charset val="134"/>
      </rPr>
      <t>万元。</t>
    </r>
  </si>
  <si>
    <r>
      <rPr>
        <sz val="11"/>
        <rFont val="宋体"/>
        <charset val="134"/>
      </rPr>
      <t>填表说明：</t>
    </r>
    <r>
      <rPr>
        <sz val="11"/>
        <rFont val="Microsoft New Tai Lue"/>
        <charset val="134"/>
      </rPr>
      <t>1.</t>
    </r>
    <r>
      <rPr>
        <sz val="11"/>
        <rFont val="宋体"/>
        <charset val="134"/>
      </rPr>
      <t>带</t>
    </r>
    <r>
      <rPr>
        <sz val="11"/>
        <rFont val="Microsoft New Tai Lue"/>
        <charset val="134"/>
      </rPr>
      <t>“—”</t>
    </r>
    <r>
      <rPr>
        <sz val="11"/>
        <rFont val="宋体"/>
        <charset val="134"/>
      </rPr>
      <t>符号的栏目不填；项目及资金需求待县级审定反馈后，再完善。</t>
    </r>
  </si>
  <si>
    <r>
      <rPr>
        <sz val="11"/>
        <rFont val="Microsoft New Tai Lue"/>
        <charset val="134"/>
      </rPr>
      <t>2.</t>
    </r>
    <r>
      <rPr>
        <sz val="11"/>
        <rFont val="宋体"/>
        <charset val="134"/>
      </rPr>
      <t>由主要领导牵头，组织班子成员、站所等人员，负责汇总、分析、测算和增减规模种植业、规模养殖业、龙头企业或新型经营主体、村集体经济中的财政投入开展资产收益扶贫和生产经营类项目和资金需求，对村级项目进行乡级审核。</t>
    </r>
  </si>
  <si>
    <r>
      <rPr>
        <sz val="11"/>
        <rFont val="Microsoft New Tai Lue"/>
        <charset val="134"/>
      </rPr>
      <t>3.6</t>
    </r>
    <r>
      <rPr>
        <sz val="11"/>
        <rFont val="宋体"/>
        <charset val="134"/>
      </rPr>
      <t>月</t>
    </r>
    <r>
      <rPr>
        <sz val="11"/>
        <rFont val="Microsoft New Tai Lue"/>
        <charset val="134"/>
      </rPr>
      <t>15</t>
    </r>
    <r>
      <rPr>
        <sz val="11"/>
        <rFont val="宋体"/>
        <charset val="134"/>
      </rPr>
      <t>日前完成乡级审核，行文请求县级审定，同时将审核后的统计表在乡政府驻地进行公示。</t>
    </r>
  </si>
  <si>
    <t>麻栗坡县天保镇2018年至2020年脱贫攻坚路线图（实施方案）乡级统计表</t>
  </si>
  <si>
    <t>规模</t>
  </si>
  <si>
    <t>建设内容</t>
  </si>
  <si>
    <t>补助标准</t>
  </si>
  <si>
    <t>数据来源</t>
  </si>
  <si>
    <t>实施情况</t>
  </si>
  <si>
    <t>——</t>
  </si>
  <si>
    <t>99户367人。                             2018年贫困户70人*5.775万元=404.25万元；         2019年贫困户86人*7.8=670.8万元；                                      2018年随迁户52户*4万元=208万元；                                              基础设施建设资金为1937.918万元。</t>
  </si>
  <si>
    <t>何昌元张帮朝</t>
  </si>
  <si>
    <t>唐根国</t>
  </si>
  <si>
    <t>2018年：档卡户             5.775万元/人；  随迁户4万/户。                2019年：档卡户7.8万/人。              总基础设施：        1937.918万元。</t>
  </si>
  <si>
    <t>数据为镇项目办提供系统数据；补助标准由镇项目办和县发改局提供。</t>
  </si>
  <si>
    <t>小寨村委会</t>
  </si>
  <si>
    <t>2018年：档卡户2户6人，         非档卡户9户43人。      2019年：档卡户4户7人。</t>
  </si>
  <si>
    <t>分水岭村委会</t>
  </si>
  <si>
    <t>2019年：档卡户9户24人。</t>
  </si>
  <si>
    <t>城子上村委会</t>
  </si>
  <si>
    <t>2019年：档卡户7户26人。</t>
  </si>
  <si>
    <t>南温河村委会</t>
  </si>
  <si>
    <t>2018年：档卡户16户64人， 非档卡户43户168人。    2019年：档卡户9户29人。</t>
  </si>
  <si>
    <t>刘发建</t>
  </si>
  <si>
    <t>30000元/户</t>
  </si>
  <si>
    <t>数据为各村（社）上报。 11月30日数据</t>
  </si>
  <si>
    <t>天保村委会</t>
  </si>
  <si>
    <t>南温河街道社区</t>
  </si>
  <si>
    <t>八宋村委会</t>
  </si>
  <si>
    <t>18000元/户</t>
  </si>
  <si>
    <t>40000元/户</t>
  </si>
  <si>
    <t>无</t>
  </si>
  <si>
    <t>1.小学辍学</t>
  </si>
  <si>
    <t>2.中学辍学</t>
  </si>
  <si>
    <t>2018年—2020年初中高中后继续教育资助每年27人</t>
  </si>
  <si>
    <t>李桂兰</t>
  </si>
  <si>
    <t>1250元/人/年</t>
  </si>
  <si>
    <t>规模数据为镇中心校提供，补助标准为县教育局提供。</t>
  </si>
  <si>
    <t>每年4人</t>
  </si>
  <si>
    <t>每年1人</t>
  </si>
  <si>
    <t>每年6人</t>
  </si>
  <si>
    <t>每年7人</t>
  </si>
  <si>
    <t>每年9人</t>
  </si>
  <si>
    <t>2018年—2020年高中阶段资助每年71人。</t>
  </si>
  <si>
    <t>5500元/人/年（资金来源行业部门专项资金每人4250，县级自筹资金每人1250元）</t>
  </si>
  <si>
    <t>数据和补助标准为县教育局反馈。</t>
  </si>
  <si>
    <t>每年37人</t>
  </si>
  <si>
    <t>教育部门数据填报日期为10月30日，近期又新纳入1人，实际38人</t>
  </si>
  <si>
    <t>每年3人</t>
  </si>
  <si>
    <t>每年8人</t>
  </si>
  <si>
    <t>2018年—2020年中等职业资助每年59人。</t>
  </si>
  <si>
    <t>5500元/人/年（资金来源行业部门专项资金每人2000，涉农整合资金每人3000元，县级自筹资金每人500元）</t>
  </si>
  <si>
    <t>每年18人</t>
  </si>
  <si>
    <t>每年10人</t>
  </si>
  <si>
    <t>2018年—2020年高等教育资助每年81人。</t>
  </si>
  <si>
    <t>1.高职</t>
  </si>
  <si>
    <t>2018年—2020年高职资助每年29人。</t>
  </si>
  <si>
    <t>6000元/人/年（资金来源行业部门专项资金每人1500元、涉农整合资金每人3000元、县级自筹每人1500元）</t>
  </si>
  <si>
    <t>每年5人</t>
  </si>
  <si>
    <t>2.普通专科</t>
  </si>
  <si>
    <t>2018年—2020年普通专科资助每年6人。</t>
  </si>
  <si>
    <t>5500元/人/年（资金来源行业部门专项资金每人1000元、涉农整合资金每人3000元、县级自筹每人1500元）</t>
  </si>
  <si>
    <t>3.普通本科</t>
  </si>
  <si>
    <t>2018年—2020年普通本科资助每年46人。</t>
  </si>
  <si>
    <t>3000元/人/年（资金来源行业部门专项资金每人1500元、县级自筹每人1500元）</t>
  </si>
  <si>
    <t>每年24人</t>
  </si>
  <si>
    <t>每年2人</t>
  </si>
  <si>
    <t>2017年底档卡户4875人，未脱贫2263人，已脱贫2612人；2018年档卡户4888人，未脱贫918人，已脱贫3970人。</t>
  </si>
  <si>
    <t>180元/人/年（资金来源县级自筹资金：未脱贫54元/人，已脱贫90元/人。行业部门资金：未脱贫126元/人，已脱贫90元/人）</t>
  </si>
  <si>
    <t>2018年医保为2017年收缴，故用2017年贫困人口数据。补助标准为县人社局提供。</t>
  </si>
  <si>
    <t>2018年1673人，2019年1659人，2020年1659人</t>
  </si>
  <si>
    <t>2018年460人，2019年461人，2020年461人</t>
  </si>
  <si>
    <t>2018年679人，2019年689人，2020年689人</t>
  </si>
  <si>
    <t>2018年661人，2019年677人，2020年677人</t>
  </si>
  <si>
    <t>2018年416人，2019年419人，2020年419人</t>
  </si>
  <si>
    <t>2018年353人，2019年354人，2020年354人</t>
  </si>
  <si>
    <t>2018年633人，2019年629人，2020年629人</t>
  </si>
  <si>
    <t>2018年1-11月共救助696人次÷11×12，19、20年同18年。2018年救助金额1-11月30.46万元，以每年10%递增。</t>
  </si>
  <si>
    <t>不可测算</t>
  </si>
  <si>
    <t>规模数据和资金测算方法为县卫计局提供。</t>
  </si>
  <si>
    <t>每年救助271人，2018年救助金额10.53万元，以每年10%递增。</t>
  </si>
  <si>
    <t>每年救助95人，2018年救助金额3.52万元，以每年10%递增。</t>
  </si>
  <si>
    <t>每年救助114人，2018年救助金额4.38万元，以每年10%递增。</t>
  </si>
  <si>
    <t>每年救助76人，2018年救助金额3.22万元，以每年10%递增。</t>
  </si>
  <si>
    <t>每年救助104人，2018年救助金额4.3万元，以每年10%递增。</t>
  </si>
  <si>
    <t>每年救助6人，2018年救助金额0.16万元，以每年10%递增。</t>
  </si>
  <si>
    <t>每年救助93人，2018年救助金额4.32万元，以每年10%递增。</t>
  </si>
  <si>
    <t>2018年—2020年大病集中救治每年36人。</t>
  </si>
  <si>
    <t>规模数据为县卫计局提供，资金为不测算。</t>
  </si>
  <si>
    <t>全国健康扶贫系统中有9人，有1人近期已去世，实际只有8人</t>
  </si>
  <si>
    <t>2018年1-11月共兜底636人次÷11×12，19、20年同18年。2018年兜底金额1-11月10.05万元，以每年10%递增。</t>
  </si>
  <si>
    <t>每年保障230人，2018年保障金额4.19万元，以每年10%递增。</t>
  </si>
  <si>
    <t>每年保障86人，2018年保障金额1万元，以每年10%递增。</t>
  </si>
  <si>
    <t>每年保障110人，2018年保障金额1.52万元，以每年10%递增。</t>
  </si>
  <si>
    <t>每年保障76人，2018年保障金额1.03万元，以每年10%递增。</t>
  </si>
  <si>
    <t>每年保障105人，2018年保障金额1.38万元，以每年10%递增。</t>
  </si>
  <si>
    <t>每年保障5人，2018年保障金额0.05万元，以每年10%递增。</t>
  </si>
  <si>
    <t>每年保障82人，2018年保障金额0.94万元，以每年10%递增。</t>
  </si>
  <si>
    <t>县人社局未提供补助标准。</t>
  </si>
  <si>
    <r>
      <rPr>
        <sz val="10"/>
        <rFont val="宋体"/>
        <charset val="134"/>
      </rPr>
      <t>2018年转移</t>
    </r>
    <r>
      <rPr>
        <sz val="10"/>
        <rFont val="宋体"/>
        <charset val="134"/>
      </rPr>
      <t>588人，2019年转移588人，2020年转移568人。</t>
    </r>
  </si>
  <si>
    <t>每年189人</t>
  </si>
  <si>
    <t>每年52人</t>
  </si>
  <si>
    <t>每年83人</t>
  </si>
  <si>
    <t>每年123人</t>
  </si>
  <si>
    <t>每年41人</t>
  </si>
  <si>
    <t>每年70人</t>
  </si>
  <si>
    <t>2018年30人，2019年30人，2020年10人。</t>
  </si>
  <si>
    <r>
      <rPr>
        <sz val="10"/>
        <rFont val="宋体"/>
        <charset val="134"/>
      </rPr>
      <t>2018年转移</t>
    </r>
    <r>
      <rPr>
        <sz val="10"/>
        <rFont val="宋体"/>
        <charset val="134"/>
      </rPr>
      <t>151人，2019年转移151人，2020年转移141人。</t>
    </r>
  </si>
  <si>
    <t>每年45人</t>
  </si>
  <si>
    <t>每年19人</t>
  </si>
  <si>
    <t>每年32人</t>
  </si>
  <si>
    <t>每年21人</t>
  </si>
  <si>
    <t>2018年转移20人，2019年转移20人，2020年转移10人。</t>
  </si>
  <si>
    <t>2018年转移445人，2019年转移445人，2020年转移424人。</t>
  </si>
  <si>
    <t>每年131人</t>
  </si>
  <si>
    <t>每年84人</t>
  </si>
  <si>
    <t>每年44人</t>
  </si>
  <si>
    <t>每年86人</t>
  </si>
  <si>
    <t>每年28人</t>
  </si>
  <si>
    <t>2018年转移40人，2019年转移40人，2020年转移19人。</t>
  </si>
  <si>
    <t>规模数据为各村（社）上报。</t>
  </si>
  <si>
    <t>2018年培训654人，2019年培训690人，2020年培训624人。</t>
  </si>
  <si>
    <t>规模数据为各村（社）上报，县人社局预审意见为资金不计算。</t>
  </si>
  <si>
    <r>
      <rPr>
        <sz val="10"/>
        <rFont val="宋体"/>
        <charset val="134"/>
      </rPr>
      <t>2018年转移</t>
    </r>
    <r>
      <rPr>
        <sz val="10"/>
        <rFont val="宋体"/>
        <charset val="134"/>
      </rPr>
      <t>100人，2019年转移136人，2020年转移136人。</t>
    </r>
  </si>
  <si>
    <t>2018年转移52人，2019年转移52人，2020年转移53人。</t>
  </si>
  <si>
    <t>每年114人</t>
  </si>
  <si>
    <t>每年90人</t>
  </si>
  <si>
    <r>
      <rPr>
        <sz val="10"/>
        <rFont val="宋体"/>
        <charset val="134"/>
      </rPr>
      <t>每年6</t>
    </r>
    <r>
      <rPr>
        <sz val="10"/>
        <rFont val="宋体"/>
        <charset val="134"/>
      </rPr>
      <t>8人</t>
    </r>
  </si>
  <si>
    <t>每年130人</t>
  </si>
  <si>
    <t>2018年转移100人，2019年转移100人，2020年转移33人。</t>
  </si>
  <si>
    <t>2018年—2020年每年聘用护边员每年5人。</t>
  </si>
  <si>
    <t>6000元/人/年</t>
  </si>
  <si>
    <t>规模数据为各村（社）上报，补助标准按县级测算资金反推。</t>
  </si>
  <si>
    <t>2019年—2020年聘用护路员每年26人。</t>
  </si>
  <si>
    <t xml:space="preserve"> 唐根国</t>
  </si>
  <si>
    <t>1500元/人/年</t>
  </si>
  <si>
    <t>未实施</t>
  </si>
  <si>
    <t>2019年—2020年聘用保洁员每年106人。</t>
  </si>
  <si>
    <t>3600元/人/年</t>
  </si>
  <si>
    <t>每年42人</t>
  </si>
  <si>
    <t>每年12人</t>
  </si>
  <si>
    <t>每年15人</t>
  </si>
  <si>
    <t>每年13人</t>
  </si>
  <si>
    <t>2019年—2020年聘用河道治理员每年9人。</t>
  </si>
  <si>
    <t>5400元/人/年</t>
  </si>
  <si>
    <t>2018年—2020年聘用地质灾害监测员每年24人。</t>
  </si>
  <si>
    <t>规模数据和补助资金为县国土局提供。</t>
  </si>
  <si>
    <t>6.乡村道路维护员</t>
  </si>
  <si>
    <t>2018年—2020年聘用乡村道路维护员每年10人。</t>
  </si>
  <si>
    <t>6216元/人/年（乡村道路维护员资金来源于上海援建，每人每月补助500元，每人每月工商保险18元（保险资金来源于县级自筹资金），其中2018年资金补助和保险缴纳只算前3个月）</t>
  </si>
  <si>
    <t>规模数据为各村（社）上报，补助标准及资金来源为县人社局提供。</t>
  </si>
  <si>
    <t>7.乡村环境卫生清扫员</t>
  </si>
  <si>
    <t>2018年—2020年聘用乡村环境卫生清扫员每年23人。</t>
  </si>
  <si>
    <t>6216元/人/年（乡村环境卫生清扫员资金来源于上海援建，每人每月补助500元，每人每月工商保险18元（保险资金来源于县级自筹资金），其中2018年资金补助和保险缴纳只算前3个月）</t>
  </si>
  <si>
    <t>2018年—2020年聘用乡村河道（湖泊）维护员每年9人。</t>
  </si>
  <si>
    <t>6216元/人/年（乡村河道（湖泊）维护员资金来源于上海援建，每人每月补助500元，每人每月工商保险18元（保险资金来源于县级自筹资金），其中2018年资金补助和保险缴纳只算前3个月）</t>
  </si>
  <si>
    <t>9.乡村社会综治协管员</t>
  </si>
  <si>
    <t>2018年—2020年聘用乡村社会综治协管员每年6人。</t>
  </si>
  <si>
    <t>6216元/人/年（乡村社会综治协管员资金来源于上海援建，每人每月补助500元，每人每月工商保险18元（保险资金来源于县级自筹资金），其中2018年资金补助和保险缴纳只算前3个月）</t>
  </si>
  <si>
    <t>10.孤寡老人和留守儿童及残疾人帮扶员</t>
  </si>
  <si>
    <t>2018年—2020年聘用孤寡老人和留守儿童及残疾人帮扶员每年3人。</t>
  </si>
  <si>
    <t>6216元/人/年（孤寡老人和留守儿童及残疾人帮扶员资金来源于上海援建，每人每月补助500元，每人每月工商保险18元（保险资金来源于县级自筹资金），其中2018年资金补助和保险缴纳只算前3个月）</t>
  </si>
  <si>
    <t>11.移风易俗协理员</t>
  </si>
  <si>
    <t>2018年—2020年聘用移风易俗协理员每年6人。</t>
  </si>
  <si>
    <t>6216元/人/年（移风易俗协理员资金来源于上海援建，每人每月补助500元，每人每月工商保险18元（保险资金来源于县级自筹资金），其中2018年资金补助和保险缴纳只算前3个月）</t>
  </si>
  <si>
    <t>2018年—2020年聘用乡村饮水维护员每年6人。</t>
  </si>
  <si>
    <t>6216元/人/年（乡村饮水维护员资金来源于上海援建，每人每月补助500元，每人每月工商保险18元（保险资金来源于县级自筹资金），其中2018年资金补助和保险缴纳只算前3个月）</t>
  </si>
  <si>
    <t>无补助</t>
  </si>
  <si>
    <t>数据为各村（社）上报。</t>
  </si>
  <si>
    <t>1.1草果</t>
  </si>
  <si>
    <t>2018年种植5950亩，2019年种植1000亩，2020年种植1000亩。</t>
  </si>
  <si>
    <t>1.2砂仁</t>
  </si>
  <si>
    <t>2018年种植2210亩，2019年种植1008亩，2020年种植1000亩。</t>
  </si>
  <si>
    <t xml:space="preserve">小寨村委会                    </t>
  </si>
  <si>
    <t>2018年-2020年新种植砂仁473亩,其中牛场69亩、上福田143亩、小寨21亩、荒田62亩、老城坡20亩、上八隘46亩、中良子82亩、河边3亩、三保寨9亩、下福田18亩。</t>
  </si>
  <si>
    <t>1.3柚子</t>
  </si>
  <si>
    <t>2018年种植45亩</t>
  </si>
  <si>
    <t>1.4甘蔗</t>
  </si>
  <si>
    <t>2018年种植43亩</t>
  </si>
  <si>
    <t>1.5茶叶</t>
  </si>
  <si>
    <t>每年种植67亩</t>
  </si>
  <si>
    <t>1.6芭蕉</t>
  </si>
  <si>
    <t>2018年种植27亩</t>
  </si>
  <si>
    <t>1.7火龙果</t>
  </si>
  <si>
    <t>2018年种植10亩</t>
  </si>
  <si>
    <t>1.8生姜</t>
  </si>
  <si>
    <t>1.9橘子</t>
  </si>
  <si>
    <t>2018年种植4亩</t>
  </si>
  <si>
    <t>1.10香蕉</t>
  </si>
  <si>
    <t>2018年种植21亩，2019年种植22亩，2020年种植22亩。</t>
  </si>
  <si>
    <t>1.11坚果</t>
  </si>
  <si>
    <t>2019年种植226.5亩，2020年种植450亩</t>
  </si>
  <si>
    <t>2019年新种植澳洲坚果226.5亩，牛场31亩、上福田4亩、小寨48.5亩、下八隘21亩、荒田82亩、老城坡46亩、中良子11亩、河边10亩。</t>
  </si>
  <si>
    <t>1.12木薯</t>
  </si>
  <si>
    <t>2020年种植120亩</t>
  </si>
  <si>
    <t>1.13香草</t>
  </si>
  <si>
    <t>2018年种植3亩</t>
  </si>
  <si>
    <t>1.14百香果</t>
  </si>
  <si>
    <t>2018年种植87亩，2019年种植87亩，2020年种植88亩。</t>
  </si>
  <si>
    <t>1.15西贡蕉</t>
  </si>
  <si>
    <t>2018年种植28亩</t>
  </si>
  <si>
    <t>1.16咖啡</t>
  </si>
  <si>
    <t>2018年种植40亩</t>
  </si>
  <si>
    <r>
      <rPr>
        <sz val="10"/>
        <rFont val="宋体"/>
        <charset val="134"/>
      </rPr>
      <t>数据为各村（社）上报，</t>
    </r>
    <r>
      <rPr>
        <sz val="10"/>
        <rFont val="宋体"/>
        <charset val="134"/>
      </rPr>
      <t>受益贫困人口和资金测算根据县扶贫局审核建议更改。</t>
    </r>
  </si>
  <si>
    <t>2.1老山坚果</t>
  </si>
  <si>
    <r>
      <rPr>
        <sz val="10"/>
        <rFont val="宋体"/>
        <charset val="134"/>
      </rPr>
      <t>201</t>
    </r>
    <r>
      <rPr>
        <sz val="10"/>
        <rFont val="宋体"/>
        <charset val="134"/>
      </rPr>
      <t>9年新建/扩改建澳洲坚果种植300亩。</t>
    </r>
  </si>
  <si>
    <r>
      <rPr>
        <sz val="10"/>
        <rFont val="宋体"/>
        <charset val="134"/>
      </rPr>
      <t>南温河村委会                 （</t>
    </r>
    <r>
      <rPr>
        <sz val="10"/>
        <rFont val="宋体"/>
        <charset val="134"/>
      </rPr>
      <t>300亩老山坚果种植项目）</t>
    </r>
  </si>
  <si>
    <r>
      <rPr>
        <sz val="10"/>
        <rFont val="宋体"/>
        <charset val="134"/>
      </rPr>
      <t>2019年种植</t>
    </r>
    <r>
      <rPr>
        <sz val="10"/>
        <rFont val="宋体"/>
        <charset val="134"/>
      </rPr>
      <t>300亩。</t>
    </r>
  </si>
  <si>
    <t>受益档卡户户均3000元，基础设施提升改造30万元。</t>
  </si>
  <si>
    <t>1.1养猪</t>
  </si>
  <si>
    <t>2018年养殖2430头，2019年养殖590头，2020年养殖590头</t>
  </si>
  <si>
    <t>1.2养牛</t>
  </si>
  <si>
    <t>2018年养殖90头，2019年养殖30头，2020年养殖30头</t>
  </si>
  <si>
    <t>1.3养羊</t>
  </si>
  <si>
    <t>2018年养殖45头,2019年养殖20头，2020年养殖20头。</t>
  </si>
  <si>
    <t>1.4养禽</t>
  </si>
  <si>
    <t>只/羽</t>
  </si>
  <si>
    <t>2018年养殖14264只,2019年养殖4961只，2020年养殖5651只。</t>
  </si>
  <si>
    <t>1.5养狗</t>
  </si>
  <si>
    <t>2018年养殖40只。</t>
  </si>
  <si>
    <t>1.6养鱼</t>
  </si>
  <si>
    <t>2018年养殖20亩。</t>
  </si>
  <si>
    <t>1.7养马</t>
  </si>
  <si>
    <t>匹</t>
  </si>
  <si>
    <t>2018年养殖6匹。</t>
  </si>
  <si>
    <t>1.8养骡子</t>
  </si>
  <si>
    <t>2018年养殖21匹。</t>
  </si>
  <si>
    <t>1.9蜜蜂、胡蜂</t>
  </si>
  <si>
    <t>2018年—2020年养殖蜜蜂、胡蜂900箱，其中2018年养殖400箱，2019年养殖250箱，2020年养殖250箱。</t>
  </si>
  <si>
    <t xml:space="preserve">城子上村委会               </t>
  </si>
  <si>
    <t>2.1水产养殖（网箱养鱼）</t>
  </si>
  <si>
    <t>2019年—2020年网箱养鱼每年150箱。</t>
  </si>
  <si>
    <t>小寨村委会            （300箱网箱养鱼项目）</t>
  </si>
  <si>
    <t>2019年-2020年改建网箱养鱼300箱，其中下八隘36箱、小寨68箱、牛场18箱、河边21箱、下福田25箱、三保寨14箱、上八隘24箱、中良子28箱、老城坡38箱、荒田28箱。其中2018年改建网箱养鱼100箱，2019年改建网箱养鱼100箱，2020年改建网箱养鱼100箱。</t>
  </si>
  <si>
    <t>受益档卡户户均3000元，基础设施提升改造60万元。</t>
  </si>
  <si>
    <t>1.电商</t>
  </si>
  <si>
    <t>无（县工信商务局建议删除。）</t>
  </si>
  <si>
    <t>2.乡村旅游</t>
  </si>
  <si>
    <t>2018年在天保村委会新建乡村旅游1个，在天保村委会新城村小组军事拓展训练基地旅游公厕1个。</t>
  </si>
  <si>
    <t>旅游公厕数据为县扶贫局提供。</t>
  </si>
  <si>
    <t>天保村委会             （旅游配套项目）</t>
  </si>
  <si>
    <t>2018年在天保村委会新建乡村旅游1个。</t>
  </si>
  <si>
    <t>600万元/个</t>
  </si>
  <si>
    <t>2017年已落实500万元，2018年100万元。</t>
  </si>
  <si>
    <t>天保村委会                   （新城村小组军事拓展训练基地旅游公厕）</t>
  </si>
  <si>
    <t>2018年在天保村委会新城村小组军事拓展训练基地旅游公厕1个。</t>
  </si>
  <si>
    <t>30万元/个</t>
  </si>
  <si>
    <t>3.专业合作社</t>
  </si>
  <si>
    <t>无（县扶贫局建议删除。）</t>
  </si>
  <si>
    <t>受益档卡户户均3000元。</t>
  </si>
  <si>
    <t>天保村委会             (天保村委会产业发展项目（入股麻栗坡农业开发投资有限责任公司）</t>
  </si>
  <si>
    <t>入股农投公司按10%保底分红</t>
  </si>
  <si>
    <t>小寨村委会             (小寨村委会产业发展项目（入股麻栗坡农业开发投资有限责任公司）</t>
  </si>
  <si>
    <t>资金已到位</t>
  </si>
  <si>
    <t>分水岭村委会             (分水岭村委会产业发展项目（入股麻栗坡农业开发投资有限责任公司）</t>
  </si>
  <si>
    <t>城子上村委会             (城子上村委会产业发展项目（入股麻栗坡农业开发投资有限责任公司）</t>
  </si>
  <si>
    <t>南温河村委会             (南温河村委会产业发展项目（入股麻栗坡农业开发投资有限责任公司）</t>
  </si>
  <si>
    <t>南温河街道社区                    (天保镇南温河街道社区产业发展项目（入股麻栗坡农业开发投资有限责任公司）</t>
  </si>
  <si>
    <t>八宋村委会             (八宋村委会产业发展项目（入股麻栗坡农业开发投资有限责任公司）</t>
  </si>
  <si>
    <t>无法推算</t>
  </si>
  <si>
    <t>规模数据和资金测算为县扶贫局反馈。</t>
  </si>
  <si>
    <t>（六）串户路建设</t>
  </si>
  <si>
    <t>2018年—2019年实施串户路建设106290平方米，其中2018年建设9500平方米，2019年建设96790平方米。</t>
  </si>
  <si>
    <t>110元/平方米</t>
  </si>
  <si>
    <t>规模数据为各村（社）上报，补助标准为县扶贫局反馈。</t>
  </si>
  <si>
    <t>2018年建设8000平方米</t>
  </si>
  <si>
    <t>每平方米110元测算</t>
  </si>
  <si>
    <t>2019年建设24990平方米</t>
  </si>
  <si>
    <t>资金已下达275万元</t>
  </si>
  <si>
    <t>2019年建设22000平方米</t>
  </si>
  <si>
    <t>资金已下达242万元</t>
  </si>
  <si>
    <t>2019年建设14800平方米</t>
  </si>
  <si>
    <t>资金已下达163万元</t>
  </si>
  <si>
    <t>2019年建设5000平方米</t>
  </si>
  <si>
    <t>资金已下达55万元</t>
  </si>
  <si>
    <t>2018年建设1500平方米</t>
  </si>
  <si>
    <t>2019年建设30000平方米</t>
  </si>
  <si>
    <t>资金已下达330万元</t>
  </si>
  <si>
    <t>1600元/亩</t>
  </si>
  <si>
    <t>规模数据和资金测算为县林业局反馈。</t>
  </si>
  <si>
    <t>2018年—2020年聘用生态护林员每年56人。</t>
  </si>
  <si>
    <t>8000元/人/年</t>
  </si>
  <si>
    <t>每年聘用16人</t>
  </si>
  <si>
    <t>每年聘用6人</t>
  </si>
  <si>
    <t>每年聘用8人</t>
  </si>
  <si>
    <t>每年聘用4人</t>
  </si>
  <si>
    <t>2018年—2020年每年实施农村低保保障37户86人。</t>
  </si>
  <si>
    <t>2018年=168元*12月*人数；         2019年=2018年总资金*1.15；
2020年=2019年总资金*1.15。</t>
  </si>
  <si>
    <t>规模数据为各村（社）上报；补助标准由县民政局提供。</t>
  </si>
  <si>
    <t>每年保障12户</t>
  </si>
  <si>
    <t>每年保障5户</t>
  </si>
  <si>
    <t>每年保障6户</t>
  </si>
  <si>
    <t>每年保障8户</t>
  </si>
  <si>
    <t>每年保障2户</t>
  </si>
  <si>
    <t>每年保障4户</t>
  </si>
  <si>
    <t>2018年—2020年每年分散供养46人。</t>
  </si>
  <si>
    <t>2018年=455元*12月*人数；            2019年=2018年总资金*1.15；
2020年=2019年总资金*1.15。</t>
  </si>
  <si>
    <t>规模数据为镇民政所提供；补助标准由县民政局提供。</t>
  </si>
  <si>
    <t>每年保障32人</t>
  </si>
  <si>
    <t>每年保障1人</t>
  </si>
  <si>
    <t>每年保障2人</t>
  </si>
  <si>
    <t>每年保障3人</t>
  </si>
  <si>
    <t>每年保障5人</t>
  </si>
  <si>
    <t>2018年—2020年每年落实残疾人补贴142人。           （一级63人，二级79人）</t>
  </si>
  <si>
    <t>一级:1440元/人/年；               二级：1080元/人/年 。               （资金测算按实发金额测算）</t>
  </si>
  <si>
    <t>规模数据和补助标准及实发资金为县残联提供。县残联提供受益档卡户为78人,在贫困户名单中筛选只有76人。县残联提供名单中详细地址与实际有偏差。</t>
  </si>
  <si>
    <t>每年落实补贴43人。        （一级19人，二级24人）</t>
  </si>
  <si>
    <t>县残联提供名单中有8人属于天保农场</t>
  </si>
  <si>
    <t>每年落实补贴8人。        （一级3人，二级5人）</t>
  </si>
  <si>
    <t>每年落实补贴21人。         （一级8人，二级13人）</t>
  </si>
  <si>
    <t>每年落实补贴33人。          （一级12人，二级21人）</t>
  </si>
  <si>
    <t>每年落实补贴3人。         （一级3人）</t>
  </si>
  <si>
    <t>每年落实补贴9人。            （一级4人，二级5人）</t>
  </si>
  <si>
    <t>每年落实补贴25人。           （一级14人，二级11人）</t>
  </si>
  <si>
    <t>规模数据和资金由行业部门反馈。</t>
  </si>
  <si>
    <t>天保村委会（上坝）</t>
  </si>
  <si>
    <t>实施通10千伏以上动力电</t>
  </si>
  <si>
    <t>小寨村委会（下八隘）</t>
  </si>
  <si>
    <t>县级提供名单为下八隘，实际为上八隘7户23人</t>
  </si>
  <si>
    <t>小寨村委会（中良子）</t>
  </si>
  <si>
    <t>2019年实施广播电视信号户户通66户。</t>
  </si>
  <si>
    <t>350元/户</t>
  </si>
  <si>
    <t>规模数据为各村（社）上报，资金测算为县广电局反馈。</t>
  </si>
  <si>
    <t>2019年实施9户</t>
  </si>
  <si>
    <t>2019年实施23户</t>
  </si>
  <si>
    <t>2019年实施5户</t>
  </si>
  <si>
    <t>2019年实施10户</t>
  </si>
  <si>
    <t>2019年实施1户</t>
  </si>
  <si>
    <t>2019年实施18户</t>
  </si>
  <si>
    <t>无（县扶贫局在清单中删除。）</t>
  </si>
  <si>
    <t>水务、发改</t>
  </si>
  <si>
    <t>规模数据和补助标准为县水务局反馈。</t>
  </si>
  <si>
    <t>天保村委会              （天保镇天保村黄瓜录安全饮水项目）</t>
  </si>
  <si>
    <t>架设引水主管道5000米，分管2800米，新建蓄水池1个50m³</t>
  </si>
  <si>
    <t>天保村委会                  （天保大坪子5户小水窖建设）</t>
  </si>
  <si>
    <t>陈国礼、杨秀荣、陈方国、陈国坤、罗洪荣，按2.1万/口计，建设标准为30m³，钢筋混凝土加盖</t>
  </si>
  <si>
    <t>天保村委会                     （龙山、大树农村饮水安全巩固提升工程）</t>
  </si>
  <si>
    <t>2018年提升536人</t>
  </si>
  <si>
    <t>天保村委会                    （夭六供水工程）</t>
  </si>
  <si>
    <t>2019年提升104人</t>
  </si>
  <si>
    <t>1400元/人</t>
  </si>
  <si>
    <t>资金已下达80%</t>
  </si>
  <si>
    <t>天保村委会                   （南洞供水工程）</t>
  </si>
  <si>
    <t>2019年提升147人</t>
  </si>
  <si>
    <t>小寨村委会                    （上福田供水工程）</t>
  </si>
  <si>
    <t>2019年提升278人</t>
  </si>
  <si>
    <t>分水岭村委会                  （猴猪洞三、六组供水工程）</t>
  </si>
  <si>
    <t>2019年提升202人</t>
  </si>
  <si>
    <t>南温河村委会                 （南楼一、二组供水工程）</t>
  </si>
  <si>
    <t>2019年提升460人</t>
  </si>
  <si>
    <t>八宋村委会                    （禹寨提水工程）</t>
  </si>
  <si>
    <t>2019年提升250人</t>
  </si>
  <si>
    <t>八宋村委会              （天保镇八宋村南楼大寨安全饮水项目）</t>
  </si>
  <si>
    <t>架设引水管道7080米，新建蓄水池2个150m³</t>
  </si>
  <si>
    <t>1.按退出标准新建标准化卫生室</t>
  </si>
  <si>
    <t>2.卫生室设备配置</t>
  </si>
  <si>
    <t>2018年配置卫生室设备5套。</t>
  </si>
  <si>
    <t>4万元/套</t>
  </si>
  <si>
    <t>规模数据和资金为县扶贫局清单反馈。</t>
  </si>
  <si>
    <t>2018年配置1套</t>
  </si>
  <si>
    <t>代鹏华</t>
  </si>
  <si>
    <t>组织</t>
  </si>
  <si>
    <t>规模数据和资金为县发改局反馈。</t>
  </si>
  <si>
    <t>天保村委会                 （天保镇天保村黄瓜录活动场所建设项目）</t>
  </si>
  <si>
    <t>活动场地750㎡</t>
  </si>
  <si>
    <t>八宋村委会              （天保镇八宋村南楼大寨活动场所建设项目）</t>
  </si>
  <si>
    <t>新建活动室1个，建筑面积240㎡，活动场地700㎡</t>
  </si>
  <si>
    <t>镇中心校和县教育局提供的的数据不吻合，按照镇中心校数据填报。</t>
  </si>
  <si>
    <t>2018年—2020年每年确保建档立卡户适龄儿童556人100%入学。（2018年7-15岁，2019年6-14岁，2020年5-13岁。）</t>
  </si>
  <si>
    <t>2018年入学187人，2019年入学177人，2020年入学182人。</t>
  </si>
  <si>
    <t>2018年入学54人，2019年入学55人，2020年入学51人。</t>
  </si>
  <si>
    <t>镇中心校提供数据筛选为160人，实际为162人。</t>
  </si>
  <si>
    <t>2018年入学79人，2019年入学66人，2020年入学68人。</t>
  </si>
  <si>
    <r>
      <rPr>
        <sz val="10"/>
        <rFont val="宋体"/>
        <charset val="134"/>
      </rPr>
      <t>受益档卡户：6</t>
    </r>
    <r>
      <rPr>
        <sz val="10"/>
        <rFont val="宋体"/>
        <charset val="134"/>
      </rPr>
      <t>6户79人</t>
    </r>
  </si>
  <si>
    <t>2018年入学74人，2019年入学83人，2020年入学92人。</t>
  </si>
  <si>
    <t>2018年入学52人，2019年入学54人，2020年入学54人。</t>
  </si>
  <si>
    <t>2018年入学46人，2019年入学39人，2020年入学44人。</t>
  </si>
  <si>
    <t>2018年入学70人，2019年入学62人，2020年入学65人。</t>
  </si>
  <si>
    <t>交通、发改、财政</t>
  </si>
  <si>
    <t>天保村委会                （天保镇大坪子“四位一体”建设项目）</t>
  </si>
  <si>
    <t>天保大坪子片区基础设施建设、产业发展及人居环境提升</t>
  </si>
  <si>
    <t>467</t>
  </si>
  <si>
    <t>县财政局</t>
  </si>
  <si>
    <t>天保村委会            （天保镇天保村委会大坪子片区基础设施建设项目）</t>
  </si>
  <si>
    <t>硬化路面6965平方米，太阳能路灯158盏，活动场围栏137米，挡墙支砌1290立方米</t>
  </si>
  <si>
    <t>天保村委会              （天保镇天保村黄瓜录村内道路硬化项目）</t>
  </si>
  <si>
    <t>村内道路硬化1827㎡，村内路挡墙3063m³</t>
  </si>
  <si>
    <t>小寨村委会                 （天保镇中良子村进村道路）</t>
  </si>
  <si>
    <t>城子上村委会                （天保镇茅坪村乡村振兴战略项目）</t>
  </si>
  <si>
    <t>茅坪地灾搬迁点基础设施建设</t>
  </si>
  <si>
    <t>96</t>
  </si>
  <si>
    <t>资金已下达200万</t>
  </si>
  <si>
    <t>城子上村委会               （天保镇城子上村南秧田村内道路硬化项目）</t>
  </si>
  <si>
    <t>村内道路硬化10800㎡及相关设施</t>
  </si>
  <si>
    <t>城子上村委会               （天保镇城子上村委会永平村小组进村路）</t>
  </si>
  <si>
    <t>八宋村委会             （天保镇八宋村南楼大寨村内道路硬化项目）</t>
  </si>
  <si>
    <t>村内道路硬化3500㎡</t>
  </si>
  <si>
    <t>苟芝兰</t>
  </si>
  <si>
    <t>规模数据和资金为县扶贫局反馈。</t>
  </si>
  <si>
    <t>分水岭村委会              （天保镇分水岭集体经济发展项目）</t>
  </si>
  <si>
    <t>入股麻栗坡农业开发投资有限责任公司产生村集体经济1项</t>
  </si>
  <si>
    <t>铁厂乡2018年至2020年脱贫攻坚乡级路线图（实施方案）项目统计表（锁定）</t>
  </si>
  <si>
    <t>填报单位：铁厂乡人民政府</t>
  </si>
  <si>
    <r>
      <rPr>
        <sz val="11"/>
        <rFont val="宋体"/>
        <charset val="134"/>
      </rPr>
      <t>7</t>
    </r>
    <r>
      <rPr>
        <b/>
        <sz val="9"/>
        <rFont val="宋体"/>
        <charset val="134"/>
      </rPr>
      <t>=8+9+10</t>
    </r>
  </si>
  <si>
    <t>张登权、王永国</t>
  </si>
  <si>
    <t>雷传彬</t>
  </si>
  <si>
    <t>铁厂</t>
  </si>
  <si>
    <t>韦祖斌</t>
  </si>
  <si>
    <t>徐华</t>
  </si>
  <si>
    <t>太坪</t>
  </si>
  <si>
    <t>李敏　</t>
  </si>
  <si>
    <t>李洪成　</t>
  </si>
  <si>
    <t>坪子</t>
  </si>
  <si>
    <t>杜万海</t>
  </si>
  <si>
    <t>冯光雄</t>
  </si>
  <si>
    <t>太和</t>
  </si>
  <si>
    <t>郑传荣</t>
  </si>
  <si>
    <t>刘显超　</t>
  </si>
  <si>
    <t>普龙</t>
  </si>
  <si>
    <t>王风刚</t>
  </si>
  <si>
    <t>胡朝碧</t>
  </si>
  <si>
    <t>关告</t>
  </si>
  <si>
    <t>邵廷周</t>
  </si>
  <si>
    <t>张全华</t>
  </si>
  <si>
    <t>木扭</t>
  </si>
  <si>
    <t>杨波</t>
  </si>
  <si>
    <t>张跃</t>
  </si>
  <si>
    <t>李敏</t>
  </si>
  <si>
    <t>李洪成</t>
  </si>
  <si>
    <t>龙路</t>
  </si>
  <si>
    <t>田茂科</t>
  </si>
  <si>
    <t>黄猛</t>
  </si>
  <si>
    <t>孔抗</t>
  </si>
  <si>
    <t>张正文</t>
  </si>
  <si>
    <t>秦朝华</t>
  </si>
  <si>
    <t>董渡</t>
  </si>
  <si>
    <t>徐昌军</t>
  </si>
  <si>
    <t>王正东</t>
  </si>
  <si>
    <t>陆羽</t>
  </si>
  <si>
    <t>刘信洪</t>
  </si>
  <si>
    <t>刘丽</t>
  </si>
  <si>
    <t>王凤刚</t>
  </si>
  <si>
    <t>胡朝碧　</t>
  </si>
  <si>
    <t>邵廷周　</t>
  </si>
  <si>
    <t>张全华　</t>
  </si>
  <si>
    <t>骆弟奎</t>
  </si>
  <si>
    <t>徐昌钧</t>
  </si>
  <si>
    <t>张国智　</t>
  </si>
  <si>
    <t>　周宏</t>
  </si>
  <si>
    <t>汪芬</t>
  </si>
  <si>
    <t>李剑铠</t>
  </si>
  <si>
    <t>胥仁敬　</t>
  </si>
  <si>
    <t>卢锦奎　</t>
  </si>
  <si>
    <t>张荣洋　</t>
  </si>
  <si>
    <t>马林　</t>
  </si>
  <si>
    <t>周兴永　</t>
  </si>
  <si>
    <t>陈朝芬　</t>
  </si>
  <si>
    <t>杨世文</t>
  </si>
  <si>
    <t>刘克亮</t>
  </si>
  <si>
    <t>黄胜琼</t>
  </si>
  <si>
    <t>陈绍伦</t>
  </si>
  <si>
    <t>坪子(高职)</t>
  </si>
  <si>
    <t>太和(高职)</t>
  </si>
  <si>
    <t>铁厂(高职)</t>
  </si>
  <si>
    <t>普龙(高职)</t>
  </si>
  <si>
    <t>孔抗(高职)</t>
  </si>
  <si>
    <t>陈邵伦</t>
  </si>
  <si>
    <t>太坪(高职)</t>
  </si>
  <si>
    <t>龙路(专科)</t>
  </si>
  <si>
    <t>太坪(专科)</t>
  </si>
  <si>
    <t>太和(专科)</t>
  </si>
  <si>
    <t>关告(专科)</t>
  </si>
  <si>
    <t>铁厂(专科)</t>
  </si>
  <si>
    <t>普龙(专科)</t>
  </si>
  <si>
    <t>龙路(本科)</t>
  </si>
  <si>
    <t>关告(本科)</t>
  </si>
  <si>
    <t>木扭(本科)</t>
  </si>
  <si>
    <t>太和(本科)</t>
  </si>
  <si>
    <t>太坪(本科)</t>
  </si>
  <si>
    <t>坪子(本科)</t>
  </si>
  <si>
    <t>铁厂(本科)</t>
  </si>
  <si>
    <t>普龙(本科)</t>
  </si>
  <si>
    <t>孔抗(本科)</t>
  </si>
  <si>
    <t>太和(研究生)</t>
  </si>
  <si>
    <t>盘云文</t>
  </si>
  <si>
    <t>张帮发</t>
  </si>
  <si>
    <t>刘礼宝</t>
  </si>
  <si>
    <t>张信文　</t>
  </si>
  <si>
    <t>周宏</t>
  </si>
  <si>
    <t>吴传会</t>
  </si>
  <si>
    <t>付强</t>
  </si>
  <si>
    <t>赵仁伟　</t>
  </si>
  <si>
    <t>胥仁波　</t>
  </si>
  <si>
    <t>胥义金　</t>
  </si>
  <si>
    <t>张孝益　</t>
  </si>
  <si>
    <t>2018</t>
  </si>
  <si>
    <t>2020</t>
  </si>
  <si>
    <t>骆荣嫒</t>
  </si>
  <si>
    <t>陈仕明</t>
  </si>
  <si>
    <t>骆科军</t>
  </si>
  <si>
    <t>杨柳</t>
  </si>
  <si>
    <t>陈佰平</t>
  </si>
  <si>
    <t>有19人新增（6000元/年）</t>
  </si>
  <si>
    <t>周宏　</t>
  </si>
  <si>
    <t>张国福</t>
  </si>
  <si>
    <t>赵春鑫</t>
  </si>
  <si>
    <t>杨江琼</t>
  </si>
  <si>
    <t>王玉梅</t>
  </si>
  <si>
    <t>徐世学</t>
  </si>
  <si>
    <t>计划实施</t>
  </si>
  <si>
    <t>4.乡村环境卫生清洁员</t>
  </si>
  <si>
    <t>17人新增（6000元/年）</t>
  </si>
  <si>
    <t>5.河道治理员</t>
  </si>
  <si>
    <t>6.地质灾害监测员</t>
  </si>
  <si>
    <t>上湾</t>
  </si>
  <si>
    <t>铳凹</t>
  </si>
  <si>
    <t>香草湾</t>
  </si>
  <si>
    <t>7.社会综治协管员</t>
  </si>
  <si>
    <t>8.孤寡老人、留守儿童和残疾人帮护员</t>
  </si>
  <si>
    <t>9.移风易俗协理员</t>
  </si>
  <si>
    <t>10.乡村饮水维护员</t>
  </si>
  <si>
    <t>花椒种植</t>
  </si>
  <si>
    <t>张大友</t>
  </si>
  <si>
    <t>张晟</t>
  </si>
  <si>
    <t>张国智</t>
  </si>
  <si>
    <t>烤烟</t>
  </si>
  <si>
    <t>段洪波</t>
  </si>
  <si>
    <t>张远国　</t>
  </si>
  <si>
    <t>花椒</t>
  </si>
  <si>
    <t>曹恩斌　</t>
  </si>
  <si>
    <t>张大彦</t>
  </si>
  <si>
    <t>养猪</t>
  </si>
  <si>
    <t>养鸡</t>
  </si>
  <si>
    <t>养牛</t>
  </si>
  <si>
    <t>陈廷游</t>
  </si>
  <si>
    <t>张维方</t>
  </si>
  <si>
    <t>养羊</t>
  </si>
  <si>
    <t>新建（牛）</t>
  </si>
  <si>
    <t>羊</t>
  </si>
  <si>
    <t>新建（鸭）</t>
  </si>
  <si>
    <t>71</t>
  </si>
  <si>
    <t>263</t>
  </si>
  <si>
    <t>万明智</t>
  </si>
  <si>
    <t>徐前富</t>
  </si>
  <si>
    <t>木扭村委会产业发展项目</t>
  </si>
  <si>
    <t>孔抗村委会产业发展项目</t>
  </si>
  <si>
    <t xml:space="preserve">50
</t>
  </si>
  <si>
    <t>太坪村委会产业发展项目</t>
  </si>
  <si>
    <t>坪子村委会产业发展项目</t>
  </si>
  <si>
    <t>普龙村委会产业发展项目</t>
  </si>
  <si>
    <t>龙路村委会产业发展项目</t>
  </si>
  <si>
    <t>已实施（变更调整情况）</t>
  </si>
  <si>
    <t>实际投入资金</t>
  </si>
  <si>
    <t>铁厂村产业发展项目</t>
  </si>
  <si>
    <t>加入合作社</t>
  </si>
  <si>
    <t>已实施79.8万</t>
  </si>
  <si>
    <t>太和村产业发展项目</t>
  </si>
  <si>
    <t>已实施55.2万</t>
  </si>
  <si>
    <t>关告村产业发展项目</t>
  </si>
  <si>
    <t>已实施39.3万</t>
  </si>
  <si>
    <t>龙路村产业发展项目</t>
  </si>
  <si>
    <t>已实施5.7万</t>
  </si>
  <si>
    <t>董渡村产业发展项目</t>
  </si>
  <si>
    <t>已实施10.2万</t>
  </si>
  <si>
    <t>段华波</t>
  </si>
  <si>
    <t>批复</t>
  </si>
  <si>
    <t>实际</t>
  </si>
  <si>
    <t>太和村串户路建设项目</t>
  </si>
  <si>
    <t>普龙村串户路建设项目</t>
  </si>
  <si>
    <t>铁厂村串户路建设项目</t>
  </si>
  <si>
    <t>龙路村串户路建设项目</t>
  </si>
  <si>
    <t>/</t>
  </si>
  <si>
    <t>太坪村串户路建设项目</t>
  </si>
  <si>
    <t>木扭村串户路建设项目</t>
  </si>
  <si>
    <t>关告村串户路建设项目</t>
  </si>
  <si>
    <t>坪子村串户路建设项目</t>
  </si>
  <si>
    <t>董渡村串户路建设项目</t>
  </si>
  <si>
    <t>孔抗村串户路建设项目</t>
  </si>
  <si>
    <t>坪子（大槽子至三七园村小组道路硬化）</t>
  </si>
  <si>
    <t>普龙（上、下月亮湾道路硬化）</t>
  </si>
  <si>
    <t>普龙（下普扫村小组道路硬化）</t>
  </si>
  <si>
    <t>坪子村委会锅底垱进村路硬化</t>
  </si>
  <si>
    <t>/\</t>
  </si>
  <si>
    <t>冯光明</t>
  </si>
  <si>
    <t>李树兴</t>
  </si>
  <si>
    <t>粱燕昭　</t>
  </si>
  <si>
    <t>王世喜</t>
  </si>
  <si>
    <t>黄盛琼</t>
  </si>
  <si>
    <t>朱朝洪</t>
  </si>
  <si>
    <t>骆弟发</t>
  </si>
  <si>
    <t>陆仕鋆</t>
  </si>
  <si>
    <t>秦天刚</t>
  </si>
  <si>
    <t>李世富</t>
  </si>
  <si>
    <t>谭明书</t>
  </si>
  <si>
    <t>杨江琼　</t>
  </si>
  <si>
    <t>%</t>
  </si>
  <si>
    <t>田佑</t>
  </si>
  <si>
    <t>铁木线（危险路段隐患处治5.9公里）</t>
  </si>
  <si>
    <t>董小线（危险路段隐患处治8.63公里）</t>
  </si>
  <si>
    <t>黄关线（危险路段隐患处治4.9公里）</t>
  </si>
  <si>
    <t>铁龙线（危险路段隐患处治7公里）</t>
  </si>
  <si>
    <t>普董线（危险路段隐患处治5.3公里）</t>
  </si>
  <si>
    <t>芭普线（危险路3公里）</t>
  </si>
  <si>
    <t>喀纳斯-东兴（危险路段隐患处治14.3公里）</t>
  </si>
  <si>
    <t>太坪线（危险路段隐患处治4公里）</t>
  </si>
  <si>
    <t>太和村委会湾子农村饮水安全巩固提升工程</t>
  </si>
  <si>
    <t>木扭木典片区农村饮水安全巩固提升工程（木扭、木典、上木落）</t>
  </si>
  <si>
    <r>
      <rPr>
        <sz val="10"/>
        <rFont val="宋体"/>
        <charset val="134"/>
      </rPr>
      <t>孔抗岩脚新建</t>
    </r>
    <r>
      <rPr>
        <sz val="10"/>
        <rFont val="Times New Roman"/>
        <charset val="134"/>
      </rPr>
      <t>1</t>
    </r>
    <r>
      <rPr>
        <sz val="10"/>
        <rFont val="宋体"/>
        <charset val="134"/>
      </rPr>
      <t>口小水窖（陈廷富）</t>
    </r>
  </si>
  <si>
    <r>
      <rPr>
        <sz val="10"/>
        <rFont val="宋体"/>
        <charset val="134"/>
      </rPr>
      <t>铁厂瑶仁坝新建</t>
    </r>
    <r>
      <rPr>
        <sz val="10"/>
        <rFont val="Times New Roman"/>
        <charset val="134"/>
      </rPr>
      <t>1</t>
    </r>
    <r>
      <rPr>
        <sz val="10"/>
        <rFont val="宋体"/>
        <charset val="134"/>
      </rPr>
      <t>口小水窖（骆荣兵）</t>
    </r>
  </si>
  <si>
    <t>木扭村委会水池维修</t>
  </si>
  <si>
    <t>木扭下嘎碧农村饮水安全巩固提升工程</t>
  </si>
  <si>
    <t>龙路农村饮水安全巩固提升工程</t>
  </si>
  <si>
    <t>龙路铳报上、下湾农村饮水安全巩固提升工程</t>
  </si>
  <si>
    <t>龙路大弄农村饮水安全巩固提升工程</t>
  </si>
  <si>
    <t>坪子庙湾农村饮水安全巩固提升工程</t>
  </si>
  <si>
    <t>坪子上、下湾农村饮水安全巩固提升工程</t>
  </si>
  <si>
    <t>坪子木二湾农村饮水安全巩固提升工程</t>
  </si>
  <si>
    <t>太坪田坝农村饮水安全巩固提升工程</t>
  </si>
  <si>
    <t>太坪坪上农村饮水安全巩固提升工程</t>
  </si>
  <si>
    <t>太坪鱼塘农村饮水安全巩固提升工程</t>
  </si>
  <si>
    <t>小水窖安全饮用水建设项目（铁厂乡）</t>
  </si>
  <si>
    <t>新加</t>
  </si>
  <si>
    <t>董渡村村卫生室建设项目</t>
  </si>
  <si>
    <t>2.设备配备</t>
  </si>
  <si>
    <t>曹恩斌</t>
  </si>
  <si>
    <t>铁厂乡铁厂村委会谭家湾村小组活动场所建设</t>
  </si>
  <si>
    <t>铁厂乡太坪村委会樊家村小组活动场所建设</t>
  </si>
  <si>
    <t>铁厂乡关告村委会偏桑村小组活动场所建设</t>
  </si>
  <si>
    <t>铁厂乡关告村委会铁匠炉村小组活动场所建设</t>
  </si>
  <si>
    <t>1.铁厂（上木侯村小组太阳能路灯）</t>
  </si>
  <si>
    <t>2.坪子村罗家寨民族团结示范村建设项目</t>
  </si>
  <si>
    <t>2017年已实施</t>
  </si>
  <si>
    <t>铁厂村委会集体经济发展项目</t>
  </si>
  <si>
    <t>2017年资金已到位28.47</t>
  </si>
  <si>
    <t>整乡推进资金</t>
  </si>
  <si>
    <t>太坪村委会集体经济发展项目</t>
  </si>
  <si>
    <t>2017年资金已到位28.47万</t>
  </si>
  <si>
    <t>坪子村委会集体经济发展项目</t>
  </si>
  <si>
    <t>太和村委会集体经济发展项目</t>
  </si>
  <si>
    <t>普龙村委会集体经济发展项目</t>
  </si>
  <si>
    <t>关告村委会集体经济发展项目</t>
  </si>
  <si>
    <t>2017年资金已到位30.8万</t>
  </si>
  <si>
    <t>木扭村委会集体经济发展项目</t>
  </si>
  <si>
    <t>龙路村委会集体经济发展项目</t>
  </si>
  <si>
    <t>孔抗村委会集体经济发展项目</t>
  </si>
  <si>
    <t>董渡村委会集体经济发展项目</t>
  </si>
  <si>
    <t>2016年资金已到位30万</t>
  </si>
  <si>
    <t>兴边富民项目资金</t>
  </si>
  <si>
    <t>下金厂乡2018年至2020年脱贫攻坚乡级路线图（实施方案）项目统计表（锁定）</t>
  </si>
  <si>
    <t>填报单位：下金厂乡人民政府                填表人：韩绍国                 电话：18387313004          填报时间：2018年11月</t>
  </si>
  <si>
    <t>其中建档立卡直接受益</t>
  </si>
  <si>
    <t>王国志</t>
  </si>
  <si>
    <t>李选忠</t>
  </si>
  <si>
    <t>2019</t>
  </si>
  <si>
    <t>祝帮朝</t>
  </si>
  <si>
    <t>杨寿科</t>
  </si>
  <si>
    <t>对应村级施工图（按每人7.8万元测算）</t>
  </si>
  <si>
    <t>下金厂村委会</t>
  </si>
  <si>
    <t>大坝村委会</t>
  </si>
  <si>
    <t>大火地村委会</t>
  </si>
  <si>
    <t>对应村级施工图（按3万元每户测算）</t>
  </si>
  <si>
    <t>仓房村委会</t>
  </si>
  <si>
    <t>中寨村委会</t>
  </si>
  <si>
    <t>云岭村委会</t>
  </si>
  <si>
    <t>对应村级施工图（按1.8万元每户测算）</t>
  </si>
  <si>
    <t>对应村级施工图（按4万元每户测算）</t>
  </si>
  <si>
    <t>徐再文</t>
  </si>
  <si>
    <t>（一）义务教育阶段落实控辍保学，100%入学</t>
  </si>
  <si>
    <r>
      <rPr>
        <sz val="10"/>
        <rFont val="宋体"/>
        <charset val="134"/>
      </rPr>
      <t>对应村级施工图（按县教育局反馈的两后生花名册统计，补助标准为1250元</t>
    </r>
    <r>
      <rPr>
        <sz val="10"/>
        <rFont val="宋体"/>
        <charset val="134"/>
      </rPr>
      <t>/</t>
    </r>
    <r>
      <rPr>
        <sz val="10"/>
        <rFont val="宋体"/>
        <charset val="134"/>
      </rPr>
      <t>生</t>
    </r>
    <r>
      <rPr>
        <sz val="10"/>
        <rFont val="宋体"/>
        <charset val="134"/>
      </rPr>
      <t>/</t>
    </r>
    <r>
      <rPr>
        <sz val="10"/>
        <rFont val="宋体"/>
        <charset val="134"/>
      </rPr>
      <t>年）</t>
    </r>
  </si>
  <si>
    <t>（二）资金按照每人5500元进行测算，资金来源为：行业部门专项资金每人4250元、县级自筹每人1250元。</t>
  </si>
  <si>
    <t>资金按照每人5500元进行测算，资金来源为：行业部门专项资金每人2000元、涉农整合资金每人3000元、县级自筹每人500元。</t>
  </si>
  <si>
    <t>学生人数以2018年10月各乡镇核查的人数为基数。高职：资金按照每人6000元进行测算，资金来源为：行业部门专项资金每人1500元、涉农整合资金每人3000元、县级自筹每人1500元。专科：资金按照每人5500元进行测算，资金来源为：行业部门专项资金每人1000元、涉农整合资金每人3000元、县级自筹每人1500元。本科：资金按照每人3000元进行测算，资金来源为：行业部门专项资金每人1500元、县级自筹每人1500元。研究生及以上：资金按照每人1500元进行测算，资金来源为：县级自筹每人1500元。</t>
  </si>
  <si>
    <t>高职1人，专科3人，本科3人</t>
  </si>
  <si>
    <t>专科9人，本科6人</t>
  </si>
  <si>
    <t>高职6人，专科8人，本科9人</t>
  </si>
  <si>
    <t>专科3人，本科2人，研究生及以上1人</t>
  </si>
  <si>
    <t>高职2人，专科7人，本科9人</t>
  </si>
  <si>
    <t>高职1人，本科4人</t>
  </si>
  <si>
    <t>何艾萱</t>
  </si>
  <si>
    <t>陆二姑</t>
  </si>
  <si>
    <r>
      <rPr>
        <sz val="10"/>
        <rFont val="宋体"/>
        <charset val="134"/>
      </rPr>
      <t>对应村级施工图（按县人社局反馈意见修改，标准为</t>
    </r>
    <r>
      <rPr>
        <sz val="10"/>
        <rFont val="宋体"/>
        <charset val="134"/>
      </rPr>
      <t>180</t>
    </r>
    <r>
      <rPr>
        <sz val="10"/>
        <rFont val="宋体"/>
        <charset val="134"/>
      </rPr>
      <t>元</t>
    </r>
    <r>
      <rPr>
        <sz val="10"/>
        <rFont val="宋体"/>
        <charset val="134"/>
      </rPr>
      <t>/人</t>
    </r>
    <r>
      <rPr>
        <sz val="10"/>
        <rFont val="宋体"/>
        <charset val="134"/>
      </rPr>
      <t>/年</t>
    </r>
    <r>
      <rPr>
        <sz val="10"/>
        <rFont val="宋体"/>
        <charset val="134"/>
      </rPr>
      <t>。资金来源：县级自筹金额已脱贫按90元/人/年测算，县级自筹金额未脱贫按54元/人/年测算，其余资金来源行业部门专项资金。已脱</t>
    </r>
    <r>
      <rPr>
        <sz val="10"/>
        <rFont val="宋体"/>
        <charset val="134"/>
      </rPr>
      <t>2890人，未脱991人。</t>
    </r>
  </si>
  <si>
    <t>已脱472人，未脱226人</t>
  </si>
  <si>
    <t>已脱671人，未脱37人</t>
  </si>
  <si>
    <t>已脱427人，未脱7人</t>
  </si>
  <si>
    <t>已脱245人，未脱202人</t>
  </si>
  <si>
    <t>已脱523人，未脱222人</t>
  </si>
  <si>
    <t>已脱552人，未脱297人</t>
  </si>
  <si>
    <t>对应村级施工图（不测算资金）</t>
  </si>
  <si>
    <t>按县卫计局反馈填报。资金每2018年档卡户享受资金总额为基数每年按10%的递增</t>
  </si>
  <si>
    <t>根据县卫计局反馈数据统计（不测算资金）</t>
  </si>
  <si>
    <t>陈金梅</t>
  </si>
  <si>
    <t>对应村级施工图（不测算金额)</t>
  </si>
  <si>
    <t>李红梅</t>
  </si>
  <si>
    <t>聂明总</t>
  </si>
  <si>
    <t>彪翠琳</t>
  </si>
  <si>
    <t>按县发改局反馈意见统计，补助标准为6000元/人/年</t>
  </si>
  <si>
    <t>2.护路员（云岭）</t>
  </si>
  <si>
    <t>资金来源为以奖代补资金；注：原护路员每村1人共6人，除去上海公益性岗位9人，现1人。按每人每月200元计算</t>
  </si>
  <si>
    <t>谢环基</t>
  </si>
  <si>
    <t>30户以下的村小组77个，聘请77名。30户—100户的村小组30个，聘请60名。保洁员待遇：按每人每月200元计算</t>
  </si>
  <si>
    <t>30户以下村组：5个、30户—100户以上村组：7个；注：原保洁员19人，除去上海公益性岗位1人为18人。保洁员待遇：保洁员待遇：按每人每月200元计算</t>
  </si>
  <si>
    <t>30户以下村组：13个、30户—100户以上村组：7个；注：原保洁员27人，除去上海公益性岗位4人为23人。保洁员待遇：按每人每月200元计算</t>
  </si>
  <si>
    <t>30户以下村组：15个、30户—100户以上村组：2个；注：原保洁员19人，除去上海公益性岗位1人为18人。保洁员待遇：按每人每月200元计算</t>
  </si>
  <si>
    <t>30户以下村组：9个、30户—100户以上村组：3个；注：原保洁员15人，除去上海公益性岗位7人为8人。保洁员待遇：按每人每月200元计算</t>
  </si>
  <si>
    <t>30户以下村组：20个、30户—100户以上村组：3个；注：原保洁员26人，除去上海公益性岗位2人为24人。保洁员待遇：按每人每月200元计算</t>
  </si>
  <si>
    <t>30户以下村组：15个、30户—100户以上村组：8个；注：原保洁员31人，除去上海公益性岗位1人为30人。保洁员待遇：按每人每月200元计算</t>
  </si>
  <si>
    <t>对应村级施工图（按每人每月300元计算）</t>
  </si>
  <si>
    <t>张廷竹</t>
  </si>
  <si>
    <t>苏丹</t>
  </si>
  <si>
    <t>对应村级施工图（按每人每年3000元计算）</t>
  </si>
  <si>
    <t>按每人每月518元计算</t>
  </si>
  <si>
    <t>7.乡村环境卫生清洁员</t>
  </si>
  <si>
    <t>谢怀基</t>
  </si>
  <si>
    <t>8.乡村河（湖）道维护员</t>
  </si>
  <si>
    <t>聂万元</t>
  </si>
  <si>
    <t>10.孤寡老人、留守儿童和残疾人帮护员</t>
  </si>
  <si>
    <t>邓富乾</t>
  </si>
  <si>
    <t>伍良智</t>
  </si>
  <si>
    <t>畜牧</t>
  </si>
  <si>
    <t>按520元/亩补助标准测算</t>
  </si>
  <si>
    <t>按1450元/亩补助标准测算</t>
  </si>
  <si>
    <t>王娇</t>
  </si>
  <si>
    <t>按600元/亩补助标准测算</t>
  </si>
  <si>
    <t>石斛</t>
  </si>
  <si>
    <t>按200元/亩补助标准测算</t>
  </si>
  <si>
    <t>下金厂乡产业扶持项目</t>
  </si>
  <si>
    <t>下金厂村委会产业扶持</t>
  </si>
  <si>
    <t>大坝村委会产业扶持</t>
  </si>
  <si>
    <t>档卡户户均3000元测算</t>
  </si>
  <si>
    <t>云岭村委会产业扶持</t>
  </si>
  <si>
    <t>仓房村委会产业扶持</t>
  </si>
  <si>
    <t>大火地村委会产业扶持</t>
  </si>
  <si>
    <t>中寨村委会产业扶持</t>
  </si>
  <si>
    <t>按3000元/头补助标准测算</t>
  </si>
  <si>
    <t>按65元/只补助标准测算</t>
  </si>
  <si>
    <t>发展乡村旅游</t>
  </si>
  <si>
    <t>冯光兰</t>
  </si>
  <si>
    <t>文广体旅</t>
  </si>
  <si>
    <t>古树茶</t>
  </si>
  <si>
    <t>太平庄</t>
  </si>
  <si>
    <t>对应村级施工图（补助标准由原来的122元/平方改为100元/平方）</t>
  </si>
  <si>
    <t>补助标准100元/平方米</t>
  </si>
  <si>
    <t>（下金厂乡）革命老区基础设施建设项目（干河、水头）</t>
  </si>
  <si>
    <t>王姣</t>
  </si>
  <si>
    <t>对应村级施工图(补助标准1600元/亩)</t>
  </si>
  <si>
    <t>全乡43人，补助标准8000元/人.年。</t>
  </si>
  <si>
    <t>补助标准8000元/人.年</t>
  </si>
  <si>
    <t>杨寿丽</t>
  </si>
  <si>
    <t>2018年每人按168元每月测算，2019年在2018年的基础上每人增加115%，2020年在2019年的基础上每人增加115%.</t>
  </si>
  <si>
    <t>对应村级施工图（补助标准每人每月455元）</t>
  </si>
  <si>
    <t>补助标准每人每月455元</t>
  </si>
  <si>
    <t>对应村级施工图（补助标准每人每月540元）</t>
  </si>
  <si>
    <t>下金厂敬老院居住（补助标准每人每月540元）</t>
  </si>
  <si>
    <t>按人均106.06元/月测算</t>
  </si>
  <si>
    <t>海大线</t>
  </si>
  <si>
    <t>涉及大坝村</t>
  </si>
  <si>
    <t>下金厂乡云岭委会新房子至岔口村组公路工程</t>
  </si>
  <si>
    <t>县交通局</t>
  </si>
  <si>
    <t>下金厂乡云岭委会桃子湾岔路口至桃子湾村组公路工程</t>
  </si>
  <si>
    <t>下仓线</t>
  </si>
  <si>
    <t>涉及仓房村</t>
  </si>
  <si>
    <t>麻云线</t>
  </si>
  <si>
    <t>涉及洗金下金厂、云岭村</t>
  </si>
  <si>
    <t>孟吉富</t>
  </si>
  <si>
    <t>新坪</t>
  </si>
  <si>
    <t>硝厂、下寨、楠木坪，其中楠木坪2018年已实施</t>
  </si>
  <si>
    <t>岩头、山后、田弯、和坪</t>
  </si>
  <si>
    <t>2.135万为61户户户通金额，按350元/台测算</t>
  </si>
  <si>
    <t>12户无户户通，户户通按350元/台测算</t>
  </si>
  <si>
    <t>13户无户户通，户户通按350元/台测算</t>
  </si>
  <si>
    <t>1户无户户通，户户通按350元/台测算</t>
  </si>
  <si>
    <t>10户无户户通，户户通按350元/台测算</t>
  </si>
  <si>
    <t>16户无户户通，户户通按350元/台测算</t>
  </si>
  <si>
    <t>9户无户户通，户户通按350元/台测算</t>
  </si>
  <si>
    <t>2019年实施的人均1400元测算（7万行业资金是新坪、中寨）</t>
  </si>
  <si>
    <t>2019年实施的人均1400元测算（15万专项资金湾沟、上坝、庙坪、湾子、偏岩、大山坡）</t>
  </si>
  <si>
    <t>2019年实施的人均1400元测算（1万行业资金是卡上）</t>
  </si>
  <si>
    <t>2019年实施的人均1400元测算（行业部门35万小平安+8.23万野猪塘堡脚）</t>
  </si>
  <si>
    <t>2019年实施的人均1400元测算</t>
  </si>
  <si>
    <t>2019年实施的人均1400元测算（1万行业资金是苦竹林）</t>
  </si>
  <si>
    <t>小水窖加盖6口，单价0.6万元/口，共计3.6万元；防渗处理26口，单价0.5万元/口。</t>
  </si>
  <si>
    <t>（七）卫生室建设（按退出标准新建标准化卫生室)</t>
  </si>
  <si>
    <t>卫生室维修改造，12万元，配备卫生室医疗设备4万元</t>
  </si>
  <si>
    <t>配备卫生室医疗设备4万元</t>
  </si>
  <si>
    <t>李付文</t>
  </si>
  <si>
    <t>冯育美</t>
  </si>
  <si>
    <t>涉及仓房村委会冲子村小组</t>
  </si>
  <si>
    <t>建档立卡贫困户适龄儿童义务教育入学率达到国家规定标准，建档立卡贫困户适龄儿童入学率达100%</t>
  </si>
  <si>
    <t>新增</t>
  </si>
  <si>
    <t>垃圾池</t>
  </si>
  <si>
    <t>按3万元每个测算</t>
  </si>
  <si>
    <t>杨万乡2018年至2020年脱贫攻坚乡级路线图（实施方案）项目统计表（锁定）</t>
  </si>
  <si>
    <r>
      <rPr>
        <sz val="14"/>
        <rFont val="宋体"/>
        <charset val="134"/>
      </rPr>
      <t>填报单位：麻栗坡县杨万乡</t>
    </r>
    <r>
      <rPr>
        <sz val="12"/>
        <rFont val="宋体"/>
        <charset val="134"/>
      </rPr>
      <t xml:space="preserve">      </t>
    </r>
  </si>
  <si>
    <t>陈国富</t>
  </si>
  <si>
    <t>郭凤菊</t>
  </si>
  <si>
    <t>竜林</t>
  </si>
  <si>
    <t>杨万</t>
  </si>
  <si>
    <t>董定</t>
  </si>
  <si>
    <t>杨云屹</t>
  </si>
  <si>
    <t>陶河印</t>
  </si>
  <si>
    <t>铜厂</t>
  </si>
  <si>
    <t>长田</t>
  </si>
  <si>
    <t>哪嘟</t>
  </si>
  <si>
    <t>紫胶</t>
  </si>
  <si>
    <t>黄永春</t>
  </si>
  <si>
    <t>李文建</t>
  </si>
  <si>
    <t>赵艳春</t>
  </si>
  <si>
    <t>李春波</t>
  </si>
  <si>
    <t>杨洪波</t>
  </si>
  <si>
    <t>各村挂钩领导</t>
  </si>
  <si>
    <t>修改受益户数</t>
  </si>
  <si>
    <t>9.乡村社会治安协管员</t>
  </si>
  <si>
    <t>10.孤寡老人和留守儿童看护员</t>
  </si>
  <si>
    <t>熊兴洪、汪正发</t>
  </si>
  <si>
    <t>熊兴洪</t>
  </si>
  <si>
    <t>玫瑰李</t>
  </si>
  <si>
    <t>汪正发</t>
  </si>
  <si>
    <t>哪都</t>
  </si>
  <si>
    <t>鸭</t>
  </si>
  <si>
    <t>鱼</t>
  </si>
  <si>
    <t>尾</t>
  </si>
  <si>
    <t>电商</t>
  </si>
  <si>
    <t>杨万乡扶贫车间建设项目</t>
  </si>
  <si>
    <t>徐祖聪
韦开伟</t>
  </si>
  <si>
    <t>各挂村领导</t>
  </si>
  <si>
    <t>杨万村委会产业发展项目</t>
  </si>
  <si>
    <t>新增，已实施</t>
  </si>
  <si>
    <t>长田村委会产业发展项目</t>
  </si>
  <si>
    <t>董定村委会产业发展项目</t>
  </si>
  <si>
    <t>杨万乡竜林产业发展项目</t>
  </si>
  <si>
    <t>由参与合作社调整为参与龙头企业，产业帮带种养殖</t>
  </si>
  <si>
    <t>杨万乡董定产业发展项目</t>
  </si>
  <si>
    <t>杨万乡杨万产业发展项目</t>
  </si>
  <si>
    <t>杨万乡哪嘟产业发展项目</t>
  </si>
  <si>
    <t>杨万乡紫胶产业发展项目</t>
  </si>
  <si>
    <t>杨万乡长田产业发展项目</t>
  </si>
  <si>
    <t>杨万乡铜厂产业发展项目</t>
  </si>
  <si>
    <t>刘剑</t>
  </si>
  <si>
    <t>陈红樱</t>
  </si>
  <si>
    <t>长田村笼歪村内道路硬化</t>
  </si>
  <si>
    <t>长田村牛场村内道路硬化</t>
  </si>
  <si>
    <t>哪嘟村新寨村内道路硬化</t>
  </si>
  <si>
    <t>3.村组道路建设</t>
  </si>
  <si>
    <t>哪都村委会者勒路口至者勒村组公路工程</t>
  </si>
  <si>
    <t>哪都委会下哪都岔路口至新寨村组公路工程</t>
  </si>
  <si>
    <t>哪都委会竜堡路口至竜堡村组公路工程</t>
  </si>
  <si>
    <t>郑传斌</t>
  </si>
  <si>
    <t>李国立</t>
  </si>
  <si>
    <t>陶永林</t>
  </si>
  <si>
    <t>新九线</t>
  </si>
  <si>
    <t>龙八线</t>
  </si>
  <si>
    <t>那紫线</t>
  </si>
  <si>
    <t>龙仕跃</t>
  </si>
  <si>
    <t>胥廷江</t>
  </si>
  <si>
    <t>李湘健</t>
  </si>
  <si>
    <t>户户通接收机</t>
  </si>
  <si>
    <t>李  丹</t>
  </si>
  <si>
    <t>董定白岩头农村饮水安全巩固提升工程</t>
  </si>
  <si>
    <t>董定冬瓜林、学校队农村饮水安全巩固提升工程</t>
  </si>
  <si>
    <t>董定峰岩垱农村饮水安全巩固提升工程</t>
  </si>
  <si>
    <t>董定良子、盘家湾农村饮水安全巩固提升工程</t>
  </si>
  <si>
    <t>董定漏腊农村饮水安全巩固提升工程</t>
  </si>
  <si>
    <t>董定棉花地农村饮水安全巩固提升工程</t>
  </si>
  <si>
    <t>董定上达陆农村饮水安全巩固提升工程</t>
  </si>
  <si>
    <t>董定瓦窑、岩脚农村饮水安全巩固提升工程</t>
  </si>
  <si>
    <t>董定下达陆供水工程</t>
  </si>
  <si>
    <t>杨万片区农村饮水安全巩固提升工程（犀牛堡、杨万、新寨、哪西、翻坡、偏板、冬瓜湾）</t>
  </si>
  <si>
    <t>杨万松山提水水工程</t>
  </si>
  <si>
    <t>长田江铳供水工程</t>
  </si>
  <si>
    <t>长田达来供水工程</t>
  </si>
  <si>
    <t>修改，暂时按人均1400元估算</t>
  </si>
  <si>
    <t>铜厂大梅单提水工程</t>
  </si>
  <si>
    <t>铜厂小梅单提水工程</t>
  </si>
  <si>
    <t>铜厂片区饮水安全巩固提升工程（三转弯、牛场、老厂坡、江界）</t>
  </si>
  <si>
    <t>紫胶长山片区提水供水工程</t>
  </si>
  <si>
    <t>龙林哪力一、二、三、四组农村饮水安全巩固提升工程</t>
  </si>
  <si>
    <t>长田村牛场安全饮水项目</t>
  </si>
  <si>
    <t>按退出标准配备卫生室设备</t>
  </si>
  <si>
    <t>配备6套</t>
  </si>
  <si>
    <t>配备1套</t>
  </si>
  <si>
    <t>村小组活动场所建设</t>
  </si>
  <si>
    <t>长田村笼歪活动场所建设</t>
  </si>
  <si>
    <t>长田村牛场活动场所建设</t>
  </si>
  <si>
    <t>哪嘟村新寨活动场所建设</t>
  </si>
  <si>
    <t>杨万村委会翻坡进村路边沟</t>
  </si>
  <si>
    <t>董定村委会活动场地挡墙</t>
  </si>
  <si>
    <t>立方米</t>
  </si>
  <si>
    <t>杨万太阳能路灯安装（翻坡）</t>
  </si>
  <si>
    <t>麻栗坡县杨万乡杨万村委会铳干民族特色村</t>
  </si>
  <si>
    <t>麻栗坡县杨万乡董定村委会猫山民族团结示范村</t>
  </si>
  <si>
    <t>杨万村委会村集体经济扶持项目</t>
  </si>
  <si>
    <t>入股兴旺农业展业合作社，按照8%比列进行分红</t>
  </si>
  <si>
    <t>修改,已实施</t>
  </si>
  <si>
    <t>龙林村委会村集体经济扶持项目</t>
  </si>
  <si>
    <t>入股县农业投资公司发展产业，按照8%比列进行分红</t>
  </si>
  <si>
    <t>长田村委会村集体经济扶持项目</t>
  </si>
  <si>
    <t>董定村委会村集体经济扶持项目</t>
  </si>
  <si>
    <t>铜厂村委会村集体经济扶持项目</t>
  </si>
  <si>
    <t>哪嘟村委会村集体经济扶持项目</t>
  </si>
  <si>
    <t>紫胶村委会村集体经济扶持项目</t>
  </si>
  <si>
    <t>麻栗坡县2018年至2020年脱贫攻坚项目库（实施方案）统计表（县级层面项目）</t>
  </si>
  <si>
    <r>
      <rPr>
        <b/>
        <sz val="14"/>
        <rFont val="宋体"/>
        <charset val="134"/>
      </rPr>
      <t>填报单位：麻栗坡县扶贫开发局</t>
    </r>
    <r>
      <rPr>
        <b/>
        <sz val="12"/>
        <rFont val="宋体"/>
        <charset val="134"/>
      </rPr>
      <t xml:space="preserve">     </t>
    </r>
  </si>
  <si>
    <t>责任人
（相关行业扶贫责任人）</t>
  </si>
  <si>
    <t>2018年上海对口支援麻栗坡县劳务协作项目</t>
  </si>
  <si>
    <r>
      <rPr>
        <sz val="10"/>
        <rFont val="宋体"/>
        <charset val="134"/>
      </rPr>
      <t>异地就业</t>
    </r>
    <r>
      <rPr>
        <sz val="10"/>
        <rFont val="Times New Roman"/>
        <charset val="134"/>
      </rPr>
      <t>1650</t>
    </r>
    <r>
      <rPr>
        <sz val="10"/>
        <rFont val="宋体"/>
        <charset val="134"/>
      </rPr>
      <t>人、就地就近就业</t>
    </r>
    <r>
      <rPr>
        <sz val="10"/>
        <rFont val="Times New Roman"/>
        <charset val="134"/>
      </rPr>
      <t>1066</t>
    </r>
    <r>
      <rPr>
        <sz val="10"/>
        <rFont val="宋体"/>
        <charset val="134"/>
      </rPr>
      <t>人、就业培训</t>
    </r>
    <r>
      <rPr>
        <sz val="10"/>
        <rFont val="Times New Roman"/>
        <charset val="134"/>
      </rPr>
      <t>1000</t>
    </r>
    <r>
      <rPr>
        <sz val="10"/>
        <rFont val="宋体"/>
        <charset val="134"/>
      </rPr>
      <t>人</t>
    </r>
  </si>
  <si>
    <t>扶贫车间就业扶贫项目</t>
  </si>
  <si>
    <t>创业带动就业扶贫项目</t>
  </si>
  <si>
    <t>麻栗坡县建档立卡贫困户劳动力转业就业培训项目</t>
  </si>
  <si>
    <t>（四）就业交通补贴</t>
  </si>
  <si>
    <t>余秀勇</t>
  </si>
  <si>
    <t>罗光智</t>
  </si>
  <si>
    <t>麻栗坡县外出就业交通补贴项目</t>
  </si>
  <si>
    <t>按照麻栗坡县外出就业政策补助</t>
  </si>
  <si>
    <t>主要解决外出务工档卡户交通补贴。</t>
  </si>
  <si>
    <t>（五）县级公益岗位</t>
  </si>
  <si>
    <t>麻栗坡县建档立卡贫困户公益岗位项目</t>
  </si>
  <si>
    <t>王森、何明贵、王朝俊</t>
  </si>
  <si>
    <t>交通、住建、发改</t>
  </si>
  <si>
    <t>主要解决档卡户中只有一人劳动力且需照顾老人无土地无法外出务工就地安置的岗位。</t>
  </si>
  <si>
    <t>赵义海</t>
  </si>
  <si>
    <t>唐凯</t>
  </si>
  <si>
    <t>麻栗坡县2018年糖料蔗期货价格指数扶贫保险项目</t>
  </si>
  <si>
    <t>3万余亩</t>
  </si>
  <si>
    <t>麻栗坡县培育壮大新型经营主体项目</t>
  </si>
  <si>
    <t>麻栗坡县云盘种养殖专业合作社</t>
  </si>
  <si>
    <t>牛养殖</t>
  </si>
  <si>
    <t>麻栗坡县神龙种养殖专业合作社</t>
  </si>
  <si>
    <t>生猪养殖</t>
  </si>
  <si>
    <t>麻栗坡县轸寅茶艺专业合作社</t>
  </si>
  <si>
    <t>茶叶加工</t>
  </si>
  <si>
    <t>麻栗坡县鑫宸种植专业合作社</t>
  </si>
  <si>
    <t>苗圃基地</t>
  </si>
  <si>
    <t>麻栗坡县伟业畜禽养殖专业合作社</t>
  </si>
  <si>
    <t>麻栗坡县禾润火龙果种植专业合作社</t>
  </si>
  <si>
    <t>火龙果种植</t>
  </si>
  <si>
    <t>麻栗坡县满堂野生药用植物保育专业合作社</t>
  </si>
  <si>
    <t>中药材种植</t>
  </si>
  <si>
    <t>麻栗坡县童心三七农民专业合作社</t>
  </si>
  <si>
    <t>三七种植</t>
  </si>
  <si>
    <t>麻栗坡县聚力种植养殖专业合作社</t>
  </si>
  <si>
    <t>蔬菜种植</t>
  </si>
  <si>
    <t>田源牧业农民专业合作社</t>
  </si>
  <si>
    <t>畜禽养殖</t>
  </si>
  <si>
    <t>麻栗坡县国裕羚新养殖合作社</t>
  </si>
  <si>
    <t>扶贫小额信贷贴息项目风险补偿金</t>
  </si>
  <si>
    <t>（六）小型农田水利设施</t>
  </si>
  <si>
    <t>麻栗坡县马街乡小流域治理项目</t>
  </si>
  <si>
    <t>公顷</t>
  </si>
  <si>
    <t>徐凯</t>
  </si>
  <si>
    <t>陈达辉</t>
  </si>
  <si>
    <t>项目已开工建设，主要解决马街乡品乐、梁子街村委会片区农田不被水毁的小流域治理。</t>
  </si>
  <si>
    <t>麻栗坡县畴阳河盘龙段治理项目</t>
  </si>
  <si>
    <t>项目已开工建设，主要解决畴阳河沿线农田不被水毁，解决4000户10000余人的吃饭问题。</t>
  </si>
  <si>
    <t>麻栗坡县2018年高效节水灌溉项目</t>
  </si>
  <si>
    <t>项目已开工建设，主要解决盘龙产业发展示范基地高效节水灌溉。</t>
  </si>
  <si>
    <t>麻栗坡县六河乡听曼村土地整治项目</t>
  </si>
  <si>
    <t>建设规模：349.7485公顷。
建设内容：土地平整、灌溉排水工程、田间道路工程。</t>
  </si>
  <si>
    <t>伙国森</t>
  </si>
  <si>
    <t>王永奎</t>
  </si>
  <si>
    <t>项目正在开展规划设计，主要解决六河乡听曼村片区土地平整，产业发展的沟渠及生产道路建设。</t>
  </si>
  <si>
    <t>麻栗坡县董干镇董来等3个村土地整治项目</t>
  </si>
  <si>
    <t>建设规模：449.8256公顷。
建设内容：土地平整、灌溉排水工程、田间道路工程。</t>
  </si>
  <si>
    <t>项目已工开建设，主要解决董干镇董来、马波、新寨片区土地平整，产业发展的沟渠及生产道路建设。</t>
  </si>
  <si>
    <t>董干镇新寨村委会城寨自然能提水工程</t>
  </si>
  <si>
    <t>建取水设施1座（含滚水坝1座，滤水沉砂池1座），架设动力钢管（含管道支镇墩）4000米，自然能提水设备（含设备设计、设备安装、设备调试、技术服务），设备房1座（框架结构），面积100平方米，输水管道铺设6800米，供水主管道3000米（含管道支镇墩），管道焊接探伤检测10800米（检测动力管道和输水管道焊缝），1000立方米高位水池1座，维修进场公路8千米（乡村简易泥石公路，现状宽2.5—3米扩宽到4.5米，路面为砂石路面），新修进场公路3.5千米（新修砂石路，路面宽4.5米，路基宽5.5—6米）。</t>
  </si>
  <si>
    <t>麻栗镇南油片区高标准农田建设项目</t>
  </si>
  <si>
    <t>南油小河治理0.61公里，新建渠道7.4公里，新建取水口2座，新建人行桥3座，新建1.5米宽干道2条0.15公里，土地治理0.1万亩</t>
  </si>
  <si>
    <t>杨世琼</t>
  </si>
  <si>
    <t>曾成碧</t>
  </si>
  <si>
    <t>规划总资金602万，17年下达202万</t>
  </si>
  <si>
    <t>(七）自发产业奖补</t>
  </si>
  <si>
    <t>麻栗坡县建档立卡贫困户自发产业奖补项目</t>
  </si>
  <si>
    <t>主要提高群众积极性，解决群众自主发展产业。</t>
  </si>
  <si>
    <t>麻栗坡县咖啡种植奖补项目</t>
  </si>
  <si>
    <t>公斤</t>
  </si>
  <si>
    <t>对麻栗坡县咖啡种植户进行补助，按照县级出台的咖啡扶持办法，对交售咖啡种植户按照扶持办法每公斤补助1.4元，进行现金直补。</t>
  </si>
  <si>
    <t>麻栗坡县辣椒种植奖补项目</t>
  </si>
  <si>
    <t>对麻栗坡县种植辣椒种植户进行补助，按照县级出台的辣椒扶持办法一般种植户补助每公斤0.2元，建档立卡户每公斤0.4元。</t>
  </si>
  <si>
    <t>（八）乡村旅游产业</t>
  </si>
  <si>
    <t>乡村旅游基础设施项目</t>
  </si>
  <si>
    <t>1.老山片区乡村旅游发展项目</t>
  </si>
  <si>
    <t>王世民</t>
  </si>
  <si>
    <t>丁加贵</t>
  </si>
  <si>
    <t>2.董干城寨传统村落片区乡村旅游发展项目</t>
  </si>
  <si>
    <t>（九）技能培训</t>
  </si>
  <si>
    <t>建档立卡贫困户农村技术培训</t>
  </si>
  <si>
    <t>主要解决外出务工人员和种养殖人员的技能培训。</t>
  </si>
  <si>
    <t>(十）坚果提质增效项目</t>
  </si>
  <si>
    <t>谭国林</t>
  </si>
  <si>
    <t>王志凤</t>
  </si>
  <si>
    <t>（十一）光伏产业</t>
  </si>
  <si>
    <t>村级光伏电站建设项目</t>
  </si>
  <si>
    <t>王朝俊</t>
  </si>
  <si>
    <t>罗选春</t>
  </si>
  <si>
    <t>（十二）农产品加工园区建设项目</t>
  </si>
  <si>
    <r>
      <rPr>
        <b/>
        <sz val="10"/>
        <rFont val="宋体"/>
        <charset val="134"/>
      </rPr>
      <t>（一）贫困村贫困发生率＜3</t>
    </r>
    <r>
      <rPr>
        <b/>
        <sz val="14"/>
        <rFont val="宋体"/>
        <charset val="134"/>
      </rPr>
      <t>%</t>
    </r>
  </si>
  <si>
    <t>2.串户路建设</t>
  </si>
  <si>
    <t>麻栗坡县猛硐乡沿边村组道路建设项目</t>
  </si>
  <si>
    <t>王森</t>
  </si>
  <si>
    <t>杨福积</t>
  </si>
  <si>
    <t>项目已开工建设，主要解决沿边贫困群众出行难的问题。</t>
  </si>
  <si>
    <t>麻栗坡县达比河桥危桥改造项目</t>
  </si>
  <si>
    <t>麻栗坡县直过民族村通硬化路项目</t>
  </si>
  <si>
    <t>4.建制村道路通畅工程</t>
  </si>
  <si>
    <t>麻栗坡县马街乡黄家坪村委会通畅工程</t>
  </si>
  <si>
    <t>麻栗坡县柳家湾水源工程设项目</t>
  </si>
  <si>
    <t>万立方米</t>
  </si>
  <si>
    <t>项目已开工建设，主要解决铁厂乡关告村委会、杨万乡龙林村委会、八布乡龙龙村委会片区群众安全饮水问题。</t>
  </si>
  <si>
    <t>1.按退出标准新建综合活动场所</t>
  </si>
  <si>
    <t>盘文杰</t>
  </si>
  <si>
    <t>麻栗坡县村组活动室及场地建设项目</t>
  </si>
  <si>
    <t>组织部</t>
  </si>
  <si>
    <t>项目已开工建设，主要解决基层党建活动没有活动室的问题。</t>
  </si>
  <si>
    <t>（十）人居环境提升工程</t>
  </si>
  <si>
    <t>1.麻栗坡县麻栗镇潘家坝、南欧贫困村提升项目</t>
  </si>
  <si>
    <t>庭院亮化250户，新建卫生厕所297户，太阳能路灯320盏，垃圾处理池18座，进村路面硬化15400平方米，串户路硬化35604平方米。</t>
  </si>
  <si>
    <t>2.麻栗坡县天保镇小寨贫困村提升项目</t>
  </si>
  <si>
    <t>庭院亮化37户，新建卫生厕所42户，太阳能路灯200盏，垃圾处理池3座，进村路面硬化20247平方米，串户路硬化3625平方米。</t>
  </si>
  <si>
    <t>（十一）其它</t>
  </si>
  <si>
    <t>胡胜</t>
  </si>
  <si>
    <t>2018年项目管理费</t>
  </si>
  <si>
    <t>划拨给各行业部门做项目管理费用</t>
  </si>
  <si>
    <t>建档立卡贫困户“户户清”作战图安装经费</t>
  </si>
  <si>
    <t>在全县19566户建档立卡贫困户家中安装贫困户享受扶贫政策公示牌-“户户清”作战图。共19566块</t>
  </si>
  <si>
    <t>2019年项目管理费</t>
  </si>
  <si>
    <t>麻栗坡县2018年至2020年脱贫攻坚路线图（实施方案）统计表</t>
  </si>
  <si>
    <r>
      <rPr>
        <b/>
        <sz val="14"/>
        <rFont val="宋体"/>
        <charset val="134"/>
      </rPr>
      <t>填报单位：麻栗坡县</t>
    </r>
    <r>
      <rPr>
        <b/>
        <sz val="12"/>
        <rFont val="宋体"/>
        <charset val="134"/>
      </rPr>
      <t xml:space="preserve">    </t>
    </r>
  </si>
  <si>
    <r>
      <rPr>
        <b/>
        <sz val="9"/>
        <rFont val="宋体"/>
        <charset val="134"/>
      </rPr>
      <t>7</t>
    </r>
    <r>
      <rPr>
        <b/>
        <sz val="9"/>
        <rFont val="宋体"/>
        <charset val="134"/>
      </rPr>
      <t>=8+9+10</t>
    </r>
  </si>
  <si>
    <t>八布</t>
  </si>
  <si>
    <t>六河</t>
  </si>
  <si>
    <t>麻栗镇</t>
  </si>
  <si>
    <t>猛硐</t>
  </si>
  <si>
    <t>天保</t>
  </si>
  <si>
    <t>下金厂</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</si>
</sst>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_ ;_ @_ "/>
    <numFmt numFmtId="177" formatCode="0.000000_ "/>
    <numFmt numFmtId="178" formatCode="0.00_);[Red]\(0.00\)"/>
    <numFmt numFmtId="179" formatCode="0.00_ "/>
    <numFmt numFmtId="180" formatCode="0.000_ "/>
    <numFmt numFmtId="181" formatCode="0_ "/>
    <numFmt numFmtId="182" formatCode="0.00_);\(0.00\)"/>
    <numFmt numFmtId="183" formatCode="0_);\(0\)"/>
    <numFmt numFmtId="184" formatCode="0.0000_);\(0.0000\)"/>
    <numFmt numFmtId="185" formatCode="0.000_);\(0.000\)"/>
    <numFmt numFmtId="186" formatCode="0.00000000_ "/>
    <numFmt numFmtId="187" formatCode="0.000000000_ "/>
    <numFmt numFmtId="188" formatCode="0.0000_ "/>
    <numFmt numFmtId="189" formatCode="0.0_ "/>
    <numFmt numFmtId="190" formatCode="0.00000_ "/>
    <numFmt numFmtId="191" formatCode="0.0000;[Red]0.0000"/>
    <numFmt numFmtId="192" formatCode="0.0000_);[Red]\(0.0000\)"/>
    <numFmt numFmtId="193" formatCode="0.000000_);[Red]\(0.000000\)"/>
    <numFmt numFmtId="194" formatCode="0.000_);[Red]\(0.000\)"/>
  </numFmts>
  <fonts count="115">
    <font>
      <sz val="11"/>
      <color theme="1"/>
      <name val="宋体"/>
      <charset val="134"/>
      <scheme val="minor"/>
    </font>
    <font>
      <b/>
      <sz val="11"/>
      <name val="宋体"/>
      <charset val="134"/>
    </font>
    <font>
      <sz val="11"/>
      <name val="宋体"/>
      <charset val="134"/>
    </font>
    <font>
      <sz val="11"/>
      <color theme="1"/>
      <name val="宋体"/>
      <charset val="134"/>
    </font>
    <font>
      <sz val="20"/>
      <name val="黑体"/>
      <charset val="134"/>
    </font>
    <font>
      <sz val="20"/>
      <color theme="1"/>
      <name val="黑体"/>
      <charset val="134"/>
    </font>
    <font>
      <b/>
      <sz val="14"/>
      <name val="宋体"/>
      <charset val="134"/>
    </font>
    <font>
      <b/>
      <sz val="12"/>
      <name val="宋体"/>
      <charset val="134"/>
    </font>
    <font>
      <sz val="12"/>
      <color theme="1"/>
      <name val="宋体"/>
      <charset val="134"/>
    </font>
    <font>
      <b/>
      <sz val="9"/>
      <name val="宋体"/>
      <charset val="134"/>
    </font>
    <font>
      <sz val="10"/>
      <name val="宋体"/>
      <charset val="134"/>
    </font>
    <font>
      <b/>
      <sz val="10"/>
      <name val="宋体"/>
      <charset val="134"/>
    </font>
    <font>
      <sz val="10"/>
      <color theme="1"/>
      <name val="宋体"/>
      <charset val="134"/>
    </font>
    <font>
      <b/>
      <sz val="12"/>
      <name val="Times New Roman"/>
      <charset val="134"/>
    </font>
    <font>
      <sz val="10"/>
      <color rgb="FFFF0000"/>
      <name val="Times New Roman"/>
      <charset val="134"/>
    </font>
    <font>
      <sz val="9"/>
      <color indexed="8"/>
      <name val="宋体"/>
      <charset val="134"/>
    </font>
    <font>
      <sz val="9"/>
      <name val="黑体"/>
      <charset val="134"/>
    </font>
    <font>
      <sz val="9"/>
      <name val="宋体"/>
      <charset val="134"/>
    </font>
    <font>
      <sz val="12"/>
      <name val="宋体"/>
      <charset val="134"/>
    </font>
    <font>
      <sz val="10"/>
      <name val="Times New Roman"/>
      <charset val="134"/>
    </font>
    <font>
      <b/>
      <sz val="10"/>
      <name val="Times New Roman"/>
      <charset val="134"/>
    </font>
    <font>
      <b/>
      <sz val="10"/>
      <name val="方正仿宋_GBK"/>
      <charset val="134"/>
    </font>
    <font>
      <sz val="11"/>
      <color rgb="FF000000"/>
      <name val="宋体"/>
      <charset val="134"/>
      <scheme val="minor"/>
    </font>
    <font>
      <sz val="14"/>
      <name val="宋体"/>
      <charset val="134"/>
    </font>
    <font>
      <sz val="10"/>
      <name val="方正仿宋_GBK"/>
      <charset val="134"/>
    </font>
    <font>
      <sz val="9"/>
      <name val="Times New Roman"/>
      <charset val="134"/>
    </font>
    <font>
      <sz val="11"/>
      <name val="Times New Roman"/>
      <charset val="134"/>
    </font>
    <font>
      <sz val="10"/>
      <name val="宋体"/>
      <charset val="134"/>
      <scheme val="minor"/>
    </font>
    <font>
      <sz val="11"/>
      <name val="宋体"/>
      <charset val="134"/>
      <scheme val="minor"/>
    </font>
    <font>
      <sz val="12"/>
      <name val="Times New Roman"/>
      <charset val="134"/>
    </font>
    <font>
      <sz val="15"/>
      <name val="黑体"/>
      <charset val="134"/>
    </font>
    <font>
      <sz val="10"/>
      <name val="黑体"/>
      <charset val="134"/>
    </font>
    <font>
      <b/>
      <sz val="20"/>
      <name val="宋体"/>
      <charset val="134"/>
    </font>
    <font>
      <sz val="16"/>
      <name val="宋体"/>
      <charset val="134"/>
    </font>
    <font>
      <sz val="12"/>
      <name val="方正仿宋_GBK"/>
      <charset val="134"/>
    </font>
    <font>
      <sz val="11"/>
      <name val="方正仿宋_GBK"/>
      <charset val="134"/>
    </font>
    <font>
      <b/>
      <sz val="10"/>
      <name val="宋体"/>
      <charset val="134"/>
      <scheme val="minor"/>
    </font>
    <font>
      <b/>
      <sz val="22"/>
      <name val="宋体"/>
      <charset val="134"/>
      <scheme val="minor"/>
    </font>
    <font>
      <strike/>
      <sz val="10"/>
      <name val="宋体"/>
      <charset val="134"/>
      <scheme val="minor"/>
    </font>
    <font>
      <sz val="12"/>
      <name val="Microsoft New Tai Lue"/>
      <charset val="134"/>
    </font>
    <font>
      <b/>
      <sz val="11"/>
      <name val="Microsoft New Tai Lue"/>
      <charset val="134"/>
    </font>
    <font>
      <b/>
      <sz val="11"/>
      <name val="Times New Roman"/>
      <charset val="134"/>
    </font>
    <font>
      <sz val="11"/>
      <name val="Microsoft New Tai Lue"/>
      <charset val="134"/>
    </font>
    <font>
      <sz val="9"/>
      <name val="Microsoft New Tai Lue"/>
      <charset val="134"/>
    </font>
    <font>
      <sz val="20"/>
      <name val="宋体"/>
      <charset val="134"/>
    </font>
    <font>
      <sz val="20"/>
      <name val="Microsoft New Tai Lue"/>
      <charset val="134"/>
    </font>
    <font>
      <b/>
      <sz val="10"/>
      <name val="Microsoft New Tai Lue"/>
      <charset val="134"/>
    </font>
    <font>
      <b/>
      <sz val="9"/>
      <name val="Microsoft New Tai Lue"/>
      <charset val="134"/>
    </font>
    <font>
      <sz val="8"/>
      <name val="Times New Roman"/>
      <charset val="134"/>
    </font>
    <font>
      <sz val="9"/>
      <name val="方正仿宋_GBK"/>
      <charset val="134"/>
    </font>
    <font>
      <sz val="8"/>
      <name val="方正仿宋_GBK"/>
      <charset val="134"/>
    </font>
    <font>
      <sz val="12"/>
      <name val="宋体"/>
      <charset val="134"/>
      <scheme val="minor"/>
    </font>
    <font>
      <sz val="20"/>
      <name val="宋体"/>
      <charset val="134"/>
      <scheme val="minor"/>
    </font>
    <font>
      <sz val="22"/>
      <name val="黑体"/>
      <charset val="134"/>
    </font>
    <font>
      <sz val="8"/>
      <name val="宋体"/>
      <charset val="134"/>
    </font>
    <font>
      <sz val="28"/>
      <name val="黑体"/>
      <charset val="134"/>
    </font>
    <font>
      <b/>
      <sz val="9"/>
      <name val="方正仿宋_GBK"/>
      <charset val="134"/>
    </font>
    <font>
      <sz val="10"/>
      <name val="Arial"/>
      <charset val="134"/>
    </font>
    <font>
      <sz val="9"/>
      <name val="宋体"/>
      <charset val="134"/>
      <scheme val="minor"/>
    </font>
    <font>
      <b/>
      <sz val="10"/>
      <name val="华文细黑"/>
      <charset val="134"/>
    </font>
    <font>
      <sz val="22"/>
      <name val="方正小标宋简体"/>
      <charset val="134"/>
    </font>
    <font>
      <sz val="14"/>
      <name val="Times New Roman"/>
      <charset val="134"/>
    </font>
    <font>
      <sz val="10"/>
      <name val="SimSun"/>
      <charset val="134"/>
    </font>
    <font>
      <sz val="10"/>
      <name val="华文细黑"/>
      <charset val="134"/>
    </font>
    <font>
      <sz val="24"/>
      <name val="方正小标宋_GBK"/>
      <charset val="134"/>
    </font>
    <font>
      <sz val="10"/>
      <name val="仿宋_GB2312"/>
      <charset val="134"/>
    </font>
    <font>
      <sz val="9"/>
      <color theme="1"/>
      <name val="宋体"/>
      <charset val="134"/>
    </font>
    <font>
      <sz val="9"/>
      <color theme="1"/>
      <name val="宋体"/>
      <charset val="134"/>
      <scheme val="minor"/>
    </font>
    <font>
      <sz val="10"/>
      <name val="宋体"/>
      <charset val="134"/>
      <scheme val="major"/>
    </font>
    <font>
      <sz val="9"/>
      <color theme="1"/>
      <name val="宋体"/>
      <charset val="134"/>
      <scheme val="major"/>
    </font>
    <font>
      <sz val="9"/>
      <name val="宋体"/>
      <charset val="134"/>
      <scheme val="major"/>
    </font>
    <font>
      <sz val="10"/>
      <color theme="1"/>
      <name val="宋体"/>
      <charset val="134"/>
      <scheme val="minor"/>
    </font>
    <font>
      <sz val="10"/>
      <name val="方正楷体_GBK"/>
      <charset val="134"/>
    </font>
    <font>
      <sz val="10"/>
      <color indexed="8"/>
      <name val="方正仿宋_GBK"/>
      <charset val="134"/>
    </font>
    <font>
      <sz val="10"/>
      <color rgb="FFFF0000"/>
      <name val="宋体"/>
      <charset val="134"/>
    </font>
    <font>
      <sz val="10"/>
      <color rgb="FFFF0000"/>
      <name val="宋体"/>
      <charset val="134"/>
      <scheme val="minor"/>
    </font>
    <font>
      <sz val="10"/>
      <name val="楷体"/>
      <charset val="134"/>
    </font>
    <font>
      <b/>
      <sz val="9"/>
      <name val="宋体"/>
      <charset val="134"/>
      <scheme val="minor"/>
    </font>
    <font>
      <sz val="10"/>
      <name val="仿宋"/>
      <charset val="134"/>
    </font>
    <font>
      <b/>
      <sz val="10"/>
      <color indexed="8"/>
      <name val="方正仿宋_GBK"/>
      <charset val="134"/>
    </font>
    <font>
      <b/>
      <sz val="9"/>
      <color indexed="8"/>
      <name val="方正仿宋_GBK"/>
      <charset val="134"/>
    </font>
    <font>
      <sz val="9"/>
      <color indexed="8"/>
      <name val="方正仿宋_GBK"/>
      <charset val="134"/>
    </font>
    <font>
      <sz val="22"/>
      <name val="方正小标宋_GBK"/>
      <charset val="134"/>
    </font>
    <font>
      <sz val="14"/>
      <color indexed="8"/>
      <name val="仿宋"/>
      <charset val="134"/>
    </font>
    <font>
      <b/>
      <sz val="14"/>
      <color indexed="8"/>
      <name val="仿宋"/>
      <charset val="134"/>
    </font>
    <font>
      <sz val="28"/>
      <name val="方正小标宋_GBK"/>
      <charset val="134"/>
    </font>
    <font>
      <sz val="16"/>
      <name val="方正仿宋_GBK"/>
      <charset val="134"/>
    </font>
    <font>
      <sz val="14"/>
      <name val="方正仿宋_GBK"/>
      <charset val="134"/>
    </font>
    <font>
      <sz val="16"/>
      <name val="Times New Roman"/>
      <charset val="134"/>
    </font>
    <font>
      <sz val="15"/>
      <name val="宋体"/>
      <charset val="134"/>
    </font>
    <font>
      <sz val="15"/>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Arial"/>
      <charset val="0"/>
    </font>
    <font>
      <sz val="11"/>
      <color rgb="FF000000"/>
      <name val="宋体"/>
      <charset val="134"/>
    </font>
    <font>
      <b/>
      <sz val="9"/>
      <name val="宋体"/>
      <charset val="134"/>
    </font>
    <font>
      <sz val="9"/>
      <name val="宋体"/>
      <charset val="134"/>
    </font>
  </fonts>
  <fills count="4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7"/>
        <bgColor indexed="64"/>
      </patternFill>
    </fill>
    <fill>
      <patternFill patternType="solid">
        <fgColor indexed="31"/>
        <bgColor indexed="64"/>
      </patternFill>
    </fill>
    <fill>
      <patternFill patternType="solid">
        <fgColor indexed="42"/>
        <bgColor indexed="64"/>
      </patternFill>
    </fill>
    <fill>
      <patternFill patternType="solid">
        <fgColor indexed="22"/>
        <bgColor indexed="64"/>
      </patternFill>
    </fill>
  </fills>
  <borders count="2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8" borderId="17" applyNumberFormat="0" applyFont="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6" fillId="0" borderId="18" applyNumberFormat="0" applyFill="0" applyAlignment="0" applyProtection="0">
      <alignment vertical="center"/>
    </xf>
    <xf numFmtId="0" fontId="97" fillId="0" borderId="18" applyNumberFormat="0" applyFill="0" applyAlignment="0" applyProtection="0">
      <alignment vertical="center"/>
    </xf>
    <xf numFmtId="0" fontId="98" fillId="0" borderId="19" applyNumberFormat="0" applyFill="0" applyAlignment="0" applyProtection="0">
      <alignment vertical="center"/>
    </xf>
    <xf numFmtId="0" fontId="98" fillId="0" borderId="0" applyNumberFormat="0" applyFill="0" applyBorder="0" applyAlignment="0" applyProtection="0">
      <alignment vertical="center"/>
    </xf>
    <xf numFmtId="0" fontId="99" fillId="9" borderId="20" applyNumberFormat="0" applyAlignment="0" applyProtection="0">
      <alignment vertical="center"/>
    </xf>
    <xf numFmtId="0" fontId="100" fillId="10" borderId="21" applyNumberFormat="0" applyAlignment="0" applyProtection="0">
      <alignment vertical="center"/>
    </xf>
    <xf numFmtId="0" fontId="101" fillId="10" borderId="20" applyNumberFormat="0" applyAlignment="0" applyProtection="0">
      <alignment vertical="center"/>
    </xf>
    <xf numFmtId="0" fontId="102" fillId="11" borderId="22" applyNumberFormat="0" applyAlignment="0" applyProtection="0">
      <alignment vertical="center"/>
    </xf>
    <xf numFmtId="0" fontId="103" fillId="0" borderId="23" applyNumberFormat="0" applyFill="0" applyAlignment="0" applyProtection="0">
      <alignment vertical="center"/>
    </xf>
    <xf numFmtId="0" fontId="104" fillId="0" borderId="24" applyNumberFormat="0" applyFill="0" applyAlignment="0" applyProtection="0">
      <alignment vertical="center"/>
    </xf>
    <xf numFmtId="0" fontId="105" fillId="12" borderId="0" applyNumberFormat="0" applyBorder="0" applyAlignment="0" applyProtection="0">
      <alignment vertical="center"/>
    </xf>
    <xf numFmtId="0" fontId="106" fillId="13" borderId="0" applyNumberFormat="0" applyBorder="0" applyAlignment="0" applyProtection="0">
      <alignment vertical="center"/>
    </xf>
    <xf numFmtId="0" fontId="107" fillId="14" borderId="0" applyNumberFormat="0" applyBorder="0" applyAlignment="0" applyProtection="0">
      <alignment vertical="center"/>
    </xf>
    <xf numFmtId="0" fontId="108" fillId="15"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08" fillId="18" borderId="0" applyNumberFormat="0" applyBorder="0" applyAlignment="0" applyProtection="0">
      <alignment vertical="center"/>
    </xf>
    <xf numFmtId="0" fontId="108" fillId="19"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08" fillId="22" borderId="0" applyNumberFormat="0" applyBorder="0" applyAlignment="0" applyProtection="0">
      <alignment vertical="center"/>
    </xf>
    <xf numFmtId="0" fontId="108" fillId="23" borderId="0" applyNumberFormat="0" applyBorder="0" applyAlignment="0" applyProtection="0">
      <alignment vertical="center"/>
    </xf>
    <xf numFmtId="0" fontId="109" fillId="24" borderId="0" applyNumberFormat="0" applyBorder="0" applyAlignment="0" applyProtection="0">
      <alignment vertical="center"/>
    </xf>
    <xf numFmtId="0" fontId="109" fillId="25" borderId="0" applyNumberFormat="0" applyBorder="0" applyAlignment="0" applyProtection="0">
      <alignment vertical="center"/>
    </xf>
    <xf numFmtId="0" fontId="108" fillId="26" borderId="0" applyNumberFormat="0" applyBorder="0" applyAlignment="0" applyProtection="0">
      <alignment vertical="center"/>
    </xf>
    <xf numFmtId="0" fontId="108" fillId="27" borderId="0" applyNumberFormat="0" applyBorder="0" applyAlignment="0" applyProtection="0">
      <alignment vertical="center"/>
    </xf>
    <xf numFmtId="0" fontId="109" fillId="6" borderId="0" applyNumberFormat="0" applyBorder="0" applyAlignment="0" applyProtection="0">
      <alignment vertical="center"/>
    </xf>
    <xf numFmtId="0" fontId="109" fillId="28" borderId="0" applyNumberFormat="0" applyBorder="0" applyAlignment="0" applyProtection="0">
      <alignment vertical="center"/>
    </xf>
    <xf numFmtId="0" fontId="108" fillId="29" borderId="0" applyNumberFormat="0" applyBorder="0" applyAlignment="0" applyProtection="0">
      <alignment vertical="center"/>
    </xf>
    <xf numFmtId="0" fontId="108" fillId="30" borderId="0" applyNumberFormat="0" applyBorder="0" applyAlignment="0" applyProtection="0">
      <alignment vertical="center"/>
    </xf>
    <xf numFmtId="0" fontId="109" fillId="31" borderId="0" applyNumberFormat="0" applyBorder="0" applyAlignment="0" applyProtection="0">
      <alignment vertical="center"/>
    </xf>
    <xf numFmtId="0" fontId="109" fillId="32" borderId="0" applyNumberFormat="0" applyBorder="0" applyAlignment="0" applyProtection="0">
      <alignment vertical="center"/>
    </xf>
    <xf numFmtId="0" fontId="108" fillId="33" borderId="0" applyNumberFormat="0" applyBorder="0" applyAlignment="0" applyProtection="0">
      <alignment vertical="center"/>
    </xf>
    <xf numFmtId="0" fontId="108" fillId="34" borderId="0" applyNumberFormat="0" applyBorder="0" applyAlignment="0" applyProtection="0">
      <alignment vertical="center"/>
    </xf>
    <xf numFmtId="0" fontId="109" fillId="7" borderId="0" applyNumberFormat="0" applyBorder="0" applyAlignment="0" applyProtection="0">
      <alignment vertical="center"/>
    </xf>
    <xf numFmtId="0" fontId="109" fillId="35" borderId="0" applyNumberFormat="0" applyBorder="0" applyAlignment="0" applyProtection="0">
      <alignment vertical="center"/>
    </xf>
    <xf numFmtId="0" fontId="108" fillId="36" borderId="0" applyNumberFormat="0" applyBorder="0" applyAlignment="0" applyProtection="0">
      <alignment vertical="center"/>
    </xf>
    <xf numFmtId="0" fontId="110" fillId="37" borderId="0" applyNumberFormat="0" applyBorder="0" applyAlignment="0" applyProtection="0">
      <alignment vertical="center"/>
    </xf>
    <xf numFmtId="0" fontId="110" fillId="0" borderId="0">
      <alignment vertical="center"/>
    </xf>
    <xf numFmtId="0" fontId="110" fillId="38" borderId="0" applyNumberFormat="0" applyBorder="0" applyAlignment="0" applyProtection="0">
      <alignment vertical="center"/>
    </xf>
    <xf numFmtId="0" fontId="29" fillId="0" borderId="0">
      <alignment vertical="center"/>
    </xf>
    <xf numFmtId="0" fontId="29" fillId="0" borderId="0">
      <alignment vertical="center"/>
    </xf>
    <xf numFmtId="176" fontId="110" fillId="0" borderId="0" applyFont="0" applyFill="0" applyBorder="0" applyAlignment="0" applyProtection="0">
      <alignment vertical="center"/>
    </xf>
    <xf numFmtId="0" fontId="110" fillId="37" borderId="0" applyNumberFormat="0" applyBorder="0" applyAlignment="0" applyProtection="0">
      <alignment vertical="center"/>
    </xf>
    <xf numFmtId="0" fontId="110" fillId="38" borderId="0" applyNumberFormat="0" applyBorder="0" applyAlignment="0" applyProtection="0">
      <alignment vertical="center"/>
    </xf>
    <xf numFmtId="0" fontId="110" fillId="37" borderId="0" applyNumberFormat="0" applyBorder="0" applyAlignment="0" applyProtection="0">
      <alignment vertical="center"/>
    </xf>
    <xf numFmtId="0" fontId="110" fillId="0" borderId="0">
      <alignment vertical="center"/>
    </xf>
    <xf numFmtId="0" fontId="110" fillId="0" borderId="0">
      <alignment vertical="center"/>
    </xf>
    <xf numFmtId="0" fontId="110" fillId="37" borderId="0" applyNumberFormat="0" applyBorder="0" applyAlignment="0" applyProtection="0">
      <alignment vertical="center"/>
    </xf>
    <xf numFmtId="0" fontId="110" fillId="37" borderId="0" applyNumberFormat="0" applyBorder="0" applyAlignment="0" applyProtection="0">
      <alignment vertical="center"/>
    </xf>
    <xf numFmtId="0" fontId="110" fillId="39" borderId="0" applyNumberFormat="0" applyBorder="0" applyAlignment="0" applyProtection="0">
      <alignment vertical="center"/>
    </xf>
    <xf numFmtId="0" fontId="110" fillId="0" borderId="0">
      <alignment vertical="center"/>
    </xf>
    <xf numFmtId="0" fontId="110" fillId="40" borderId="0" applyNumberFormat="0" applyBorder="0" applyAlignment="0" applyProtection="0">
      <alignment vertical="center"/>
    </xf>
    <xf numFmtId="0" fontId="0" fillId="0" borderId="0">
      <alignment vertical="center"/>
    </xf>
    <xf numFmtId="0" fontId="110" fillId="0" borderId="0">
      <alignment vertical="center"/>
    </xf>
    <xf numFmtId="0" fontId="18" fillId="0" borderId="0">
      <alignment vertical="center"/>
    </xf>
    <xf numFmtId="0" fontId="18"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8"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110" fillId="0" borderId="0">
      <alignment vertical="center"/>
    </xf>
    <xf numFmtId="0" fontId="18" fillId="0" borderId="0"/>
    <xf numFmtId="0" fontId="110" fillId="0" borderId="0">
      <alignment vertical="center"/>
    </xf>
    <xf numFmtId="0" fontId="18"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8" fillId="0" borderId="0">
      <alignment vertical="center"/>
    </xf>
    <xf numFmtId="0" fontId="110" fillId="0" borderId="0">
      <alignment vertical="center"/>
    </xf>
    <xf numFmtId="0" fontId="110" fillId="0" borderId="0">
      <alignment vertical="center"/>
    </xf>
    <xf numFmtId="0" fontId="110" fillId="0" borderId="0">
      <alignment vertical="center"/>
    </xf>
    <xf numFmtId="0" fontId="111" fillId="0" borderId="0"/>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112" fillId="0" borderId="0">
      <alignment vertical="center"/>
    </xf>
    <xf numFmtId="0" fontId="0" fillId="0" borderId="0">
      <alignment vertical="center"/>
    </xf>
    <xf numFmtId="0" fontId="18" fillId="0" borderId="0"/>
    <xf numFmtId="0" fontId="110" fillId="0" borderId="0">
      <alignment vertical="center"/>
    </xf>
  </cellStyleXfs>
  <cellXfs count="879">
    <xf numFmtId="0" fontId="0" fillId="0" borderId="0" xfId="0">
      <alignment vertical="center"/>
    </xf>
    <xf numFmtId="0" fontId="0" fillId="2" borderId="0" xfId="0" applyFill="1">
      <alignment vertical="center"/>
    </xf>
    <xf numFmtId="0" fontId="1" fillId="3" borderId="0" xfId="89" applyFont="1" applyFill="1" applyBorder="1" applyAlignment="1">
      <alignment horizontal="left" vertical="center" wrapText="1"/>
    </xf>
    <xf numFmtId="0" fontId="1" fillId="0" borderId="0" xfId="89" applyFont="1" applyFill="1" applyBorder="1" applyAlignment="1">
      <alignment horizontal="left" vertical="center" wrapText="1"/>
    </xf>
    <xf numFmtId="0" fontId="2" fillId="0" borderId="0" xfId="89" applyFont="1" applyFill="1" applyBorder="1" applyAlignment="1">
      <alignment horizontal="center" vertical="center" wrapText="1"/>
    </xf>
    <xf numFmtId="0" fontId="3" fillId="3" borderId="0" xfId="89" applyFont="1" applyFill="1" applyBorder="1" applyAlignment="1">
      <alignment horizontal="center" vertical="center" wrapText="1"/>
    </xf>
    <xf numFmtId="0" fontId="3" fillId="0" borderId="0" xfId="89"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3" borderId="1" xfId="89" applyFont="1" applyFill="1" applyBorder="1" applyAlignment="1">
      <alignment vertical="center" wrapText="1"/>
    </xf>
    <xf numFmtId="0" fontId="7" fillId="0" borderId="1" xfId="89" applyFont="1" applyFill="1" applyBorder="1" applyAlignment="1">
      <alignment vertical="center" wrapText="1"/>
    </xf>
    <xf numFmtId="0" fontId="8" fillId="3" borderId="1" xfId="89" applyFont="1" applyFill="1" applyBorder="1" applyAlignment="1">
      <alignment vertical="center" wrapText="1"/>
    </xf>
    <xf numFmtId="0" fontId="8" fillId="0" borderId="1" xfId="89" applyFont="1" applyFill="1" applyBorder="1" applyAlignment="1">
      <alignment vertical="center" wrapText="1"/>
    </xf>
    <xf numFmtId="0" fontId="9" fillId="3"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3" xfId="0" applyFont="1" applyFill="1" applyBorder="1" applyAlignment="1">
      <alignment vertical="center" wrapText="1"/>
    </xf>
    <xf numFmtId="0" fontId="9" fillId="3" borderId="7"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177" fontId="2" fillId="0" borderId="0" xfId="89" applyNumberFormat="1" applyFont="1" applyFill="1" applyBorder="1" applyAlignment="1">
      <alignment horizontal="center" vertical="center" wrapText="1"/>
    </xf>
    <xf numFmtId="177" fontId="4" fillId="0" borderId="0" xfId="0" applyNumberFormat="1" applyFont="1" applyFill="1" applyBorder="1" applyAlignment="1">
      <alignment horizontal="center" vertical="center" wrapText="1"/>
    </xf>
    <xf numFmtId="177" fontId="7" fillId="0" borderId="1" xfId="89" applyNumberFormat="1" applyFont="1" applyFill="1" applyBorder="1" applyAlignment="1">
      <alignment vertical="center" wrapText="1"/>
    </xf>
    <xf numFmtId="0" fontId="9" fillId="0" borderId="5" xfId="0" applyFont="1" applyFill="1" applyBorder="1" applyAlignment="1">
      <alignment horizontal="center" vertical="center" wrapText="1"/>
    </xf>
    <xf numFmtId="177" fontId="9" fillId="0" borderId="3" xfId="89" applyNumberFormat="1" applyFont="1" applyFill="1" applyBorder="1" applyAlignment="1">
      <alignment horizontal="center" vertical="center" wrapText="1"/>
    </xf>
    <xf numFmtId="177" fontId="7" fillId="0" borderId="3" xfId="89" applyNumberFormat="1" applyFont="1" applyFill="1" applyBorder="1" applyAlignment="1">
      <alignment horizontal="center" vertical="center" wrapText="1"/>
    </xf>
    <xf numFmtId="177" fontId="13" fillId="0" borderId="3" xfId="89" applyNumberFormat="1" applyFont="1" applyFill="1" applyBorder="1" applyAlignment="1">
      <alignment horizontal="center" vertical="center" wrapText="1"/>
    </xf>
    <xf numFmtId="177" fontId="9" fillId="0" borderId="3" xfId="0" applyNumberFormat="1" applyFont="1" applyFill="1" applyBorder="1" applyAlignment="1">
      <alignment vertical="center" wrapText="1"/>
    </xf>
    <xf numFmtId="177" fontId="9" fillId="4" borderId="3" xfId="0" applyNumberFormat="1" applyFont="1" applyFill="1" applyBorder="1" applyAlignment="1">
      <alignment horizontal="center" vertical="center" wrapText="1"/>
    </xf>
    <xf numFmtId="177" fontId="11" fillId="0" borderId="3" xfId="0" applyNumberFormat="1" applyFont="1" applyFill="1" applyBorder="1" applyAlignment="1">
      <alignment horizontal="center" vertical="center" wrapText="1"/>
    </xf>
    <xf numFmtId="177" fontId="9" fillId="0" borderId="3" xfId="0" applyNumberFormat="1" applyFont="1" applyFill="1" applyBorder="1" applyAlignment="1">
      <alignment horizontal="center" vertical="center" wrapText="1"/>
    </xf>
    <xf numFmtId="177" fontId="14" fillId="0" borderId="3" xfId="0" applyNumberFormat="1" applyFont="1" applyFill="1" applyBorder="1" applyAlignment="1">
      <alignment horizontal="center" vertical="center" wrapText="1"/>
    </xf>
    <xf numFmtId="0" fontId="0" fillId="5" borderId="0" xfId="0" applyFill="1">
      <alignment vertical="center"/>
    </xf>
    <xf numFmtId="0" fontId="0" fillId="0" borderId="0" xfId="0" applyAlignment="1">
      <alignment horizontal="right" vertical="center"/>
    </xf>
    <xf numFmtId="0" fontId="15" fillId="0" borderId="0" xfId="0" applyFont="1" applyFill="1" applyAlignment="1">
      <alignment horizontal="center" vertical="center" wrapText="1"/>
    </xf>
    <xf numFmtId="0" fontId="16" fillId="0" borderId="0" xfId="0" applyFont="1" applyFill="1" applyBorder="1" applyAlignment="1">
      <alignment horizontal="center" vertical="center" wrapText="1"/>
    </xf>
    <xf numFmtId="0" fontId="7" fillId="0" borderId="0" xfId="89" applyFont="1" applyFill="1" applyBorder="1" applyAlignment="1">
      <alignment vertical="center" wrapText="1"/>
    </xf>
    <xf numFmtId="177" fontId="13" fillId="0" borderId="8" xfId="89" applyNumberFormat="1" applyFont="1" applyFill="1" applyBorder="1" applyAlignment="1">
      <alignment horizontal="center" vertical="center" wrapText="1"/>
    </xf>
    <xf numFmtId="0" fontId="9" fillId="0" borderId="8" xfId="89" applyFont="1" applyFill="1" applyBorder="1" applyAlignment="1">
      <alignment horizontal="center" vertical="center" wrapText="1"/>
    </xf>
    <xf numFmtId="0" fontId="9" fillId="0" borderId="9" xfId="89" applyFont="1" applyFill="1" applyBorder="1" applyAlignment="1">
      <alignment horizontal="center" vertical="center" wrapText="1"/>
    </xf>
    <xf numFmtId="0" fontId="9" fillId="0" borderId="2" xfId="89" applyFont="1" applyFill="1" applyBorder="1" applyAlignment="1">
      <alignment horizontal="center" vertical="center" wrapText="1"/>
    </xf>
    <xf numFmtId="177" fontId="11" fillId="0" borderId="10" xfId="0" applyNumberFormat="1" applyFont="1" applyFill="1" applyBorder="1" applyAlignment="1">
      <alignment horizontal="center" vertical="center" wrapText="1"/>
    </xf>
    <xf numFmtId="0" fontId="9" fillId="0" borderId="10" xfId="89" applyFont="1" applyFill="1" applyBorder="1" applyAlignment="1">
      <alignment horizontal="center" vertical="center" wrapText="1"/>
    </xf>
    <xf numFmtId="0" fontId="9" fillId="0" borderId="11" xfId="89" applyFont="1" applyFill="1" applyBorder="1" applyAlignment="1">
      <alignment horizontal="center" vertical="center" wrapText="1"/>
    </xf>
    <xf numFmtId="0" fontId="9" fillId="0" borderId="7" xfId="89" applyFont="1" applyFill="1" applyBorder="1" applyAlignment="1">
      <alignment horizontal="center" vertical="center" wrapText="1"/>
    </xf>
    <xf numFmtId="0" fontId="17" fillId="0" borderId="3" xfId="0" applyFont="1" applyFill="1" applyBorder="1" applyAlignment="1">
      <alignment horizontal="center" vertical="center" wrapText="1"/>
    </xf>
    <xf numFmtId="177" fontId="14" fillId="2" borderId="3" xfId="0" applyNumberFormat="1" applyFont="1" applyFill="1" applyBorder="1" applyAlignment="1">
      <alignment horizontal="center" vertical="center" wrapText="1"/>
    </xf>
    <xf numFmtId="177" fontId="0" fillId="0" borderId="0" xfId="0" applyNumberFormat="1">
      <alignment vertical="center"/>
    </xf>
    <xf numFmtId="0" fontId="18" fillId="0" borderId="0" xfId="0" applyFont="1" applyFill="1" applyBorder="1" applyAlignment="1">
      <alignment vertical="center"/>
    </xf>
    <xf numFmtId="0" fontId="1"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2" fillId="0" borderId="0" xfId="0" applyNumberFormat="1" applyFont="1" applyFill="1" applyBorder="1" applyAlignment="1">
      <alignment vertical="center"/>
    </xf>
    <xf numFmtId="0" fontId="11"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17" fillId="0" borderId="0" xfId="0" applyFont="1" applyFill="1" applyBorder="1" applyAlignment="1">
      <alignment horizontal="center" vertical="center" wrapText="1"/>
    </xf>
    <xf numFmtId="0" fontId="6" fillId="0" borderId="1" xfId="89" applyFont="1" applyFill="1" applyBorder="1" applyAlignment="1">
      <alignment vertical="center" wrapText="1"/>
    </xf>
    <xf numFmtId="0" fontId="10" fillId="0" borderId="3" xfId="0" applyFont="1" applyFill="1" applyBorder="1" applyAlignment="1">
      <alignment horizontal="center" vertical="center" wrapText="1"/>
    </xf>
    <xf numFmtId="0" fontId="11" fillId="0" borderId="3" xfId="0" applyFont="1" applyFill="1" applyBorder="1" applyAlignment="1">
      <alignment vertical="center" wrapText="1"/>
    </xf>
    <xf numFmtId="0" fontId="10" fillId="0" borderId="3" xfId="0" applyFont="1" applyFill="1" applyBorder="1" applyAlignment="1">
      <alignment vertical="center" wrapText="1"/>
    </xf>
    <xf numFmtId="0" fontId="10" fillId="0" borderId="3" xfId="0" applyFont="1" applyFill="1" applyBorder="1" applyAlignment="1">
      <alignment horizontal="left" vertical="center" wrapText="1"/>
    </xf>
    <xf numFmtId="0" fontId="11" fillId="0" borderId="3" xfId="53" applyFont="1" applyFill="1" applyBorder="1" applyAlignment="1" applyProtection="1">
      <alignment vertical="center" wrapText="1"/>
      <protection locked="0"/>
    </xf>
    <xf numFmtId="0" fontId="10" fillId="0" borderId="3" xfId="0" applyNumberFormat="1" applyFont="1" applyFill="1" applyBorder="1" applyAlignment="1">
      <alignment horizontal="center" vertical="center" wrapText="1"/>
    </xf>
    <xf numFmtId="0" fontId="9" fillId="0" borderId="3" xfId="89" applyFont="1" applyFill="1" applyBorder="1" applyAlignment="1">
      <alignment horizontal="center" vertical="center" wrapText="1"/>
    </xf>
    <xf numFmtId="0" fontId="21" fillId="0" borderId="3" xfId="89" applyNumberFormat="1" applyFont="1" applyFill="1" applyBorder="1" applyAlignment="1">
      <alignment horizontal="center" vertical="center" wrapText="1"/>
    </xf>
    <xf numFmtId="178" fontId="9" fillId="0" borderId="3" xfId="0" applyNumberFormat="1" applyFont="1" applyFill="1" applyBorder="1" applyAlignment="1">
      <alignment vertical="center" wrapText="1"/>
    </xf>
    <xf numFmtId="0" fontId="2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0" fontId="0" fillId="0" borderId="3" xfId="0" applyNumberFormat="1" applyFont="1" applyFill="1" applyBorder="1" applyAlignment="1">
      <alignment horizontal="center" vertical="center" wrapText="1"/>
    </xf>
    <xf numFmtId="0" fontId="22" fillId="0" borderId="3" xfId="0" applyNumberFormat="1" applyFont="1" applyFill="1" applyBorder="1" applyAlignment="1">
      <alignment horizontal="center" vertical="center" wrapText="1"/>
    </xf>
    <xf numFmtId="179" fontId="11" fillId="0" borderId="3" xfId="0" applyNumberFormat="1" applyFont="1" applyFill="1" applyBorder="1" applyAlignment="1">
      <alignment horizontal="center" vertical="center" wrapText="1"/>
    </xf>
    <xf numFmtId="0" fontId="4" fillId="0" borderId="0" xfId="0" applyFont="1" applyFill="1" applyBorder="1" applyAlignment="1">
      <alignment vertical="center" wrapText="1"/>
    </xf>
    <xf numFmtId="179" fontId="10" fillId="0" borderId="3" xfId="0" applyNumberFormat="1" applyFont="1" applyFill="1" applyBorder="1" applyAlignment="1">
      <alignment horizontal="center" vertical="center" wrapText="1"/>
    </xf>
    <xf numFmtId="179" fontId="11" fillId="0" borderId="3" xfId="0" applyNumberFormat="1" applyFont="1" applyFill="1" applyBorder="1" applyAlignment="1">
      <alignment horizontal="left" vertical="center" wrapText="1"/>
    </xf>
    <xf numFmtId="178" fontId="11" fillId="0" borderId="3" xfId="0" applyNumberFormat="1" applyFont="1" applyFill="1" applyBorder="1" applyAlignment="1">
      <alignment horizontal="center" vertical="center" wrapText="1"/>
    </xf>
    <xf numFmtId="178" fontId="10" fillId="0" borderId="3" xfId="0" applyNumberFormat="1" applyFont="1" applyFill="1" applyBorder="1" applyAlignment="1">
      <alignment horizontal="center" vertical="center" wrapText="1"/>
    </xf>
    <xf numFmtId="0" fontId="10" fillId="0" borderId="3" xfId="53" applyFont="1" applyFill="1" applyBorder="1" applyAlignment="1" applyProtection="1">
      <alignment vertical="center" wrapText="1"/>
      <protection locked="0"/>
    </xf>
    <xf numFmtId="0" fontId="19" fillId="0" borderId="3" xfId="0" applyFont="1" applyFill="1" applyBorder="1" applyAlignment="1">
      <alignment vertical="center"/>
    </xf>
    <xf numFmtId="0" fontId="10" fillId="0" borderId="3" xfId="0" applyNumberFormat="1" applyFont="1" applyFill="1" applyBorder="1" applyAlignment="1">
      <alignment vertical="center" wrapText="1"/>
    </xf>
    <xf numFmtId="0" fontId="2" fillId="0" borderId="3" xfId="0" applyNumberFormat="1" applyFont="1" applyFill="1" applyBorder="1" applyAlignment="1">
      <alignment horizontal="center" vertical="center"/>
    </xf>
    <xf numFmtId="0" fontId="2" fillId="0" borderId="3" xfId="0" applyNumberFormat="1" applyFont="1" applyFill="1" applyBorder="1" applyAlignment="1">
      <alignment vertical="center"/>
    </xf>
    <xf numFmtId="0" fontId="10" fillId="0" borderId="3" xfId="53" applyNumberFormat="1" applyFont="1" applyFill="1" applyBorder="1" applyAlignment="1" applyProtection="1">
      <alignment vertical="center" wrapText="1"/>
      <protection locked="0"/>
    </xf>
    <xf numFmtId="179" fontId="10"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0" fontId="1" fillId="0" borderId="3" xfId="0" applyFont="1" applyFill="1" applyBorder="1" applyAlignment="1">
      <alignment vertical="center"/>
    </xf>
    <xf numFmtId="0" fontId="2" fillId="0" borderId="3" xfId="0" applyFont="1" applyFill="1" applyBorder="1" applyAlignment="1">
      <alignment horizontal="center" vertical="center"/>
    </xf>
    <xf numFmtId="0" fontId="2" fillId="0" borderId="3" xfId="0" applyFont="1" applyFill="1" applyBorder="1" applyAlignment="1">
      <alignment vertical="center"/>
    </xf>
    <xf numFmtId="0" fontId="18"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0" fontId="17" fillId="0" borderId="0" xfId="0" applyFont="1" applyFill="1" applyAlignment="1">
      <alignment horizontal="center" vertical="center" wrapText="1"/>
    </xf>
    <xf numFmtId="0" fontId="2" fillId="0" borderId="0" xfId="89" applyFont="1" applyFill="1" applyAlignment="1">
      <alignment horizontal="left" vertical="center" wrapText="1"/>
    </xf>
    <xf numFmtId="0" fontId="2" fillId="0" borderId="0" xfId="89" applyFont="1" applyFill="1" applyAlignment="1">
      <alignment horizontal="center" vertical="center" wrapText="1"/>
    </xf>
    <xf numFmtId="0" fontId="23" fillId="0" borderId="1" xfId="89" applyFont="1" applyFill="1" applyBorder="1" applyAlignment="1">
      <alignment vertical="center" wrapText="1"/>
    </xf>
    <xf numFmtId="0" fontId="18" fillId="0" borderId="1" xfId="89" applyFont="1" applyFill="1" applyBorder="1" applyAlignment="1">
      <alignment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xf>
    <xf numFmtId="0" fontId="17" fillId="0" borderId="3" xfId="0" applyFont="1" applyFill="1" applyBorder="1" applyAlignment="1">
      <alignment vertical="center"/>
    </xf>
    <xf numFmtId="0" fontId="17" fillId="0" borderId="4"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3" xfId="89" applyFont="1" applyFill="1" applyBorder="1" applyAlignment="1">
      <alignment horizontal="center" vertical="center" wrapText="1"/>
    </xf>
    <xf numFmtId="0" fontId="24" fillId="0" borderId="3" xfId="89" applyNumberFormat="1" applyFont="1" applyFill="1" applyBorder="1" applyAlignment="1">
      <alignment horizontal="center" vertical="center" wrapText="1"/>
    </xf>
    <xf numFmtId="178" fontId="17" fillId="0" borderId="3" xfId="0" applyNumberFormat="1" applyFont="1" applyFill="1" applyBorder="1" applyAlignment="1">
      <alignment horizontal="center" vertical="center" wrapText="1"/>
    </xf>
    <xf numFmtId="0" fontId="24" fillId="0" borderId="3" xfId="0" applyNumberFormat="1" applyFont="1" applyFill="1" applyBorder="1" applyAlignment="1">
      <alignment horizontal="center" vertical="center" wrapText="1"/>
    </xf>
    <xf numFmtId="0" fontId="19" fillId="0" borderId="3" xfId="0" applyNumberFormat="1" applyFont="1" applyFill="1" applyBorder="1" applyAlignment="1">
      <alignment horizontal="center" vertical="center" wrapText="1"/>
    </xf>
    <xf numFmtId="179" fontId="19" fillId="0" borderId="3" xfId="0" applyNumberFormat="1" applyFont="1" applyFill="1" applyBorder="1" applyAlignment="1">
      <alignment horizontal="center" vertical="center" wrapText="1"/>
    </xf>
    <xf numFmtId="180" fontId="25" fillId="0" borderId="3" xfId="0" applyNumberFormat="1" applyFont="1" applyFill="1" applyBorder="1" applyAlignment="1">
      <alignment horizontal="center" vertical="center" wrapText="1"/>
    </xf>
    <xf numFmtId="0" fontId="18" fillId="0" borderId="0" xfId="89" applyFont="1" applyFill="1" applyBorder="1" applyAlignment="1">
      <alignment vertical="center" wrapText="1"/>
    </xf>
    <xf numFmtId="0" fontId="17" fillId="0" borderId="8" xfId="89" applyFont="1" applyFill="1" applyBorder="1" applyAlignment="1">
      <alignment horizontal="center" vertical="center" wrapText="1"/>
    </xf>
    <xf numFmtId="0" fontId="17" fillId="0" borderId="9" xfId="89" applyFont="1" applyFill="1" applyBorder="1" applyAlignment="1">
      <alignment horizontal="center" vertical="center" wrapText="1"/>
    </xf>
    <xf numFmtId="0" fontId="17" fillId="0" borderId="2" xfId="89" applyFont="1" applyFill="1" applyBorder="1" applyAlignment="1">
      <alignment horizontal="center" vertical="center" wrapText="1"/>
    </xf>
    <xf numFmtId="0" fontId="17" fillId="0" borderId="10" xfId="89" applyFont="1" applyFill="1" applyBorder="1" applyAlignment="1">
      <alignment horizontal="center" vertical="center" wrapText="1"/>
    </xf>
    <xf numFmtId="0" fontId="17" fillId="0" borderId="11" xfId="89" applyFont="1" applyFill="1" applyBorder="1" applyAlignment="1">
      <alignment horizontal="center" vertical="center" wrapText="1"/>
    </xf>
    <xf numFmtId="0" fontId="17" fillId="0" borderId="7" xfId="89" applyFont="1" applyFill="1" applyBorder="1" applyAlignment="1">
      <alignment horizontal="center" vertical="center" wrapText="1"/>
    </xf>
    <xf numFmtId="0" fontId="17" fillId="0" borderId="3" xfId="0" applyFont="1" applyFill="1" applyBorder="1" applyAlignment="1">
      <alignment horizontal="left" vertical="center" wrapText="1"/>
    </xf>
    <xf numFmtId="179" fontId="18" fillId="0" borderId="3" xfId="0" applyNumberFormat="1" applyFont="1" applyFill="1" applyBorder="1" applyAlignment="1">
      <alignment horizontal="center" vertical="center" wrapText="1"/>
    </xf>
    <xf numFmtId="179" fontId="10" fillId="0" borderId="3" xfId="0" applyNumberFormat="1" applyFont="1" applyFill="1" applyBorder="1" applyAlignment="1">
      <alignment horizontal="left" vertical="center" wrapText="1"/>
    </xf>
    <xf numFmtId="180" fontId="17" fillId="0" borderId="3" xfId="0" applyNumberFormat="1"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180" fontId="10" fillId="0" borderId="3" xfId="0" applyNumberFormat="1" applyFont="1" applyFill="1" applyBorder="1" applyAlignment="1">
      <alignment horizontal="center" vertical="center" wrapText="1"/>
    </xf>
    <xf numFmtId="179" fontId="17"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6" fillId="0" borderId="3" xfId="0"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0" fontId="10" fillId="0" borderId="3" xfId="53" applyFont="1" applyFill="1" applyBorder="1" applyAlignment="1" applyProtection="1">
      <alignment horizontal="left" vertical="center" wrapText="1"/>
      <protection locked="0"/>
    </xf>
    <xf numFmtId="0" fontId="28" fillId="0" borderId="3" xfId="0" applyFont="1" applyFill="1" applyBorder="1" applyAlignment="1">
      <alignment horizontal="center" vertical="center"/>
    </xf>
    <xf numFmtId="0" fontId="29" fillId="0" borderId="3" xfId="0" applyNumberFormat="1" applyFont="1" applyFill="1" applyBorder="1" applyAlignment="1">
      <alignment horizontal="center" vertical="center"/>
    </xf>
    <xf numFmtId="0" fontId="29" fillId="0" borderId="3" xfId="0" applyFont="1" applyFill="1" applyBorder="1" applyAlignment="1">
      <alignment horizontal="center" vertical="center" wrapText="1"/>
    </xf>
    <xf numFmtId="179" fontId="27"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0" fontId="18" fillId="0" borderId="3" xfId="87" applyNumberFormat="1" applyFont="1" applyFill="1" applyBorder="1" applyAlignment="1">
      <alignment horizontal="center" vertical="center" wrapText="1"/>
    </xf>
    <xf numFmtId="0" fontId="28" fillId="0" borderId="5"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181" fontId="10" fillId="0" borderId="3" xfId="0" applyNumberFormat="1" applyFont="1" applyFill="1" applyBorder="1" applyAlignment="1">
      <alignment horizontal="center" vertical="center" wrapText="1"/>
    </xf>
    <xf numFmtId="181" fontId="27" fillId="0" borderId="3" xfId="0" applyNumberFormat="1" applyFont="1" applyFill="1" applyBorder="1" applyAlignment="1">
      <alignment horizontal="center" vertical="center" wrapText="1"/>
    </xf>
    <xf numFmtId="179" fontId="2" fillId="0" borderId="3" xfId="0" applyNumberFormat="1" applyFont="1" applyFill="1" applyBorder="1" applyAlignment="1">
      <alignment vertical="center"/>
    </xf>
    <xf numFmtId="179" fontId="10" fillId="0" borderId="3" xfId="0" applyNumberFormat="1" applyFont="1" applyFill="1" applyBorder="1" applyAlignment="1">
      <alignment vertical="center"/>
    </xf>
    <xf numFmtId="181" fontId="18" fillId="0" borderId="3" xfId="0" applyNumberFormat="1" applyFont="1" applyFill="1" applyBorder="1" applyAlignment="1">
      <alignment horizontal="center" vertical="center" wrapText="1"/>
    </xf>
    <xf numFmtId="0" fontId="27"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0" fontId="2" fillId="0" borderId="0" xfId="0" applyFont="1" applyFill="1" applyAlignment="1">
      <alignment horizontal="left" vertical="center"/>
    </xf>
    <xf numFmtId="0" fontId="2" fillId="0" borderId="0" xfId="0" applyFont="1" applyFill="1" applyAlignment="1">
      <alignment horizontal="left" vertical="center" wrapText="1"/>
    </xf>
    <xf numFmtId="180" fontId="27" fillId="0" borderId="3"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49" fontId="17" fillId="0" borderId="0" xfId="0" applyNumberFormat="1" applyFont="1" applyFill="1" applyBorder="1" applyAlignment="1">
      <alignment horizontal="center" vertical="center" wrapText="1"/>
    </xf>
    <xf numFmtId="182" fontId="2"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49" fontId="17" fillId="0" borderId="0" xfId="89" applyNumberFormat="1"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49" fontId="30" fillId="0" borderId="0" xfId="0" applyNumberFormat="1" applyFont="1" applyFill="1" applyBorder="1" applyAlignment="1">
      <alignment horizontal="center" vertical="center" wrapText="1"/>
    </xf>
    <xf numFmtId="0" fontId="23" fillId="0" borderId="0" xfId="89" applyFont="1" applyFill="1" applyBorder="1" applyAlignment="1">
      <alignment horizontal="left" vertical="center" wrapText="1"/>
    </xf>
    <xf numFmtId="49" fontId="17" fillId="0" borderId="0" xfId="89" applyNumberFormat="1" applyFont="1" applyFill="1" applyBorder="1" applyAlignment="1">
      <alignment horizontal="left" vertical="center" wrapText="1"/>
    </xf>
    <xf numFmtId="0" fontId="17" fillId="0" borderId="8" xfId="0"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57" fontId="27" fillId="0" borderId="3" xfId="0" applyNumberFormat="1" applyFont="1" applyFill="1" applyBorder="1" applyAlignment="1">
      <alignment horizontal="center" vertical="center" wrapText="1"/>
    </xf>
    <xf numFmtId="182" fontId="2" fillId="0" borderId="0" xfId="89" applyNumberFormat="1" applyFont="1" applyFill="1" applyBorder="1" applyAlignment="1">
      <alignment horizontal="center" vertical="center" wrapText="1"/>
    </xf>
    <xf numFmtId="182" fontId="4" fillId="0" borderId="0" xfId="0" applyNumberFormat="1" applyFont="1" applyFill="1" applyBorder="1" applyAlignment="1">
      <alignment horizontal="center" vertical="center" wrapText="1"/>
    </xf>
    <xf numFmtId="182" fontId="23" fillId="0" borderId="0" xfId="89" applyNumberFormat="1" applyFont="1" applyFill="1" applyBorder="1" applyAlignment="1">
      <alignment horizontal="left" vertical="center" wrapText="1"/>
    </xf>
    <xf numFmtId="182" fontId="17" fillId="0" borderId="3" xfId="89" applyNumberFormat="1" applyFont="1" applyFill="1" applyBorder="1" applyAlignment="1">
      <alignment horizontal="center" vertical="center" wrapText="1"/>
    </xf>
    <xf numFmtId="182" fontId="17" fillId="0" borderId="4" xfId="89" applyNumberFormat="1" applyFont="1" applyFill="1" applyBorder="1" applyAlignment="1">
      <alignment horizontal="center" vertical="center" wrapText="1"/>
    </xf>
    <xf numFmtId="182" fontId="17" fillId="0" borderId="12" xfId="89" applyNumberFormat="1" applyFont="1" applyFill="1" applyBorder="1" applyAlignment="1">
      <alignment horizontal="center" vertical="center" wrapText="1"/>
    </xf>
    <xf numFmtId="182" fontId="17" fillId="0" borderId="3" xfId="0" applyNumberFormat="1" applyFont="1" applyFill="1" applyBorder="1" applyAlignment="1">
      <alignment horizontal="center" vertical="center" wrapText="1"/>
    </xf>
    <xf numFmtId="183" fontId="17" fillId="0" borderId="3" xfId="0" applyNumberFormat="1" applyFont="1" applyFill="1" applyBorder="1" applyAlignment="1">
      <alignment horizontal="center" vertical="center" wrapText="1"/>
    </xf>
    <xf numFmtId="182" fontId="10" fillId="0" borderId="3" xfId="0" applyNumberFormat="1" applyFont="1" applyFill="1" applyBorder="1" applyAlignment="1">
      <alignment horizontal="center" vertical="center" wrapText="1"/>
    </xf>
    <xf numFmtId="182" fontId="27" fillId="0" borderId="3" xfId="0" applyNumberFormat="1" applyFont="1" applyFill="1" applyBorder="1" applyAlignment="1">
      <alignment horizontal="center" vertical="center" wrapText="1"/>
    </xf>
    <xf numFmtId="0" fontId="31" fillId="0" borderId="0" xfId="0" applyFont="1" applyFill="1" applyBorder="1" applyAlignment="1">
      <alignment horizontal="center" vertical="center" wrapText="1"/>
    </xf>
    <xf numFmtId="0" fontId="10" fillId="0" borderId="0" xfId="89" applyFont="1" applyFill="1" applyBorder="1" applyAlignment="1">
      <alignment horizontal="left" vertical="center" wrapText="1"/>
    </xf>
    <xf numFmtId="182" fontId="17" fillId="0" borderId="5" xfId="89" applyNumberFormat="1" applyFont="1" applyFill="1" applyBorder="1" applyAlignment="1">
      <alignment horizontal="center" vertical="center" wrapText="1"/>
    </xf>
    <xf numFmtId="0" fontId="27" fillId="0" borderId="3" xfId="53" applyFont="1" applyFill="1" applyBorder="1" applyAlignment="1" applyProtection="1">
      <alignment horizontal="center" vertical="center" wrapText="1"/>
      <protection locked="0"/>
    </xf>
    <xf numFmtId="178" fontId="27" fillId="0" borderId="3" xfId="0" applyNumberFormat="1" applyFont="1" applyFill="1" applyBorder="1" applyAlignment="1">
      <alignment horizontal="center" vertical="center" wrapText="1"/>
    </xf>
    <xf numFmtId="184" fontId="27" fillId="0" borderId="3" xfId="0" applyNumberFormat="1" applyFont="1" applyFill="1" applyBorder="1" applyAlignment="1">
      <alignment horizontal="center" vertical="center" wrapText="1"/>
    </xf>
    <xf numFmtId="0" fontId="27" fillId="0" borderId="3" xfId="0" applyNumberFormat="1" applyFont="1" applyFill="1" applyBorder="1" applyAlignment="1">
      <alignment horizontal="center" vertical="center" wrapText="1"/>
    </xf>
    <xf numFmtId="185" fontId="27" fillId="0" borderId="3" xfId="0" applyNumberFormat="1" applyFont="1" applyFill="1" applyBorder="1" applyAlignment="1">
      <alignment horizontal="center" vertical="center" wrapText="1"/>
    </xf>
    <xf numFmtId="0" fontId="27" fillId="0" borderId="3" xfId="53" applyNumberFormat="1" applyFont="1" applyFill="1" applyBorder="1" applyAlignment="1" applyProtection="1">
      <alignment horizontal="center" vertical="center" wrapText="1"/>
      <protection locked="0"/>
    </xf>
    <xf numFmtId="0" fontId="27" fillId="0" borderId="4" xfId="0" applyFont="1" applyFill="1" applyBorder="1" applyAlignment="1">
      <alignment horizontal="center" vertical="center" wrapText="1"/>
    </xf>
    <xf numFmtId="0" fontId="27" fillId="0" borderId="5" xfId="0" applyFont="1" applyFill="1" applyBorder="1" applyAlignment="1">
      <alignment horizontal="center" vertical="center" wrapText="1"/>
    </xf>
    <xf numFmtId="182" fontId="10" fillId="0" borderId="0" xfId="0" applyNumberFormat="1" applyFont="1" applyFill="1" applyBorder="1" applyAlignment="1">
      <alignment horizontal="center" vertical="center" wrapText="1"/>
    </xf>
    <xf numFmtId="0" fontId="2" fillId="0" borderId="0" xfId="0" applyFont="1" applyFill="1" applyBorder="1" applyAlignment="1">
      <alignment vertical="center" wrapText="1"/>
    </xf>
    <xf numFmtId="0" fontId="17" fillId="0" borderId="0" xfId="0" applyFont="1" applyFill="1" applyBorder="1" applyAlignment="1">
      <alignment vertical="center"/>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2" fillId="0" borderId="0" xfId="0" applyFont="1" applyFill="1" applyBorder="1" applyAlignment="1">
      <alignment horizontal="center" vertical="center"/>
    </xf>
    <xf numFmtId="0" fontId="32" fillId="0" borderId="0" xfId="0" applyFont="1" applyFill="1" applyBorder="1" applyAlignment="1">
      <alignment horizontal="center" vertical="center" wrapText="1"/>
    </xf>
    <xf numFmtId="0" fontId="33" fillId="0" borderId="0" xfId="0" applyFont="1" applyFill="1" applyBorder="1" applyAlignment="1">
      <alignment horizontal="left"/>
    </xf>
    <xf numFmtId="0" fontId="33" fillId="0" borderId="0" xfId="0" applyFont="1" applyFill="1" applyBorder="1" applyAlignment="1">
      <alignment horizontal="left"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3" xfId="51" applyFont="1" applyFill="1" applyBorder="1" applyAlignment="1">
      <alignment horizontal="center" vertical="center" wrapText="1"/>
    </xf>
    <xf numFmtId="0" fontId="10" fillId="0" borderId="3" xfId="51" applyFont="1" applyFill="1" applyBorder="1" applyAlignment="1">
      <alignment horizontal="center" vertical="center"/>
    </xf>
    <xf numFmtId="0" fontId="10" fillId="0" borderId="3" xfId="49" applyFont="1" applyFill="1" applyBorder="1" applyAlignment="1">
      <alignment horizontal="center" vertical="center" wrapText="1"/>
    </xf>
    <xf numFmtId="0" fontId="10" fillId="0" borderId="3" xfId="49" applyFont="1" applyFill="1" applyBorder="1" applyAlignment="1">
      <alignment horizontal="center" vertical="center"/>
    </xf>
    <xf numFmtId="0" fontId="17" fillId="0" borderId="0" xfId="0" applyFont="1" applyFill="1" applyBorder="1" applyAlignment="1">
      <alignment horizontal="left" vertical="center"/>
    </xf>
    <xf numFmtId="0" fontId="9" fillId="0" borderId="0" xfId="0" applyFont="1" applyFill="1" applyBorder="1" applyAlignment="1">
      <alignment horizontal="center" vertical="center"/>
    </xf>
    <xf numFmtId="0" fontId="17" fillId="0" borderId="0" xfId="0" applyFont="1" applyFill="1" applyBorder="1" applyAlignment="1">
      <alignment horizontal="left"/>
    </xf>
    <xf numFmtId="0" fontId="17" fillId="0" borderId="3" xfId="57" applyFont="1" applyFill="1" applyBorder="1" applyAlignment="1">
      <alignment horizontal="center" vertical="center" wrapText="1"/>
    </xf>
    <xf numFmtId="0" fontId="10" fillId="0" borderId="0" xfId="0" applyFont="1" applyFill="1" applyBorder="1" applyAlignment="1">
      <alignment horizontal="center" vertical="center"/>
    </xf>
    <xf numFmtId="0" fontId="17" fillId="0" borderId="3" xfId="62" applyFont="1" applyFill="1" applyBorder="1" applyAlignment="1">
      <alignment horizontal="center" vertical="center" wrapText="1"/>
    </xf>
    <xf numFmtId="0" fontId="9" fillId="0" borderId="3" xfId="62" applyFont="1" applyFill="1" applyBorder="1" applyAlignment="1">
      <alignment horizontal="center" vertical="center" wrapText="1"/>
    </xf>
    <xf numFmtId="176" fontId="17" fillId="0" borderId="3" xfId="54" applyFont="1" applyFill="1" applyBorder="1" applyAlignment="1">
      <alignment horizontal="center" vertical="center" wrapText="1"/>
    </xf>
    <xf numFmtId="0" fontId="9" fillId="0" borderId="3" xfId="61" applyFont="1" applyFill="1" applyBorder="1" applyAlignment="1">
      <alignment horizontal="center" vertical="center" wrapText="1"/>
    </xf>
    <xf numFmtId="176" fontId="17" fillId="0" borderId="3" xfId="54" applyFont="1" applyFill="1" applyBorder="1" applyAlignment="1">
      <alignment horizontal="center" vertical="center" shrinkToFit="1"/>
    </xf>
    <xf numFmtId="0" fontId="10" fillId="0" borderId="3" xfId="55" applyFont="1" applyFill="1" applyBorder="1" applyAlignment="1">
      <alignment horizontal="center" vertical="center" wrapText="1"/>
    </xf>
    <xf numFmtId="0" fontId="11" fillId="0" borderId="3" xfId="62" applyNumberFormat="1" applyFont="1" applyFill="1" applyBorder="1" applyAlignment="1">
      <alignment horizontal="center" vertical="center" wrapText="1"/>
    </xf>
    <xf numFmtId="176" fontId="9" fillId="0" borderId="3" xfId="54" applyFont="1" applyFill="1" applyBorder="1" applyAlignment="1">
      <alignment horizontal="center" vertical="center" wrapText="1"/>
    </xf>
    <xf numFmtId="0" fontId="9" fillId="0" borderId="3" xfId="54" applyNumberFormat="1" applyFont="1" applyFill="1" applyBorder="1" applyAlignment="1">
      <alignment horizontal="center" vertical="center" wrapText="1"/>
    </xf>
    <xf numFmtId="186" fontId="10" fillId="0" borderId="3" xfId="0" applyNumberFormat="1" applyFont="1" applyFill="1" applyBorder="1" applyAlignment="1">
      <alignment horizontal="center" vertical="center"/>
    </xf>
    <xf numFmtId="0" fontId="11" fillId="0" borderId="3" xfId="62" applyFont="1" applyFill="1" applyBorder="1" applyAlignment="1">
      <alignment horizontal="center" vertical="center" wrapText="1"/>
    </xf>
    <xf numFmtId="0" fontId="11" fillId="0" borderId="3" xfId="64" applyFont="1" applyFill="1" applyBorder="1" applyAlignment="1" applyProtection="1">
      <alignment horizontal="center" vertical="center" wrapText="1"/>
      <protection hidden="1"/>
    </xf>
    <xf numFmtId="49" fontId="11" fillId="0" borderId="3" xfId="0" applyNumberFormat="1" applyFont="1" applyFill="1" applyBorder="1" applyAlignment="1">
      <alignment horizontal="center" vertical="center" wrapText="1"/>
    </xf>
    <xf numFmtId="187" fontId="10" fillId="0" borderId="3" xfId="0" applyNumberFormat="1" applyFont="1" applyFill="1" applyBorder="1" applyAlignment="1">
      <alignment horizontal="left" vertical="center" wrapText="1"/>
    </xf>
    <xf numFmtId="188" fontId="10" fillId="0" borderId="3" xfId="0" applyNumberFormat="1" applyFont="1" applyFill="1" applyBorder="1" applyAlignment="1">
      <alignment horizontal="left" vertical="center" wrapText="1"/>
    </xf>
    <xf numFmtId="186" fontId="10" fillId="0" borderId="3" xfId="0" applyNumberFormat="1" applyFont="1" applyFill="1" applyBorder="1" applyAlignment="1">
      <alignment horizontal="left" vertical="center" wrapText="1"/>
    </xf>
    <xf numFmtId="181" fontId="10" fillId="0" borderId="3" xfId="0" applyNumberFormat="1" applyFont="1" applyFill="1" applyBorder="1" applyAlignment="1">
      <alignment horizontal="center" vertical="center"/>
    </xf>
    <xf numFmtId="0" fontId="20" fillId="0" borderId="3" xfId="62"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34" fillId="0" borderId="3" xfId="0" applyFont="1" applyFill="1" applyBorder="1" applyAlignment="1">
      <alignment horizontal="center" vertical="center" wrapText="1"/>
    </xf>
    <xf numFmtId="0" fontId="2" fillId="0" borderId="3" xfId="57" applyFont="1" applyFill="1" applyBorder="1" applyAlignment="1">
      <alignment horizontal="center" vertical="center" wrapText="1"/>
    </xf>
    <xf numFmtId="0" fontId="17" fillId="0" borderId="3" xfId="0" applyNumberFormat="1" applyFont="1" applyFill="1" applyBorder="1" applyAlignment="1">
      <alignment vertical="center"/>
    </xf>
    <xf numFmtId="0" fontId="17" fillId="0" borderId="3" xfId="0" applyFont="1" applyFill="1" applyBorder="1" applyAlignment="1">
      <alignment vertical="center" wrapText="1"/>
    </xf>
    <xf numFmtId="0" fontId="34" fillId="0" borderId="0" xfId="0" applyFont="1" applyFill="1" applyBorder="1" applyAlignment="1">
      <alignment horizontal="center" vertical="center" wrapText="1"/>
    </xf>
    <xf numFmtId="179" fontId="29" fillId="0" borderId="0" xfId="0" applyNumberFormat="1" applyFont="1" applyFill="1" applyBorder="1" applyAlignment="1">
      <alignment horizontal="center" vertical="center"/>
    </xf>
    <xf numFmtId="181" fontId="29" fillId="0" borderId="0" xfId="0" applyNumberFormat="1" applyFont="1" applyFill="1" applyBorder="1" applyAlignment="1">
      <alignment horizontal="center" vertical="center"/>
    </xf>
    <xf numFmtId="0" fontId="17" fillId="0" borderId="3" xfId="0" applyNumberFormat="1" applyFont="1" applyFill="1" applyBorder="1" applyAlignment="1">
      <alignment vertical="center" wrapText="1"/>
    </xf>
    <xf numFmtId="0" fontId="2" fillId="0" borderId="0" xfId="0" applyNumberFormat="1" applyFont="1" applyFill="1" applyBorder="1" applyAlignment="1">
      <alignment horizontal="center" vertical="center" wrapText="1"/>
    </xf>
    <xf numFmtId="0" fontId="10" fillId="0" borderId="3" xfId="60" applyFont="1" applyFill="1" applyBorder="1" applyAlignment="1" applyProtection="1">
      <alignment horizontal="left" vertical="center" wrapText="1"/>
      <protection locked="0"/>
    </xf>
    <xf numFmtId="0" fontId="10" fillId="0" borderId="3" xfId="56" applyFont="1" applyFill="1" applyBorder="1" applyAlignment="1">
      <alignment horizontal="center"/>
    </xf>
    <xf numFmtId="0" fontId="10" fillId="0" borderId="2" xfId="0" applyFont="1" applyFill="1" applyBorder="1" applyAlignment="1">
      <alignment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3" xfId="55" applyFont="1" applyFill="1" applyBorder="1" applyAlignment="1">
      <alignment horizontal="center" vertical="center"/>
    </xf>
    <xf numFmtId="0" fontId="35" fillId="0" borderId="3" xfId="0" applyNumberFormat="1" applyFont="1" applyFill="1" applyBorder="1" applyAlignment="1">
      <alignment horizontal="center" vertical="center" wrapText="1"/>
    </xf>
    <xf numFmtId="0" fontId="36" fillId="0" borderId="0" xfId="0" applyNumberFormat="1" applyFont="1" applyFill="1" applyBorder="1" applyAlignment="1" applyProtection="1">
      <alignment vertical="center" wrapText="1"/>
      <protection locked="0"/>
    </xf>
    <xf numFmtId="0" fontId="27" fillId="0" borderId="0" xfId="0" applyFont="1" applyFill="1" applyBorder="1" applyAlignment="1" applyProtection="1">
      <alignment horizontal="center" vertical="center" wrapText="1"/>
      <protection locked="0"/>
    </xf>
    <xf numFmtId="0" fontId="28" fillId="0" borderId="0" xfId="0" applyFont="1" applyFill="1" applyBorder="1" applyAlignment="1">
      <alignment vertical="center"/>
    </xf>
    <xf numFmtId="0" fontId="27" fillId="0" borderId="0" xfId="0" applyNumberFormat="1" applyFont="1" applyFill="1" applyBorder="1" applyAlignment="1" applyProtection="1">
      <alignment vertical="center"/>
      <protection locked="0"/>
    </xf>
    <xf numFmtId="0" fontId="27" fillId="0" borderId="0" xfId="0" applyFont="1" applyFill="1" applyBorder="1" applyAlignment="1" applyProtection="1">
      <alignment horizontal="center" vertical="center"/>
      <protection locked="0"/>
    </xf>
    <xf numFmtId="0" fontId="27" fillId="0" borderId="0" xfId="0" applyFont="1" applyFill="1" applyBorder="1" applyAlignment="1" applyProtection="1">
      <alignment vertical="center" wrapText="1"/>
      <protection locked="0"/>
    </xf>
    <xf numFmtId="0" fontId="27" fillId="0" borderId="0" xfId="0" applyNumberFormat="1" applyFont="1" applyFill="1" applyBorder="1" applyAlignment="1" applyProtection="1">
      <alignment horizontal="center" vertical="center" wrapText="1"/>
      <protection locked="0"/>
    </xf>
    <xf numFmtId="178" fontId="27" fillId="0" borderId="0" xfId="0" applyNumberFormat="1" applyFont="1" applyFill="1" applyBorder="1" applyAlignment="1" applyProtection="1">
      <alignment horizontal="center" vertical="center" wrapText="1"/>
      <protection locked="0"/>
    </xf>
    <xf numFmtId="0" fontId="36" fillId="0" borderId="0" xfId="89" applyNumberFormat="1" applyFont="1" applyFill="1" applyBorder="1" applyAlignment="1" applyProtection="1">
      <alignment horizontal="left" vertical="center" wrapText="1"/>
      <protection locked="0"/>
    </xf>
    <xf numFmtId="0" fontId="36" fillId="0" borderId="0" xfId="89" applyNumberFormat="1" applyFont="1" applyFill="1" applyBorder="1" applyAlignment="1" applyProtection="1">
      <alignment horizontal="center" vertical="center"/>
      <protection locked="0"/>
    </xf>
    <xf numFmtId="0" fontId="36" fillId="0" borderId="0" xfId="89" applyNumberFormat="1"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protection locked="0"/>
    </xf>
    <xf numFmtId="0" fontId="36" fillId="0" borderId="0" xfId="89" applyNumberFormat="1" applyFont="1" applyFill="1" applyBorder="1" applyAlignment="1" applyProtection="1">
      <alignment horizontal="left" vertical="center"/>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wrapText="1"/>
      <protection locked="0"/>
    </xf>
    <xf numFmtId="0" fontId="27" fillId="0" borderId="3" xfId="0"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xf>
    <xf numFmtId="0" fontId="27" fillId="0" borderId="3" xfId="0" applyNumberFormat="1" applyFont="1" applyFill="1" applyBorder="1" applyAlignment="1" applyProtection="1">
      <alignment horizontal="center" vertical="center" wrapText="1"/>
    </xf>
    <xf numFmtId="0" fontId="27" fillId="0" borderId="3" xfId="0" applyFont="1" applyFill="1" applyBorder="1" applyAlignment="1" applyProtection="1">
      <alignment vertical="center" wrapText="1"/>
    </xf>
    <xf numFmtId="0" fontId="27" fillId="0" borderId="3" xfId="0" applyFont="1" applyFill="1" applyBorder="1" applyAlignment="1" applyProtection="1">
      <alignment horizontal="left" vertical="center" wrapText="1"/>
    </xf>
    <xf numFmtId="178" fontId="27" fillId="0" borderId="3" xfId="0" applyNumberFormat="1" applyFont="1" applyFill="1" applyBorder="1" applyAlignment="1" applyProtection="1">
      <alignment horizontal="center" vertical="center"/>
    </xf>
    <xf numFmtId="178" fontId="27" fillId="0" borderId="3"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horizontal="center" vertical="center" wrapText="1"/>
      <protection locked="0"/>
    </xf>
    <xf numFmtId="178" fontId="36" fillId="0" borderId="0" xfId="89" applyNumberFormat="1" applyFont="1" applyFill="1" applyBorder="1" applyAlignment="1" applyProtection="1">
      <alignment horizontal="center" vertical="center" wrapText="1"/>
      <protection locked="0"/>
    </xf>
    <xf numFmtId="178" fontId="37" fillId="0" borderId="0" xfId="0" applyNumberFormat="1" applyFont="1" applyFill="1" applyBorder="1" applyAlignment="1" applyProtection="1">
      <alignment horizontal="center" vertical="center" wrapText="1"/>
      <protection locked="0"/>
    </xf>
    <xf numFmtId="178" fontId="36" fillId="0" borderId="0" xfId="89" applyNumberFormat="1" applyFont="1" applyFill="1" applyBorder="1" applyAlignment="1" applyProtection="1">
      <alignment horizontal="left" vertical="center" wrapText="1"/>
      <protection locked="0"/>
    </xf>
    <xf numFmtId="178" fontId="36" fillId="0" borderId="3" xfId="89" applyNumberFormat="1" applyFont="1" applyFill="1" applyBorder="1" applyAlignment="1" applyProtection="1">
      <alignment horizontal="center" vertical="center" wrapText="1"/>
      <protection locked="0"/>
    </xf>
    <xf numFmtId="178" fontId="36" fillId="0" borderId="3" xfId="0" applyNumberFormat="1" applyFont="1" applyFill="1" applyBorder="1" applyAlignment="1" applyProtection="1">
      <alignment horizontal="center" vertical="center" wrapText="1"/>
      <protection locked="0"/>
    </xf>
    <xf numFmtId="0" fontId="36" fillId="0" borderId="3" xfId="89" applyNumberFormat="1" applyFont="1" applyFill="1" applyBorder="1" applyAlignment="1" applyProtection="1">
      <alignment horizontal="center" vertical="center" wrapText="1"/>
      <protection locked="0"/>
    </xf>
    <xf numFmtId="179" fontId="27" fillId="0" borderId="3"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xf>
    <xf numFmtId="0" fontId="27" fillId="0" borderId="3" xfId="72"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27" fillId="0" borderId="3" xfId="53" applyFont="1" applyFill="1" applyBorder="1" applyAlignment="1" applyProtection="1">
      <alignment vertical="center" wrapText="1"/>
    </xf>
    <xf numFmtId="0" fontId="27" fillId="0" borderId="3" xfId="0" applyFont="1" applyFill="1" applyBorder="1" applyAlignment="1" applyProtection="1">
      <alignment horizontal="center" vertical="center"/>
      <protection locked="0"/>
    </xf>
    <xf numFmtId="0" fontId="27" fillId="0" borderId="3" xfId="0" applyNumberFormat="1" applyFont="1" applyFill="1" applyBorder="1" applyAlignment="1" applyProtection="1">
      <alignment horizontal="center" vertical="center"/>
    </xf>
    <xf numFmtId="181" fontId="38" fillId="0" borderId="3" xfId="0" applyNumberFormat="1" applyFont="1" applyFill="1" applyBorder="1" applyAlignment="1" applyProtection="1">
      <alignment horizontal="center" vertical="center" wrapText="1"/>
    </xf>
    <xf numFmtId="0" fontId="27" fillId="0" borderId="3" xfId="0" applyFont="1" applyFill="1" applyBorder="1" applyAlignment="1" applyProtection="1">
      <alignment vertical="center" wrapText="1"/>
      <protection locked="0"/>
    </xf>
    <xf numFmtId="0" fontId="27" fillId="0" borderId="0"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27" fillId="0" borderId="3" xfId="0" applyFont="1" applyFill="1" applyBorder="1" applyAlignment="1" applyProtection="1">
      <alignment horizontal="left" vertical="center"/>
    </xf>
    <xf numFmtId="178" fontId="27" fillId="0" borderId="3" xfId="0" applyNumberFormat="1" applyFont="1" applyFill="1" applyBorder="1" applyAlignment="1" applyProtection="1">
      <alignment horizontal="left" vertical="center" wrapText="1"/>
    </xf>
    <xf numFmtId="179" fontId="27" fillId="0" borderId="3" xfId="0" applyNumberFormat="1" applyFont="1" applyFill="1" applyBorder="1" applyAlignment="1" applyProtection="1">
      <alignment horizontal="left" vertical="center" wrapText="1"/>
    </xf>
    <xf numFmtId="0" fontId="27" fillId="0" borderId="3" xfId="53" applyFont="1" applyFill="1" applyBorder="1" applyAlignment="1" applyProtection="1">
      <alignment horizontal="center" vertical="center" wrapText="1"/>
    </xf>
    <xf numFmtId="178" fontId="27" fillId="0" borderId="3" xfId="0" applyNumberFormat="1" applyFont="1" applyFill="1" applyBorder="1" applyAlignment="1" applyProtection="1">
      <alignment horizontal="center" vertical="center" wrapText="1"/>
      <protection locked="0"/>
    </xf>
    <xf numFmtId="0" fontId="27" fillId="0" borderId="3" xfId="53" applyNumberFormat="1" applyFont="1" applyFill="1" applyBorder="1" applyAlignment="1" applyProtection="1">
      <alignment vertical="center" wrapText="1"/>
    </xf>
    <xf numFmtId="0" fontId="27" fillId="0" borderId="3" xfId="53" applyFont="1" applyFill="1" applyBorder="1" applyAlignment="1" applyProtection="1">
      <alignment horizontal="center" vertical="center"/>
    </xf>
    <xf numFmtId="0" fontId="27" fillId="0" borderId="3" xfId="53" applyNumberFormat="1" applyFont="1" applyFill="1" applyBorder="1" applyAlignment="1" applyProtection="1">
      <alignment horizontal="center" vertical="center" wrapText="1"/>
    </xf>
    <xf numFmtId="0" fontId="27" fillId="0" borderId="0" xfId="0" applyFont="1" applyFill="1" applyBorder="1" applyAlignment="1" applyProtection="1">
      <alignment horizontal="left" vertical="center" wrapText="1"/>
      <protection locked="0"/>
    </xf>
    <xf numFmtId="0" fontId="27" fillId="0" borderId="0" xfId="0" applyFont="1" applyFill="1" applyBorder="1" applyAlignment="1" applyProtection="1">
      <alignment horizontal="left" vertical="center"/>
      <protection locked="0"/>
    </xf>
    <xf numFmtId="0" fontId="27" fillId="0" borderId="0" xfId="0" applyNumberFormat="1" applyFont="1" applyFill="1" applyBorder="1" applyAlignment="1" applyProtection="1">
      <alignment horizontal="left" vertical="center" wrapText="1"/>
      <protection locked="0"/>
    </xf>
    <xf numFmtId="0" fontId="27" fillId="0" borderId="0" xfId="0" applyFont="1" applyFill="1" applyBorder="1" applyAlignment="1" applyProtection="1">
      <alignment vertical="center"/>
      <protection locked="0"/>
    </xf>
    <xf numFmtId="178" fontId="27" fillId="0" borderId="3" xfId="53" applyNumberFormat="1" applyFont="1" applyFill="1" applyBorder="1" applyAlignment="1" applyProtection="1">
      <alignment horizontal="center" vertical="center" wrapText="1"/>
    </xf>
    <xf numFmtId="178" fontId="27" fillId="0" borderId="0" xfId="0" applyNumberFormat="1" applyFont="1" applyFill="1" applyBorder="1" applyAlignment="1" applyProtection="1">
      <alignment horizontal="left" vertical="center" wrapText="1"/>
      <protection locked="0"/>
    </xf>
    <xf numFmtId="178" fontId="27" fillId="0" borderId="0" xfId="0" applyNumberFormat="1" applyFont="1" applyFill="1" applyBorder="1" applyAlignment="1" applyProtection="1">
      <alignment vertical="center" wrapText="1"/>
      <protection locked="0"/>
    </xf>
    <xf numFmtId="0" fontId="39" fillId="0" borderId="0" xfId="0" applyFont="1" applyFill="1" applyBorder="1" applyAlignment="1">
      <alignment vertical="center"/>
    </xf>
    <xf numFmtId="0" fontId="40" fillId="0" borderId="0" xfId="0" applyFont="1" applyFill="1" applyBorder="1" applyAlignment="1">
      <alignment vertical="center"/>
    </xf>
    <xf numFmtId="0" fontId="26" fillId="0" borderId="0" xfId="0" applyFont="1" applyFill="1" applyBorder="1" applyAlignment="1">
      <alignment vertical="center"/>
    </xf>
    <xf numFmtId="0" fontId="26" fillId="0" borderId="0" xfId="0" applyNumberFormat="1" applyFont="1" applyFill="1" applyBorder="1" applyAlignment="1">
      <alignment vertical="center"/>
    </xf>
    <xf numFmtId="0" fontId="41" fillId="0" borderId="0" xfId="0" applyFont="1" applyFill="1" applyBorder="1" applyAlignment="1">
      <alignment vertical="center"/>
    </xf>
    <xf numFmtId="0" fontId="19" fillId="0" borderId="0" xfId="0" applyFont="1" applyFill="1" applyBorder="1" applyAlignment="1">
      <alignment vertical="center" wrapText="1"/>
    </xf>
    <xf numFmtId="0" fontId="26" fillId="0" borderId="0" xfId="0" applyFont="1" applyFill="1" applyAlignment="1">
      <alignment vertical="center"/>
    </xf>
    <xf numFmtId="0" fontId="42" fillId="0" borderId="0" xfId="0" applyFont="1" applyFill="1" applyBorder="1" applyAlignment="1">
      <alignment horizontal="center" vertical="center"/>
    </xf>
    <xf numFmtId="0" fontId="43" fillId="0" borderId="0" xfId="0" applyFont="1" applyFill="1" applyBorder="1" applyAlignment="1">
      <alignment horizontal="center" vertical="center" wrapText="1"/>
    </xf>
    <xf numFmtId="0" fontId="42" fillId="0" borderId="0" xfId="0" applyFont="1" applyFill="1" applyBorder="1" applyAlignment="1">
      <alignment vertical="center"/>
    </xf>
    <xf numFmtId="0" fontId="2" fillId="0" borderId="0" xfId="89" applyFont="1" applyFill="1" applyBorder="1" applyAlignment="1">
      <alignment horizontal="left" vertical="center" wrapText="1"/>
    </xf>
    <xf numFmtId="0" fontId="42" fillId="0" borderId="0" xfId="89" applyFont="1" applyFill="1" applyBorder="1" applyAlignment="1">
      <alignment horizontal="center" vertical="center" wrapText="1"/>
    </xf>
    <xf numFmtId="0" fontId="44"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23" fillId="0" borderId="1" xfId="89" applyFont="1" applyFill="1" applyBorder="1" applyAlignment="1">
      <alignment horizontal="left" vertical="center" wrapText="1"/>
    </xf>
    <xf numFmtId="0" fontId="43" fillId="0" borderId="3" xfId="0" applyFont="1" applyFill="1" applyBorder="1" applyAlignment="1">
      <alignment horizontal="center" vertical="center"/>
    </xf>
    <xf numFmtId="0" fontId="43" fillId="0" borderId="6"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6" fillId="0" borderId="3"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43" fillId="0" borderId="3" xfId="89" applyFont="1" applyFill="1" applyBorder="1" applyAlignment="1">
      <alignment horizontal="center" vertical="center" wrapText="1"/>
    </xf>
    <xf numFmtId="0" fontId="43" fillId="0" borderId="3" xfId="0" applyNumberFormat="1" applyFont="1" applyFill="1" applyBorder="1" applyAlignment="1">
      <alignment horizontal="center" vertical="center" wrapText="1"/>
    </xf>
    <xf numFmtId="189" fontId="19" fillId="0" borderId="3" xfId="0" applyNumberFormat="1" applyFont="1" applyFill="1" applyBorder="1" applyAlignment="1">
      <alignment horizontal="center" vertical="center" wrapText="1"/>
    </xf>
    <xf numFmtId="177" fontId="19" fillId="0" borderId="3" xfId="0" applyNumberFormat="1" applyFont="1" applyFill="1" applyBorder="1" applyAlignment="1">
      <alignment horizontal="center" vertical="center" wrapText="1"/>
    </xf>
    <xf numFmtId="179" fontId="26" fillId="0" borderId="3" xfId="0" applyNumberFormat="1" applyFont="1" applyFill="1" applyBorder="1" applyAlignment="1">
      <alignment horizontal="center" vertical="center" wrapText="1"/>
    </xf>
    <xf numFmtId="181" fontId="26" fillId="0" borderId="3" xfId="0" applyNumberFormat="1" applyFont="1" applyFill="1" applyBorder="1" applyAlignment="1">
      <alignment horizontal="center" vertical="center" wrapText="1"/>
    </xf>
    <xf numFmtId="180" fontId="26" fillId="0" borderId="3" xfId="0" applyNumberFormat="1" applyFont="1" applyFill="1" applyBorder="1" applyAlignment="1">
      <alignment horizontal="center" vertical="center" wrapText="1"/>
    </xf>
    <xf numFmtId="180" fontId="19" fillId="0" borderId="3" xfId="0" applyNumberFormat="1" applyFont="1" applyFill="1" applyBorder="1" applyAlignment="1">
      <alignment horizontal="center" vertical="center" wrapText="1"/>
    </xf>
    <xf numFmtId="189" fontId="26" fillId="0" borderId="3" xfId="0" applyNumberFormat="1" applyFont="1" applyFill="1" applyBorder="1" applyAlignment="1">
      <alignment horizontal="center" vertical="center" wrapText="1"/>
    </xf>
    <xf numFmtId="179" fontId="20" fillId="0" borderId="3" xfId="0" applyNumberFormat="1" applyFont="1" applyFill="1" applyBorder="1" applyAlignment="1">
      <alignment horizontal="center" vertical="center" wrapText="1"/>
    </xf>
    <xf numFmtId="188" fontId="26" fillId="0" borderId="3" xfId="0" applyNumberFormat="1" applyFont="1" applyFill="1" applyBorder="1" applyAlignment="1">
      <alignment horizontal="center" vertical="center" wrapText="1"/>
    </xf>
    <xf numFmtId="177" fontId="26" fillId="0" borderId="3" xfId="0" applyNumberFormat="1" applyFont="1" applyFill="1" applyBorder="1" applyAlignment="1">
      <alignment horizontal="center" vertical="center" wrapText="1"/>
    </xf>
    <xf numFmtId="180" fontId="20" fillId="0" borderId="3" xfId="0" applyNumberFormat="1" applyFont="1" applyFill="1" applyBorder="1" applyAlignment="1">
      <alignment horizontal="center" vertical="center" wrapText="1"/>
    </xf>
    <xf numFmtId="188" fontId="20" fillId="0" borderId="3" xfId="0" applyNumberFormat="1" applyFont="1" applyFill="1" applyBorder="1" applyAlignment="1">
      <alignment horizontal="center" vertical="center" wrapText="1"/>
    </xf>
    <xf numFmtId="189" fontId="20" fillId="0" borderId="3" xfId="0"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0" fontId="39" fillId="0" borderId="0" xfId="89" applyFont="1" applyFill="1" applyBorder="1" applyAlignment="1">
      <alignment vertical="center" wrapText="1"/>
    </xf>
    <xf numFmtId="0" fontId="43" fillId="0" borderId="9" xfId="89" applyFont="1" applyFill="1" applyBorder="1" applyAlignment="1">
      <alignment horizontal="center" vertical="center" wrapText="1"/>
    </xf>
    <xf numFmtId="0" fontId="18" fillId="0" borderId="0" xfId="0" applyNumberFormat="1" applyFont="1" applyFill="1" applyBorder="1" applyAlignment="1">
      <alignment vertical="center"/>
    </xf>
    <xf numFmtId="0" fontId="9" fillId="0" borderId="3" xfId="0" applyFont="1" applyFill="1" applyBorder="1" applyAlignment="1">
      <alignment horizontal="left" vertical="center" wrapText="1"/>
    </xf>
    <xf numFmtId="0" fontId="43" fillId="0" borderId="10" xfId="89" applyFont="1" applyFill="1" applyBorder="1" applyAlignment="1">
      <alignment horizontal="center" vertical="center" wrapText="1"/>
    </xf>
    <xf numFmtId="0" fontId="43" fillId="0" borderId="11" xfId="89" applyFont="1" applyFill="1" applyBorder="1" applyAlignment="1">
      <alignment horizontal="center" vertical="center" wrapText="1"/>
    </xf>
    <xf numFmtId="0" fontId="43" fillId="0" borderId="7" xfId="89"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0" xfId="0" applyFont="1" applyFill="1" applyBorder="1" applyAlignment="1">
      <alignment horizontal="center" vertical="center" wrapText="1"/>
    </xf>
    <xf numFmtId="180" fontId="1" fillId="0" borderId="0" xfId="0" applyNumberFormat="1" applyFont="1" applyFill="1" applyBorder="1" applyAlignment="1">
      <alignment vertical="center"/>
    </xf>
    <xf numFmtId="0" fontId="25" fillId="0" borderId="3" xfId="0" applyFont="1" applyFill="1" applyBorder="1" applyAlignment="1">
      <alignment horizontal="center" vertical="center" wrapText="1"/>
    </xf>
    <xf numFmtId="0" fontId="25" fillId="0" borderId="0" xfId="0" applyFont="1" applyFill="1" applyBorder="1" applyAlignment="1">
      <alignment horizontal="center" vertical="center" wrapText="1"/>
    </xf>
    <xf numFmtId="190" fontId="40" fillId="0" borderId="0" xfId="0" applyNumberFormat="1" applyFont="1" applyFill="1" applyBorder="1" applyAlignment="1">
      <alignment vertical="center"/>
    </xf>
    <xf numFmtId="0" fontId="20" fillId="0" borderId="3" xfId="0" applyFont="1" applyFill="1" applyBorder="1" applyAlignment="1">
      <alignment horizontal="left" vertical="center" wrapText="1"/>
    </xf>
    <xf numFmtId="0" fontId="39" fillId="0" borderId="0" xfId="0" applyNumberFormat="1" applyFont="1" applyFill="1" applyBorder="1" applyAlignment="1">
      <alignment vertical="center"/>
    </xf>
    <xf numFmtId="177" fontId="39" fillId="0" borderId="0" xfId="0" applyNumberFormat="1" applyFont="1" applyFill="1" applyBorder="1" applyAlignment="1">
      <alignment vertical="center"/>
    </xf>
    <xf numFmtId="180" fontId="40" fillId="0" borderId="0" xfId="0" applyNumberFormat="1" applyFont="1" applyFill="1" applyBorder="1" applyAlignment="1">
      <alignment vertical="center"/>
    </xf>
    <xf numFmtId="179" fontId="40" fillId="0" borderId="0" xfId="0" applyNumberFormat="1" applyFont="1" applyFill="1" applyBorder="1" applyAlignment="1">
      <alignment vertical="center"/>
    </xf>
    <xf numFmtId="0" fontId="11" fillId="0" borderId="3" xfId="53" applyFont="1" applyFill="1" applyBorder="1" applyAlignment="1" applyProtection="1">
      <alignment horizontal="center" vertical="center" wrapText="1"/>
      <protection locked="0"/>
    </xf>
    <xf numFmtId="190" fontId="26" fillId="0" borderId="3" xfId="0" applyNumberFormat="1" applyFont="1" applyFill="1" applyBorder="1" applyAlignment="1">
      <alignment horizontal="center" vertical="center" wrapText="1"/>
    </xf>
    <xf numFmtId="177" fontId="20" fillId="0" borderId="3" xfId="0" applyNumberFormat="1" applyFont="1" applyFill="1" applyBorder="1" applyAlignment="1">
      <alignment horizontal="center" vertical="center" wrapText="1"/>
    </xf>
    <xf numFmtId="177" fontId="25" fillId="0" borderId="3" xfId="0" applyNumberFormat="1" applyFont="1" applyFill="1" applyBorder="1" applyAlignment="1">
      <alignment horizontal="center" vertical="center" wrapText="1"/>
    </xf>
    <xf numFmtId="178" fontId="19" fillId="0" borderId="3" xfId="0" applyNumberFormat="1" applyFont="1" applyFill="1" applyBorder="1" applyAlignment="1">
      <alignment horizontal="center" vertical="center" wrapText="1"/>
    </xf>
    <xf numFmtId="180" fontId="29" fillId="0" borderId="3" xfId="0" applyNumberFormat="1" applyFont="1" applyFill="1" applyBorder="1" applyAlignment="1">
      <alignment horizontal="center" vertical="center" wrapText="1"/>
    </xf>
    <xf numFmtId="179" fontId="29" fillId="0" borderId="3" xfId="0" applyNumberFormat="1" applyFont="1" applyFill="1" applyBorder="1" applyAlignment="1">
      <alignment horizontal="center" vertical="center" wrapText="1"/>
    </xf>
    <xf numFmtId="179" fontId="20" fillId="0" borderId="3" xfId="0" applyNumberFormat="1" applyFont="1" applyFill="1" applyBorder="1" applyAlignment="1">
      <alignment horizontal="left" vertical="center" wrapText="1"/>
    </xf>
    <xf numFmtId="178" fontId="19" fillId="0" borderId="3" xfId="0" applyNumberFormat="1" applyFont="1" applyFill="1" applyBorder="1" applyAlignment="1">
      <alignment horizontal="left" vertical="center" wrapText="1"/>
    </xf>
    <xf numFmtId="178" fontId="19" fillId="0" borderId="0" xfId="0" applyNumberFormat="1" applyFont="1" applyFill="1" applyBorder="1" applyAlignment="1">
      <alignment horizontal="center" vertical="center" wrapText="1"/>
    </xf>
    <xf numFmtId="0" fontId="10" fillId="0" borderId="3" xfId="53" applyFont="1" applyFill="1" applyBorder="1" applyAlignment="1" applyProtection="1">
      <alignment horizontal="center" vertical="center" wrapText="1"/>
      <protection locked="0"/>
    </xf>
    <xf numFmtId="188" fontId="2" fillId="0" borderId="3" xfId="0" applyNumberFormat="1" applyFont="1" applyFill="1" applyBorder="1">
      <alignment vertical="center"/>
    </xf>
    <xf numFmtId="0" fontId="26" fillId="0" borderId="3" xfId="0" applyFont="1" applyFill="1" applyBorder="1" applyAlignment="1">
      <alignment horizontal="center" vertical="center"/>
    </xf>
    <xf numFmtId="179" fontId="20" fillId="0" borderId="3" xfId="0" applyNumberFormat="1" applyFont="1" applyFill="1" applyBorder="1" applyAlignment="1">
      <alignment horizontal="center" vertical="center" shrinkToFit="1"/>
    </xf>
    <xf numFmtId="0" fontId="19" fillId="0" borderId="3" xfId="53" applyFont="1" applyFill="1" applyBorder="1" applyAlignment="1" applyProtection="1">
      <alignment horizontal="center" vertical="center" wrapText="1"/>
      <protection locked="0"/>
    </xf>
    <xf numFmtId="191" fontId="26" fillId="0" borderId="3" xfId="0" applyNumberFormat="1" applyFont="1" applyFill="1" applyBorder="1" applyAlignment="1">
      <alignment horizontal="center" vertical="center" wrapText="1"/>
    </xf>
    <xf numFmtId="181" fontId="26" fillId="0" borderId="3" xfId="0" applyNumberFormat="1" applyFont="1" applyFill="1" applyBorder="1" applyAlignment="1">
      <alignment horizontal="center" vertical="center"/>
    </xf>
    <xf numFmtId="181" fontId="29" fillId="0" borderId="3" xfId="0" applyNumberFormat="1" applyFont="1" applyFill="1" applyBorder="1" applyAlignment="1">
      <alignment horizontal="center" vertical="center" wrapText="1"/>
    </xf>
    <xf numFmtId="192" fontId="19" fillId="0" borderId="3" xfId="0" applyNumberFormat="1" applyFont="1" applyFill="1" applyBorder="1" applyAlignment="1">
      <alignment horizontal="center" vertical="center" wrapText="1"/>
    </xf>
    <xf numFmtId="188" fontId="26" fillId="0" borderId="3" xfId="0" applyNumberFormat="1" applyFont="1" applyFill="1" applyBorder="1" applyAlignment="1">
      <alignment horizontal="center" vertical="center"/>
    </xf>
    <xf numFmtId="193" fontId="19" fillId="0" borderId="3" xfId="0" applyNumberFormat="1" applyFont="1" applyFill="1" applyBorder="1" applyAlignment="1">
      <alignment horizontal="center" vertical="center" wrapText="1"/>
    </xf>
    <xf numFmtId="179" fontId="2" fillId="0" borderId="3" xfId="0" applyNumberFormat="1" applyFont="1" applyFill="1" applyBorder="1" applyAlignment="1">
      <alignment horizontal="center" vertical="center"/>
    </xf>
    <xf numFmtId="190" fontId="2" fillId="0" borderId="3" xfId="0" applyNumberFormat="1" applyFont="1" applyFill="1" applyBorder="1" applyAlignment="1">
      <alignment horizontal="center" vertical="center"/>
    </xf>
    <xf numFmtId="180" fontId="26" fillId="0" borderId="3"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9" fontId="26" fillId="0" borderId="3" xfId="0" applyNumberFormat="1" applyFont="1" applyFill="1" applyBorder="1" applyAlignment="1">
      <alignment horizontal="center" vertical="center"/>
    </xf>
    <xf numFmtId="179" fontId="20" fillId="0" borderId="3" xfId="0" applyNumberFormat="1" applyFont="1" applyFill="1" applyBorder="1" applyAlignment="1">
      <alignment horizontal="left" vertical="center" shrinkToFit="1"/>
    </xf>
    <xf numFmtId="0" fontId="19" fillId="0" borderId="3" xfId="0" applyFont="1" applyFill="1" applyBorder="1" applyAlignment="1">
      <alignment horizontal="left" vertical="center" wrapText="1"/>
    </xf>
    <xf numFmtId="0" fontId="19" fillId="0" borderId="3" xfId="53" applyFont="1" applyFill="1" applyBorder="1" applyAlignment="1" applyProtection="1">
      <alignment horizontal="left" vertical="center" wrapText="1"/>
      <protection locked="0"/>
    </xf>
    <xf numFmtId="0" fontId="26" fillId="0" borderId="3" xfId="0" applyFont="1" applyFill="1" applyBorder="1" applyAlignment="1">
      <alignment vertical="center"/>
    </xf>
    <xf numFmtId="0" fontId="25" fillId="0" borderId="0" xfId="0" applyNumberFormat="1" applyFont="1" applyFill="1" applyBorder="1" applyAlignment="1">
      <alignment horizontal="center" vertical="center" wrapText="1"/>
    </xf>
    <xf numFmtId="0" fontId="48" fillId="0" borderId="3" xfId="0" applyFont="1" applyFill="1" applyBorder="1" applyAlignment="1">
      <alignment horizontal="center" vertical="center" wrapText="1"/>
    </xf>
    <xf numFmtId="188" fontId="19" fillId="0" borderId="3" xfId="0" applyNumberFormat="1" applyFont="1" applyFill="1" applyBorder="1" applyAlignment="1">
      <alignment horizontal="center" vertical="center" wrapText="1"/>
    </xf>
    <xf numFmtId="181" fontId="19" fillId="0" borderId="3" xfId="0" applyNumberFormat="1" applyFont="1" applyFill="1" applyBorder="1" applyAlignment="1">
      <alignment horizontal="center" vertical="center" wrapText="1"/>
    </xf>
    <xf numFmtId="180" fontId="48" fillId="0" borderId="3" xfId="0" applyNumberFormat="1" applyFont="1" applyFill="1" applyBorder="1" applyAlignment="1">
      <alignment horizontal="center" vertical="center" wrapText="1"/>
    </xf>
    <xf numFmtId="0" fontId="48" fillId="0" borderId="3" xfId="0" applyNumberFormat="1" applyFont="1" applyFill="1" applyBorder="1" applyAlignment="1">
      <alignment horizontal="center" vertical="center" wrapText="1"/>
    </xf>
    <xf numFmtId="189" fontId="26" fillId="0" borderId="3" xfId="0" applyNumberFormat="1" applyFont="1" applyFill="1" applyBorder="1" applyAlignment="1">
      <alignment horizontal="center" vertical="center"/>
    </xf>
    <xf numFmtId="0" fontId="25" fillId="0" borderId="3" xfId="0" applyNumberFormat="1" applyFont="1" applyFill="1" applyBorder="1" applyAlignment="1">
      <alignment horizontal="center" vertical="center" wrapText="1"/>
    </xf>
    <xf numFmtId="0" fontId="49" fillId="0" borderId="3" xfId="0" applyNumberFormat="1" applyFont="1" applyFill="1" applyBorder="1" applyAlignment="1">
      <alignment horizontal="left" vertical="center" wrapText="1"/>
    </xf>
    <xf numFmtId="0" fontId="35" fillId="0" borderId="3" xfId="0" applyNumberFormat="1" applyFont="1" applyFill="1" applyBorder="1" applyAlignment="1">
      <alignment horizontal="left" vertical="center" wrapText="1"/>
    </xf>
    <xf numFmtId="0" fontId="50" fillId="0" borderId="3" xfId="0" applyNumberFormat="1" applyFont="1" applyFill="1" applyBorder="1" applyAlignment="1">
      <alignment horizontal="left" vertical="center" wrapText="1"/>
    </xf>
    <xf numFmtId="0" fontId="19" fillId="0" borderId="3" xfId="53" applyNumberFormat="1" applyFont="1" applyFill="1" applyBorder="1" applyAlignment="1" applyProtection="1">
      <alignment horizontal="center" vertical="center" wrapText="1"/>
      <protection locked="0"/>
    </xf>
    <xf numFmtId="0" fontId="19" fillId="0" borderId="3" xfId="0" applyFont="1" applyFill="1" applyBorder="1" applyAlignment="1">
      <alignment horizontal="center" vertical="center"/>
    </xf>
    <xf numFmtId="0" fontId="18" fillId="0" borderId="3" xfId="53" applyFont="1" applyFill="1" applyBorder="1" applyAlignment="1" applyProtection="1">
      <alignment horizontal="center" vertical="center" wrapText="1"/>
      <protection locked="0"/>
    </xf>
    <xf numFmtId="0" fontId="42" fillId="0" borderId="0" xfId="0" applyFont="1" applyFill="1" applyBorder="1" applyAlignment="1">
      <alignment horizontal="left" vertical="center"/>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0" fontId="29" fillId="0" borderId="3" xfId="53" applyFont="1" applyFill="1" applyBorder="1" applyAlignment="1" applyProtection="1">
      <alignment horizontal="center" vertical="center" wrapText="1"/>
      <protection locked="0"/>
    </xf>
    <xf numFmtId="0" fontId="17" fillId="0" borderId="0" xfId="0" applyNumberFormat="1" applyFont="1" applyFill="1" applyBorder="1" applyAlignment="1">
      <alignment horizontal="center" vertical="center" wrapText="1"/>
    </xf>
    <xf numFmtId="179"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26" fillId="0" borderId="3" xfId="0" applyFont="1" applyFill="1" applyBorder="1" applyAlignment="1">
      <alignment horizontal="left" vertical="center"/>
    </xf>
    <xf numFmtId="0" fontId="2" fillId="0" borderId="0" xfId="0" applyNumberFormat="1" applyFont="1" applyFill="1" applyBorder="1" applyAlignment="1">
      <alignment horizontal="center" vertical="center"/>
    </xf>
    <xf numFmtId="0" fontId="23" fillId="0" borderId="0" xfId="89" applyFont="1" applyFill="1" applyBorder="1" applyAlignment="1">
      <alignment vertical="center" wrapText="1"/>
    </xf>
    <xf numFmtId="0" fontId="10" fillId="0" borderId="7" xfId="0" applyFont="1" applyFill="1" applyBorder="1" applyAlignment="1">
      <alignment horizontal="center" vertical="center" wrapText="1"/>
    </xf>
    <xf numFmtId="0" fontId="2" fillId="0" borderId="0" xfId="89"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18" fillId="0" borderId="0" xfId="89" applyNumberFormat="1" applyFont="1" applyFill="1" applyBorder="1" applyAlignment="1">
      <alignment horizontal="left" vertical="center" wrapText="1"/>
    </xf>
    <xf numFmtId="178" fontId="17" fillId="0" borderId="3" xfId="0" applyNumberFormat="1" applyFont="1" applyFill="1" applyBorder="1" applyAlignment="1">
      <alignment vertical="center" wrapText="1"/>
    </xf>
    <xf numFmtId="179" fontId="10" fillId="0" borderId="7" xfId="0" applyNumberFormat="1" applyFont="1" applyFill="1" applyBorder="1" applyAlignment="1">
      <alignment horizontal="center" vertical="center" wrapText="1"/>
    </xf>
    <xf numFmtId="179" fontId="10" fillId="0" borderId="3" xfId="0" applyNumberFormat="1" applyFont="1" applyFill="1" applyBorder="1" applyAlignment="1">
      <alignment horizontal="center" vertical="center"/>
    </xf>
    <xf numFmtId="177" fontId="10" fillId="0" borderId="3" xfId="0" applyNumberFormat="1" applyFont="1" applyFill="1" applyBorder="1" applyAlignment="1">
      <alignment horizontal="center" vertical="center" wrapText="1"/>
    </xf>
    <xf numFmtId="0" fontId="26" fillId="0" borderId="3" xfId="0" applyNumberFormat="1" applyFont="1" applyFill="1" applyBorder="1" applyAlignment="1" applyProtection="1">
      <alignment horizontal="center" vertical="center" wrapText="1"/>
    </xf>
    <xf numFmtId="0" fontId="27" fillId="0" borderId="3" xfId="0" applyFont="1" applyFill="1" applyBorder="1" applyAlignment="1">
      <alignment horizontal="center" vertical="center"/>
    </xf>
    <xf numFmtId="179" fontId="28" fillId="0" borderId="3" xfId="0" applyNumberFormat="1" applyFont="1" applyFill="1" applyBorder="1" applyAlignment="1">
      <alignment horizontal="center" vertical="center"/>
    </xf>
    <xf numFmtId="0" fontId="17" fillId="0" borderId="3" xfId="91" applyFont="1" applyFill="1" applyBorder="1" applyAlignment="1">
      <alignment horizontal="center" vertical="center" wrapText="1"/>
    </xf>
    <xf numFmtId="0" fontId="17" fillId="0" borderId="3" xfId="91" applyFont="1" applyFill="1" applyBorder="1" applyAlignment="1">
      <alignment horizontal="center" vertical="center"/>
    </xf>
    <xf numFmtId="179" fontId="27" fillId="0" borderId="3" xfId="0" applyNumberFormat="1" applyFont="1" applyFill="1" applyBorder="1" applyAlignment="1">
      <alignment horizontal="center" vertical="center"/>
    </xf>
    <xf numFmtId="179" fontId="25" fillId="0" borderId="3" xfId="91" applyNumberFormat="1" applyFont="1" applyFill="1" applyBorder="1" applyAlignment="1">
      <alignment horizontal="center" vertical="center"/>
    </xf>
    <xf numFmtId="0" fontId="51" fillId="0" borderId="3" xfId="0" applyFont="1" applyFill="1" applyBorder="1" applyAlignment="1">
      <alignment horizontal="center" vertical="center" wrapText="1"/>
    </xf>
    <xf numFmtId="0" fontId="2" fillId="0" borderId="3" xfId="0" applyNumberFormat="1" applyFont="1" applyFill="1" applyBorder="1" applyAlignment="1">
      <alignment vertical="center" wrapText="1"/>
    </xf>
    <xf numFmtId="179" fontId="2" fillId="0" borderId="3" xfId="0" applyNumberFormat="1" applyFont="1" applyFill="1" applyBorder="1" applyAlignment="1" applyProtection="1">
      <alignment horizontal="left" vertical="center" wrapText="1"/>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wrapText="1"/>
    </xf>
    <xf numFmtId="0" fontId="2" fillId="0" borderId="3" xfId="0" applyNumberFormat="1" applyFont="1" applyFill="1" applyBorder="1" applyAlignment="1" applyProtection="1">
      <alignment horizontal="left" vertical="center" wrapText="1"/>
    </xf>
    <xf numFmtId="180" fontId="28" fillId="0" borderId="0" xfId="0" applyNumberFormat="1" applyFont="1" applyFill="1" applyBorder="1" applyAlignment="1">
      <alignment horizontal="left" vertical="center"/>
    </xf>
    <xf numFmtId="0" fontId="28" fillId="0" borderId="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188" fontId="28" fillId="0" borderId="0" xfId="0" applyNumberFormat="1" applyFont="1" applyFill="1" applyBorder="1" applyAlignment="1">
      <alignment horizontal="center" vertical="center"/>
    </xf>
    <xf numFmtId="180" fontId="28" fillId="0" borderId="0" xfId="0" applyNumberFormat="1" applyFont="1" applyFill="1" applyBorder="1" applyAlignment="1">
      <alignment horizontal="center" vertical="center"/>
    </xf>
    <xf numFmtId="177" fontId="28" fillId="0" borderId="0" xfId="0" applyNumberFormat="1" applyFont="1" applyFill="1" applyBorder="1" applyAlignment="1">
      <alignment horizontal="left" vertical="center"/>
    </xf>
    <xf numFmtId="0" fontId="28" fillId="0" borderId="3" xfId="0" applyFont="1" applyFill="1" applyBorder="1" applyAlignment="1">
      <alignment horizontal="left" vertical="center"/>
    </xf>
    <xf numFmtId="0" fontId="28" fillId="0" borderId="0" xfId="89" applyFont="1" applyFill="1" applyBorder="1" applyAlignment="1">
      <alignment horizontal="left" vertical="center" wrapText="1"/>
    </xf>
    <xf numFmtId="0" fontId="28" fillId="0" borderId="0" xfId="89" applyFont="1" applyFill="1" applyBorder="1" applyAlignment="1">
      <alignment horizontal="center" vertical="center" wrapText="1"/>
    </xf>
    <xf numFmtId="0" fontId="52" fillId="0" borderId="0" xfId="0" applyFont="1" applyFill="1" applyAlignment="1">
      <alignment horizontal="center" vertical="center" wrapText="1"/>
    </xf>
    <xf numFmtId="0" fontId="28" fillId="0" borderId="1" xfId="89" applyFont="1" applyFill="1" applyBorder="1" applyAlignment="1">
      <alignment horizontal="left" vertical="center" wrapText="1"/>
    </xf>
    <xf numFmtId="0" fontId="28" fillId="0" borderId="1" xfId="89" applyFont="1" applyFill="1" applyBorder="1" applyAlignment="1">
      <alignment horizontal="center" vertical="center" wrapText="1"/>
    </xf>
    <xf numFmtId="0" fontId="28" fillId="0" borderId="2"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7" xfId="0" applyFont="1" applyFill="1" applyBorder="1" applyAlignment="1">
      <alignment horizontal="left" vertical="center" wrapText="1"/>
    </xf>
    <xf numFmtId="180" fontId="28" fillId="0" borderId="3" xfId="0" applyNumberFormat="1" applyFont="1" applyFill="1" applyBorder="1" applyAlignment="1">
      <alignment horizontal="left" vertical="center" wrapText="1"/>
    </xf>
    <xf numFmtId="180" fontId="28" fillId="0" borderId="3" xfId="0" applyNumberFormat="1" applyFont="1" applyFill="1" applyBorder="1" applyAlignment="1">
      <alignment horizontal="center" vertical="center" wrapText="1"/>
    </xf>
    <xf numFmtId="181" fontId="28" fillId="0" borderId="3" xfId="0" applyNumberFormat="1" applyFont="1" applyFill="1" applyBorder="1" applyAlignment="1">
      <alignment horizontal="left" vertical="center" wrapText="1"/>
    </xf>
    <xf numFmtId="181" fontId="28" fillId="0" borderId="3" xfId="0" applyNumberFormat="1" applyFont="1" applyFill="1" applyBorder="1" applyAlignment="1">
      <alignment horizontal="center" vertical="center" wrapText="1"/>
    </xf>
    <xf numFmtId="188" fontId="28" fillId="0" borderId="0" xfId="89" applyNumberFormat="1" applyFont="1" applyFill="1" applyBorder="1" applyAlignment="1">
      <alignment horizontal="center" vertical="center" wrapText="1"/>
    </xf>
    <xf numFmtId="180" fontId="28" fillId="0" borderId="0" xfId="89" applyNumberFormat="1" applyFont="1" applyFill="1" applyBorder="1" applyAlignment="1">
      <alignment horizontal="center" vertical="center" wrapText="1"/>
    </xf>
    <xf numFmtId="188" fontId="28" fillId="0" borderId="1" xfId="89" applyNumberFormat="1" applyFont="1" applyFill="1" applyBorder="1" applyAlignment="1">
      <alignment horizontal="center" vertical="center" wrapText="1"/>
    </xf>
    <xf numFmtId="180" fontId="28" fillId="0" borderId="1" xfId="89" applyNumberFormat="1" applyFont="1" applyFill="1" applyBorder="1" applyAlignment="1">
      <alignment horizontal="center" vertical="center" wrapText="1"/>
    </xf>
    <xf numFmtId="188" fontId="28" fillId="0" borderId="3" xfId="89" applyNumberFormat="1" applyFont="1" applyFill="1" applyBorder="1" applyAlignment="1">
      <alignment horizontal="center" vertical="center" wrapText="1"/>
    </xf>
    <xf numFmtId="180" fontId="28" fillId="0" borderId="3" xfId="89" applyNumberFormat="1" applyFont="1" applyFill="1" applyBorder="1" applyAlignment="1">
      <alignment horizontal="center" vertical="center" wrapText="1"/>
    </xf>
    <xf numFmtId="188" fontId="28" fillId="0" borderId="3" xfId="0" applyNumberFormat="1" applyFont="1" applyFill="1" applyBorder="1" applyAlignment="1">
      <alignment horizontal="center" vertical="center" wrapText="1"/>
    </xf>
    <xf numFmtId="177" fontId="28" fillId="0" borderId="0" xfId="89" applyNumberFormat="1" applyFont="1" applyFill="1" applyBorder="1" applyAlignment="1">
      <alignment horizontal="left" vertical="center" wrapText="1"/>
    </xf>
    <xf numFmtId="177" fontId="28" fillId="0" borderId="1" xfId="89" applyNumberFormat="1" applyFont="1" applyFill="1" applyBorder="1" applyAlignment="1">
      <alignment horizontal="left" vertical="center" wrapText="1"/>
    </xf>
    <xf numFmtId="177" fontId="28" fillId="0" borderId="8" xfId="89" applyNumberFormat="1" applyFont="1" applyFill="1" applyBorder="1" applyAlignment="1">
      <alignment horizontal="left" vertical="center" wrapText="1"/>
    </xf>
    <xf numFmtId="0" fontId="28" fillId="0" borderId="3" xfId="89" applyFont="1" applyFill="1" applyBorder="1" applyAlignment="1">
      <alignment horizontal="center" vertical="center" wrapText="1"/>
    </xf>
    <xf numFmtId="0" fontId="28" fillId="0" borderId="4" xfId="0" applyFont="1" applyFill="1" applyBorder="1" applyAlignment="1">
      <alignment horizontal="left" vertical="center" wrapText="1"/>
    </xf>
    <xf numFmtId="177" fontId="28" fillId="0" borderId="10" xfId="0" applyNumberFormat="1" applyFont="1" applyFill="1" applyBorder="1" applyAlignment="1">
      <alignment horizontal="left" vertical="center" wrapText="1"/>
    </xf>
    <xf numFmtId="177" fontId="28" fillId="0" borderId="3" xfId="0" applyNumberFormat="1" applyFont="1" applyFill="1" applyBorder="1" applyAlignment="1">
      <alignment horizontal="left" vertical="center" wrapText="1"/>
    </xf>
    <xf numFmtId="0" fontId="28" fillId="0" borderId="3" xfId="0" applyFont="1" applyFill="1" applyBorder="1" applyAlignment="1">
      <alignment horizontal="left" vertical="center" wrapText="1"/>
    </xf>
    <xf numFmtId="0" fontId="24" fillId="0" borderId="3" xfId="89" applyNumberFormat="1" applyFont="1" applyFill="1" applyBorder="1" applyAlignment="1">
      <alignment horizontal="left" vertical="center" wrapText="1"/>
    </xf>
    <xf numFmtId="180" fontId="28" fillId="0" borderId="3" xfId="0" applyNumberFormat="1" applyFont="1" applyFill="1" applyBorder="1" applyAlignment="1">
      <alignment horizontal="center" vertical="center" shrinkToFit="1"/>
    </xf>
    <xf numFmtId="180" fontId="28" fillId="0" borderId="3" xfId="53" applyNumberFormat="1" applyFont="1" applyFill="1" applyBorder="1" applyAlignment="1" applyProtection="1">
      <alignment horizontal="center" vertical="center" wrapText="1"/>
      <protection locked="0"/>
    </xf>
    <xf numFmtId="180" fontId="28" fillId="0" borderId="3" xfId="0" applyNumberFormat="1" applyFont="1" applyFill="1" applyBorder="1" applyAlignment="1">
      <alignment horizontal="center" vertical="center"/>
    </xf>
    <xf numFmtId="180" fontId="28" fillId="0" borderId="3" xfId="53" applyNumberFormat="1" applyFont="1" applyFill="1" applyBorder="1" applyAlignment="1" applyProtection="1">
      <alignment horizontal="left" vertical="center" wrapText="1"/>
      <protection locked="0"/>
    </xf>
    <xf numFmtId="181"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left" vertical="center"/>
    </xf>
    <xf numFmtId="180" fontId="28" fillId="0" borderId="3" xfId="87" applyNumberFormat="1" applyFont="1" applyFill="1" applyBorder="1" applyAlignment="1">
      <alignment horizontal="left" vertical="center" wrapText="1" shrinkToFit="1"/>
    </xf>
    <xf numFmtId="181" fontId="28" fillId="0" borderId="3" xfId="0" applyNumberFormat="1" applyFont="1" applyFill="1" applyBorder="1" applyAlignment="1">
      <alignment horizontal="center" vertical="top" wrapText="1"/>
    </xf>
    <xf numFmtId="180" fontId="28" fillId="0" borderId="3" xfId="0" applyNumberFormat="1" applyFont="1" applyFill="1" applyBorder="1" applyAlignment="1">
      <alignment horizontal="left" vertical="center" wrapText="1" shrinkToFit="1"/>
    </xf>
    <xf numFmtId="0" fontId="2" fillId="0" borderId="3" xfId="0" applyNumberFormat="1" applyFont="1" applyFill="1" applyBorder="1" applyAlignment="1">
      <alignment horizontal="left" vertical="center"/>
    </xf>
    <xf numFmtId="0" fontId="26" fillId="0" borderId="3" xfId="82" applyNumberFormat="1" applyFont="1" applyFill="1" applyBorder="1" applyAlignment="1">
      <alignment horizontal="center" vertical="center" wrapText="1"/>
    </xf>
    <xf numFmtId="180" fontId="28" fillId="0" borderId="7" xfId="0" applyNumberFormat="1" applyFont="1" applyFill="1" applyBorder="1" applyAlignment="1">
      <alignment horizontal="left" vertical="center" wrapText="1"/>
    </xf>
    <xf numFmtId="180" fontId="28" fillId="0" borderId="4" xfId="0" applyNumberFormat="1" applyFont="1" applyFill="1" applyBorder="1" applyAlignment="1">
      <alignment horizontal="left" vertical="center" wrapText="1"/>
    </xf>
    <xf numFmtId="180" fontId="28" fillId="0" borderId="3" xfId="0" applyNumberFormat="1" applyFont="1" applyFill="1" applyBorder="1" applyAlignment="1" applyProtection="1">
      <alignment horizontal="center" vertical="center" wrapText="1"/>
    </xf>
    <xf numFmtId="0" fontId="24" fillId="0" borderId="3" xfId="0" applyNumberFormat="1" applyFont="1" applyFill="1" applyBorder="1" applyAlignment="1">
      <alignment horizontal="left" vertical="center" wrapText="1" shrinkToFit="1"/>
    </xf>
    <xf numFmtId="0" fontId="28" fillId="0" borderId="0" xfId="0" applyFont="1" applyFill="1" applyBorder="1" applyAlignment="1">
      <alignment horizontal="center" vertical="center" wrapText="1"/>
    </xf>
    <xf numFmtId="188" fontId="28" fillId="0" borderId="0" xfId="0" applyNumberFormat="1" applyFont="1" applyFill="1" applyBorder="1" applyAlignment="1">
      <alignment horizontal="center" vertical="center" wrapText="1"/>
    </xf>
    <xf numFmtId="180" fontId="28" fillId="0" borderId="0" xfId="0" applyNumberFormat="1" applyFont="1" applyFill="1" applyBorder="1" applyAlignment="1">
      <alignment horizontal="center" vertical="center" wrapText="1"/>
    </xf>
    <xf numFmtId="177" fontId="28" fillId="0" borderId="0" xfId="0" applyNumberFormat="1" applyFont="1" applyFill="1" applyBorder="1" applyAlignment="1">
      <alignment horizontal="left" vertical="center" wrapText="1"/>
    </xf>
    <xf numFmtId="0" fontId="18" fillId="0" borderId="0" xfId="0" applyFont="1" applyFill="1" applyBorder="1" applyAlignment="1">
      <alignment vertical="center" wrapText="1"/>
    </xf>
    <xf numFmtId="179" fontId="2" fillId="0" borderId="0" xfId="0" applyNumberFormat="1" applyFont="1" applyFill="1" applyBorder="1" applyAlignment="1">
      <alignment horizontal="center" vertical="center"/>
    </xf>
    <xf numFmtId="0" fontId="53" fillId="0" borderId="0" xfId="0" applyFont="1" applyFill="1" applyBorder="1" applyAlignment="1">
      <alignment horizontal="center" vertical="center" wrapText="1"/>
    </xf>
    <xf numFmtId="0" fontId="18" fillId="0" borderId="1" xfId="89" applyFont="1" applyFill="1" applyBorder="1" applyAlignment="1">
      <alignment horizontal="center" vertical="center" wrapText="1"/>
    </xf>
    <xf numFmtId="0" fontId="2" fillId="0" borderId="3" xfId="90" applyFont="1" applyFill="1" applyBorder="1" applyAlignment="1">
      <alignment horizontal="center" vertical="center" wrapText="1"/>
    </xf>
    <xf numFmtId="0" fontId="10" fillId="0" borderId="3" xfId="90" applyFont="1" applyFill="1" applyBorder="1" applyAlignment="1">
      <alignment horizontal="center" vertical="center" wrapText="1"/>
    </xf>
    <xf numFmtId="179" fontId="2" fillId="0" borderId="0" xfId="89" applyNumberFormat="1" applyFont="1" applyFill="1" applyBorder="1" applyAlignment="1">
      <alignment horizontal="center" vertical="center" wrapText="1"/>
    </xf>
    <xf numFmtId="179" fontId="53" fillId="0" borderId="0" xfId="0" applyNumberFormat="1" applyFont="1" applyFill="1" applyBorder="1" applyAlignment="1">
      <alignment horizontal="center" vertical="center" wrapText="1"/>
    </xf>
    <xf numFmtId="179" fontId="18" fillId="0" borderId="1" xfId="89" applyNumberFormat="1" applyFont="1" applyFill="1" applyBorder="1" applyAlignment="1">
      <alignment horizontal="center" vertical="center" wrapText="1"/>
    </xf>
    <xf numFmtId="179" fontId="17" fillId="0" borderId="3" xfId="89" applyNumberFormat="1" applyFont="1" applyFill="1" applyBorder="1" applyAlignment="1">
      <alignment horizontal="center" vertical="center" wrapText="1"/>
    </xf>
    <xf numFmtId="179" fontId="10" fillId="0" borderId="3" xfId="90" applyNumberFormat="1" applyFont="1" applyFill="1" applyBorder="1" applyAlignment="1">
      <alignment horizontal="center" vertical="center" wrapText="1"/>
    </xf>
    <xf numFmtId="179" fontId="17" fillId="0" borderId="3" xfId="90" applyNumberFormat="1" applyFont="1" applyFill="1" applyBorder="1" applyAlignment="1">
      <alignment horizontal="center" vertical="center" wrapText="1"/>
    </xf>
    <xf numFmtId="179" fontId="10" fillId="0" borderId="2" xfId="90" applyNumberFormat="1" applyFont="1" applyFill="1" applyBorder="1" applyAlignment="1">
      <alignment horizontal="center" vertical="center" wrapText="1"/>
    </xf>
    <xf numFmtId="179" fontId="17" fillId="0" borderId="2" xfId="90" applyNumberFormat="1" applyFont="1" applyFill="1" applyBorder="1" applyAlignment="1">
      <alignment horizontal="center" vertical="center" wrapText="1"/>
    </xf>
    <xf numFmtId="0" fontId="54" fillId="0" borderId="3" xfId="0" applyFont="1" applyFill="1" applyBorder="1" applyAlignment="1">
      <alignment horizontal="center" vertical="center" wrapText="1"/>
    </xf>
    <xf numFmtId="179" fontId="54" fillId="0" borderId="3" xfId="0" applyNumberFormat="1" applyFont="1" applyFill="1" applyBorder="1" applyAlignment="1">
      <alignment horizontal="center" vertical="center" wrapText="1"/>
    </xf>
    <xf numFmtId="179" fontId="10" fillId="0" borderId="0"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3" xfId="78" applyFont="1" applyFill="1" applyBorder="1" applyAlignment="1">
      <alignment vertical="center" wrapText="1"/>
    </xf>
    <xf numFmtId="0" fontId="10" fillId="0" borderId="3" xfId="78" applyFont="1" applyFill="1" applyBorder="1" applyAlignment="1">
      <alignment horizontal="center" vertical="center" wrapText="1"/>
    </xf>
    <xf numFmtId="0" fontId="10" fillId="0" borderId="3" xfId="80" applyFont="1" applyFill="1" applyBorder="1" applyAlignment="1">
      <alignment vertical="center" wrapText="1"/>
    </xf>
    <xf numFmtId="0" fontId="10" fillId="0" borderId="3" xfId="80" applyFont="1" applyFill="1" applyBorder="1" applyAlignment="1">
      <alignment horizontal="center" vertical="center" wrapText="1"/>
    </xf>
    <xf numFmtId="0" fontId="10" fillId="0" borderId="3" xfId="83" applyFont="1" applyFill="1" applyBorder="1" applyAlignment="1">
      <alignment horizontal="center" vertical="center" wrapText="1"/>
    </xf>
    <xf numFmtId="0" fontId="10" fillId="0" borderId="3" xfId="83" applyFont="1" applyFill="1" applyBorder="1" applyAlignment="1">
      <alignment vertical="center" wrapText="1"/>
    </xf>
    <xf numFmtId="0" fontId="10" fillId="0" borderId="3" xfId="94" applyFont="1" applyFill="1" applyBorder="1" applyAlignment="1" applyProtection="1">
      <alignment vertical="center" wrapText="1"/>
      <protection locked="0"/>
    </xf>
    <xf numFmtId="0" fontId="10" fillId="0" borderId="3" xfId="79" applyFont="1" applyFill="1" applyBorder="1" applyAlignment="1">
      <alignment horizontal="center" vertical="center" wrapText="1"/>
    </xf>
    <xf numFmtId="179" fontId="10" fillId="0" borderId="3" xfId="0" applyNumberFormat="1" applyFont="1" applyFill="1" applyBorder="1" applyAlignment="1">
      <alignment horizontal="center" vertical="center" shrinkToFit="1"/>
    </xf>
    <xf numFmtId="179" fontId="10" fillId="0" borderId="3" xfId="78" applyNumberFormat="1" applyFont="1" applyFill="1" applyBorder="1" applyAlignment="1">
      <alignment horizontal="center" vertical="center" wrapText="1"/>
    </xf>
    <xf numFmtId="179" fontId="10" fillId="0" borderId="3" xfId="80" applyNumberFormat="1" applyFont="1" applyFill="1" applyBorder="1" applyAlignment="1">
      <alignment horizontal="center" vertical="center" wrapText="1"/>
    </xf>
    <xf numFmtId="179" fontId="10" fillId="0" borderId="3" xfId="53" applyNumberFormat="1" applyFont="1" applyFill="1" applyBorder="1" applyAlignment="1" applyProtection="1">
      <alignment horizontal="center" vertical="center" wrapText="1"/>
      <protection locked="0"/>
    </xf>
    <xf numFmtId="179" fontId="10" fillId="0" borderId="3" xfId="83" applyNumberFormat="1" applyFont="1" applyFill="1" applyBorder="1" applyAlignment="1">
      <alignment horizontal="center" vertical="center" wrapText="1"/>
    </xf>
    <xf numFmtId="179" fontId="17" fillId="0" borderId="3" xfId="83" applyNumberFormat="1" applyFont="1" applyFill="1" applyBorder="1" applyAlignment="1">
      <alignment horizontal="center" vertical="center" wrapText="1"/>
    </xf>
    <xf numFmtId="179" fontId="10" fillId="0" borderId="3" xfId="79" applyNumberFormat="1" applyFont="1" applyFill="1" applyBorder="1" applyAlignment="1">
      <alignment horizontal="center" vertical="center" wrapText="1"/>
    </xf>
    <xf numFmtId="178" fontId="10" fillId="0" borderId="3" xfId="78" applyNumberFormat="1" applyFont="1" applyFill="1" applyBorder="1" applyAlignment="1">
      <alignment horizontal="center" vertical="center" wrapText="1"/>
    </xf>
    <xf numFmtId="0" fontId="17" fillId="0" borderId="3" xfId="78" applyFont="1" applyFill="1" applyBorder="1" applyAlignment="1">
      <alignment horizontal="center" vertical="center" wrapText="1"/>
    </xf>
    <xf numFmtId="178" fontId="17" fillId="0" borderId="3" xfId="80" applyNumberFormat="1" applyFont="1" applyFill="1" applyBorder="1" applyAlignment="1">
      <alignment horizontal="center" vertical="center" wrapText="1"/>
    </xf>
    <xf numFmtId="178" fontId="10" fillId="0" borderId="3" xfId="80" applyNumberFormat="1" applyFont="1" applyFill="1" applyBorder="1" applyAlignment="1">
      <alignment horizontal="center" vertical="center" wrapText="1"/>
    </xf>
    <xf numFmtId="0" fontId="17" fillId="0" borderId="3" xfId="80" applyFont="1" applyFill="1" applyBorder="1" applyAlignment="1">
      <alignment horizontal="center" vertical="center" wrapText="1"/>
    </xf>
    <xf numFmtId="178" fontId="10" fillId="0" borderId="3" xfId="79" applyNumberFormat="1" applyFont="1" applyFill="1" applyBorder="1" applyAlignment="1">
      <alignment horizontal="center" vertical="center" wrapText="1"/>
    </xf>
    <xf numFmtId="0" fontId="17" fillId="0" borderId="3" xfId="79" applyFont="1" applyFill="1" applyBorder="1" applyAlignment="1">
      <alignment horizontal="center" vertical="center" wrapText="1"/>
    </xf>
    <xf numFmtId="0" fontId="10" fillId="0" borderId="3" xfId="95" applyFont="1" applyFill="1" applyBorder="1" applyAlignment="1" applyProtection="1">
      <alignment vertical="center" wrapText="1"/>
      <protection locked="0"/>
    </xf>
    <xf numFmtId="0" fontId="10" fillId="0" borderId="3" xfId="81" applyFont="1" applyFill="1" applyBorder="1" applyAlignment="1">
      <alignment horizontal="center" vertical="center" wrapText="1"/>
    </xf>
    <xf numFmtId="0" fontId="10" fillId="0" borderId="3" xfId="95" applyFont="1" applyFill="1" applyBorder="1" applyAlignment="1" applyProtection="1">
      <alignment horizontal="center" vertical="center" wrapText="1"/>
      <protection locked="0"/>
    </xf>
    <xf numFmtId="0" fontId="17" fillId="0" borderId="3" xfId="95" applyFont="1" applyFill="1" applyBorder="1" applyAlignment="1" applyProtection="1">
      <alignment horizontal="center" vertical="center" wrapText="1"/>
      <protection locked="0"/>
    </xf>
    <xf numFmtId="0" fontId="10" fillId="0" borderId="3" xfId="52" applyFont="1" applyFill="1" applyBorder="1" applyAlignment="1" applyProtection="1">
      <alignment vertical="center" wrapText="1"/>
      <protection locked="0"/>
    </xf>
    <xf numFmtId="0" fontId="10" fillId="0" borderId="3" xfId="86" applyFont="1" applyFill="1" applyBorder="1" applyAlignment="1">
      <alignment horizontal="center" vertical="center" wrapText="1"/>
    </xf>
    <xf numFmtId="0" fontId="10" fillId="0" borderId="3" xfId="52" applyFont="1" applyFill="1" applyBorder="1" applyAlignment="1" applyProtection="1">
      <alignment horizontal="center" vertical="center" wrapText="1"/>
      <protection locked="0"/>
    </xf>
    <xf numFmtId="179" fontId="10" fillId="0" borderId="3" xfId="95" applyNumberFormat="1" applyFont="1" applyFill="1" applyBorder="1" applyAlignment="1" applyProtection="1">
      <alignment horizontal="center" vertical="center" wrapText="1"/>
      <protection locked="0"/>
    </xf>
    <xf numFmtId="179" fontId="10" fillId="0" borderId="3" xfId="86" applyNumberFormat="1" applyFont="1" applyFill="1" applyBorder="1" applyAlignment="1">
      <alignment horizontal="center" vertical="center" wrapText="1"/>
    </xf>
    <xf numFmtId="179" fontId="10" fillId="0" borderId="3" xfId="52" applyNumberFormat="1" applyFont="1" applyFill="1" applyBorder="1" applyAlignment="1" applyProtection="1">
      <alignment horizontal="center" vertical="center" wrapText="1"/>
      <protection locked="0"/>
    </xf>
    <xf numFmtId="179" fontId="10" fillId="0" borderId="3" xfId="81" applyNumberFormat="1" applyFont="1" applyFill="1" applyBorder="1" applyAlignment="1">
      <alignment horizontal="center" vertical="center" wrapText="1"/>
    </xf>
    <xf numFmtId="0" fontId="17" fillId="0" borderId="3" xfId="81" applyFont="1" applyFill="1" applyBorder="1" applyAlignment="1">
      <alignment horizontal="center" vertical="center" wrapText="1"/>
    </xf>
    <xf numFmtId="0" fontId="17" fillId="0" borderId="3" xfId="86" applyFont="1" applyFill="1" applyBorder="1" applyAlignment="1">
      <alignment horizontal="center" vertical="center" wrapText="1"/>
    </xf>
    <xf numFmtId="0" fontId="10" fillId="0" borderId="3" xfId="84" applyFont="1" applyFill="1" applyBorder="1" applyAlignment="1">
      <alignment horizontal="center" vertical="center" wrapText="1"/>
    </xf>
    <xf numFmtId="0" fontId="10" fillId="0" borderId="3" xfId="93" applyFont="1" applyFill="1" applyBorder="1" applyAlignment="1" applyProtection="1">
      <alignment vertical="center" wrapText="1"/>
      <protection locked="0"/>
    </xf>
    <xf numFmtId="0" fontId="10" fillId="0" borderId="3" xfId="93" applyFont="1" applyFill="1" applyBorder="1" applyAlignment="1" applyProtection="1">
      <alignment horizontal="center" vertical="center" wrapText="1"/>
      <protection locked="0"/>
    </xf>
    <xf numFmtId="179" fontId="2" fillId="0" borderId="3" xfId="0" applyNumberFormat="1" applyFont="1" applyFill="1" applyBorder="1" applyAlignment="1">
      <alignment horizontal="center" vertical="center" wrapText="1"/>
    </xf>
    <xf numFmtId="179" fontId="10" fillId="0" borderId="3" xfId="84" applyNumberFormat="1" applyFont="1" applyFill="1" applyBorder="1" applyAlignment="1">
      <alignment horizontal="center" vertical="center" wrapText="1"/>
    </xf>
    <xf numFmtId="179" fontId="10" fillId="0" borderId="3" xfId="93" applyNumberFormat="1" applyFont="1" applyFill="1" applyBorder="1" applyAlignment="1" applyProtection="1">
      <alignment horizontal="center" vertical="center" wrapText="1"/>
      <protection locked="0"/>
    </xf>
    <xf numFmtId="0" fontId="17" fillId="0" borderId="3" xfId="84" applyFont="1" applyFill="1" applyBorder="1" applyAlignment="1">
      <alignment horizontal="center" vertical="center" wrapText="1"/>
    </xf>
    <xf numFmtId="0" fontId="17" fillId="0" borderId="3" xfId="85" applyFont="1" applyFill="1" applyBorder="1" applyAlignment="1">
      <alignment horizontal="center" vertical="center" wrapText="1"/>
    </xf>
    <xf numFmtId="0" fontId="10" fillId="0" borderId="3" xfId="86" applyNumberFormat="1" applyFont="1" applyFill="1" applyBorder="1" applyAlignment="1">
      <alignment horizontal="center" vertical="center" wrapText="1"/>
    </xf>
    <xf numFmtId="0" fontId="10" fillId="0" borderId="3" xfId="52" applyNumberFormat="1" applyFont="1" applyFill="1" applyBorder="1" applyAlignment="1" applyProtection="1">
      <alignment vertical="center" wrapText="1"/>
      <protection locked="0"/>
    </xf>
    <xf numFmtId="0" fontId="50" fillId="0" borderId="0" xfId="86" applyFont="1" applyFill="1" applyBorder="1" applyAlignment="1">
      <alignment horizontal="center" vertical="center" wrapText="1"/>
    </xf>
    <xf numFmtId="0" fontId="10" fillId="0" borderId="7" xfId="86" applyNumberFormat="1" applyFont="1" applyFill="1" applyBorder="1" applyAlignment="1">
      <alignment horizontal="center" vertical="center" wrapText="1"/>
    </xf>
    <xf numFmtId="0" fontId="2" fillId="0" borderId="3" xfId="0" applyFont="1" applyFill="1" applyBorder="1" applyAlignment="1">
      <alignment vertical="center" wrapText="1"/>
    </xf>
    <xf numFmtId="179" fontId="2" fillId="0" borderId="0" xfId="0" applyNumberFormat="1" applyFont="1" applyFill="1" applyBorder="1" applyAlignment="1">
      <alignment horizontal="center" vertical="center" wrapText="1"/>
    </xf>
    <xf numFmtId="0" fontId="17" fillId="0" borderId="3" xfId="86" applyNumberFormat="1" applyFont="1" applyFill="1" applyBorder="1" applyAlignment="1">
      <alignment horizontal="center" vertical="center" wrapText="1"/>
    </xf>
    <xf numFmtId="0" fontId="18" fillId="0" borderId="0" xfId="0" applyNumberFormat="1" applyFont="1" applyFill="1" applyBorder="1" applyAlignment="1">
      <alignment horizontal="center" vertical="center"/>
    </xf>
    <xf numFmtId="0" fontId="10" fillId="0" borderId="0" xfId="0" applyNumberFormat="1" applyFont="1" applyFill="1" applyBorder="1" applyAlignment="1">
      <alignment vertical="center" wrapText="1"/>
    </xf>
    <xf numFmtId="0" fontId="1" fillId="0" borderId="0" xfId="89" applyNumberFormat="1" applyFont="1" applyFill="1" applyBorder="1" applyAlignment="1">
      <alignment vertical="center" wrapText="1"/>
    </xf>
    <xf numFmtId="0" fontId="2" fillId="0" borderId="0" xfId="89" applyNumberFormat="1" applyFont="1" applyFill="1" applyAlignment="1">
      <alignment vertical="center" wrapText="1"/>
    </xf>
    <xf numFmtId="0" fontId="55" fillId="0" borderId="0" xfId="0" applyNumberFormat="1" applyFont="1" applyFill="1" applyAlignment="1">
      <alignment horizontal="center" vertical="center" wrapText="1"/>
    </xf>
    <xf numFmtId="0" fontId="6" fillId="0" borderId="0" xfId="89" applyNumberFormat="1" applyFont="1" applyFill="1" applyBorder="1" applyAlignment="1">
      <alignment horizontal="left" vertical="center" wrapText="1"/>
    </xf>
    <xf numFmtId="0" fontId="21" fillId="0" borderId="3" xfId="0" applyNumberFormat="1" applyFont="1" applyFill="1" applyBorder="1" applyAlignment="1">
      <alignment horizontal="center" vertical="center"/>
    </xf>
    <xf numFmtId="0" fontId="10" fillId="0" borderId="3" xfId="0" applyNumberFormat="1" applyFont="1" applyFill="1" applyBorder="1" applyAlignment="1">
      <alignment horizontal="left" vertical="center" wrapText="1"/>
    </xf>
    <xf numFmtId="181" fontId="6" fillId="0" borderId="0" xfId="89" applyNumberFormat="1" applyFont="1" applyFill="1" applyBorder="1" applyAlignment="1">
      <alignment horizontal="left" vertical="center" wrapText="1"/>
    </xf>
    <xf numFmtId="179" fontId="6" fillId="0" borderId="0" xfId="89" applyNumberFormat="1" applyFont="1" applyFill="1" applyBorder="1" applyAlignment="1">
      <alignment horizontal="left" vertical="center" wrapText="1"/>
    </xf>
    <xf numFmtId="181" fontId="56" fillId="0" borderId="3" xfId="0" applyNumberFormat="1" applyFont="1" applyFill="1" applyBorder="1" applyAlignment="1">
      <alignment horizontal="center" vertical="center" wrapText="1"/>
    </xf>
    <xf numFmtId="179" fontId="21" fillId="0" borderId="3" xfId="89" applyNumberFormat="1" applyFont="1" applyFill="1" applyBorder="1" applyAlignment="1">
      <alignment horizontal="center" vertical="center" wrapText="1"/>
    </xf>
    <xf numFmtId="181" fontId="21" fillId="0" borderId="3" xfId="0" applyNumberFormat="1" applyFont="1" applyFill="1" applyBorder="1" applyAlignment="1">
      <alignment horizontal="center" vertical="center" wrapText="1"/>
    </xf>
    <xf numFmtId="179" fontId="21" fillId="0" borderId="3" xfId="0" applyNumberFormat="1" applyFont="1" applyFill="1" applyBorder="1" applyAlignment="1">
      <alignment horizontal="center" vertical="center" wrapText="1"/>
    </xf>
    <xf numFmtId="0" fontId="57" fillId="0" borderId="3" xfId="0" applyNumberFormat="1" applyFont="1" applyFill="1" applyBorder="1" applyAlignment="1">
      <alignment horizontal="center" vertical="center" wrapText="1"/>
    </xf>
    <xf numFmtId="0" fontId="57" fillId="0" borderId="3" xfId="0" applyFont="1" applyFill="1" applyBorder="1" applyAlignment="1">
      <alignment horizontal="center" vertical="center"/>
    </xf>
    <xf numFmtId="0" fontId="23" fillId="0" borderId="3" xfId="0" applyNumberFormat="1" applyFont="1" applyFill="1" applyBorder="1" applyAlignment="1">
      <alignment horizontal="center" vertical="center" wrapText="1"/>
    </xf>
    <xf numFmtId="179" fontId="13" fillId="0" borderId="3" xfId="0" applyNumberFormat="1" applyFont="1" applyFill="1" applyBorder="1" applyAlignment="1">
      <alignment horizontal="center" vertical="center"/>
    </xf>
    <xf numFmtId="181" fontId="13" fillId="0" borderId="3" xfId="0" applyNumberFormat="1" applyFont="1" applyFill="1" applyBorder="1" applyAlignment="1">
      <alignment horizontal="center" vertical="center"/>
    </xf>
    <xf numFmtId="179" fontId="29" fillId="0" borderId="3" xfId="0" applyNumberFormat="1" applyFont="1" applyFill="1" applyBorder="1" applyAlignment="1">
      <alignment horizontal="center" vertical="center"/>
    </xf>
    <xf numFmtId="181" fontId="29" fillId="0" borderId="3" xfId="0" applyNumberFormat="1" applyFont="1" applyFill="1" applyBorder="1" applyAlignment="1">
      <alignment horizontal="center" vertical="center"/>
    </xf>
    <xf numFmtId="0" fontId="18" fillId="0" borderId="3" xfId="0" applyFont="1" applyFill="1" applyBorder="1" applyAlignment="1">
      <alignment horizontal="center" vertical="center"/>
    </xf>
    <xf numFmtId="181" fontId="2" fillId="0" borderId="3" xfId="0" applyNumberFormat="1" applyFont="1" applyFill="1" applyBorder="1" applyAlignment="1">
      <alignment horizontal="center" vertical="center"/>
    </xf>
    <xf numFmtId="0" fontId="18" fillId="0" borderId="3" xfId="90" applyFont="1" applyFill="1" applyBorder="1" applyAlignment="1">
      <alignment horizontal="center" vertical="center"/>
    </xf>
    <xf numFmtId="0" fontId="10" fillId="0" borderId="3" xfId="0" applyNumberFormat="1" applyFont="1" applyFill="1" applyBorder="1" applyAlignment="1" applyProtection="1">
      <alignment horizontal="center" vertical="center" wrapText="1"/>
    </xf>
    <xf numFmtId="0" fontId="28" fillId="0" borderId="3" xfId="0" applyFont="1" applyFill="1" applyBorder="1">
      <alignment vertical="center"/>
    </xf>
    <xf numFmtId="0" fontId="2" fillId="0" borderId="3" xfId="74" applyNumberFormat="1" applyFont="1" applyFill="1" applyBorder="1" applyAlignment="1">
      <alignment horizontal="center" vertical="center" wrapText="1"/>
    </xf>
    <xf numFmtId="0" fontId="2" fillId="0" borderId="3" xfId="82" applyNumberFormat="1" applyFont="1" applyFill="1" applyBorder="1" applyAlignment="1">
      <alignment horizontal="center" vertical="center" wrapText="1"/>
    </xf>
    <xf numFmtId="0" fontId="17" fillId="0" borderId="3" xfId="91" applyFont="1" applyFill="1" applyBorder="1" applyAlignment="1" applyProtection="1">
      <alignment horizontal="center" vertical="center" wrapText="1"/>
      <protection locked="0"/>
    </xf>
    <xf numFmtId="194" fontId="2" fillId="0" borderId="3" xfId="74" applyNumberFormat="1" applyFont="1" applyFill="1" applyBorder="1" applyAlignment="1">
      <alignment horizontal="center" vertical="center"/>
    </xf>
    <xf numFmtId="194" fontId="2" fillId="0" borderId="3" xfId="82" applyNumberFormat="1" applyFont="1" applyFill="1" applyBorder="1" applyAlignment="1">
      <alignment horizontal="center" vertical="center"/>
    </xf>
    <xf numFmtId="2" fontId="25" fillId="0" borderId="3" xfId="91" applyNumberFormat="1" applyFont="1" applyFill="1" applyBorder="1" applyAlignment="1">
      <alignment horizontal="center" vertical="center"/>
    </xf>
    <xf numFmtId="179" fontId="58" fillId="0" borderId="3" xfId="0" applyNumberFormat="1" applyFont="1" applyFill="1" applyBorder="1" applyAlignment="1">
      <alignment horizontal="center" vertical="center"/>
    </xf>
    <xf numFmtId="0" fontId="29" fillId="0" borderId="3" xfId="0" applyNumberFormat="1" applyFont="1" applyFill="1" applyBorder="1" applyAlignment="1">
      <alignment horizontal="center" vertical="center" wrapText="1"/>
    </xf>
    <xf numFmtId="0" fontId="34" fillId="0" borderId="3" xfId="0" applyFont="1" applyFill="1" applyBorder="1" applyAlignment="1">
      <alignment vertical="center" wrapText="1"/>
    </xf>
    <xf numFmtId="0" fontId="54" fillId="0" borderId="3" xfId="67" applyFont="1" applyFill="1" applyBorder="1" applyAlignment="1" applyProtection="1">
      <alignment horizontal="center" vertical="center" shrinkToFit="1"/>
    </xf>
    <xf numFmtId="0" fontId="54" fillId="0" borderId="3" xfId="67" applyFont="1" applyFill="1" applyBorder="1" applyAlignment="1" applyProtection="1">
      <alignment horizontal="center" vertical="center" shrinkToFit="1"/>
      <protection locked="0"/>
    </xf>
    <xf numFmtId="0" fontId="2" fillId="0" borderId="8" xfId="0" applyNumberFormat="1" applyFont="1" applyFill="1" applyBorder="1" applyAlignment="1">
      <alignment horizontal="left" vertical="center"/>
    </xf>
    <xf numFmtId="0" fontId="2" fillId="0" borderId="13" xfId="0" applyNumberFormat="1" applyFont="1" applyFill="1" applyBorder="1" applyAlignment="1">
      <alignment horizontal="left" vertical="center"/>
    </xf>
    <xf numFmtId="0" fontId="10" fillId="0" borderId="13" xfId="0" applyNumberFormat="1" applyFont="1" applyFill="1" applyBorder="1" applyAlignment="1">
      <alignment horizontal="center" vertical="center" wrapText="1"/>
    </xf>
    <xf numFmtId="0" fontId="2" fillId="0" borderId="9" xfId="0" applyNumberFormat="1" applyFont="1" applyFill="1" applyBorder="1" applyAlignment="1">
      <alignment horizontal="left" vertical="center"/>
    </xf>
    <xf numFmtId="0" fontId="2" fillId="0" borderId="14" xfId="0" applyNumberFormat="1" applyFont="1" applyFill="1" applyBorder="1" applyAlignment="1">
      <alignment horizontal="left" vertical="center" wrapText="1"/>
    </xf>
    <xf numFmtId="0" fontId="10" fillId="0" borderId="0" xfId="0" applyNumberFormat="1" applyFont="1" applyFill="1" applyBorder="1" applyAlignment="1">
      <alignment horizontal="center" vertical="center" wrapText="1"/>
    </xf>
    <xf numFmtId="0" fontId="2" fillId="0" borderId="1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10" fillId="0" borderId="1" xfId="0" applyNumberFormat="1" applyFont="1" applyFill="1" applyBorder="1" applyAlignment="1">
      <alignment horizontal="center" vertical="center" wrapText="1"/>
    </xf>
    <xf numFmtId="0" fontId="2" fillId="0" borderId="15" xfId="0" applyNumberFormat="1" applyFont="1" applyFill="1" applyBorder="1" applyAlignment="1">
      <alignment horizontal="left" vertical="center" wrapText="1"/>
    </xf>
    <xf numFmtId="0" fontId="2" fillId="0" borderId="11" xfId="0" applyNumberFormat="1" applyFont="1" applyFill="1" applyBorder="1" applyAlignment="1">
      <alignment horizontal="left" vertical="center"/>
    </xf>
    <xf numFmtId="0" fontId="18" fillId="0" borderId="0" xfId="0" applyFont="1" applyFill="1" applyBorder="1" applyAlignment="1">
      <alignment horizontal="left" vertical="center"/>
    </xf>
    <xf numFmtId="0" fontId="23" fillId="0" borderId="0" xfId="0" applyFont="1" applyFill="1" applyBorder="1" applyAlignment="1">
      <alignment horizontal="left" vertical="center"/>
    </xf>
    <xf numFmtId="0" fontId="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6" fillId="0" borderId="1" xfId="89" applyFont="1" applyFill="1" applyBorder="1" applyAlignment="1">
      <alignment horizontal="left" vertical="center" wrapText="1"/>
    </xf>
    <xf numFmtId="0" fontId="7" fillId="0" borderId="1" xfId="89"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9" fillId="0" borderId="3" xfId="0" applyFont="1" applyFill="1" applyBorder="1" applyAlignment="1">
      <alignment horizontal="left" vertical="center"/>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23" fillId="0" borderId="3" xfId="0" applyFont="1" applyFill="1" applyBorder="1" applyAlignment="1">
      <alignment horizontal="left" vertical="center" wrapText="1"/>
    </xf>
    <xf numFmtId="0" fontId="6" fillId="0" borderId="3" xfId="0" applyFont="1" applyFill="1" applyBorder="1" applyAlignment="1">
      <alignment horizontal="left" vertical="center" wrapText="1"/>
    </xf>
    <xf numFmtId="0" fontId="23" fillId="0" borderId="3" xfId="0" applyFont="1" applyFill="1" applyBorder="1" applyAlignment="1">
      <alignment horizontal="center" vertical="center" wrapText="1"/>
    </xf>
    <xf numFmtId="0" fontId="11" fillId="0" borderId="3" xfId="53" applyFont="1" applyFill="1" applyBorder="1" applyAlignment="1" applyProtection="1">
      <alignment horizontal="left" vertical="center" wrapText="1"/>
      <protection locked="0"/>
    </xf>
    <xf numFmtId="0" fontId="9" fillId="0" borderId="3" xfId="89" applyFont="1" applyFill="1" applyBorder="1" applyAlignment="1">
      <alignment horizontal="left" vertical="center" wrapText="1"/>
    </xf>
    <xf numFmtId="0" fontId="9" fillId="0" borderId="4" xfId="89" applyFont="1" applyFill="1" applyBorder="1" applyAlignment="1">
      <alignment horizontal="center" vertical="center" wrapText="1"/>
    </xf>
    <xf numFmtId="0" fontId="9" fillId="0" borderId="12" xfId="89" applyFont="1" applyFill="1" applyBorder="1" applyAlignment="1">
      <alignment horizontal="center" vertical="center" wrapText="1"/>
    </xf>
    <xf numFmtId="178" fontId="9" fillId="0" borderId="3" xfId="0" applyNumberFormat="1" applyFont="1" applyFill="1" applyBorder="1" applyAlignment="1">
      <alignment horizontal="left" vertical="center" wrapText="1"/>
    </xf>
    <xf numFmtId="0" fontId="23" fillId="0" borderId="3" xfId="0" applyNumberFormat="1" applyFont="1" applyFill="1" applyBorder="1" applyAlignment="1">
      <alignment horizontal="center" vertical="center" shrinkToFit="1"/>
    </xf>
    <xf numFmtId="0" fontId="16" fillId="0" borderId="0" xfId="0" applyFont="1" applyFill="1" applyBorder="1" applyAlignment="1">
      <alignment horizontal="left" vertical="center" wrapText="1"/>
    </xf>
    <xf numFmtId="0" fontId="7" fillId="0" borderId="0" xfId="89" applyFont="1" applyFill="1" applyBorder="1" applyAlignment="1">
      <alignment horizontal="left" vertical="center" wrapText="1"/>
    </xf>
    <xf numFmtId="0" fontId="9" fillId="0" borderId="5" xfId="89" applyFont="1" applyFill="1" applyBorder="1" applyAlignment="1">
      <alignment horizontal="center" vertical="center" wrapText="1"/>
    </xf>
    <xf numFmtId="0" fontId="9" fillId="0" borderId="8" xfId="89" applyFont="1" applyFill="1" applyBorder="1" applyAlignment="1">
      <alignment horizontal="left" vertical="center" wrapText="1"/>
    </xf>
    <xf numFmtId="0" fontId="9" fillId="0" borderId="9" xfId="89" applyFont="1" applyFill="1" applyBorder="1" applyAlignment="1">
      <alignment horizontal="left" vertical="center" wrapText="1"/>
    </xf>
    <xf numFmtId="0" fontId="9" fillId="0" borderId="2" xfId="89" applyFont="1" applyFill="1" applyBorder="1" applyAlignment="1">
      <alignment horizontal="left" vertical="center" wrapText="1"/>
    </xf>
    <xf numFmtId="0" fontId="9" fillId="0" borderId="10" xfId="89" applyFont="1" applyFill="1" applyBorder="1" applyAlignment="1">
      <alignment horizontal="left" vertical="center" wrapText="1"/>
    </xf>
    <xf numFmtId="0" fontId="9" fillId="0" borderId="11" xfId="89" applyFont="1" applyFill="1" applyBorder="1" applyAlignment="1">
      <alignment horizontal="left" vertical="center" wrapText="1"/>
    </xf>
    <xf numFmtId="0" fontId="9" fillId="0" borderId="7" xfId="89" applyFont="1" applyFill="1" applyBorder="1" applyAlignment="1">
      <alignment horizontal="left" vertical="center" wrapText="1"/>
    </xf>
    <xf numFmtId="0" fontId="59" fillId="0" borderId="5" xfId="0" applyFont="1" applyFill="1" applyBorder="1" applyAlignment="1">
      <alignment horizontal="center" vertical="center" wrapText="1"/>
    </xf>
    <xf numFmtId="0" fontId="59" fillId="0" borderId="3" xfId="0" applyFont="1" applyFill="1" applyBorder="1" applyAlignment="1">
      <alignment horizontal="left" vertical="center" wrapText="1"/>
    </xf>
    <xf numFmtId="178" fontId="10" fillId="0" borderId="3" xfId="0" applyNumberFormat="1" applyFont="1" applyFill="1" applyBorder="1" applyAlignment="1">
      <alignment horizontal="left" vertical="center" wrapText="1"/>
    </xf>
    <xf numFmtId="0" fontId="10" fillId="0" borderId="3" xfId="0" applyFont="1" applyFill="1" applyBorder="1" applyAlignment="1">
      <alignment horizontal="center" vertical="center" shrinkToFit="1"/>
    </xf>
    <xf numFmtId="0" fontId="54" fillId="0" borderId="3" xfId="0" applyFont="1" applyFill="1" applyBorder="1" applyAlignment="1">
      <alignment horizontal="center" vertical="center" shrinkToFit="1"/>
    </xf>
    <xf numFmtId="0" fontId="17" fillId="0" borderId="3" xfId="0" applyNumberFormat="1" applyFont="1" applyFill="1" applyBorder="1" applyAlignment="1">
      <alignment horizontal="left" vertical="center" wrapText="1"/>
    </xf>
    <xf numFmtId="0" fontId="49" fillId="0" borderId="0"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7" fillId="0" borderId="3" xfId="91" applyFont="1" applyFill="1" applyBorder="1" applyAlignment="1">
      <alignment horizontal="left" vertical="center" wrapText="1"/>
    </xf>
    <xf numFmtId="0" fontId="10" fillId="0" borderId="3" xfId="0" applyNumberFormat="1" applyFont="1" applyFill="1" applyBorder="1" applyAlignment="1">
      <alignment horizontal="center" vertical="center" shrinkToFit="1"/>
    </xf>
    <xf numFmtId="179" fontId="25" fillId="0" borderId="3" xfId="0" applyNumberFormat="1" applyFont="1" applyFill="1" applyBorder="1" applyAlignment="1">
      <alignment horizontal="center" vertical="center" wrapText="1"/>
    </xf>
    <xf numFmtId="0" fontId="2" fillId="0" borderId="3" xfId="0" applyFont="1" applyFill="1" applyBorder="1" applyAlignment="1">
      <alignment horizontal="left" vertical="center"/>
    </xf>
    <xf numFmtId="181" fontId="25" fillId="0" borderId="3" xfId="0" applyNumberFormat="1" applyFont="1" applyFill="1" applyBorder="1" applyAlignment="1">
      <alignment horizontal="center" vertical="center" wrapText="1"/>
    </xf>
    <xf numFmtId="0" fontId="60" fillId="0" borderId="0" xfId="0" applyFont="1" applyFill="1" applyBorder="1" applyAlignment="1">
      <alignment horizontal="center" vertical="center" wrapText="1"/>
    </xf>
    <xf numFmtId="0" fontId="60"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61" fillId="0" borderId="0" xfId="0" applyFont="1" applyFill="1" applyBorder="1" applyAlignment="1">
      <alignment horizontal="center" vertical="center" wrapText="1"/>
    </xf>
    <xf numFmtId="0" fontId="62" fillId="0" borderId="3" xfId="0" applyFont="1" applyFill="1" applyBorder="1" applyAlignment="1">
      <alignment horizontal="left" vertical="center" wrapText="1"/>
    </xf>
    <xf numFmtId="0" fontId="62" fillId="0" borderId="3" xfId="0" applyFont="1" applyFill="1" applyBorder="1" applyAlignment="1">
      <alignment horizontal="center" vertical="center" wrapText="1"/>
    </xf>
    <xf numFmtId="0" fontId="53" fillId="0" borderId="0" xfId="0" applyNumberFormat="1" applyFont="1" applyFill="1" applyBorder="1" applyAlignment="1">
      <alignment horizontal="center" vertical="center" wrapText="1"/>
    </xf>
    <xf numFmtId="0" fontId="23" fillId="0" borderId="0" xfId="89" applyNumberFormat="1" applyFont="1" applyFill="1" applyBorder="1" applyAlignment="1">
      <alignment horizontal="left" vertical="center" wrapText="1"/>
    </xf>
    <xf numFmtId="0" fontId="10" fillId="0" borderId="3" xfId="89" applyNumberFormat="1" applyFont="1" applyFill="1" applyBorder="1" applyAlignment="1">
      <alignment horizontal="center" vertical="center" wrapText="1"/>
    </xf>
    <xf numFmtId="0" fontId="63" fillId="0" borderId="3" xfId="0" applyFont="1" applyFill="1" applyBorder="1" applyAlignment="1">
      <alignment horizontal="center" vertical="center" wrapText="1"/>
    </xf>
    <xf numFmtId="0" fontId="63" fillId="0" borderId="3" xfId="0" applyFont="1" applyFill="1" applyBorder="1" applyAlignment="1">
      <alignment horizontal="left" vertical="center" wrapText="1"/>
    </xf>
    <xf numFmtId="0" fontId="19" fillId="0" borderId="3" xfId="0" applyNumberFormat="1" applyFont="1" applyFill="1" applyBorder="1" applyAlignment="1" applyProtection="1">
      <alignment horizontal="left" vertical="center" wrapText="1"/>
    </xf>
    <xf numFmtId="0" fontId="19" fillId="0" borderId="3" xfId="0" applyNumberFormat="1" applyFont="1" applyFill="1" applyBorder="1" applyAlignment="1">
      <alignment horizontal="center" vertical="center"/>
    </xf>
    <xf numFmtId="0" fontId="19" fillId="0" borderId="3" xfId="0" applyFont="1" applyFill="1" applyBorder="1" applyAlignment="1">
      <alignment vertical="center" wrapText="1"/>
    </xf>
    <xf numFmtId="49" fontId="19" fillId="0" borderId="3" xfId="0" applyNumberFormat="1" applyFont="1" applyFill="1" applyBorder="1" applyAlignment="1">
      <alignment horizontal="center" vertical="center" wrapText="1"/>
    </xf>
    <xf numFmtId="0" fontId="10" fillId="0" borderId="3" xfId="0" applyFont="1" applyFill="1" applyBorder="1" applyAlignment="1">
      <alignment horizontal="left" vertical="center"/>
    </xf>
    <xf numFmtId="0" fontId="62" fillId="0" borderId="3" xfId="0" applyFont="1" applyFill="1" applyBorder="1" applyAlignment="1">
      <alignment vertical="center" wrapText="1"/>
    </xf>
    <xf numFmtId="177" fontId="19" fillId="0" borderId="3" xfId="0" applyNumberFormat="1" applyFont="1" applyFill="1" applyBorder="1" applyAlignment="1">
      <alignment horizontal="center" vertical="center"/>
    </xf>
    <xf numFmtId="0" fontId="19" fillId="0" borderId="3" xfId="0" applyFont="1" applyFill="1" applyBorder="1" applyAlignment="1">
      <alignment horizontal="left" vertical="center"/>
    </xf>
    <xf numFmtId="0" fontId="19" fillId="0" borderId="3" xfId="0" applyNumberFormat="1" applyFont="1" applyFill="1" applyBorder="1" applyAlignment="1">
      <alignment horizontal="left" vertical="center"/>
    </xf>
    <xf numFmtId="0" fontId="10" fillId="0" borderId="3" xfId="0" applyNumberFormat="1" applyFont="1" applyFill="1" applyBorder="1" applyAlignment="1">
      <alignment horizontal="center" vertical="center"/>
    </xf>
    <xf numFmtId="179" fontId="19" fillId="0" borderId="3" xfId="0" applyNumberFormat="1" applyFont="1" applyFill="1" applyBorder="1" applyAlignment="1">
      <alignment horizontal="left" vertical="center" wrapText="1"/>
    </xf>
    <xf numFmtId="0" fontId="10" fillId="0" borderId="3" xfId="53" applyNumberFormat="1" applyFont="1" applyFill="1" applyBorder="1" applyAlignment="1" applyProtection="1">
      <alignment horizontal="left" vertical="center" wrapText="1"/>
      <protection locked="0"/>
    </xf>
    <xf numFmtId="0" fontId="10" fillId="0" borderId="0" xfId="0" applyFont="1" applyFill="1" applyBorder="1" applyAlignment="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0" applyNumberFormat="1" applyFont="1" applyFill="1" applyBorder="1" applyAlignment="1">
      <alignment horizontal="center" vertical="center"/>
    </xf>
    <xf numFmtId="0" fontId="19" fillId="0" borderId="3" xfId="0" applyNumberFormat="1" applyFont="1" applyFill="1" applyBorder="1" applyAlignment="1">
      <alignment horizontal="left" vertical="center" wrapText="1"/>
    </xf>
    <xf numFmtId="0" fontId="64" fillId="0" borderId="0" xfId="0" applyFont="1" applyFill="1" applyBorder="1" applyAlignment="1">
      <alignment vertical="center" wrapText="1"/>
    </xf>
    <xf numFmtId="0" fontId="23" fillId="0" borderId="0" xfId="0" applyNumberFormat="1" applyFont="1" applyFill="1" applyBorder="1" applyAlignment="1">
      <alignment vertical="center" wrapText="1"/>
    </xf>
    <xf numFmtId="0" fontId="23" fillId="0" borderId="0" xfId="0" applyNumberFormat="1" applyFont="1" applyFill="1" applyBorder="1" applyAlignment="1">
      <alignment horizontal="center" vertical="center" wrapText="1"/>
    </xf>
    <xf numFmtId="0" fontId="10" fillId="0" borderId="0" xfId="0" applyNumberFormat="1" applyFont="1" applyFill="1" applyAlignment="1">
      <alignment vertical="center" wrapText="1"/>
    </xf>
    <xf numFmtId="0" fontId="10" fillId="3" borderId="0" xfId="0" applyNumberFormat="1" applyFont="1" applyFill="1" applyBorder="1" applyAlignment="1">
      <alignment horizontal="center" vertical="center" wrapText="1"/>
    </xf>
    <xf numFmtId="179" fontId="10" fillId="0" borderId="0" xfId="0" applyNumberFormat="1" applyFont="1" applyFill="1" applyBorder="1" applyAlignment="1">
      <alignment vertical="center" wrapText="1"/>
    </xf>
    <xf numFmtId="0" fontId="10" fillId="0" borderId="0" xfId="89" applyNumberFormat="1" applyFont="1" applyFill="1" applyBorder="1" applyAlignment="1">
      <alignment vertical="center" wrapText="1"/>
    </xf>
    <xf numFmtId="0" fontId="10" fillId="0" borderId="0" xfId="89" applyNumberFormat="1" applyFont="1" applyFill="1" applyBorder="1" applyAlignment="1">
      <alignment horizontal="center" vertical="center" wrapText="1"/>
    </xf>
    <xf numFmtId="0" fontId="64" fillId="0" borderId="0" xfId="0" applyNumberFormat="1" applyFont="1" applyFill="1" applyBorder="1" applyAlignment="1">
      <alignment horizontal="center" vertical="center" wrapText="1"/>
    </xf>
    <xf numFmtId="0" fontId="23" fillId="0" borderId="0" xfId="89" applyNumberFormat="1" applyFont="1" applyFill="1" applyBorder="1" applyAlignment="1">
      <alignment vertical="center" wrapText="1"/>
    </xf>
    <xf numFmtId="0" fontId="23" fillId="3" borderId="3" xfId="0" applyNumberFormat="1" applyFont="1" applyFill="1" applyBorder="1" applyAlignment="1">
      <alignment horizontal="center" vertical="center" wrapText="1"/>
    </xf>
    <xf numFmtId="0" fontId="23" fillId="0" borderId="2" xfId="0" applyNumberFormat="1" applyFont="1" applyFill="1" applyBorder="1" applyAlignment="1">
      <alignment horizontal="center" vertical="center" wrapText="1"/>
    </xf>
    <xf numFmtId="0" fontId="23" fillId="0" borderId="6" xfId="0" applyNumberFormat="1" applyFont="1" applyFill="1" applyBorder="1" applyAlignment="1">
      <alignment horizontal="center" vertical="center" wrapText="1"/>
    </xf>
    <xf numFmtId="0" fontId="23" fillId="0" borderId="7" xfId="0" applyNumberFormat="1" applyFont="1" applyFill="1" applyBorder="1" applyAlignment="1">
      <alignment horizontal="center" vertical="center" wrapText="1"/>
    </xf>
    <xf numFmtId="0" fontId="10" fillId="3" borderId="3" xfId="0" applyNumberFormat="1" applyFont="1" applyFill="1" applyBorder="1" applyAlignment="1">
      <alignment horizontal="center" vertical="center" wrapText="1"/>
    </xf>
    <xf numFmtId="0" fontId="10" fillId="6" borderId="3" xfId="0" applyNumberFormat="1" applyFont="1" applyFill="1" applyBorder="1" applyAlignment="1">
      <alignment vertical="center" wrapText="1"/>
    </xf>
    <xf numFmtId="0" fontId="10" fillId="6" borderId="3" xfId="0" applyNumberFormat="1" applyFont="1" applyFill="1" applyBorder="1" applyAlignment="1">
      <alignment horizontal="center" vertical="center" wrapText="1"/>
    </xf>
    <xf numFmtId="0" fontId="10" fillId="7" borderId="3" xfId="0" applyNumberFormat="1" applyFont="1" applyFill="1" applyBorder="1" applyAlignment="1">
      <alignment vertical="center" wrapText="1"/>
    </xf>
    <xf numFmtId="0" fontId="10" fillId="7" borderId="3"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36" fillId="0" borderId="5" xfId="0" applyFont="1" applyFill="1" applyBorder="1" applyAlignment="1">
      <alignment horizontal="center" vertical="center" wrapText="1"/>
    </xf>
    <xf numFmtId="179" fontId="58" fillId="0" borderId="3" xfId="0" applyNumberFormat="1" applyFont="1" applyFill="1" applyBorder="1" applyAlignment="1">
      <alignment horizontal="center" vertical="center" wrapText="1"/>
    </xf>
    <xf numFmtId="181" fontId="58" fillId="0" borderId="3" xfId="0" applyNumberFormat="1" applyFont="1" applyFill="1" applyBorder="1" applyAlignment="1">
      <alignment horizontal="center" vertical="center" wrapText="1"/>
    </xf>
    <xf numFmtId="179" fontId="27" fillId="0" borderId="5" xfId="0" applyNumberFormat="1" applyFont="1" applyFill="1" applyBorder="1" applyAlignment="1">
      <alignment horizontal="center" vertical="center" wrapText="1"/>
    </xf>
    <xf numFmtId="179" fontId="65" fillId="0" borderId="3" xfId="0" applyNumberFormat="1" applyFont="1" applyFill="1" applyBorder="1" applyAlignment="1">
      <alignment horizontal="center" vertical="center" wrapText="1"/>
    </xf>
    <xf numFmtId="181" fontId="65" fillId="0" borderId="3" xfId="0" applyNumberFormat="1" applyFont="1" applyFill="1" applyBorder="1" applyAlignment="1">
      <alignment horizontal="center" vertical="center" wrapText="1"/>
    </xf>
    <xf numFmtId="179" fontId="10" fillId="0" borderId="0" xfId="89" applyNumberFormat="1" applyFont="1" applyFill="1" applyBorder="1" applyAlignment="1">
      <alignment vertical="center" wrapText="1"/>
    </xf>
    <xf numFmtId="179" fontId="64" fillId="0" borderId="0" xfId="0" applyNumberFormat="1" applyFont="1" applyFill="1" applyBorder="1" applyAlignment="1">
      <alignment horizontal="center" vertical="center" wrapText="1"/>
    </xf>
    <xf numFmtId="179" fontId="23" fillId="0" borderId="0" xfId="89" applyNumberFormat="1" applyFont="1" applyFill="1" applyBorder="1" applyAlignment="1">
      <alignment vertical="center" wrapText="1"/>
    </xf>
    <xf numFmtId="179" fontId="23" fillId="0" borderId="3" xfId="89" applyNumberFormat="1" applyFont="1" applyFill="1" applyBorder="1" applyAlignment="1">
      <alignment horizontal="center" vertical="center" wrapText="1"/>
    </xf>
    <xf numFmtId="179" fontId="23" fillId="0" borderId="4" xfId="89" applyNumberFormat="1" applyFont="1" applyFill="1" applyBorder="1" applyAlignment="1">
      <alignment horizontal="center" vertical="center" wrapText="1"/>
    </xf>
    <xf numFmtId="179" fontId="23" fillId="0" borderId="12" xfId="89" applyNumberFormat="1" applyFont="1" applyFill="1" applyBorder="1" applyAlignment="1">
      <alignment horizontal="center" vertical="center" wrapText="1"/>
    </xf>
    <xf numFmtId="179" fontId="23" fillId="0" borderId="3" xfId="0" applyNumberFormat="1" applyFont="1" applyFill="1" applyBorder="1" applyAlignment="1">
      <alignment horizontal="center" vertical="center" wrapText="1"/>
    </xf>
    <xf numFmtId="179" fontId="10" fillId="0" borderId="3" xfId="0" applyNumberFormat="1" applyFont="1" applyFill="1" applyBorder="1" applyAlignment="1">
      <alignment vertical="center" wrapText="1"/>
    </xf>
    <xf numFmtId="179" fontId="10" fillId="6" borderId="3" xfId="0" applyNumberFormat="1" applyFont="1" applyFill="1" applyBorder="1" applyAlignment="1">
      <alignment vertical="center" wrapText="1"/>
    </xf>
    <xf numFmtId="179" fontId="10" fillId="7" borderId="3" xfId="0" applyNumberFormat="1" applyFont="1" applyFill="1" applyBorder="1" applyAlignment="1">
      <alignment vertical="center" wrapText="1"/>
    </xf>
    <xf numFmtId="179" fontId="66" fillId="3" borderId="3" xfId="0" applyNumberFormat="1" applyFont="1" applyFill="1" applyBorder="1" applyAlignment="1">
      <alignment horizontal="center" vertical="center" wrapText="1"/>
    </xf>
    <xf numFmtId="0" fontId="23" fillId="0" borderId="3" xfId="89" applyNumberFormat="1" applyFont="1" applyFill="1" applyBorder="1" applyAlignment="1">
      <alignment horizontal="center" vertical="center" wrapText="1"/>
    </xf>
    <xf numFmtId="0" fontId="23" fillId="0" borderId="2" xfId="89" applyNumberFormat="1" applyFont="1" applyFill="1" applyBorder="1" applyAlignment="1">
      <alignment horizontal="center" vertical="center" wrapText="1"/>
    </xf>
    <xf numFmtId="179" fontId="23" fillId="0" borderId="5" xfId="89" applyNumberFormat="1" applyFont="1" applyFill="1" applyBorder="1" applyAlignment="1">
      <alignment horizontal="center" vertical="center" wrapText="1"/>
    </xf>
    <xf numFmtId="179" fontId="23" fillId="0" borderId="2" xfId="0" applyNumberFormat="1" applyFont="1" applyFill="1" applyBorder="1" applyAlignment="1">
      <alignment horizontal="center" vertical="center" wrapText="1"/>
    </xf>
    <xf numFmtId="0" fontId="23" fillId="0" borderId="6" xfId="89" applyNumberFormat="1" applyFont="1" applyFill="1" applyBorder="1" applyAlignment="1">
      <alignment horizontal="center" vertical="center" wrapText="1"/>
    </xf>
    <xf numFmtId="179" fontId="23" fillId="0" borderId="7" xfId="0" applyNumberFormat="1" applyFont="1" applyFill="1" applyBorder="1" applyAlignment="1">
      <alignment horizontal="center" vertical="center" wrapText="1"/>
    </xf>
    <xf numFmtId="0" fontId="23" fillId="0" borderId="7" xfId="89" applyNumberFormat="1" applyFont="1" applyFill="1" applyBorder="1" applyAlignment="1">
      <alignment horizontal="center" vertical="center" wrapText="1"/>
    </xf>
    <xf numFmtId="181" fontId="23" fillId="0" borderId="3" xfId="0" applyNumberFormat="1" applyFont="1" applyFill="1" applyBorder="1" applyAlignment="1">
      <alignment horizontal="center" vertical="center" wrapText="1"/>
    </xf>
    <xf numFmtId="181" fontId="23" fillId="0" borderId="2" xfId="0" applyNumberFormat="1" applyFont="1" applyFill="1" applyBorder="1" applyAlignment="1">
      <alignment horizontal="center" vertical="center" wrapText="1"/>
    </xf>
    <xf numFmtId="181" fontId="23" fillId="0" borderId="7" xfId="0" applyNumberFormat="1" applyFont="1" applyFill="1" applyBorder="1" applyAlignment="1">
      <alignment horizontal="center" vertical="center" wrapText="1"/>
    </xf>
    <xf numFmtId="181" fontId="10" fillId="0" borderId="3" xfId="0" applyNumberFormat="1" applyFont="1" applyFill="1" applyBorder="1" applyAlignment="1">
      <alignment vertical="center" wrapText="1"/>
    </xf>
    <xf numFmtId="181" fontId="10" fillId="6" borderId="3" xfId="0" applyNumberFormat="1" applyFont="1" applyFill="1" applyBorder="1" applyAlignment="1">
      <alignment vertical="center" wrapText="1"/>
    </xf>
    <xf numFmtId="179" fontId="67" fillId="3" borderId="3" xfId="0" applyNumberFormat="1" applyFont="1" applyFill="1" applyBorder="1" applyAlignment="1">
      <alignment horizontal="center" vertical="center" wrapText="1"/>
    </xf>
    <xf numFmtId="0" fontId="67" fillId="3" borderId="3" xfId="0" applyFont="1" applyFill="1" applyBorder="1" applyAlignment="1">
      <alignment horizontal="center" vertical="center" wrapText="1"/>
    </xf>
    <xf numFmtId="179" fontId="67" fillId="3" borderId="3" xfId="0" applyNumberFormat="1" applyFont="1" applyFill="1" applyBorder="1" applyAlignment="1">
      <alignment horizontal="center" vertical="center"/>
    </xf>
    <xf numFmtId="179" fontId="68" fillId="0" borderId="3" xfId="0" applyNumberFormat="1" applyFont="1" applyFill="1" applyBorder="1" applyAlignment="1">
      <alignment horizontal="center" vertical="center"/>
    </xf>
    <xf numFmtId="179" fontId="69" fillId="0" borderId="3" xfId="0" applyNumberFormat="1" applyFont="1" applyFill="1" applyBorder="1" applyAlignment="1">
      <alignment horizontal="center" vertical="center" wrapText="1"/>
    </xf>
    <xf numFmtId="179" fontId="70" fillId="0" borderId="3" xfId="0" applyNumberFormat="1" applyFont="1" applyFill="1" applyBorder="1" applyAlignment="1">
      <alignment horizontal="center" vertical="center" wrapText="1"/>
    </xf>
    <xf numFmtId="0" fontId="70" fillId="0" borderId="3" xfId="72" applyFont="1" applyFill="1" applyBorder="1" applyAlignment="1">
      <alignment horizontal="center" vertical="center" wrapText="1"/>
    </xf>
    <xf numFmtId="0" fontId="65" fillId="0" borderId="3" xfId="0" applyFont="1" applyFill="1" applyBorder="1" applyAlignment="1">
      <alignment horizontal="center" vertical="center" wrapText="1"/>
    </xf>
    <xf numFmtId="179" fontId="71" fillId="3" borderId="3" xfId="0" applyNumberFormat="1" applyFont="1" applyFill="1" applyBorder="1" applyAlignment="1">
      <alignment horizontal="center" vertical="center"/>
    </xf>
    <xf numFmtId="0" fontId="64" fillId="0" borderId="0" xfId="0" applyNumberFormat="1" applyFont="1" applyFill="1" applyBorder="1" applyAlignment="1">
      <alignment vertical="center" wrapText="1"/>
    </xf>
    <xf numFmtId="179" fontId="36" fillId="0" borderId="5" xfId="0" applyNumberFormat="1" applyFont="1" applyFill="1" applyBorder="1" applyAlignment="1">
      <alignment horizontal="center" vertical="center" wrapText="1"/>
    </xf>
    <xf numFmtId="0" fontId="36" fillId="0" borderId="5" xfId="0" applyFont="1" applyFill="1" applyBorder="1" applyAlignment="1">
      <alignment horizontal="center" vertical="center"/>
    </xf>
    <xf numFmtId="179" fontId="36" fillId="0" borderId="3" xfId="0" applyNumberFormat="1" applyFont="1" applyFill="1" applyBorder="1" applyAlignment="1">
      <alignment horizontal="center" vertical="center"/>
    </xf>
    <xf numFmtId="0" fontId="58" fillId="0" borderId="3" xfId="0" applyFont="1" applyFill="1" applyBorder="1" applyAlignment="1">
      <alignment horizontal="center" vertical="center" wrapText="1"/>
    </xf>
    <xf numFmtId="181" fontId="72" fillId="0" borderId="3"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10" fillId="3" borderId="3" xfId="53" applyNumberFormat="1" applyFont="1" applyFill="1" applyBorder="1" applyAlignment="1" applyProtection="1">
      <alignment vertical="center" wrapText="1"/>
      <protection locked="0"/>
    </xf>
    <xf numFmtId="0" fontId="10" fillId="3" borderId="3" xfId="0" applyNumberFormat="1" applyFont="1" applyFill="1" applyBorder="1" applyAlignment="1">
      <alignment vertical="center" wrapText="1"/>
    </xf>
    <xf numFmtId="0" fontId="73" fillId="0" borderId="3" xfId="0" applyFont="1" applyFill="1" applyBorder="1" applyAlignment="1">
      <alignment horizontal="justify" vertical="center" wrapText="1"/>
    </xf>
    <xf numFmtId="179" fontId="10" fillId="3" borderId="3" xfId="0" applyNumberFormat="1" applyFont="1" applyFill="1" applyBorder="1" applyAlignment="1">
      <alignment vertical="center" wrapText="1"/>
    </xf>
    <xf numFmtId="178" fontId="73" fillId="0" borderId="3" xfId="0" applyNumberFormat="1" applyFont="1" applyFill="1" applyBorder="1" applyAlignment="1">
      <alignment horizontal="center" vertical="center" wrapText="1"/>
    </xf>
    <xf numFmtId="179" fontId="10" fillId="7" borderId="0" xfId="0" applyNumberFormat="1" applyFont="1" applyFill="1" applyBorder="1" applyAlignment="1">
      <alignment vertical="center" wrapText="1"/>
    </xf>
    <xf numFmtId="181" fontId="10" fillId="3" borderId="3" xfId="0" applyNumberFormat="1" applyFont="1" applyFill="1" applyBorder="1" applyAlignment="1">
      <alignment vertical="center" wrapText="1"/>
    </xf>
    <xf numFmtId="181" fontId="10" fillId="7" borderId="3" xfId="0" applyNumberFormat="1" applyFont="1" applyFill="1" applyBorder="1" applyAlignment="1">
      <alignment vertical="center" wrapText="1"/>
    </xf>
    <xf numFmtId="0" fontId="10" fillId="7" borderId="0" xfId="0" applyNumberFormat="1" applyFont="1" applyFill="1" applyBorder="1" applyAlignment="1">
      <alignment vertical="center" wrapText="1"/>
    </xf>
    <xf numFmtId="0" fontId="10" fillId="3" borderId="3" xfId="0" applyFont="1" applyFill="1" applyBorder="1" applyAlignment="1">
      <alignment vertical="center" wrapText="1"/>
    </xf>
    <xf numFmtId="0" fontId="73" fillId="0" borderId="3" xfId="0" applyNumberFormat="1" applyFont="1" applyFill="1" applyBorder="1" applyAlignment="1">
      <alignment horizontal="center" vertical="center" wrapText="1"/>
    </xf>
    <xf numFmtId="0" fontId="73" fillId="0" borderId="3" xfId="0" applyFont="1" applyFill="1" applyBorder="1" applyAlignment="1">
      <alignment horizontal="center" vertical="center" wrapText="1"/>
    </xf>
    <xf numFmtId="0" fontId="73" fillId="0" borderId="3" xfId="0" applyFont="1" applyFill="1" applyBorder="1" applyAlignment="1">
      <alignment vertical="center" wrapText="1"/>
    </xf>
    <xf numFmtId="0" fontId="73" fillId="0" borderId="3" xfId="0" applyFont="1" applyFill="1" applyBorder="1" applyAlignment="1">
      <alignment horizontal="left" vertical="center" wrapText="1"/>
    </xf>
    <xf numFmtId="0" fontId="74" fillId="0" borderId="3" xfId="0" applyNumberFormat="1" applyFont="1" applyFill="1" applyBorder="1" applyAlignment="1">
      <alignment vertical="center" wrapText="1"/>
    </xf>
    <xf numFmtId="0" fontId="74" fillId="0" borderId="3" xfId="0" applyNumberFormat="1" applyFont="1" applyFill="1" applyBorder="1" applyAlignment="1">
      <alignment horizontal="center" vertical="center" wrapText="1"/>
    </xf>
    <xf numFmtId="178" fontId="75" fillId="0" borderId="3" xfId="0" applyNumberFormat="1" applyFont="1" applyFill="1" applyBorder="1" applyAlignment="1">
      <alignment horizontal="center" vertical="center" wrapText="1"/>
    </xf>
    <xf numFmtId="179" fontId="75" fillId="0" borderId="3" xfId="0" applyNumberFormat="1" applyFont="1" applyFill="1" applyBorder="1" applyAlignment="1">
      <alignment horizontal="center" vertical="center" wrapText="1"/>
    </xf>
    <xf numFmtId="179" fontId="76" fillId="0" borderId="3" xfId="0" applyNumberFormat="1" applyFont="1" applyFill="1" applyBorder="1" applyAlignment="1">
      <alignment horizontal="center" vertical="center" wrapText="1"/>
    </xf>
    <xf numFmtId="179" fontId="27" fillId="0" borderId="3" xfId="72" applyNumberFormat="1" applyFont="1" applyFill="1" applyBorder="1" applyAlignment="1">
      <alignment horizontal="center" vertical="center" wrapText="1"/>
    </xf>
    <xf numFmtId="189" fontId="10" fillId="0" borderId="3" xfId="0" applyNumberFormat="1" applyFont="1" applyFill="1" applyBorder="1" applyAlignment="1">
      <alignment vertical="center" wrapText="1"/>
    </xf>
    <xf numFmtId="0" fontId="10" fillId="0" borderId="3" xfId="72" applyFont="1" applyFill="1" applyBorder="1" applyAlignment="1">
      <alignment horizontal="center" vertical="center" wrapText="1"/>
    </xf>
    <xf numFmtId="0" fontId="58" fillId="0" borderId="5" xfId="0" applyFont="1" applyFill="1" applyBorder="1" applyAlignment="1">
      <alignment horizontal="center" vertical="center" wrapText="1"/>
    </xf>
    <xf numFmtId="0" fontId="77" fillId="0" borderId="5" xfId="0" applyFont="1" applyFill="1" applyBorder="1" applyAlignment="1">
      <alignment horizontal="center" vertical="center" wrapText="1"/>
    </xf>
    <xf numFmtId="181" fontId="68" fillId="0" borderId="3" xfId="0" applyNumberFormat="1" applyFont="1" applyFill="1" applyBorder="1" applyAlignment="1">
      <alignment horizontal="center" vertical="center"/>
    </xf>
    <xf numFmtId="179" fontId="68" fillId="0" borderId="5" xfId="0" applyNumberFormat="1" applyFont="1" applyFill="1" applyBorder="1" applyAlignment="1">
      <alignment horizontal="center" vertical="center"/>
    </xf>
    <xf numFmtId="0" fontId="58" fillId="0" borderId="5" xfId="0" applyFont="1" applyFill="1" applyBorder="1" applyAlignment="1">
      <alignment horizontal="center" vertical="center"/>
    </xf>
    <xf numFmtId="0" fontId="10" fillId="0" borderId="3" xfId="72" applyFont="1" applyFill="1" applyBorder="1" applyAlignment="1" applyProtection="1">
      <alignment horizontal="center" vertical="center" wrapText="1"/>
    </xf>
    <xf numFmtId="0" fontId="78" fillId="0" borderId="3" xfId="0" applyFont="1" applyFill="1" applyBorder="1" applyAlignment="1">
      <alignment horizontal="center" vertical="center" wrapText="1"/>
    </xf>
    <xf numFmtId="0" fontId="27" fillId="0" borderId="5" xfId="0" applyFont="1" applyFill="1" applyBorder="1" applyAlignment="1">
      <alignment horizontal="center" vertical="center"/>
    </xf>
    <xf numFmtId="179" fontId="10" fillId="6" borderId="7" xfId="0" applyNumberFormat="1" applyFont="1" applyFill="1" applyBorder="1" applyAlignment="1">
      <alignment vertical="center" wrapText="1"/>
    </xf>
    <xf numFmtId="0" fontId="72" fillId="0" borderId="3" xfId="0" applyFont="1" applyFill="1" applyBorder="1" applyAlignment="1">
      <alignment horizontal="center" vertical="center" wrapText="1"/>
    </xf>
    <xf numFmtId="181" fontId="10" fillId="6" borderId="7" xfId="0" applyNumberFormat="1" applyFont="1" applyFill="1" applyBorder="1" applyAlignment="1">
      <alignment vertical="center" wrapText="1"/>
    </xf>
    <xf numFmtId="0" fontId="10" fillId="6" borderId="7" xfId="0" applyNumberFormat="1" applyFont="1" applyFill="1" applyBorder="1" applyAlignment="1">
      <alignment vertical="center" wrapText="1"/>
    </xf>
    <xf numFmtId="179" fontId="27" fillId="3" borderId="3" xfId="0" applyNumberFormat="1" applyFont="1" applyFill="1" applyBorder="1" applyAlignment="1">
      <alignment horizontal="center" vertical="center" wrapText="1"/>
    </xf>
    <xf numFmtId="0" fontId="10" fillId="7" borderId="3" xfId="53" applyNumberFormat="1" applyFont="1" applyFill="1" applyBorder="1" applyAlignment="1" applyProtection="1">
      <alignment vertical="center" wrapText="1"/>
      <protection locked="0"/>
    </xf>
    <xf numFmtId="179" fontId="72" fillId="0" borderId="3" xfId="0" applyNumberFormat="1" applyFont="1" applyFill="1" applyBorder="1" applyAlignment="1">
      <alignment horizontal="center" vertical="center" wrapText="1"/>
    </xf>
    <xf numFmtId="0" fontId="24" fillId="0" borderId="5" xfId="0" applyFont="1" applyFill="1" applyBorder="1" applyAlignment="1">
      <alignment horizontal="center" vertical="center" wrapText="1"/>
    </xf>
    <xf numFmtId="0" fontId="10" fillId="3" borderId="3" xfId="53" applyNumberFormat="1" applyFont="1" applyFill="1" applyBorder="1" applyAlignment="1" applyProtection="1">
      <alignment horizontal="center" vertical="center" wrapText="1"/>
      <protection locked="0"/>
    </xf>
    <xf numFmtId="0" fontId="10" fillId="0" borderId="3" xfId="53" applyNumberFormat="1" applyFont="1" applyFill="1" applyBorder="1" applyAlignment="1" applyProtection="1">
      <alignment horizontal="center" vertical="center" wrapText="1"/>
      <protection locked="0"/>
    </xf>
    <xf numFmtId="179" fontId="10" fillId="0" borderId="3" xfId="53" applyNumberFormat="1" applyFont="1" applyFill="1" applyBorder="1" applyAlignment="1" applyProtection="1">
      <alignment vertical="center" wrapText="1"/>
      <protection locked="0"/>
    </xf>
    <xf numFmtId="181" fontId="10" fillId="0" borderId="3" xfId="53" applyNumberFormat="1" applyFont="1" applyFill="1" applyBorder="1" applyAlignment="1" applyProtection="1">
      <alignment vertical="center" wrapText="1"/>
      <protection locked="0"/>
    </xf>
    <xf numFmtId="0" fontId="51" fillId="0" borderId="5" xfId="0" applyFont="1" applyFill="1" applyBorder="1" applyAlignment="1">
      <alignment horizontal="center" vertical="center"/>
    </xf>
    <xf numFmtId="0" fontId="79" fillId="0" borderId="3" xfId="0" applyFont="1" applyFill="1" applyBorder="1" applyAlignment="1">
      <alignment horizontal="center" vertical="center" wrapText="1"/>
    </xf>
    <xf numFmtId="0" fontId="80" fillId="0" borderId="3" xfId="0" applyFont="1" applyFill="1" applyBorder="1" applyAlignment="1">
      <alignment horizontal="justify" vertical="center" wrapText="1"/>
    </xf>
    <xf numFmtId="0" fontId="81" fillId="0" borderId="3"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27" fillId="0" borderId="5" xfId="92" applyFont="1" applyFill="1" applyBorder="1" applyAlignment="1">
      <alignment horizontal="center" vertical="center" wrapText="1"/>
    </xf>
    <xf numFmtId="0" fontId="10" fillId="3" borderId="4" xfId="0" applyNumberFormat="1" applyFont="1" applyFill="1" applyBorder="1" applyAlignment="1">
      <alignment horizontal="center" vertical="center" wrapText="1"/>
    </xf>
    <xf numFmtId="179" fontId="36" fillId="0" borderId="3" xfId="0" applyNumberFormat="1" applyFont="1" applyFill="1" applyBorder="1" applyAlignment="1">
      <alignment horizontal="left" vertical="center" wrapText="1"/>
    </xf>
    <xf numFmtId="0" fontId="10" fillId="7" borderId="3" xfId="0" applyFont="1" applyFill="1" applyBorder="1" applyAlignment="1">
      <alignment vertical="center" wrapText="1"/>
    </xf>
    <xf numFmtId="179" fontId="68" fillId="0" borderId="0" xfId="0" applyNumberFormat="1" applyFont="1" applyFill="1" applyBorder="1" applyAlignment="1">
      <alignment horizontal="center" vertical="center"/>
    </xf>
    <xf numFmtId="179" fontId="36" fillId="0" borderId="3" xfId="0" applyNumberFormat="1" applyFont="1" applyFill="1" applyBorder="1" applyAlignment="1">
      <alignment horizontal="center" vertical="center" wrapText="1"/>
    </xf>
    <xf numFmtId="181" fontId="27" fillId="0" borderId="3" xfId="0" applyNumberFormat="1" applyFont="1" applyFill="1" applyBorder="1" applyAlignment="1">
      <alignment horizontal="center" vertical="center"/>
    </xf>
    <xf numFmtId="179" fontId="36" fillId="0" borderId="3" xfId="53" applyNumberFormat="1" applyFont="1" applyFill="1" applyBorder="1" applyAlignment="1" applyProtection="1">
      <alignment horizontal="center" vertical="center" wrapText="1"/>
      <protection locked="0"/>
    </xf>
    <xf numFmtId="0" fontId="36" fillId="0" borderId="3" xfId="0" applyNumberFormat="1" applyFont="1" applyFill="1" applyBorder="1" applyAlignment="1">
      <alignment horizontal="center" vertical="center" wrapText="1"/>
    </xf>
    <xf numFmtId="0" fontId="27" fillId="0" borderId="3" xfId="100" applyNumberFormat="1" applyFont="1" applyFill="1" applyBorder="1" applyAlignment="1" applyProtection="1">
      <alignment horizontal="center" vertical="center" wrapText="1"/>
    </xf>
    <xf numFmtId="0" fontId="11" fillId="0" borderId="3" xfId="0" applyFont="1" applyFill="1" applyBorder="1" applyAlignment="1">
      <alignment horizontal="justify" vertical="center" wrapText="1"/>
    </xf>
    <xf numFmtId="0" fontId="2" fillId="0" borderId="3" xfId="100" applyNumberFormat="1" applyFont="1" applyFill="1" applyBorder="1" applyAlignment="1" applyProtection="1">
      <alignment horizontal="center" vertical="center" wrapText="1"/>
    </xf>
    <xf numFmtId="0" fontId="49" fillId="0" borderId="3" xfId="0" applyFont="1" applyFill="1" applyBorder="1" applyAlignment="1">
      <alignment horizontal="left" vertical="center" wrapText="1"/>
    </xf>
    <xf numFmtId="0" fontId="10" fillId="0" borderId="0" xfId="0" applyFont="1" applyFill="1" applyAlignment="1">
      <alignment vertical="center" wrapText="1"/>
    </xf>
    <xf numFmtId="0" fontId="82" fillId="0" borderId="0" xfId="0" applyFont="1" applyFill="1" applyBorder="1" applyAlignment="1">
      <alignment vertical="center" wrapText="1"/>
    </xf>
    <xf numFmtId="0" fontId="18" fillId="0" borderId="0" xfId="89" applyNumberFormat="1" applyFont="1" applyFill="1" applyBorder="1" applyAlignment="1">
      <alignment vertical="center" wrapText="1"/>
    </xf>
    <xf numFmtId="0" fontId="82" fillId="0" borderId="0" xfId="0" applyNumberFormat="1" applyFont="1" applyFill="1" applyBorder="1" applyAlignment="1">
      <alignment horizontal="center" vertical="center" wrapText="1"/>
    </xf>
    <xf numFmtId="179" fontId="82" fillId="0" borderId="0" xfId="0" applyNumberFormat="1" applyFont="1" applyFill="1" applyBorder="1" applyAlignment="1">
      <alignment horizontal="center" vertical="center" wrapText="1"/>
    </xf>
    <xf numFmtId="0" fontId="82" fillId="0" borderId="0" xfId="0" applyNumberFormat="1" applyFont="1" applyFill="1" applyBorder="1" applyAlignment="1">
      <alignment vertical="center" wrapText="1"/>
    </xf>
    <xf numFmtId="0" fontId="83" fillId="0" borderId="16" xfId="0" applyNumberFormat="1" applyFont="1" applyFill="1" applyBorder="1" applyAlignment="1" applyProtection="1">
      <alignment horizontal="center" vertical="center" wrapText="1"/>
    </xf>
    <xf numFmtId="0" fontId="84" fillId="0" borderId="16" xfId="0" applyNumberFormat="1" applyFont="1" applyFill="1" applyBorder="1" applyAlignment="1" applyProtection="1">
      <alignment horizontal="center" vertical="center" wrapText="1"/>
    </xf>
    <xf numFmtId="0" fontId="74" fillId="0" borderId="0" xfId="0" applyNumberFormat="1" applyFont="1" applyFill="1" applyBorder="1" applyAlignment="1">
      <alignment vertical="center" wrapText="1"/>
    </xf>
    <xf numFmtId="179" fontId="12" fillId="3" borderId="3" xfId="0" applyNumberFormat="1" applyFont="1" applyFill="1" applyBorder="1" applyAlignment="1">
      <alignment horizontal="center" vertical="center" wrapText="1"/>
    </xf>
    <xf numFmtId="179" fontId="73" fillId="0" borderId="3" xfId="0" applyNumberFormat="1" applyFont="1" applyFill="1" applyBorder="1" applyAlignment="1">
      <alignment horizontal="center" vertical="center" wrapText="1"/>
    </xf>
    <xf numFmtId="179" fontId="74" fillId="0" borderId="3" xfId="0" applyNumberFormat="1" applyFont="1" applyFill="1" applyBorder="1" applyAlignment="1">
      <alignment horizontal="center" vertical="center" wrapText="1"/>
    </xf>
    <xf numFmtId="0" fontId="74" fillId="3" borderId="3" xfId="0" applyNumberFormat="1" applyFont="1" applyFill="1" applyBorder="1" applyAlignment="1">
      <alignment horizontal="center" vertical="center" wrapText="1"/>
    </xf>
    <xf numFmtId="179" fontId="74" fillId="0" borderId="3" xfId="0" applyNumberFormat="1" applyFont="1" applyFill="1" applyBorder="1" applyAlignment="1">
      <alignment vertical="center" wrapText="1"/>
    </xf>
    <xf numFmtId="0" fontId="18" fillId="0" borderId="0" xfId="0" applyNumberFormat="1" applyFont="1" applyFill="1" applyBorder="1" applyAlignment="1">
      <alignment vertical="center" wrapText="1"/>
    </xf>
    <xf numFmtId="0" fontId="18" fillId="0" borderId="0" xfId="0" applyNumberFormat="1" applyFont="1" applyFill="1" applyBorder="1" applyAlignment="1">
      <alignment horizontal="center" vertical="center" wrapText="1"/>
    </xf>
    <xf numFmtId="0" fontId="2" fillId="0" borderId="0" xfId="0" applyNumberFormat="1" applyFont="1" applyFill="1" applyBorder="1" applyAlignment="1">
      <alignment vertical="center" wrapText="1"/>
    </xf>
    <xf numFmtId="0" fontId="26" fillId="0" borderId="0" xfId="0" applyNumberFormat="1" applyFont="1" applyFill="1" applyBorder="1" applyAlignment="1">
      <alignment vertical="center" wrapText="1"/>
    </xf>
    <xf numFmtId="179" fontId="26" fillId="0" borderId="0" xfId="0" applyNumberFormat="1" applyFont="1" applyFill="1" applyBorder="1" applyAlignment="1">
      <alignment vertical="center" wrapText="1"/>
    </xf>
    <xf numFmtId="0" fontId="54" fillId="0" borderId="0" xfId="0" applyNumberFormat="1" applyFont="1" applyFill="1" applyBorder="1" applyAlignment="1">
      <alignment vertical="center" wrapText="1"/>
    </xf>
    <xf numFmtId="0" fontId="2" fillId="0" borderId="0" xfId="89" applyNumberFormat="1" applyFont="1" applyFill="1" applyBorder="1" applyAlignment="1">
      <alignment vertical="center" wrapText="1"/>
    </xf>
    <xf numFmtId="0" fontId="26" fillId="0" borderId="0" xfId="89" applyNumberFormat="1" applyFont="1" applyFill="1" applyBorder="1" applyAlignment="1">
      <alignment vertical="center" wrapText="1"/>
    </xf>
    <xf numFmtId="0" fontId="85" fillId="0" borderId="0" xfId="0" applyNumberFormat="1" applyFont="1" applyFill="1" applyBorder="1" applyAlignment="1">
      <alignment horizontal="center" vertical="center" wrapText="1"/>
    </xf>
    <xf numFmtId="0" fontId="61" fillId="0" borderId="0" xfId="89" applyNumberFormat="1" applyFont="1" applyFill="1" applyBorder="1" applyAlignment="1">
      <alignment vertical="center" wrapText="1"/>
    </xf>
    <xf numFmtId="0" fontId="86" fillId="0" borderId="3" xfId="0" applyNumberFormat="1" applyFont="1" applyFill="1" applyBorder="1" applyAlignment="1">
      <alignment horizontal="center" vertical="center" wrapText="1"/>
    </xf>
    <xf numFmtId="0" fontId="87" fillId="0" borderId="3" xfId="0" applyNumberFormat="1" applyFont="1"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88" fillId="0" borderId="3" xfId="0" applyNumberFormat="1" applyFont="1" applyFill="1" applyBorder="1" applyAlignment="1">
      <alignment horizontal="center" vertical="center" wrapText="1"/>
    </xf>
    <xf numFmtId="0" fontId="33" fillId="0" borderId="6" xfId="0" applyNumberFormat="1" applyFont="1" applyFill="1" applyBorder="1" applyAlignment="1">
      <alignment horizontal="center" vertical="center" wrapText="1"/>
    </xf>
    <xf numFmtId="0" fontId="33" fillId="0" borderId="7" xfId="0" applyNumberFormat="1" applyFont="1" applyFill="1" applyBorder="1" applyAlignment="1">
      <alignment horizontal="center" vertical="center" wrapText="1"/>
    </xf>
    <xf numFmtId="179" fontId="26" fillId="0" borderId="0" xfId="89" applyNumberFormat="1" applyFont="1" applyFill="1" applyBorder="1" applyAlignment="1">
      <alignment vertical="center" wrapText="1"/>
    </xf>
    <xf numFmtId="179" fontId="85" fillId="0" borderId="0" xfId="0" applyNumberFormat="1" applyFont="1" applyFill="1" applyBorder="1" applyAlignment="1">
      <alignment horizontal="center" vertical="center" wrapText="1"/>
    </xf>
    <xf numFmtId="179" fontId="61" fillId="0" borderId="0" xfId="89" applyNumberFormat="1" applyFont="1" applyFill="1" applyBorder="1" applyAlignment="1">
      <alignment vertical="center" wrapText="1"/>
    </xf>
    <xf numFmtId="179" fontId="33" fillId="0" borderId="3" xfId="89" applyNumberFormat="1" applyFont="1" applyFill="1" applyBorder="1" applyAlignment="1">
      <alignment horizontal="center" vertical="center" wrapText="1"/>
    </xf>
    <xf numFmtId="179" fontId="88" fillId="0" borderId="3" xfId="89" applyNumberFormat="1" applyFont="1" applyFill="1" applyBorder="1" applyAlignment="1">
      <alignment horizontal="center" vertical="center" wrapText="1"/>
    </xf>
    <xf numFmtId="179" fontId="33" fillId="0" borderId="4" xfId="89" applyNumberFormat="1" applyFont="1" applyFill="1" applyBorder="1" applyAlignment="1">
      <alignment horizontal="center" vertical="center" wrapText="1"/>
    </xf>
    <xf numFmtId="179" fontId="33" fillId="0" borderId="12" xfId="89" applyNumberFormat="1" applyFont="1" applyFill="1" applyBorder="1" applyAlignment="1">
      <alignment horizontal="center" vertical="center" wrapText="1"/>
    </xf>
    <xf numFmtId="179" fontId="88" fillId="0" borderId="12" xfId="89" applyNumberFormat="1" applyFont="1" applyFill="1" applyBorder="1" applyAlignment="1">
      <alignment horizontal="center" vertical="center" wrapText="1"/>
    </xf>
    <xf numFmtId="0" fontId="88" fillId="0" borderId="7" xfId="0" applyNumberFormat="1" applyFont="1" applyFill="1" applyBorder="1" applyAlignment="1">
      <alignment horizontal="center" vertical="center" wrapText="1"/>
    </xf>
    <xf numFmtId="179" fontId="33" fillId="0" borderId="3" xfId="0" applyNumberFormat="1" applyFont="1" applyFill="1" applyBorder="1" applyAlignment="1">
      <alignment horizontal="center" vertical="center" wrapText="1"/>
    </xf>
    <xf numFmtId="179" fontId="88" fillId="0" borderId="3" xfId="0" applyNumberFormat="1" applyFont="1" applyFill="1" applyBorder="1" applyAlignment="1">
      <alignment horizontal="center" vertical="center" wrapText="1"/>
    </xf>
    <xf numFmtId="0" fontId="88" fillId="0" borderId="3" xfId="89" applyNumberFormat="1" applyFont="1" applyFill="1" applyBorder="1" applyAlignment="1">
      <alignment horizontal="center" vertical="center" wrapText="1"/>
    </xf>
    <xf numFmtId="0" fontId="33" fillId="0" borderId="2" xfId="89" applyNumberFormat="1" applyFont="1" applyFill="1" applyBorder="1" applyAlignment="1">
      <alignment horizontal="center" vertical="center" wrapText="1"/>
    </xf>
    <xf numFmtId="179" fontId="88" fillId="0" borderId="5" xfId="89" applyNumberFormat="1" applyFont="1" applyFill="1" applyBorder="1" applyAlignment="1">
      <alignment horizontal="center" vertical="center" wrapText="1"/>
    </xf>
    <xf numFmtId="179" fontId="33" fillId="0" borderId="2" xfId="0" applyNumberFormat="1" applyFont="1" applyFill="1" applyBorder="1" applyAlignment="1">
      <alignment horizontal="center" vertical="center" wrapText="1"/>
    </xf>
    <xf numFmtId="0" fontId="88" fillId="0" borderId="6" xfId="89" applyNumberFormat="1" applyFont="1" applyFill="1" applyBorder="1" applyAlignment="1">
      <alignment horizontal="center" vertical="center" wrapText="1"/>
    </xf>
    <xf numFmtId="0" fontId="33" fillId="0" borderId="6" xfId="89" applyNumberFormat="1" applyFont="1" applyFill="1" applyBorder="1" applyAlignment="1">
      <alignment horizontal="center" vertical="center" wrapText="1"/>
    </xf>
    <xf numFmtId="179" fontId="88" fillId="0" borderId="7" xfId="0" applyNumberFormat="1" applyFont="1" applyFill="1" applyBorder="1" applyAlignment="1">
      <alignment horizontal="center" vertical="center" wrapText="1"/>
    </xf>
    <xf numFmtId="0" fontId="88" fillId="0" borderId="7" xfId="89" applyNumberFormat="1" applyFont="1" applyFill="1" applyBorder="1" applyAlignment="1">
      <alignment horizontal="center" vertical="center" wrapText="1"/>
    </xf>
    <xf numFmtId="0" fontId="33" fillId="0" borderId="7" xfId="89" applyNumberFormat="1" applyFont="1" applyFill="1" applyBorder="1" applyAlignment="1">
      <alignment horizontal="center" vertical="center" wrapText="1"/>
    </xf>
    <xf numFmtId="181" fontId="33" fillId="0" borderId="3" xfId="0" applyNumberFormat="1" applyFont="1" applyFill="1" applyBorder="1" applyAlignment="1">
      <alignment horizontal="center" vertical="center" wrapText="1"/>
    </xf>
    <xf numFmtId="181" fontId="88" fillId="0" borderId="3" xfId="0" applyNumberFormat="1" applyFont="1" applyFill="1" applyBorder="1" applyAlignment="1">
      <alignment horizontal="center" vertical="center" wrapText="1"/>
    </xf>
    <xf numFmtId="0" fontId="86" fillId="0" borderId="3" xfId="89" applyNumberFormat="1" applyFont="1" applyFill="1" applyBorder="1" applyAlignment="1">
      <alignment horizontal="center" vertical="center" wrapText="1"/>
    </xf>
    <xf numFmtId="181" fontId="33" fillId="0" borderId="2" xfId="0" applyNumberFormat="1" applyFont="1" applyFill="1" applyBorder="1" applyAlignment="1">
      <alignment horizontal="center" vertical="center" wrapText="1"/>
    </xf>
    <xf numFmtId="181" fontId="88" fillId="0" borderId="7" xfId="0" applyNumberFormat="1" applyFont="1" applyFill="1" applyBorder="1" applyAlignment="1">
      <alignment horizontal="center" vertical="center" wrapText="1"/>
    </xf>
    <xf numFmtId="180" fontId="10" fillId="0" borderId="3" xfId="0" applyNumberFormat="1" applyFont="1" applyFill="1" applyBorder="1" applyAlignment="1">
      <alignment vertical="center" wrapText="1"/>
    </xf>
    <xf numFmtId="0" fontId="89" fillId="0" borderId="0" xfId="0" applyFont="1" applyFill="1" applyAlignment="1">
      <alignment vertical="center" wrapText="1"/>
    </xf>
    <xf numFmtId="0" fontId="90" fillId="0" borderId="0" xfId="0" applyFont="1" applyFill="1" applyAlignment="1">
      <alignment vertical="center" wrapText="1"/>
    </xf>
    <xf numFmtId="0" fontId="33" fillId="0" borderId="0" xfId="0" applyNumberFormat="1" applyFont="1" applyFill="1" applyBorder="1" applyAlignment="1">
      <alignment horizontal="center" vertical="center" wrapText="1"/>
    </xf>
    <xf numFmtId="0" fontId="33" fillId="0" borderId="0" xfId="0" applyNumberFormat="1" applyFont="1" applyFill="1" applyBorder="1" applyAlignment="1">
      <alignment vertical="center" wrapText="1"/>
    </xf>
    <xf numFmtId="0" fontId="88" fillId="0" borderId="0" xfId="0" applyNumberFormat="1" applyFont="1" applyFill="1" applyBorder="1" applyAlignment="1">
      <alignment vertical="center" wrapText="1"/>
    </xf>
    <xf numFmtId="179" fontId="88" fillId="0" borderId="0" xfId="0" applyNumberFormat="1" applyFont="1" applyFill="1" applyBorder="1" applyAlignment="1">
      <alignment vertical="center" wrapText="1"/>
    </xf>
  </cellXfs>
  <cellStyles count="10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5 2 3 9" xfId="49"/>
    <cellStyle name="常规 10 2 2 2 2 5" xfId="50"/>
    <cellStyle name="40% - 强调文字颜色 1 2 2 3 2 12" xfId="51"/>
    <cellStyle name="常规_需求汇总表（1-4） 13" xfId="52"/>
    <cellStyle name="常规_需求汇总表（1-4）" xfId="53"/>
    <cellStyle name="货币 12 4" xfId="54"/>
    <cellStyle name="20% - 强调文字颜色 5 2 3 4" xfId="55"/>
    <cellStyle name="40% - 强调文字颜色 1 2 2 3 2 6" xfId="56"/>
    <cellStyle name="20% - 强调文字颜色 5 2 4 2 11" xfId="57"/>
    <cellStyle name="常规 100 2 2" xfId="58"/>
    <cellStyle name="常规 10" xfId="59"/>
    <cellStyle name="20% - 强调文字颜色 1 2 2 17" xfId="60"/>
    <cellStyle name="20% - 强调文字颜色 5 2 5 13" xfId="61"/>
    <cellStyle name="20% - 强调文字颜色 6 2 2 3 2" xfId="62"/>
    <cellStyle name="常规 10 2 2 2 2" xfId="63"/>
    <cellStyle name="40% - 强调文字颜色 3 3 2 3 3" xfId="64"/>
    <cellStyle name="常规 10 2 10" xfId="65"/>
    <cellStyle name="常规 100" xfId="66"/>
    <cellStyle name="常规 11" xfId="67"/>
    <cellStyle name="常规 128" xfId="68"/>
    <cellStyle name="常规 133" xfId="69"/>
    <cellStyle name="常规 130 2 2 2" xfId="70"/>
    <cellStyle name="常规 130 2 2 2 2 2" xfId="71"/>
    <cellStyle name="常规 135" xfId="72"/>
    <cellStyle name="常规 138" xfId="73"/>
    <cellStyle name="常规 14" xfId="74"/>
    <cellStyle name="常规 141" xfId="75"/>
    <cellStyle name="常规 144" xfId="76"/>
    <cellStyle name="常规 145" xfId="77"/>
    <cellStyle name="常规 147" xfId="78"/>
    <cellStyle name="常规 152" xfId="79"/>
    <cellStyle name="常规 148" xfId="80"/>
    <cellStyle name="常规 153" xfId="81"/>
    <cellStyle name="常规 15" xfId="82"/>
    <cellStyle name="常规 151" xfId="83"/>
    <cellStyle name="常规 154" xfId="84"/>
    <cellStyle name="常规 155" xfId="85"/>
    <cellStyle name="常规 157" xfId="86"/>
    <cellStyle name="常规 2" xfId="87"/>
    <cellStyle name="常规 2 10" xfId="88"/>
    <cellStyle name="常规 2 2 3" xfId="89"/>
    <cellStyle name="常规 3" xfId="90"/>
    <cellStyle name="常规_Sheet1" xfId="91"/>
    <cellStyle name="常规 4" xfId="92"/>
    <cellStyle name="常规_需求汇总表（1-4） 11" xfId="93"/>
    <cellStyle name="常规_需求汇总表（1-4） 8" xfId="94"/>
    <cellStyle name="常规_需求汇总表（1-4） 9" xfId="95"/>
    <cellStyle name="常规 130 3" xfId="96"/>
    <cellStyle name="常规 2 8" xfId="97"/>
    <cellStyle name="常规 133 2 2" xfId="98"/>
    <cellStyle name="常规 13 10" xfId="99"/>
    <cellStyle name="常规 2 2" xfId="100"/>
  </cellStyles>
  <dxfs count="1">
    <dxf>
      <font>
        <color rgb="FF006100"/>
      </font>
      <fill>
        <patternFill patternType="solid">
          <bgColor rgb="FFC6EFCE"/>
        </patternFill>
      </fill>
    </dxf>
  </dxfs>
  <tableStyles count="0" defaultTableStyle="TableStyleMedium2"/>
  <colors>
    <mruColors>
      <color rgb="00002060"/>
      <color rgb="00FFFFFF"/>
      <color rgb="007030A0"/>
      <color rgb="00C00000"/>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4180;&#34892;&#21160;&#35745;&#21010;\&#39033;&#30446;&#24211;2018&#24180;&#21160;&#24577;&#35843;&#25972;\&#31243;&#24207;\&#26368;&#32456;&#25968;&#25454;%202018.12.21\&#40635;&#26647;&#22369;&#21439;&#33073;&#36139;&#25915;&#22362;&#24037;&#20316;&#20219;&#21153;&#28165;&#21333;&#65288;2018&#24180;11&#26376;&#21160;&#24577;&#35843;&#25972;&#36164;&#37329;&#38145;&#23450;&#3129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全县汇总"/>
      <sheetName val="八布"/>
      <sheetName val="大坪"/>
      <sheetName val="董干"/>
      <sheetName val="六河"/>
      <sheetName val="麻栗镇"/>
      <sheetName val="马街"/>
      <sheetName val="猛硐"/>
      <sheetName val="天保"/>
      <sheetName val="铁厂"/>
      <sheetName val="下金厂"/>
      <sheetName val="杨万"/>
      <sheetName val="县级层面项目"/>
      <sheetName val="Sheet1"/>
    </sheetNames>
    <sheetDataSet>
      <sheetData sheetId="0" refreshError="1"/>
      <sheetData sheetId="1" refreshError="1">
        <row r="54">
          <cell r="E5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a:themeElements>
    <a:clrScheme name="Angles">
      <a:dk1>
        <a:srgbClr val="000000"/>
      </a:dk1>
      <a:lt1>
        <a:srgbClr val="FFFFFF"/>
      </a:lt1>
      <a:dk2>
        <a:srgbClr val="434342"/>
      </a:dk2>
      <a:lt2>
        <a:srgbClr val="CDD7D9"/>
      </a:lt2>
      <a:accent1>
        <a:srgbClr val="797B7E"/>
      </a:accent1>
      <a:accent2>
        <a:srgbClr val="F96A1B"/>
      </a:accent2>
      <a:accent3>
        <a:srgbClr val="08A1D9"/>
      </a:accent3>
      <a:accent4>
        <a:srgbClr val="7C984A"/>
      </a:accent4>
      <a:accent5>
        <a:srgbClr val="C2AD8D"/>
      </a:accent5>
      <a:accent6>
        <a:srgbClr val="506E94"/>
      </a:accent6>
      <a:hlink>
        <a:srgbClr val="5F5F5F"/>
      </a:hlink>
      <a:folHlink>
        <a:srgbClr val="969696"/>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C877"/>
  <sheetViews>
    <sheetView showZeros="0" tabSelected="1" workbookViewId="0">
      <pane ySplit="7" topLeftCell="A311" activePane="bottomLeft" state="frozen"/>
      <selection/>
      <selection pane="bottomLeft" activeCell="K315" sqref="K315"/>
    </sheetView>
  </sheetViews>
  <sheetFormatPr defaultColWidth="9" defaultRowHeight="15"/>
  <cols>
    <col min="1" max="1" width="7.75" style="249" customWidth="1"/>
    <col min="2" max="2" width="20.9416666666667" style="832" customWidth="1"/>
    <col min="3" max="3" width="10.5" style="570" customWidth="1"/>
    <col min="4" max="4" width="10.45" style="249" customWidth="1"/>
    <col min="5" max="5" width="9.1" style="833" customWidth="1"/>
    <col min="6" max="6" width="12.9333333333333" style="833" customWidth="1"/>
    <col min="7" max="7" width="16.3916666666667" style="833" customWidth="1"/>
    <col min="8" max="8" width="12.3833333333333" style="833" customWidth="1"/>
    <col min="9" max="9" width="12.9333333333333" style="833" customWidth="1"/>
    <col min="10" max="10" width="11.1083333333333" style="833" customWidth="1"/>
    <col min="11" max="11" width="10.5583333333333" style="833" customWidth="1"/>
    <col min="12" max="12" width="9.28333333333333" style="833" customWidth="1"/>
    <col min="13" max="13" width="9.075" style="833" customWidth="1"/>
    <col min="14" max="15" width="12.1333333333333" style="834" customWidth="1"/>
    <col min="16" max="16" width="10.25" style="834" customWidth="1"/>
    <col min="17" max="17" width="10.1333333333333" style="834" customWidth="1"/>
    <col min="18" max="18" width="12" style="834" customWidth="1"/>
    <col min="19" max="19" width="11.8833333333333" style="834" customWidth="1"/>
    <col min="20" max="20" width="11.3833333333333" style="834" customWidth="1"/>
    <col min="21" max="21" width="10.6333333333333" style="834" customWidth="1"/>
    <col min="22" max="22" width="6.38333333333333" style="833" customWidth="1"/>
    <col min="23" max="23" width="8.38333333333333" style="833" customWidth="1"/>
    <col min="24" max="24" width="6.38333333333333" style="833" customWidth="1"/>
    <col min="25" max="25" width="12.2" style="833" customWidth="1"/>
    <col min="26" max="26" width="12.5666666666667" style="833" customWidth="1"/>
    <col min="27" max="27" width="7.03333333333333" style="832" customWidth="1"/>
    <col min="28" max="29" width="6" style="832" customWidth="1"/>
    <col min="30" max="31" width="6.63333333333333" style="832" customWidth="1"/>
    <col min="32" max="32" width="8.175" style="832" customWidth="1"/>
    <col min="33" max="33" width="9.5" style="835" customWidth="1"/>
    <col min="34" max="16384" width="9" style="832"/>
  </cols>
  <sheetData>
    <row r="1" s="201" customFormat="1" ht="19.5" customHeight="1" spans="1:237">
      <c r="A1" s="836" t="s">
        <v>0</v>
      </c>
      <c r="B1" s="836"/>
      <c r="C1" s="697"/>
      <c r="D1" s="426"/>
      <c r="E1" s="837"/>
      <c r="F1" s="837"/>
      <c r="G1" s="837"/>
      <c r="H1" s="837"/>
      <c r="I1" s="837"/>
      <c r="J1" s="837"/>
      <c r="K1" s="837"/>
      <c r="L1" s="837"/>
      <c r="M1" s="837"/>
      <c r="N1" s="847"/>
      <c r="O1" s="847"/>
      <c r="P1" s="847"/>
      <c r="Q1" s="847"/>
      <c r="R1" s="847"/>
      <c r="S1" s="847"/>
      <c r="T1" s="847"/>
      <c r="U1" s="847"/>
      <c r="V1" s="847"/>
      <c r="W1" s="847"/>
      <c r="X1" s="847"/>
      <c r="Y1" s="847"/>
      <c r="Z1" s="847"/>
      <c r="AA1" s="836"/>
      <c r="AB1" s="836"/>
      <c r="AC1" s="836"/>
      <c r="AD1" s="836"/>
      <c r="AE1" s="836"/>
      <c r="AF1" s="836"/>
      <c r="AG1" s="835"/>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2"/>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c r="GX1" s="832"/>
      <c r="GY1" s="832"/>
      <c r="GZ1" s="832"/>
      <c r="HA1" s="832"/>
      <c r="HB1" s="832"/>
      <c r="HC1" s="832"/>
      <c r="HD1" s="832"/>
      <c r="HE1" s="832"/>
      <c r="HF1" s="832"/>
      <c r="HG1" s="832"/>
      <c r="HH1" s="832"/>
      <c r="HI1" s="832"/>
      <c r="HJ1" s="832"/>
      <c r="HK1" s="832"/>
      <c r="HL1" s="832"/>
      <c r="HM1" s="832"/>
      <c r="HN1" s="832"/>
      <c r="HO1" s="832"/>
      <c r="HP1" s="832"/>
      <c r="HQ1" s="832"/>
      <c r="HR1" s="832"/>
      <c r="HS1" s="832"/>
      <c r="HT1" s="832"/>
      <c r="HU1" s="832"/>
      <c r="HV1" s="832"/>
      <c r="HW1" s="832"/>
      <c r="HX1" s="832"/>
      <c r="HY1" s="832"/>
      <c r="HZ1" s="832"/>
      <c r="IA1" s="832"/>
      <c r="IB1" s="832"/>
      <c r="IC1" s="832"/>
    </row>
    <row r="2" s="201" customFormat="1" ht="52.5" customHeight="1" spans="1:237">
      <c r="A2" s="838" t="s">
        <v>1</v>
      </c>
      <c r="B2" s="838"/>
      <c r="C2" s="838"/>
      <c r="D2" s="838"/>
      <c r="E2" s="838"/>
      <c r="F2" s="838"/>
      <c r="G2" s="838"/>
      <c r="H2" s="838"/>
      <c r="I2" s="838"/>
      <c r="J2" s="838"/>
      <c r="K2" s="838"/>
      <c r="L2" s="838"/>
      <c r="M2" s="838"/>
      <c r="N2" s="848"/>
      <c r="O2" s="848"/>
      <c r="P2" s="848"/>
      <c r="Q2" s="848"/>
      <c r="R2" s="848"/>
      <c r="S2" s="848"/>
      <c r="T2" s="848"/>
      <c r="U2" s="848"/>
      <c r="V2" s="838"/>
      <c r="W2" s="838"/>
      <c r="X2" s="838"/>
      <c r="Y2" s="838"/>
      <c r="Z2" s="838"/>
      <c r="AA2" s="838"/>
      <c r="AB2" s="838"/>
      <c r="AC2" s="838"/>
      <c r="AD2" s="838"/>
      <c r="AE2" s="838"/>
      <c r="AF2" s="838"/>
      <c r="AG2" s="838"/>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2"/>
      <c r="CA2" s="832"/>
      <c r="CB2" s="832"/>
      <c r="CC2" s="832"/>
      <c r="CD2" s="832"/>
      <c r="CE2" s="832"/>
      <c r="CF2" s="832"/>
      <c r="CG2" s="832"/>
      <c r="CH2" s="832"/>
      <c r="CI2" s="832"/>
      <c r="CJ2" s="832"/>
      <c r="CK2" s="832"/>
      <c r="CL2" s="832"/>
      <c r="CM2" s="832"/>
      <c r="CN2" s="832"/>
      <c r="CO2" s="832"/>
      <c r="CP2" s="832"/>
      <c r="CQ2" s="832"/>
      <c r="CR2" s="832"/>
      <c r="CS2" s="832"/>
      <c r="CT2" s="832"/>
      <c r="CU2" s="832"/>
      <c r="CV2" s="832"/>
      <c r="CW2" s="832"/>
      <c r="CX2" s="832"/>
      <c r="CY2" s="832"/>
      <c r="CZ2" s="832"/>
      <c r="DA2" s="832"/>
      <c r="DB2" s="832"/>
      <c r="DC2" s="832"/>
      <c r="DD2" s="832"/>
      <c r="DE2" s="832"/>
      <c r="DF2" s="832"/>
      <c r="DG2" s="832"/>
      <c r="DH2" s="832"/>
      <c r="DI2" s="832"/>
      <c r="DJ2" s="832"/>
      <c r="DK2" s="832"/>
      <c r="DL2" s="832"/>
      <c r="DM2" s="832"/>
      <c r="DN2" s="832"/>
      <c r="DO2" s="832"/>
      <c r="DP2" s="832"/>
      <c r="DQ2" s="832"/>
      <c r="DR2" s="832"/>
      <c r="DS2" s="832"/>
      <c r="DT2" s="832"/>
      <c r="DU2" s="832"/>
      <c r="DV2" s="832"/>
      <c r="DW2" s="832"/>
      <c r="DX2" s="832"/>
      <c r="DY2" s="832"/>
      <c r="DZ2" s="832"/>
      <c r="EA2" s="832"/>
      <c r="EB2" s="832"/>
      <c r="EC2" s="832"/>
      <c r="ED2" s="832"/>
      <c r="EE2" s="832"/>
      <c r="EF2" s="832"/>
      <c r="EG2" s="832"/>
      <c r="EH2" s="832"/>
      <c r="EI2" s="832"/>
      <c r="EJ2" s="832"/>
      <c r="EK2" s="832"/>
      <c r="EL2" s="832"/>
      <c r="EM2" s="832"/>
      <c r="EN2" s="832"/>
      <c r="EO2" s="832"/>
      <c r="EP2" s="832"/>
      <c r="EQ2" s="832"/>
      <c r="ER2" s="832"/>
      <c r="ES2" s="832"/>
      <c r="ET2" s="832"/>
      <c r="EU2" s="832"/>
      <c r="EV2" s="832"/>
      <c r="EW2" s="832"/>
      <c r="EX2" s="832"/>
      <c r="EY2" s="832"/>
      <c r="EZ2" s="832"/>
      <c r="FA2" s="832"/>
      <c r="FB2" s="832"/>
      <c r="FC2" s="832"/>
      <c r="FD2" s="832"/>
      <c r="FE2" s="832"/>
      <c r="FF2" s="832"/>
      <c r="FG2" s="832"/>
      <c r="FH2" s="832"/>
      <c r="FI2" s="832"/>
      <c r="FJ2" s="832"/>
      <c r="FK2" s="832"/>
      <c r="FL2" s="832"/>
      <c r="FM2" s="832"/>
      <c r="FN2" s="832"/>
      <c r="FO2" s="832"/>
      <c r="FP2" s="832"/>
      <c r="FQ2" s="832"/>
      <c r="FR2" s="832"/>
      <c r="FS2" s="832"/>
      <c r="FT2" s="832"/>
      <c r="FU2" s="832"/>
      <c r="FV2" s="832"/>
      <c r="FW2" s="832"/>
      <c r="FX2" s="832"/>
      <c r="FY2" s="832"/>
      <c r="FZ2" s="832"/>
      <c r="GA2" s="832"/>
      <c r="GB2" s="832"/>
      <c r="GC2" s="832"/>
      <c r="GD2" s="832"/>
      <c r="GE2" s="832"/>
      <c r="GF2" s="832"/>
      <c r="GG2" s="832"/>
      <c r="GH2" s="832"/>
      <c r="GI2" s="832"/>
      <c r="GJ2" s="832"/>
      <c r="GK2" s="832"/>
      <c r="GL2" s="832"/>
      <c r="GM2" s="832"/>
      <c r="GN2" s="832"/>
      <c r="GO2" s="832"/>
      <c r="GP2" s="832"/>
      <c r="GQ2" s="832"/>
      <c r="GR2" s="832"/>
      <c r="GS2" s="832"/>
      <c r="GT2" s="832"/>
      <c r="GU2" s="832"/>
      <c r="GV2" s="832"/>
      <c r="GW2" s="832"/>
      <c r="GX2" s="832"/>
      <c r="GY2" s="832"/>
      <c r="GZ2" s="832"/>
      <c r="HA2" s="832"/>
      <c r="HB2" s="832"/>
      <c r="HC2" s="832"/>
      <c r="HD2" s="832"/>
      <c r="HE2" s="832"/>
      <c r="HF2" s="832"/>
      <c r="HG2" s="832"/>
      <c r="HH2" s="832"/>
      <c r="HI2" s="832"/>
      <c r="HJ2" s="832"/>
      <c r="HK2" s="832"/>
      <c r="HL2" s="832"/>
      <c r="HM2" s="832"/>
      <c r="HN2" s="832"/>
      <c r="HO2" s="832"/>
      <c r="HP2" s="832"/>
      <c r="HQ2" s="832"/>
      <c r="HR2" s="832"/>
      <c r="HS2" s="832"/>
      <c r="HT2" s="832"/>
      <c r="HU2" s="832"/>
      <c r="HV2" s="832"/>
      <c r="HW2" s="832"/>
      <c r="HX2" s="832"/>
      <c r="HY2" s="832"/>
      <c r="HZ2" s="832"/>
      <c r="IA2" s="832"/>
      <c r="IB2" s="832"/>
      <c r="IC2" s="832"/>
    </row>
    <row r="3" s="830" customFormat="1" ht="24.95" customHeight="1" spans="1:33">
      <c r="A3" s="700" t="s">
        <v>2</v>
      </c>
      <c r="B3" s="700"/>
      <c r="C3" s="700"/>
      <c r="D3" s="700"/>
      <c r="E3" s="839"/>
      <c r="F3" s="839"/>
      <c r="G3" s="839"/>
      <c r="H3" s="839"/>
      <c r="I3" s="839"/>
      <c r="J3" s="839"/>
      <c r="K3" s="839"/>
      <c r="L3" s="839"/>
      <c r="M3" s="839"/>
      <c r="N3" s="849"/>
      <c r="O3" s="849"/>
      <c r="P3" s="849"/>
      <c r="Q3" s="849"/>
      <c r="R3" s="849"/>
      <c r="S3" s="849"/>
      <c r="T3" s="849"/>
      <c r="U3" s="849"/>
      <c r="V3" s="839"/>
      <c r="W3" s="839"/>
      <c r="X3" s="839"/>
      <c r="Y3" s="839"/>
      <c r="Z3" s="839"/>
      <c r="AA3" s="700"/>
      <c r="AB3" s="700"/>
      <c r="AC3" s="700"/>
      <c r="AD3" s="700"/>
      <c r="AE3" s="700"/>
      <c r="AF3" s="700"/>
      <c r="AG3" s="700"/>
    </row>
    <row r="4" s="831" customFormat="1" ht="46.5" customHeight="1" spans="1:33">
      <c r="A4" s="840" t="s">
        <v>3</v>
      </c>
      <c r="B4" s="840" t="s">
        <v>4</v>
      </c>
      <c r="C4" s="841" t="s">
        <v>5</v>
      </c>
      <c r="D4" s="841" t="s">
        <v>6</v>
      </c>
      <c r="E4" s="842" t="s">
        <v>7</v>
      </c>
      <c r="F4" s="843" t="s">
        <v>8</v>
      </c>
      <c r="G4" s="842" t="s">
        <v>9</v>
      </c>
      <c r="H4" s="842" t="s">
        <v>10</v>
      </c>
      <c r="I4" s="842"/>
      <c r="J4" s="844"/>
      <c r="K4" s="844"/>
      <c r="L4" s="842" t="s">
        <v>11</v>
      </c>
      <c r="M4" s="844"/>
      <c r="N4" s="850" t="s">
        <v>12</v>
      </c>
      <c r="O4" s="850"/>
      <c r="P4" s="851"/>
      <c r="Q4" s="851"/>
      <c r="R4" s="850" t="s">
        <v>13</v>
      </c>
      <c r="S4" s="851"/>
      <c r="T4" s="851"/>
      <c r="U4" s="851"/>
      <c r="V4" s="858"/>
      <c r="W4" s="859" t="s">
        <v>14</v>
      </c>
      <c r="X4" s="859" t="s">
        <v>15</v>
      </c>
      <c r="Y4" s="867" t="s">
        <v>16</v>
      </c>
      <c r="Z4" s="868"/>
      <c r="AA4" s="869" t="s">
        <v>17</v>
      </c>
      <c r="AB4" s="869"/>
      <c r="AC4" s="869"/>
      <c r="AD4" s="869" t="s">
        <v>18</v>
      </c>
      <c r="AE4" s="869"/>
      <c r="AF4" s="869" t="s">
        <v>19</v>
      </c>
      <c r="AG4" s="840" t="s">
        <v>20</v>
      </c>
    </row>
    <row r="5" s="831" customFormat="1" ht="21.75" customHeight="1" spans="1:33">
      <c r="A5" s="840"/>
      <c r="B5" s="840"/>
      <c r="C5" s="841"/>
      <c r="D5" s="841"/>
      <c r="E5" s="844"/>
      <c r="F5" s="845"/>
      <c r="G5" s="842"/>
      <c r="H5" s="842" t="s">
        <v>21</v>
      </c>
      <c r="I5" s="842"/>
      <c r="J5" s="842"/>
      <c r="K5" s="842"/>
      <c r="L5" s="843" t="s">
        <v>22</v>
      </c>
      <c r="M5" s="843" t="s">
        <v>23</v>
      </c>
      <c r="N5" s="852" t="s">
        <v>24</v>
      </c>
      <c r="O5" s="853"/>
      <c r="P5" s="854"/>
      <c r="Q5" s="860"/>
      <c r="R5" s="861" t="s">
        <v>25</v>
      </c>
      <c r="S5" s="861" t="s">
        <v>26</v>
      </c>
      <c r="T5" s="861" t="s">
        <v>27</v>
      </c>
      <c r="U5" s="861" t="s">
        <v>28</v>
      </c>
      <c r="V5" s="843" t="s">
        <v>29</v>
      </c>
      <c r="W5" s="862"/>
      <c r="X5" s="863"/>
      <c r="Y5" s="870" t="s">
        <v>30</v>
      </c>
      <c r="Z5" s="870" t="s">
        <v>31</v>
      </c>
      <c r="AA5" s="869" t="s">
        <v>32</v>
      </c>
      <c r="AB5" s="869" t="s">
        <v>33</v>
      </c>
      <c r="AC5" s="869" t="s">
        <v>34</v>
      </c>
      <c r="AD5" s="869"/>
      <c r="AE5" s="869"/>
      <c r="AF5" s="869"/>
      <c r="AG5" s="840"/>
    </row>
    <row r="6" s="249" customFormat="1" ht="59.25" customHeight="1" spans="1:33">
      <c r="A6" s="840"/>
      <c r="B6" s="840"/>
      <c r="C6" s="841"/>
      <c r="D6" s="841"/>
      <c r="E6" s="844"/>
      <c r="F6" s="846"/>
      <c r="G6" s="842"/>
      <c r="H6" s="844"/>
      <c r="I6" s="844" t="s">
        <v>35</v>
      </c>
      <c r="J6" s="844" t="s">
        <v>36</v>
      </c>
      <c r="K6" s="844" t="s">
        <v>37</v>
      </c>
      <c r="L6" s="855"/>
      <c r="M6" s="855"/>
      <c r="N6" s="856" t="s">
        <v>38</v>
      </c>
      <c r="O6" s="857" t="s">
        <v>35</v>
      </c>
      <c r="P6" s="857" t="s">
        <v>36</v>
      </c>
      <c r="Q6" s="857" t="s">
        <v>37</v>
      </c>
      <c r="R6" s="864"/>
      <c r="S6" s="864"/>
      <c r="T6" s="864"/>
      <c r="U6" s="864"/>
      <c r="V6" s="855"/>
      <c r="W6" s="865"/>
      <c r="X6" s="866"/>
      <c r="Y6" s="871"/>
      <c r="Z6" s="871"/>
      <c r="AA6" s="869"/>
      <c r="AB6" s="869"/>
      <c r="AC6" s="869"/>
      <c r="AD6" s="869"/>
      <c r="AE6" s="869"/>
      <c r="AF6" s="869"/>
      <c r="AG6" s="840"/>
    </row>
    <row r="7" s="570" customFormat="1" ht="30" customHeight="1" spans="1:33">
      <c r="A7" s="76">
        <v>0</v>
      </c>
      <c r="B7" s="76" t="s">
        <v>39</v>
      </c>
      <c r="C7" s="92"/>
      <c r="D7" s="76"/>
      <c r="E7" s="92">
        <v>2732</v>
      </c>
      <c r="F7" s="92">
        <v>0</v>
      </c>
      <c r="G7" s="92"/>
      <c r="H7" s="724"/>
      <c r="I7" s="724"/>
      <c r="J7" s="724"/>
      <c r="K7" s="724"/>
      <c r="L7" s="724"/>
      <c r="M7" s="724"/>
      <c r="N7" s="724">
        <v>220448.97254</v>
      </c>
      <c r="O7" s="724">
        <v>103574.16604</v>
      </c>
      <c r="P7" s="724">
        <v>60918.5325</v>
      </c>
      <c r="Q7" s="724">
        <v>55956.274</v>
      </c>
      <c r="R7" s="724">
        <v>35285.0695</v>
      </c>
      <c r="S7" s="724">
        <v>174891.901165</v>
      </c>
      <c r="T7" s="724">
        <v>3272</v>
      </c>
      <c r="U7" s="724">
        <v>7000</v>
      </c>
      <c r="V7" s="724">
        <v>0</v>
      </c>
      <c r="W7" s="92">
        <v>0</v>
      </c>
      <c r="X7" s="92">
        <v>0</v>
      </c>
      <c r="Y7" s="738">
        <v>25728</v>
      </c>
      <c r="Z7" s="738">
        <v>111138</v>
      </c>
      <c r="AA7" s="738">
        <v>2732</v>
      </c>
      <c r="AB7" s="92"/>
      <c r="AC7" s="92"/>
      <c r="AD7" s="92"/>
      <c r="AE7" s="92"/>
      <c r="AF7" s="92"/>
      <c r="AG7" s="92"/>
    </row>
    <row r="8" s="570" customFormat="1" ht="33" customHeight="1" spans="1:33">
      <c r="A8" s="705">
        <v>1</v>
      </c>
      <c r="B8" s="706" t="s">
        <v>40</v>
      </c>
      <c r="C8" s="706"/>
      <c r="D8" s="707"/>
      <c r="E8" s="92">
        <v>559</v>
      </c>
      <c r="F8" s="92">
        <v>0</v>
      </c>
      <c r="G8" s="92"/>
      <c r="H8" s="724"/>
      <c r="I8" s="724"/>
      <c r="J8" s="724"/>
      <c r="K8" s="724"/>
      <c r="L8" s="724"/>
      <c r="M8" s="724"/>
      <c r="N8" s="724">
        <v>82198.767676</v>
      </c>
      <c r="O8" s="724">
        <v>17763.461676</v>
      </c>
      <c r="P8" s="724">
        <v>29537.1045</v>
      </c>
      <c r="Q8" s="724">
        <v>34898.2015</v>
      </c>
      <c r="R8" s="724">
        <v>0</v>
      </c>
      <c r="S8" s="724">
        <v>78678.765801</v>
      </c>
      <c r="T8" s="724">
        <v>0</v>
      </c>
      <c r="U8" s="724">
        <v>3520</v>
      </c>
      <c r="V8" s="724">
        <v>0</v>
      </c>
      <c r="W8" s="92">
        <v>0</v>
      </c>
      <c r="X8" s="92">
        <v>0</v>
      </c>
      <c r="Y8" s="738"/>
      <c r="Z8" s="738"/>
      <c r="AA8" s="738">
        <v>559</v>
      </c>
      <c r="AB8" s="706"/>
      <c r="AC8" s="706"/>
      <c r="AD8" s="706"/>
      <c r="AE8" s="706"/>
      <c r="AF8" s="706"/>
      <c r="AG8" s="706" t="s">
        <v>41</v>
      </c>
    </row>
    <row r="9" s="570" customFormat="1" ht="33" customHeight="1" spans="1:33">
      <c r="A9" s="705">
        <v>2</v>
      </c>
      <c r="B9" s="708" t="s">
        <v>42</v>
      </c>
      <c r="C9" s="708"/>
      <c r="D9" s="709"/>
      <c r="E9" s="92">
        <v>176</v>
      </c>
      <c r="F9" s="92">
        <v>0</v>
      </c>
      <c r="G9" s="92"/>
      <c r="H9" s="724">
        <v>513386.66</v>
      </c>
      <c r="I9" s="724">
        <v>159764.02</v>
      </c>
      <c r="J9" s="724">
        <v>170551.02</v>
      </c>
      <c r="K9" s="724">
        <v>183071.62</v>
      </c>
      <c r="L9" s="724"/>
      <c r="M9" s="724"/>
      <c r="N9" s="724">
        <v>63602.298676</v>
      </c>
      <c r="O9" s="724">
        <v>11904.762676</v>
      </c>
      <c r="P9" s="724">
        <v>20202.3145</v>
      </c>
      <c r="Q9" s="724">
        <v>31495.2215</v>
      </c>
      <c r="R9" s="724">
        <v>0</v>
      </c>
      <c r="S9" s="724">
        <v>61502.296801</v>
      </c>
      <c r="T9" s="724">
        <v>0</v>
      </c>
      <c r="U9" s="724">
        <v>2100</v>
      </c>
      <c r="V9" s="724">
        <v>0</v>
      </c>
      <c r="W9" s="92">
        <v>0</v>
      </c>
      <c r="X9" s="92">
        <v>0</v>
      </c>
      <c r="Y9" s="738">
        <v>195200</v>
      </c>
      <c r="Z9" s="738">
        <v>945892</v>
      </c>
      <c r="AA9" s="738">
        <v>176</v>
      </c>
      <c r="AB9" s="708"/>
      <c r="AC9" s="708"/>
      <c r="AD9" s="708"/>
      <c r="AE9" s="708"/>
      <c r="AF9" s="708" t="s">
        <v>43</v>
      </c>
      <c r="AG9" s="708" t="s">
        <v>41</v>
      </c>
    </row>
    <row r="10" s="570" customFormat="1" ht="39" customHeight="1" spans="1:33">
      <c r="A10" s="705">
        <v>4</v>
      </c>
      <c r="B10" s="92" t="s">
        <v>44</v>
      </c>
      <c r="C10" s="92"/>
      <c r="D10" s="76" t="s">
        <v>45</v>
      </c>
      <c r="E10" s="92">
        <v>176</v>
      </c>
      <c r="F10" s="92">
        <v>0</v>
      </c>
      <c r="G10" s="92"/>
      <c r="H10" s="724">
        <v>513386.66</v>
      </c>
      <c r="I10" s="724">
        <v>159764.02</v>
      </c>
      <c r="J10" s="724">
        <v>170551.02</v>
      </c>
      <c r="K10" s="724">
        <v>183071.62</v>
      </c>
      <c r="L10" s="724"/>
      <c r="M10" s="724"/>
      <c r="N10" s="724">
        <v>63602.298676</v>
      </c>
      <c r="O10" s="724">
        <v>11904.762676</v>
      </c>
      <c r="P10" s="724">
        <v>20202.3145</v>
      </c>
      <c r="Q10" s="724">
        <v>31495.2215</v>
      </c>
      <c r="R10" s="724">
        <v>0</v>
      </c>
      <c r="S10" s="724">
        <v>61502.296801</v>
      </c>
      <c r="T10" s="724">
        <v>0</v>
      </c>
      <c r="U10" s="724">
        <v>2100</v>
      </c>
      <c r="V10" s="724">
        <v>0</v>
      </c>
      <c r="W10" s="92" t="s">
        <v>46</v>
      </c>
      <c r="X10" s="92" t="s">
        <v>47</v>
      </c>
      <c r="Y10" s="738">
        <v>195200</v>
      </c>
      <c r="Z10" s="738">
        <v>945892</v>
      </c>
      <c r="AA10" s="738">
        <v>176</v>
      </c>
      <c r="AB10" s="92"/>
      <c r="AC10" s="92"/>
      <c r="AD10" s="92"/>
      <c r="AE10" s="92"/>
      <c r="AF10" s="92" t="s">
        <v>43</v>
      </c>
      <c r="AG10" s="92"/>
    </row>
    <row r="11" s="570" customFormat="1" ht="24.95" customHeight="1" spans="1:33">
      <c r="A11" s="705" t="s">
        <v>48</v>
      </c>
      <c r="B11" s="710" t="s">
        <v>49</v>
      </c>
      <c r="C11" s="71"/>
      <c r="D11" s="71"/>
      <c r="E11" s="92">
        <v>15</v>
      </c>
      <c r="F11" s="92">
        <v>0</v>
      </c>
      <c r="G11" s="92"/>
      <c r="H11" s="724">
        <v>124279.95</v>
      </c>
      <c r="I11" s="724">
        <v>41426.65</v>
      </c>
      <c r="J11" s="724">
        <v>41426.65</v>
      </c>
      <c r="K11" s="724">
        <v>41426.65</v>
      </c>
      <c r="L11" s="724">
        <v>0</v>
      </c>
      <c r="M11" s="724">
        <v>0</v>
      </c>
      <c r="N11" s="724">
        <v>17725.97011</v>
      </c>
      <c r="O11" s="724">
        <v>3392.48411</v>
      </c>
      <c r="P11" s="724">
        <v>6730.258</v>
      </c>
      <c r="Q11" s="724">
        <v>7603.228</v>
      </c>
      <c r="R11" s="724">
        <v>0</v>
      </c>
      <c r="S11" s="724">
        <v>17405.97011</v>
      </c>
      <c r="T11" s="724">
        <v>0</v>
      </c>
      <c r="U11" s="724">
        <v>320</v>
      </c>
      <c r="V11" s="724">
        <v>0</v>
      </c>
      <c r="W11" s="92" t="s">
        <v>46</v>
      </c>
      <c r="X11" s="92" t="s">
        <v>47</v>
      </c>
      <c r="Y11" s="738">
        <v>72630</v>
      </c>
      <c r="Z11" s="738">
        <v>306939</v>
      </c>
      <c r="AA11" s="738">
        <v>15</v>
      </c>
      <c r="AB11" s="92"/>
      <c r="AC11" s="92"/>
      <c r="AD11" s="141"/>
      <c r="AE11" s="146" t="s">
        <v>50</v>
      </c>
      <c r="AF11" s="438" t="s">
        <v>43</v>
      </c>
      <c r="AG11" s="92"/>
    </row>
    <row r="12" s="570" customFormat="1" ht="24.95" customHeight="1" spans="1:33">
      <c r="A12" s="705"/>
      <c r="B12" s="97" t="s">
        <v>51</v>
      </c>
      <c r="C12" s="86" t="s">
        <v>52</v>
      </c>
      <c r="D12" s="151" t="s">
        <v>45</v>
      </c>
      <c r="E12" s="92">
        <v>3</v>
      </c>
      <c r="F12" s="92" t="s">
        <v>51</v>
      </c>
      <c r="G12" s="92"/>
      <c r="H12" s="724">
        <v>10650</v>
      </c>
      <c r="I12" s="724">
        <v>3550</v>
      </c>
      <c r="J12" s="724">
        <v>3550</v>
      </c>
      <c r="K12" s="724">
        <v>3550</v>
      </c>
      <c r="L12" s="724">
        <v>2018.01</v>
      </c>
      <c r="M12" s="724">
        <v>2020.12</v>
      </c>
      <c r="N12" s="724">
        <v>12871.306181</v>
      </c>
      <c r="O12" s="724">
        <v>2506.695181</v>
      </c>
      <c r="P12" s="724">
        <v>4973.683</v>
      </c>
      <c r="Q12" s="724">
        <v>5390.928</v>
      </c>
      <c r="R12" s="724">
        <v>0</v>
      </c>
      <c r="S12" s="724">
        <v>12871.306181</v>
      </c>
      <c r="T12" s="724">
        <v>0</v>
      </c>
      <c r="U12" s="724">
        <v>0</v>
      </c>
      <c r="V12" s="724">
        <v>0</v>
      </c>
      <c r="W12" s="92" t="s">
        <v>46</v>
      </c>
      <c r="X12" s="92" t="s">
        <v>47</v>
      </c>
      <c r="Y12" s="738">
        <v>56055</v>
      </c>
      <c r="Z12" s="738">
        <v>237252</v>
      </c>
      <c r="AA12" s="738">
        <v>3</v>
      </c>
      <c r="AB12" s="92"/>
      <c r="AC12" s="92"/>
      <c r="AD12" s="740" t="s">
        <v>53</v>
      </c>
      <c r="AE12" s="741" t="s">
        <v>54</v>
      </c>
      <c r="AF12" s="742" t="s">
        <v>43</v>
      </c>
      <c r="AG12" s="92"/>
    </row>
    <row r="13" s="570" customFormat="1" ht="24.95" customHeight="1" spans="1:33">
      <c r="A13" s="705"/>
      <c r="B13" s="96" t="s">
        <v>55</v>
      </c>
      <c r="C13" s="86" t="s">
        <v>52</v>
      </c>
      <c r="D13" s="151" t="s">
        <v>45</v>
      </c>
      <c r="E13" s="92">
        <v>3</v>
      </c>
      <c r="F13" s="92" t="s">
        <v>55</v>
      </c>
      <c r="G13" s="92"/>
      <c r="H13" s="724">
        <v>71741.4</v>
      </c>
      <c r="I13" s="724">
        <v>23913.8</v>
      </c>
      <c r="J13" s="724">
        <v>23913.8</v>
      </c>
      <c r="K13" s="724">
        <v>23913.8</v>
      </c>
      <c r="L13" s="724">
        <v>2018.01</v>
      </c>
      <c r="M13" s="724">
        <v>2020.12</v>
      </c>
      <c r="N13" s="724">
        <v>1879.20796</v>
      </c>
      <c r="O13" s="724">
        <v>199.20796</v>
      </c>
      <c r="P13" s="724">
        <v>800</v>
      </c>
      <c r="Q13" s="724">
        <v>880</v>
      </c>
      <c r="R13" s="724">
        <v>0</v>
      </c>
      <c r="S13" s="724">
        <v>1779.20796</v>
      </c>
      <c r="T13" s="724">
        <v>0</v>
      </c>
      <c r="U13" s="724">
        <v>100</v>
      </c>
      <c r="V13" s="724">
        <v>0</v>
      </c>
      <c r="W13" s="92" t="s">
        <v>46</v>
      </c>
      <c r="X13" s="92" t="s">
        <v>47</v>
      </c>
      <c r="Y13" s="738">
        <v>8052</v>
      </c>
      <c r="Z13" s="738">
        <v>33990</v>
      </c>
      <c r="AA13" s="738">
        <v>3</v>
      </c>
      <c r="AB13" s="92"/>
      <c r="AC13" s="92"/>
      <c r="AD13" s="743" t="s">
        <v>56</v>
      </c>
      <c r="AE13" s="141" t="s">
        <v>57</v>
      </c>
      <c r="AF13" s="438" t="s">
        <v>43</v>
      </c>
      <c r="AG13" s="92"/>
    </row>
    <row r="14" s="570" customFormat="1" ht="24.95" customHeight="1" spans="1:33">
      <c r="A14" s="705"/>
      <c r="B14" s="96" t="s">
        <v>58</v>
      </c>
      <c r="C14" s="86" t="s">
        <v>52</v>
      </c>
      <c r="D14" s="151" t="s">
        <v>45</v>
      </c>
      <c r="E14" s="92">
        <v>3</v>
      </c>
      <c r="F14" s="92" t="s">
        <v>58</v>
      </c>
      <c r="G14" s="92"/>
      <c r="H14" s="724">
        <v>8088</v>
      </c>
      <c r="I14" s="724">
        <v>2696</v>
      </c>
      <c r="J14" s="724">
        <v>2696</v>
      </c>
      <c r="K14" s="724">
        <v>2696</v>
      </c>
      <c r="L14" s="724">
        <v>2018.01</v>
      </c>
      <c r="M14" s="724">
        <v>2020.12</v>
      </c>
      <c r="N14" s="724">
        <v>227.5</v>
      </c>
      <c r="O14" s="724">
        <v>79.5</v>
      </c>
      <c r="P14" s="724">
        <v>64</v>
      </c>
      <c r="Q14" s="724">
        <v>84</v>
      </c>
      <c r="R14" s="724">
        <v>0</v>
      </c>
      <c r="S14" s="724">
        <v>227.5</v>
      </c>
      <c r="T14" s="724">
        <v>0</v>
      </c>
      <c r="U14" s="724">
        <v>0</v>
      </c>
      <c r="V14" s="724">
        <v>0</v>
      </c>
      <c r="W14" s="92" t="s">
        <v>46</v>
      </c>
      <c r="X14" s="92" t="s">
        <v>47</v>
      </c>
      <c r="Y14" s="738">
        <v>1431</v>
      </c>
      <c r="Z14" s="738">
        <v>6048</v>
      </c>
      <c r="AA14" s="738">
        <v>3</v>
      </c>
      <c r="AB14" s="92"/>
      <c r="AC14" s="92"/>
      <c r="AD14" s="744" t="s">
        <v>59</v>
      </c>
      <c r="AE14" s="744" t="s">
        <v>60</v>
      </c>
      <c r="AF14" s="438" t="s">
        <v>43</v>
      </c>
      <c r="AG14" s="92"/>
    </row>
    <row r="15" s="570" customFormat="1" ht="24.95" customHeight="1" spans="1:33">
      <c r="A15" s="705"/>
      <c r="B15" s="96" t="s">
        <v>61</v>
      </c>
      <c r="C15" s="86" t="s">
        <v>52</v>
      </c>
      <c r="D15" s="151" t="s">
        <v>45</v>
      </c>
      <c r="E15" s="92">
        <v>3</v>
      </c>
      <c r="F15" s="92" t="s">
        <v>61</v>
      </c>
      <c r="G15" s="92"/>
      <c r="H15" s="724">
        <v>17225.55</v>
      </c>
      <c r="I15" s="724">
        <v>5741.85</v>
      </c>
      <c r="J15" s="724">
        <v>5741.85</v>
      </c>
      <c r="K15" s="724">
        <v>5741.85</v>
      </c>
      <c r="L15" s="724">
        <v>2018.01</v>
      </c>
      <c r="M15" s="724">
        <v>2020.12</v>
      </c>
      <c r="N15" s="724">
        <v>1047.686569</v>
      </c>
      <c r="O15" s="724">
        <v>204.486569</v>
      </c>
      <c r="P15" s="724">
        <v>516.4</v>
      </c>
      <c r="Q15" s="724">
        <v>326.8</v>
      </c>
      <c r="R15" s="724">
        <v>0</v>
      </c>
      <c r="S15" s="724">
        <v>827.686569</v>
      </c>
      <c r="T15" s="724">
        <v>0</v>
      </c>
      <c r="U15" s="724">
        <v>220</v>
      </c>
      <c r="V15" s="724">
        <v>0</v>
      </c>
      <c r="W15" s="92" t="s">
        <v>46</v>
      </c>
      <c r="X15" s="92" t="s">
        <v>47</v>
      </c>
      <c r="Y15" s="738">
        <v>558</v>
      </c>
      <c r="Z15" s="738">
        <v>2328</v>
      </c>
      <c r="AA15" s="738">
        <v>3</v>
      </c>
      <c r="AB15" s="92"/>
      <c r="AC15" s="92"/>
      <c r="AD15" s="141" t="s">
        <v>62</v>
      </c>
      <c r="AE15" s="141" t="s">
        <v>63</v>
      </c>
      <c r="AF15" s="438" t="s">
        <v>43</v>
      </c>
      <c r="AG15" s="92"/>
    </row>
    <row r="16" s="570" customFormat="1" ht="24.95" customHeight="1" spans="1:33">
      <c r="A16" s="705"/>
      <c r="B16" s="96" t="s">
        <v>64</v>
      </c>
      <c r="C16" s="86" t="s">
        <v>52</v>
      </c>
      <c r="D16" s="151" t="s">
        <v>45</v>
      </c>
      <c r="E16" s="92">
        <v>3</v>
      </c>
      <c r="F16" s="92" t="s">
        <v>64</v>
      </c>
      <c r="G16" s="92"/>
      <c r="H16" s="724">
        <v>16575</v>
      </c>
      <c r="I16" s="724">
        <v>5525</v>
      </c>
      <c r="J16" s="724">
        <v>5525</v>
      </c>
      <c r="K16" s="724">
        <v>5525</v>
      </c>
      <c r="L16" s="724">
        <v>2018.01</v>
      </c>
      <c r="M16" s="724">
        <v>2020.12</v>
      </c>
      <c r="N16" s="724">
        <v>1700.2694</v>
      </c>
      <c r="O16" s="724">
        <v>402.5944</v>
      </c>
      <c r="P16" s="724">
        <v>376.175</v>
      </c>
      <c r="Q16" s="724">
        <v>921.5</v>
      </c>
      <c r="R16" s="724">
        <v>0</v>
      </c>
      <c r="S16" s="724">
        <v>1700.2694</v>
      </c>
      <c r="T16" s="724">
        <v>0</v>
      </c>
      <c r="U16" s="724">
        <v>0</v>
      </c>
      <c r="V16" s="724">
        <v>0</v>
      </c>
      <c r="W16" s="92" t="s">
        <v>46</v>
      </c>
      <c r="X16" s="92" t="s">
        <v>47</v>
      </c>
      <c r="Y16" s="738">
        <v>6534</v>
      </c>
      <c r="Z16" s="738">
        <v>27321</v>
      </c>
      <c r="AA16" s="738">
        <v>3</v>
      </c>
      <c r="AB16" s="92"/>
      <c r="AC16" s="92"/>
      <c r="AD16" s="71" t="s">
        <v>65</v>
      </c>
      <c r="AE16" s="71" t="s">
        <v>66</v>
      </c>
      <c r="AF16" s="438" t="s">
        <v>43</v>
      </c>
      <c r="AG16" s="92"/>
    </row>
    <row r="17" s="570" customFormat="1" ht="24.95" customHeight="1" spans="1:33">
      <c r="A17" s="705"/>
      <c r="B17" s="711" t="s">
        <v>67</v>
      </c>
      <c r="C17" s="146" t="s">
        <v>52</v>
      </c>
      <c r="D17" s="141" t="s">
        <v>45</v>
      </c>
      <c r="E17" s="92">
        <v>26</v>
      </c>
      <c r="F17" s="92">
        <v>0</v>
      </c>
      <c r="G17" s="92"/>
      <c r="H17" s="724">
        <v>96574.11</v>
      </c>
      <c r="I17" s="724">
        <v>32396.17</v>
      </c>
      <c r="J17" s="724">
        <v>32396.17</v>
      </c>
      <c r="K17" s="724">
        <v>31781.77</v>
      </c>
      <c r="L17" s="724">
        <v>0</v>
      </c>
      <c r="M17" s="724">
        <v>0</v>
      </c>
      <c r="N17" s="724">
        <v>7482.242252</v>
      </c>
      <c r="O17" s="724">
        <v>1454.506252</v>
      </c>
      <c r="P17" s="724">
        <v>3041.108</v>
      </c>
      <c r="Q17" s="724">
        <v>2986.628</v>
      </c>
      <c r="R17" s="724">
        <v>0</v>
      </c>
      <c r="S17" s="724">
        <v>7482.242252</v>
      </c>
      <c r="T17" s="724">
        <v>0</v>
      </c>
      <c r="U17" s="724">
        <v>0</v>
      </c>
      <c r="V17" s="724">
        <v>0</v>
      </c>
      <c r="W17" s="92" t="s">
        <v>46</v>
      </c>
      <c r="X17" s="92" t="s">
        <v>47</v>
      </c>
      <c r="Y17" s="738">
        <v>33923</v>
      </c>
      <c r="Z17" s="738">
        <v>145290</v>
      </c>
      <c r="AA17" s="738">
        <v>26</v>
      </c>
      <c r="AB17" s="92"/>
      <c r="AC17" s="92"/>
      <c r="AD17" s="141" t="s">
        <v>68</v>
      </c>
      <c r="AE17" s="146" t="s">
        <v>50</v>
      </c>
      <c r="AF17" s="438" t="s">
        <v>43</v>
      </c>
      <c r="AG17" s="92"/>
    </row>
    <row r="18" s="570" customFormat="1" ht="24.95" customHeight="1" spans="1:33">
      <c r="A18" s="705"/>
      <c r="B18" s="199" t="s">
        <v>69</v>
      </c>
      <c r="C18" s="141" t="s">
        <v>52</v>
      </c>
      <c r="D18" s="141" t="s">
        <v>45</v>
      </c>
      <c r="E18" s="92">
        <v>3</v>
      </c>
      <c r="F18" s="92" t="s">
        <v>69</v>
      </c>
      <c r="G18" s="92"/>
      <c r="H18" s="724">
        <v>1440</v>
      </c>
      <c r="I18" s="724">
        <v>480</v>
      </c>
      <c r="J18" s="724">
        <v>480</v>
      </c>
      <c r="K18" s="724">
        <v>480</v>
      </c>
      <c r="L18" s="724">
        <v>2018.01</v>
      </c>
      <c r="M18" s="724">
        <v>2020.12</v>
      </c>
      <c r="N18" s="724">
        <v>72</v>
      </c>
      <c r="O18" s="724">
        <v>24</v>
      </c>
      <c r="P18" s="724">
        <v>24</v>
      </c>
      <c r="Q18" s="724">
        <v>24</v>
      </c>
      <c r="R18" s="724">
        <v>0</v>
      </c>
      <c r="S18" s="724">
        <v>72</v>
      </c>
      <c r="T18" s="724">
        <v>0</v>
      </c>
      <c r="U18" s="724">
        <v>0</v>
      </c>
      <c r="V18" s="724">
        <v>0</v>
      </c>
      <c r="W18" s="92" t="s">
        <v>46</v>
      </c>
      <c r="X18" s="92" t="s">
        <v>47</v>
      </c>
      <c r="Y18" s="738">
        <v>675</v>
      </c>
      <c r="Z18" s="738">
        <v>2766</v>
      </c>
      <c r="AA18" s="738">
        <v>3</v>
      </c>
      <c r="AB18" s="92"/>
      <c r="AC18" s="92"/>
      <c r="AD18" s="146" t="s">
        <v>70</v>
      </c>
      <c r="AE18" s="146" t="s">
        <v>71</v>
      </c>
      <c r="AF18" s="438" t="s">
        <v>43</v>
      </c>
      <c r="AG18" s="92"/>
    </row>
    <row r="19" s="570" customFormat="1" ht="24.95" customHeight="1" spans="1:33">
      <c r="A19" s="705"/>
      <c r="B19" s="199" t="s">
        <v>51</v>
      </c>
      <c r="C19" s="141" t="s">
        <v>52</v>
      </c>
      <c r="D19" s="141" t="s">
        <v>45</v>
      </c>
      <c r="E19" s="92">
        <v>3</v>
      </c>
      <c r="F19" s="92" t="s">
        <v>51</v>
      </c>
      <c r="G19" s="92"/>
      <c r="H19" s="724">
        <v>4838.31</v>
      </c>
      <c r="I19" s="724">
        <v>1612.77</v>
      </c>
      <c r="J19" s="724">
        <v>1612.77</v>
      </c>
      <c r="K19" s="724">
        <v>1612.77</v>
      </c>
      <c r="L19" s="724">
        <v>2018.01</v>
      </c>
      <c r="M19" s="724">
        <v>2020.12</v>
      </c>
      <c r="N19" s="724">
        <v>3553.221926</v>
      </c>
      <c r="O19" s="724">
        <v>646.781926</v>
      </c>
      <c r="P19" s="724">
        <v>1463.69</v>
      </c>
      <c r="Q19" s="724">
        <v>1442.75</v>
      </c>
      <c r="R19" s="724">
        <v>0</v>
      </c>
      <c r="S19" s="724">
        <v>3553.221926</v>
      </c>
      <c r="T19" s="724">
        <v>0</v>
      </c>
      <c r="U19" s="724">
        <v>0</v>
      </c>
      <c r="V19" s="724">
        <v>0</v>
      </c>
      <c r="W19" s="92" t="s">
        <v>46</v>
      </c>
      <c r="X19" s="92" t="s">
        <v>47</v>
      </c>
      <c r="Y19" s="738">
        <v>5280</v>
      </c>
      <c r="Z19" s="738">
        <v>21807</v>
      </c>
      <c r="AA19" s="738">
        <v>3</v>
      </c>
      <c r="AB19" s="92"/>
      <c r="AC19" s="92"/>
      <c r="AD19" s="740" t="s">
        <v>53</v>
      </c>
      <c r="AE19" s="741" t="s">
        <v>54</v>
      </c>
      <c r="AF19" s="742" t="s">
        <v>43</v>
      </c>
      <c r="AG19" s="92"/>
    </row>
    <row r="20" s="570" customFormat="1" ht="24.95" customHeight="1" spans="1:33">
      <c r="A20" s="705"/>
      <c r="B20" s="199" t="s">
        <v>72</v>
      </c>
      <c r="C20" s="141" t="s">
        <v>52</v>
      </c>
      <c r="D20" s="141" t="s">
        <v>45</v>
      </c>
      <c r="E20" s="92">
        <v>3</v>
      </c>
      <c r="F20" s="92" t="s">
        <v>72</v>
      </c>
      <c r="G20" s="92"/>
      <c r="H20" s="724">
        <v>17340</v>
      </c>
      <c r="I20" s="724">
        <v>5780</v>
      </c>
      <c r="J20" s="724">
        <v>5780</v>
      </c>
      <c r="K20" s="724">
        <v>5780</v>
      </c>
      <c r="L20" s="724">
        <v>2018.01</v>
      </c>
      <c r="M20" s="724">
        <v>2020.12</v>
      </c>
      <c r="N20" s="724">
        <v>462.4</v>
      </c>
      <c r="O20" s="724">
        <v>142.4</v>
      </c>
      <c r="P20" s="724">
        <v>152</v>
      </c>
      <c r="Q20" s="724">
        <v>168</v>
      </c>
      <c r="R20" s="724">
        <v>0</v>
      </c>
      <c r="S20" s="724">
        <v>462.4</v>
      </c>
      <c r="T20" s="724">
        <v>0</v>
      </c>
      <c r="U20" s="724">
        <v>0</v>
      </c>
      <c r="V20" s="724">
        <v>0</v>
      </c>
      <c r="W20" s="92" t="s">
        <v>46</v>
      </c>
      <c r="X20" s="92" t="s">
        <v>47</v>
      </c>
      <c r="Y20" s="738">
        <v>5340</v>
      </c>
      <c r="Z20" s="738">
        <v>21432</v>
      </c>
      <c r="AA20" s="738">
        <v>3</v>
      </c>
      <c r="AB20" s="92"/>
      <c r="AC20" s="92"/>
      <c r="AD20" s="146" t="s">
        <v>73</v>
      </c>
      <c r="AE20" s="438" t="s">
        <v>74</v>
      </c>
      <c r="AF20" s="438" t="s">
        <v>43</v>
      </c>
      <c r="AG20" s="92"/>
    </row>
    <row r="21" s="570" customFormat="1" ht="24.95" customHeight="1" spans="1:33">
      <c r="A21" s="705"/>
      <c r="B21" s="199" t="s">
        <v>75</v>
      </c>
      <c r="C21" s="146" t="s">
        <v>52</v>
      </c>
      <c r="D21" s="152" t="s">
        <v>45</v>
      </c>
      <c r="E21" s="92">
        <v>3</v>
      </c>
      <c r="F21" s="92" t="s">
        <v>75</v>
      </c>
      <c r="G21" s="92"/>
      <c r="H21" s="724">
        <v>16620</v>
      </c>
      <c r="I21" s="724">
        <v>5540</v>
      </c>
      <c r="J21" s="724">
        <v>5540</v>
      </c>
      <c r="K21" s="724">
        <v>5540</v>
      </c>
      <c r="L21" s="724">
        <v>2018.01</v>
      </c>
      <c r="M21" s="724">
        <v>2020.12</v>
      </c>
      <c r="N21" s="724">
        <v>376.72</v>
      </c>
      <c r="O21" s="724">
        <v>148.38</v>
      </c>
      <c r="P21" s="724">
        <v>114.17</v>
      </c>
      <c r="Q21" s="724">
        <v>114.17</v>
      </c>
      <c r="R21" s="724">
        <v>0</v>
      </c>
      <c r="S21" s="724">
        <v>376.72</v>
      </c>
      <c r="T21" s="724">
        <v>0</v>
      </c>
      <c r="U21" s="724">
        <v>0</v>
      </c>
      <c r="V21" s="724">
        <v>0</v>
      </c>
      <c r="W21" s="92" t="s">
        <v>46</v>
      </c>
      <c r="X21" s="92" t="s">
        <v>47</v>
      </c>
      <c r="Y21" s="738">
        <v>6270</v>
      </c>
      <c r="Z21" s="738">
        <v>28140</v>
      </c>
      <c r="AA21" s="738">
        <v>3</v>
      </c>
      <c r="AB21" s="92"/>
      <c r="AC21" s="92"/>
      <c r="AD21" s="146" t="s">
        <v>76</v>
      </c>
      <c r="AE21" s="146" t="s">
        <v>77</v>
      </c>
      <c r="AF21" s="438" t="s">
        <v>43</v>
      </c>
      <c r="AG21" s="92"/>
    </row>
    <row r="22" s="570" customFormat="1" ht="24.95" customHeight="1" spans="1:33">
      <c r="A22" s="705"/>
      <c r="B22" s="199" t="s">
        <v>58</v>
      </c>
      <c r="C22" s="146" t="s">
        <v>52</v>
      </c>
      <c r="D22" s="152" t="s">
        <v>45</v>
      </c>
      <c r="E22" s="92">
        <v>3</v>
      </c>
      <c r="F22" s="92" t="s">
        <v>58</v>
      </c>
      <c r="G22" s="92"/>
      <c r="H22" s="724">
        <v>9816</v>
      </c>
      <c r="I22" s="724">
        <v>3272</v>
      </c>
      <c r="J22" s="724">
        <v>3272</v>
      </c>
      <c r="K22" s="724">
        <v>3272</v>
      </c>
      <c r="L22" s="724">
        <v>2018.01</v>
      </c>
      <c r="M22" s="724">
        <v>2020.12</v>
      </c>
      <c r="N22" s="724">
        <v>575.65</v>
      </c>
      <c r="O22" s="724">
        <v>112.69</v>
      </c>
      <c r="P22" s="724">
        <v>408.08</v>
      </c>
      <c r="Q22" s="724">
        <v>54.88</v>
      </c>
      <c r="R22" s="724">
        <v>0</v>
      </c>
      <c r="S22" s="724">
        <v>575.65</v>
      </c>
      <c r="T22" s="724">
        <v>0</v>
      </c>
      <c r="U22" s="724">
        <v>0</v>
      </c>
      <c r="V22" s="724">
        <v>0</v>
      </c>
      <c r="W22" s="92" t="s">
        <v>46</v>
      </c>
      <c r="X22" s="92" t="s">
        <v>47</v>
      </c>
      <c r="Y22" s="738">
        <v>4833</v>
      </c>
      <c r="Z22" s="738">
        <v>20418</v>
      </c>
      <c r="AA22" s="738">
        <v>3</v>
      </c>
      <c r="AB22" s="92"/>
      <c r="AC22" s="92"/>
      <c r="AD22" s="146" t="s">
        <v>59</v>
      </c>
      <c r="AE22" s="146" t="s">
        <v>60</v>
      </c>
      <c r="AF22" s="438" t="s">
        <v>43</v>
      </c>
      <c r="AG22" s="92"/>
    </row>
    <row r="23" s="570" customFormat="1" ht="24.95" customHeight="1" spans="1:33">
      <c r="A23" s="705"/>
      <c r="B23" s="199" t="s">
        <v>61</v>
      </c>
      <c r="C23" s="146" t="s">
        <v>52</v>
      </c>
      <c r="D23" s="152" t="s">
        <v>45</v>
      </c>
      <c r="E23" s="92">
        <v>3</v>
      </c>
      <c r="F23" s="92" t="s">
        <v>61</v>
      </c>
      <c r="G23" s="92"/>
      <c r="H23" s="724">
        <v>39555</v>
      </c>
      <c r="I23" s="724">
        <v>13185</v>
      </c>
      <c r="J23" s="724">
        <v>13185</v>
      </c>
      <c r="K23" s="724">
        <v>13185</v>
      </c>
      <c r="L23" s="724">
        <v>2018.01</v>
      </c>
      <c r="M23" s="724">
        <v>2020.12</v>
      </c>
      <c r="N23" s="724">
        <v>2138.451926</v>
      </c>
      <c r="O23" s="724">
        <v>243.311926</v>
      </c>
      <c r="P23" s="724">
        <v>789.44</v>
      </c>
      <c r="Q23" s="724">
        <v>1105.7</v>
      </c>
      <c r="R23" s="724">
        <v>0</v>
      </c>
      <c r="S23" s="724">
        <v>2138.451926</v>
      </c>
      <c r="T23" s="724">
        <v>0</v>
      </c>
      <c r="U23" s="724">
        <v>0</v>
      </c>
      <c r="V23" s="724">
        <v>0</v>
      </c>
      <c r="W23" s="92" t="s">
        <v>46</v>
      </c>
      <c r="X23" s="92" t="s">
        <v>47</v>
      </c>
      <c r="Y23" s="738">
        <v>9840</v>
      </c>
      <c r="Z23" s="738">
        <v>44427</v>
      </c>
      <c r="AA23" s="738">
        <v>3</v>
      </c>
      <c r="AB23" s="92"/>
      <c r="AC23" s="92"/>
      <c r="AD23" s="146" t="s">
        <v>62</v>
      </c>
      <c r="AE23" s="146" t="s">
        <v>63</v>
      </c>
      <c r="AF23" s="438" t="s">
        <v>43</v>
      </c>
      <c r="AG23" s="92"/>
    </row>
    <row r="24" s="570" customFormat="1" ht="24.95" customHeight="1" spans="1:33">
      <c r="A24" s="705"/>
      <c r="B24" s="199" t="s">
        <v>78</v>
      </c>
      <c r="C24" s="71" t="s">
        <v>52</v>
      </c>
      <c r="D24" s="71" t="s">
        <v>45</v>
      </c>
      <c r="E24" s="92">
        <v>3</v>
      </c>
      <c r="F24" s="92" t="s">
        <v>78</v>
      </c>
      <c r="G24" s="92"/>
      <c r="H24" s="724">
        <v>3408</v>
      </c>
      <c r="I24" s="724">
        <v>1136</v>
      </c>
      <c r="J24" s="724">
        <v>1136</v>
      </c>
      <c r="K24" s="724">
        <v>1136</v>
      </c>
      <c r="L24" s="724">
        <v>2018.01</v>
      </c>
      <c r="M24" s="724">
        <v>2020.12</v>
      </c>
      <c r="N24" s="724">
        <v>40</v>
      </c>
      <c r="O24" s="724">
        <v>10</v>
      </c>
      <c r="P24" s="724">
        <v>15</v>
      </c>
      <c r="Q24" s="724">
        <v>15</v>
      </c>
      <c r="R24" s="724">
        <v>0</v>
      </c>
      <c r="S24" s="724">
        <v>40</v>
      </c>
      <c r="T24" s="724">
        <v>0</v>
      </c>
      <c r="U24" s="724">
        <v>0</v>
      </c>
      <c r="V24" s="724">
        <v>0</v>
      </c>
      <c r="W24" s="92" t="s">
        <v>46</v>
      </c>
      <c r="X24" s="92" t="s">
        <v>47</v>
      </c>
      <c r="Y24" s="738">
        <v>294</v>
      </c>
      <c r="Z24" s="738">
        <v>987</v>
      </c>
      <c r="AA24" s="738">
        <v>3</v>
      </c>
      <c r="AB24" s="92"/>
      <c r="AC24" s="92"/>
      <c r="AD24" s="86" t="s">
        <v>79</v>
      </c>
      <c r="AE24" s="86" t="s">
        <v>80</v>
      </c>
      <c r="AF24" s="438" t="s">
        <v>43</v>
      </c>
      <c r="AG24" s="92"/>
    </row>
    <row r="25" s="570" customFormat="1" ht="24.95" customHeight="1" spans="1:33">
      <c r="A25" s="705"/>
      <c r="B25" s="199" t="s">
        <v>81</v>
      </c>
      <c r="C25" s="71" t="s">
        <v>52</v>
      </c>
      <c r="D25" s="71" t="s">
        <v>45</v>
      </c>
      <c r="E25" s="92">
        <v>3</v>
      </c>
      <c r="F25" s="92" t="s">
        <v>81</v>
      </c>
      <c r="G25" s="92"/>
      <c r="H25" s="724">
        <v>2328</v>
      </c>
      <c r="I25" s="724">
        <v>776</v>
      </c>
      <c r="J25" s="724">
        <v>776</v>
      </c>
      <c r="K25" s="724">
        <v>776</v>
      </c>
      <c r="L25" s="724">
        <v>2018.01</v>
      </c>
      <c r="M25" s="724">
        <v>2020.12</v>
      </c>
      <c r="N25" s="724">
        <v>186.384</v>
      </c>
      <c r="O25" s="724">
        <v>62.128</v>
      </c>
      <c r="P25" s="724">
        <v>62.128</v>
      </c>
      <c r="Q25" s="724">
        <v>62.128</v>
      </c>
      <c r="R25" s="724">
        <v>0</v>
      </c>
      <c r="S25" s="724">
        <v>186.384</v>
      </c>
      <c r="T25" s="724">
        <v>0</v>
      </c>
      <c r="U25" s="724">
        <v>0</v>
      </c>
      <c r="V25" s="724">
        <v>0</v>
      </c>
      <c r="W25" s="92" t="s">
        <v>46</v>
      </c>
      <c r="X25" s="92" t="s">
        <v>47</v>
      </c>
      <c r="Y25" s="738">
        <v>957</v>
      </c>
      <c r="Z25" s="738">
        <v>3627</v>
      </c>
      <c r="AA25" s="738">
        <v>3</v>
      </c>
      <c r="AB25" s="92"/>
      <c r="AC25" s="92"/>
      <c r="AD25" s="86" t="s">
        <v>82</v>
      </c>
      <c r="AE25" s="86" t="s">
        <v>83</v>
      </c>
      <c r="AF25" s="438" t="s">
        <v>43</v>
      </c>
      <c r="AG25" s="92"/>
    </row>
    <row r="26" s="570" customFormat="1" ht="24.95" customHeight="1" spans="1:33">
      <c r="A26" s="705"/>
      <c r="B26" s="199" t="s">
        <v>84</v>
      </c>
      <c r="C26" s="71" t="s">
        <v>52</v>
      </c>
      <c r="D26" s="71" t="s">
        <v>45</v>
      </c>
      <c r="E26" s="92">
        <v>2</v>
      </c>
      <c r="F26" s="92" t="s">
        <v>84</v>
      </c>
      <c r="G26" s="92"/>
      <c r="H26" s="724">
        <v>1228.8</v>
      </c>
      <c r="I26" s="724">
        <v>614.4</v>
      </c>
      <c r="J26" s="724">
        <v>614.4</v>
      </c>
      <c r="K26" s="724">
        <v>0</v>
      </c>
      <c r="L26" s="724">
        <v>2018.01</v>
      </c>
      <c r="M26" s="724">
        <v>0</v>
      </c>
      <c r="N26" s="724">
        <v>77.4144</v>
      </c>
      <c r="O26" s="724">
        <v>64.8144</v>
      </c>
      <c r="P26" s="724">
        <v>12.6</v>
      </c>
      <c r="Q26" s="724">
        <v>0</v>
      </c>
      <c r="R26" s="724">
        <v>0</v>
      </c>
      <c r="S26" s="724">
        <v>77.4144</v>
      </c>
      <c r="T26" s="724">
        <v>0</v>
      </c>
      <c r="U26" s="724">
        <v>0</v>
      </c>
      <c r="V26" s="724">
        <v>0</v>
      </c>
      <c r="W26" s="92" t="s">
        <v>46</v>
      </c>
      <c r="X26" s="92" t="s">
        <v>47</v>
      </c>
      <c r="Y26" s="738">
        <v>434</v>
      </c>
      <c r="Z26" s="738">
        <v>1686</v>
      </c>
      <c r="AA26" s="738">
        <v>2</v>
      </c>
      <c r="AB26" s="92"/>
      <c r="AC26" s="92"/>
      <c r="AD26" s="86" t="s">
        <v>65</v>
      </c>
      <c r="AE26" s="86" t="s">
        <v>85</v>
      </c>
      <c r="AF26" s="438" t="s">
        <v>43</v>
      </c>
      <c r="AG26" s="92"/>
    </row>
    <row r="27" s="570" customFormat="1" ht="24.95" customHeight="1" spans="1:33">
      <c r="A27" s="705"/>
      <c r="B27" s="711" t="s">
        <v>86</v>
      </c>
      <c r="C27" s="71"/>
      <c r="D27" s="71"/>
      <c r="E27" s="92">
        <v>8</v>
      </c>
      <c r="F27" s="92" t="s">
        <v>87</v>
      </c>
      <c r="G27" s="92"/>
      <c r="H27" s="724">
        <v>71192</v>
      </c>
      <c r="I27" s="724">
        <v>20464</v>
      </c>
      <c r="J27" s="724">
        <v>20364</v>
      </c>
      <c r="K27" s="724">
        <v>30364</v>
      </c>
      <c r="L27" s="724">
        <v>0</v>
      </c>
      <c r="M27" s="724">
        <v>0</v>
      </c>
      <c r="N27" s="724">
        <v>10124.251875</v>
      </c>
      <c r="O27" s="724">
        <v>2436.551875</v>
      </c>
      <c r="P27" s="724">
        <v>1675.13</v>
      </c>
      <c r="Q27" s="724">
        <v>6012.57</v>
      </c>
      <c r="R27" s="724">
        <v>0</v>
      </c>
      <c r="S27" s="724">
        <v>9694.25</v>
      </c>
      <c r="T27" s="724">
        <v>0</v>
      </c>
      <c r="U27" s="724">
        <v>430</v>
      </c>
      <c r="V27" s="724">
        <v>0</v>
      </c>
      <c r="W27" s="92" t="s">
        <v>46</v>
      </c>
      <c r="X27" s="92" t="s">
        <v>47</v>
      </c>
      <c r="Y27" s="738">
        <v>10603</v>
      </c>
      <c r="Z27" s="738">
        <v>171609</v>
      </c>
      <c r="AA27" s="738">
        <v>8</v>
      </c>
      <c r="AB27" s="92"/>
      <c r="AC27" s="92"/>
      <c r="AD27" s="141" t="s">
        <v>68</v>
      </c>
      <c r="AE27" s="146" t="s">
        <v>50</v>
      </c>
      <c r="AF27" s="438" t="s">
        <v>43</v>
      </c>
      <c r="AG27" s="92"/>
    </row>
    <row r="28" s="570" customFormat="1" ht="24.95" customHeight="1" spans="1:33">
      <c r="A28" s="705"/>
      <c r="B28" s="199" t="s">
        <v>69</v>
      </c>
      <c r="C28" s="71" t="s">
        <v>52</v>
      </c>
      <c r="D28" s="71" t="s">
        <v>45</v>
      </c>
      <c r="E28" s="92">
        <v>3</v>
      </c>
      <c r="F28" s="92" t="s">
        <v>69</v>
      </c>
      <c r="G28" s="92"/>
      <c r="H28" s="724">
        <v>912</v>
      </c>
      <c r="I28" s="724">
        <v>304</v>
      </c>
      <c r="J28" s="724">
        <v>304</v>
      </c>
      <c r="K28" s="724">
        <v>304</v>
      </c>
      <c r="L28" s="724">
        <v>2018.01</v>
      </c>
      <c r="M28" s="724">
        <v>2020.12</v>
      </c>
      <c r="N28" s="724">
        <v>115.32</v>
      </c>
      <c r="O28" s="724">
        <v>19.32</v>
      </c>
      <c r="P28" s="724">
        <v>56.48</v>
      </c>
      <c r="Q28" s="724">
        <v>39.52</v>
      </c>
      <c r="R28" s="724">
        <v>0</v>
      </c>
      <c r="S28" s="724">
        <v>115.32</v>
      </c>
      <c r="T28" s="724">
        <v>0</v>
      </c>
      <c r="U28" s="724">
        <v>0</v>
      </c>
      <c r="V28" s="724">
        <v>0</v>
      </c>
      <c r="W28" s="92" t="s">
        <v>46</v>
      </c>
      <c r="X28" s="92" t="s">
        <v>47</v>
      </c>
      <c r="Y28" s="738">
        <v>354</v>
      </c>
      <c r="Z28" s="738">
        <v>1659</v>
      </c>
      <c r="AA28" s="738">
        <v>3</v>
      </c>
      <c r="AB28" s="92"/>
      <c r="AC28" s="92"/>
      <c r="AD28" s="745" t="s">
        <v>88</v>
      </c>
      <c r="AE28" s="746" t="s">
        <v>89</v>
      </c>
      <c r="AF28" s="438" t="s">
        <v>43</v>
      </c>
      <c r="AG28" s="92"/>
    </row>
    <row r="29" s="570" customFormat="1" ht="24.95" customHeight="1" spans="1:33">
      <c r="A29" s="705"/>
      <c r="B29" s="199" t="s">
        <v>51</v>
      </c>
      <c r="C29" s="712" t="s">
        <v>52</v>
      </c>
      <c r="D29" s="713" t="s">
        <v>45</v>
      </c>
      <c r="E29" s="92">
        <v>1</v>
      </c>
      <c r="F29" s="92" t="s">
        <v>51</v>
      </c>
      <c r="G29" s="92"/>
      <c r="H29" s="724">
        <v>10000</v>
      </c>
      <c r="I29" s="724">
        <v>0</v>
      </c>
      <c r="J29" s="724">
        <v>0</v>
      </c>
      <c r="K29" s="724">
        <v>10000</v>
      </c>
      <c r="L29" s="724">
        <v>0</v>
      </c>
      <c r="M29" s="724">
        <v>2020.12</v>
      </c>
      <c r="N29" s="724">
        <v>5000</v>
      </c>
      <c r="O29" s="724">
        <v>0</v>
      </c>
      <c r="P29" s="724">
        <v>0</v>
      </c>
      <c r="Q29" s="724">
        <v>5000</v>
      </c>
      <c r="R29" s="724">
        <v>0</v>
      </c>
      <c r="S29" s="724">
        <v>5000</v>
      </c>
      <c r="T29" s="724">
        <v>0</v>
      </c>
      <c r="U29" s="724">
        <v>0</v>
      </c>
      <c r="V29" s="724">
        <v>0</v>
      </c>
      <c r="W29" s="92" t="s">
        <v>46</v>
      </c>
      <c r="X29" s="92" t="s">
        <v>47</v>
      </c>
      <c r="Y29" s="738">
        <v>1760</v>
      </c>
      <c r="Z29" s="738">
        <v>7269</v>
      </c>
      <c r="AA29" s="738">
        <v>1</v>
      </c>
      <c r="AB29" s="92"/>
      <c r="AC29" s="92"/>
      <c r="AD29" s="101"/>
      <c r="AE29" s="712"/>
      <c r="AF29" s="438"/>
      <c r="AG29" s="92"/>
    </row>
    <row r="30" s="570" customFormat="1" ht="24.95" customHeight="1" spans="1:33">
      <c r="A30" s="705"/>
      <c r="B30" s="714" t="s">
        <v>55</v>
      </c>
      <c r="C30" s="715" t="s">
        <v>52</v>
      </c>
      <c r="D30" s="716" t="s">
        <v>45</v>
      </c>
      <c r="E30" s="92">
        <v>3</v>
      </c>
      <c r="F30" s="92" t="s">
        <v>55</v>
      </c>
      <c r="G30" s="92"/>
      <c r="H30" s="724">
        <v>60180</v>
      </c>
      <c r="I30" s="724">
        <v>20060</v>
      </c>
      <c r="J30" s="724">
        <v>20060</v>
      </c>
      <c r="K30" s="724">
        <v>20060</v>
      </c>
      <c r="L30" s="724">
        <v>2018.01</v>
      </c>
      <c r="M30" s="724">
        <v>2020.12</v>
      </c>
      <c r="N30" s="724">
        <v>4998.931875</v>
      </c>
      <c r="O30" s="724">
        <v>2407.231875</v>
      </c>
      <c r="P30" s="724">
        <v>1618.65</v>
      </c>
      <c r="Q30" s="724">
        <v>973.05</v>
      </c>
      <c r="R30" s="724">
        <v>0</v>
      </c>
      <c r="S30" s="724">
        <v>4568.93</v>
      </c>
      <c r="T30" s="724">
        <v>0</v>
      </c>
      <c r="U30" s="724">
        <v>430</v>
      </c>
      <c r="V30" s="724">
        <v>0</v>
      </c>
      <c r="W30" s="92" t="s">
        <v>46</v>
      </c>
      <c r="X30" s="92" t="s">
        <v>47</v>
      </c>
      <c r="Y30" s="738">
        <v>8322</v>
      </c>
      <c r="Z30" s="738">
        <v>161958</v>
      </c>
      <c r="AA30" s="738">
        <v>3</v>
      </c>
      <c r="AB30" s="92"/>
      <c r="AC30" s="92"/>
      <c r="AD30" s="747" t="s">
        <v>56</v>
      </c>
      <c r="AE30" s="715" t="s">
        <v>57</v>
      </c>
      <c r="AF30" s="438" t="s">
        <v>43</v>
      </c>
      <c r="AG30" s="92"/>
    </row>
    <row r="31" s="570" customFormat="1" ht="24.95" customHeight="1" spans="1:33">
      <c r="A31" s="705"/>
      <c r="B31" s="199" t="s">
        <v>58</v>
      </c>
      <c r="C31" s="146" t="s">
        <v>52</v>
      </c>
      <c r="D31" s="152" t="s">
        <v>45</v>
      </c>
      <c r="E31" s="92">
        <v>1</v>
      </c>
      <c r="F31" s="92" t="s">
        <v>58</v>
      </c>
      <c r="G31" s="92"/>
      <c r="H31" s="724">
        <v>100</v>
      </c>
      <c r="I31" s="724">
        <v>100</v>
      </c>
      <c r="J31" s="724">
        <v>0</v>
      </c>
      <c r="K31" s="724">
        <v>0</v>
      </c>
      <c r="L31" s="724">
        <v>2018.01</v>
      </c>
      <c r="M31" s="724">
        <v>0</v>
      </c>
      <c r="N31" s="724">
        <v>10</v>
      </c>
      <c r="O31" s="724">
        <v>10</v>
      </c>
      <c r="P31" s="724">
        <v>0</v>
      </c>
      <c r="Q31" s="724">
        <v>0</v>
      </c>
      <c r="R31" s="724">
        <v>0</v>
      </c>
      <c r="S31" s="724">
        <v>10</v>
      </c>
      <c r="T31" s="724">
        <v>0</v>
      </c>
      <c r="U31" s="724">
        <v>0</v>
      </c>
      <c r="V31" s="724">
        <v>0</v>
      </c>
      <c r="W31" s="92" t="s">
        <v>46</v>
      </c>
      <c r="X31" s="92" t="s">
        <v>47</v>
      </c>
      <c r="Y31" s="738">
        <v>167</v>
      </c>
      <c r="Z31" s="738">
        <v>723</v>
      </c>
      <c r="AA31" s="738">
        <v>1</v>
      </c>
      <c r="AB31" s="92"/>
      <c r="AC31" s="92"/>
      <c r="AD31" s="146"/>
      <c r="AE31" s="146"/>
      <c r="AF31" s="438"/>
      <c r="AG31" s="92"/>
    </row>
    <row r="32" s="570" customFormat="1" ht="24.95" customHeight="1" spans="1:33">
      <c r="A32" s="705"/>
      <c r="B32" s="711" t="s">
        <v>90</v>
      </c>
      <c r="C32" s="141" t="s">
        <v>52</v>
      </c>
      <c r="D32" s="141" t="s">
        <v>45</v>
      </c>
      <c r="E32" s="92">
        <v>18</v>
      </c>
      <c r="F32" s="92">
        <v>0</v>
      </c>
      <c r="G32" s="92"/>
      <c r="H32" s="724">
        <v>43729.6</v>
      </c>
      <c r="I32" s="724">
        <v>13398.2</v>
      </c>
      <c r="J32" s="724">
        <v>13598.2</v>
      </c>
      <c r="K32" s="724">
        <v>16733.2</v>
      </c>
      <c r="L32" s="724">
        <v>0</v>
      </c>
      <c r="M32" s="724">
        <v>0</v>
      </c>
      <c r="N32" s="724">
        <v>8824.105</v>
      </c>
      <c r="O32" s="724">
        <v>990.205</v>
      </c>
      <c r="P32" s="724">
        <v>3246.945</v>
      </c>
      <c r="Q32" s="724">
        <v>4586.955</v>
      </c>
      <c r="R32" s="724">
        <v>0</v>
      </c>
      <c r="S32" s="724">
        <v>8754.105</v>
      </c>
      <c r="T32" s="724">
        <v>0</v>
      </c>
      <c r="U32" s="724">
        <v>70</v>
      </c>
      <c r="V32" s="724">
        <v>0</v>
      </c>
      <c r="W32" s="92" t="s">
        <v>46</v>
      </c>
      <c r="X32" s="92" t="s">
        <v>47</v>
      </c>
      <c r="Y32" s="738">
        <v>19916</v>
      </c>
      <c r="Z32" s="738">
        <v>82416</v>
      </c>
      <c r="AA32" s="738">
        <v>18</v>
      </c>
      <c r="AB32" s="92"/>
      <c r="AC32" s="92"/>
      <c r="AD32" s="141" t="s">
        <v>68</v>
      </c>
      <c r="AE32" s="146" t="s">
        <v>50</v>
      </c>
      <c r="AF32" s="438" t="s">
        <v>43</v>
      </c>
      <c r="AG32" s="92"/>
    </row>
    <row r="33" s="570" customFormat="1" ht="24.95" customHeight="1" spans="1:33">
      <c r="A33" s="705"/>
      <c r="B33" s="199" t="s">
        <v>69</v>
      </c>
      <c r="C33" s="141" t="s">
        <v>52</v>
      </c>
      <c r="D33" s="141" t="s">
        <v>45</v>
      </c>
      <c r="E33" s="92">
        <v>3</v>
      </c>
      <c r="F33" s="92" t="s">
        <v>69</v>
      </c>
      <c r="G33" s="92"/>
      <c r="H33" s="724">
        <v>7320</v>
      </c>
      <c r="I33" s="724">
        <v>2440</v>
      </c>
      <c r="J33" s="724">
        <v>2440</v>
      </c>
      <c r="K33" s="724">
        <v>2440</v>
      </c>
      <c r="L33" s="724">
        <v>2018.01</v>
      </c>
      <c r="M33" s="724">
        <v>2020.12</v>
      </c>
      <c r="N33" s="724">
        <v>2942.95</v>
      </c>
      <c r="O33" s="724">
        <v>542.95</v>
      </c>
      <c r="P33" s="724">
        <v>1200</v>
      </c>
      <c r="Q33" s="724">
        <v>1200</v>
      </c>
      <c r="R33" s="724">
        <v>0</v>
      </c>
      <c r="S33" s="724">
        <v>2942.95</v>
      </c>
      <c r="T33" s="724">
        <v>0</v>
      </c>
      <c r="U33" s="724">
        <v>0</v>
      </c>
      <c r="V33" s="724">
        <v>0</v>
      </c>
      <c r="W33" s="92" t="s">
        <v>46</v>
      </c>
      <c r="X33" s="92" t="s">
        <v>47</v>
      </c>
      <c r="Y33" s="738">
        <v>3660</v>
      </c>
      <c r="Z33" s="738">
        <v>12612</v>
      </c>
      <c r="AA33" s="738">
        <v>3</v>
      </c>
      <c r="AB33" s="92"/>
      <c r="AC33" s="92"/>
      <c r="AD33" s="146" t="s">
        <v>70</v>
      </c>
      <c r="AE33" s="146" t="s">
        <v>71</v>
      </c>
      <c r="AF33" s="438" t="s">
        <v>43</v>
      </c>
      <c r="AG33" s="92"/>
    </row>
    <row r="34" s="570" customFormat="1" ht="24.95" customHeight="1" spans="1:33">
      <c r="A34" s="705"/>
      <c r="B34" s="199" t="s">
        <v>51</v>
      </c>
      <c r="C34" s="141" t="s">
        <v>52</v>
      </c>
      <c r="D34" s="141" t="s">
        <v>45</v>
      </c>
      <c r="E34" s="92">
        <v>1</v>
      </c>
      <c r="F34" s="92" t="s">
        <v>51</v>
      </c>
      <c r="G34" s="92"/>
      <c r="H34" s="724">
        <v>3135</v>
      </c>
      <c r="I34" s="724">
        <v>0</v>
      </c>
      <c r="J34" s="724">
        <v>0</v>
      </c>
      <c r="K34" s="724">
        <v>3135</v>
      </c>
      <c r="L34" s="724">
        <v>0</v>
      </c>
      <c r="M34" s="724">
        <v>2020.12</v>
      </c>
      <c r="N34" s="724">
        <v>1504.8</v>
      </c>
      <c r="O34" s="724">
        <v>0</v>
      </c>
      <c r="P34" s="724">
        <v>0</v>
      </c>
      <c r="Q34" s="724">
        <v>1504.8</v>
      </c>
      <c r="R34" s="724">
        <v>0</v>
      </c>
      <c r="S34" s="724">
        <v>1504.8</v>
      </c>
      <c r="T34" s="724">
        <v>0</v>
      </c>
      <c r="U34" s="724">
        <v>0</v>
      </c>
      <c r="V34" s="724">
        <v>0</v>
      </c>
      <c r="W34" s="92" t="s">
        <v>46</v>
      </c>
      <c r="X34" s="92" t="s">
        <v>47</v>
      </c>
      <c r="Y34" s="738">
        <v>1760</v>
      </c>
      <c r="Z34" s="738">
        <v>7269</v>
      </c>
      <c r="AA34" s="738">
        <v>1</v>
      </c>
      <c r="AB34" s="92"/>
      <c r="AC34" s="92"/>
      <c r="AD34" s="740"/>
      <c r="AE34" s="741"/>
      <c r="AF34" s="742"/>
      <c r="AG34" s="92"/>
    </row>
    <row r="35" s="570" customFormat="1" ht="24.95" customHeight="1" spans="1:33">
      <c r="A35" s="705"/>
      <c r="B35" s="199" t="s">
        <v>91</v>
      </c>
      <c r="C35" s="146" t="s">
        <v>52</v>
      </c>
      <c r="D35" s="152" t="s">
        <v>45</v>
      </c>
      <c r="E35" s="92">
        <v>3</v>
      </c>
      <c r="F35" s="92" t="s">
        <v>91</v>
      </c>
      <c r="G35" s="92"/>
      <c r="H35" s="724">
        <v>8703.6</v>
      </c>
      <c r="I35" s="724">
        <v>2901.2</v>
      </c>
      <c r="J35" s="724">
        <v>2901.2</v>
      </c>
      <c r="K35" s="724">
        <v>2901.2</v>
      </c>
      <c r="L35" s="724">
        <v>2018.01</v>
      </c>
      <c r="M35" s="724">
        <v>2020.12</v>
      </c>
      <c r="N35" s="724">
        <v>1271.055</v>
      </c>
      <c r="O35" s="724">
        <v>338.355</v>
      </c>
      <c r="P35" s="724">
        <v>594.345</v>
      </c>
      <c r="Q35" s="724">
        <v>338.355</v>
      </c>
      <c r="R35" s="724">
        <v>0</v>
      </c>
      <c r="S35" s="724">
        <v>1201.055</v>
      </c>
      <c r="T35" s="724">
        <v>0</v>
      </c>
      <c r="U35" s="724">
        <v>70</v>
      </c>
      <c r="V35" s="724">
        <v>0</v>
      </c>
      <c r="W35" s="92" t="s">
        <v>46</v>
      </c>
      <c r="X35" s="92" t="s">
        <v>47</v>
      </c>
      <c r="Y35" s="738">
        <v>3915</v>
      </c>
      <c r="Z35" s="738">
        <v>15516</v>
      </c>
      <c r="AA35" s="738">
        <v>3</v>
      </c>
      <c r="AB35" s="92"/>
      <c r="AC35" s="92"/>
      <c r="AD35" s="146" t="s">
        <v>82</v>
      </c>
      <c r="AE35" s="146" t="s">
        <v>83</v>
      </c>
      <c r="AF35" s="438" t="s">
        <v>43</v>
      </c>
      <c r="AG35" s="92"/>
    </row>
    <row r="36" s="570" customFormat="1" ht="24.95" customHeight="1" spans="1:33">
      <c r="A36" s="705"/>
      <c r="B36" s="199" t="s">
        <v>75</v>
      </c>
      <c r="C36" s="141" t="s">
        <v>52</v>
      </c>
      <c r="D36" s="141" t="s">
        <v>45</v>
      </c>
      <c r="E36" s="92">
        <v>3</v>
      </c>
      <c r="F36" s="92" t="s">
        <v>75</v>
      </c>
      <c r="G36" s="92"/>
      <c r="H36" s="724">
        <v>8898</v>
      </c>
      <c r="I36" s="724">
        <v>2966</v>
      </c>
      <c r="J36" s="724">
        <v>2966</v>
      </c>
      <c r="K36" s="724">
        <v>2966</v>
      </c>
      <c r="L36" s="724">
        <v>2018.01</v>
      </c>
      <c r="M36" s="724">
        <v>2020.12</v>
      </c>
      <c r="N36" s="724">
        <v>415.24</v>
      </c>
      <c r="O36" s="724">
        <v>40.04</v>
      </c>
      <c r="P36" s="724">
        <v>187.6</v>
      </c>
      <c r="Q36" s="724">
        <v>187.6</v>
      </c>
      <c r="R36" s="724">
        <v>0</v>
      </c>
      <c r="S36" s="724">
        <v>415.24</v>
      </c>
      <c r="T36" s="724">
        <v>0</v>
      </c>
      <c r="U36" s="724">
        <v>0</v>
      </c>
      <c r="V36" s="724">
        <v>0</v>
      </c>
      <c r="W36" s="92" t="s">
        <v>46</v>
      </c>
      <c r="X36" s="92" t="s">
        <v>47</v>
      </c>
      <c r="Y36" s="738">
        <v>3738</v>
      </c>
      <c r="Z36" s="738">
        <v>16716</v>
      </c>
      <c r="AA36" s="738">
        <v>3</v>
      </c>
      <c r="AB36" s="92"/>
      <c r="AC36" s="92"/>
      <c r="AD36" s="146" t="s">
        <v>76</v>
      </c>
      <c r="AE36" s="146" t="s">
        <v>77</v>
      </c>
      <c r="AF36" s="438" t="s">
        <v>43</v>
      </c>
      <c r="AG36" s="92"/>
    </row>
    <row r="37" s="570" customFormat="1" ht="24.95" customHeight="1" spans="1:33">
      <c r="A37" s="705"/>
      <c r="B37" s="199" t="s">
        <v>58</v>
      </c>
      <c r="C37" s="146" t="s">
        <v>52</v>
      </c>
      <c r="D37" s="152" t="s">
        <v>45</v>
      </c>
      <c r="E37" s="92">
        <v>3</v>
      </c>
      <c r="F37" s="92" t="s">
        <v>58</v>
      </c>
      <c r="G37" s="92"/>
      <c r="H37" s="724">
        <v>7473</v>
      </c>
      <c r="I37" s="724">
        <v>2491</v>
      </c>
      <c r="J37" s="724">
        <v>2491</v>
      </c>
      <c r="K37" s="724">
        <v>2491</v>
      </c>
      <c r="L37" s="724">
        <v>2018.01</v>
      </c>
      <c r="M37" s="724">
        <v>2020.12</v>
      </c>
      <c r="N37" s="724">
        <v>1107.54</v>
      </c>
      <c r="O37" s="724">
        <v>56.34</v>
      </c>
      <c r="P37" s="724">
        <v>480</v>
      </c>
      <c r="Q37" s="724">
        <v>571.2</v>
      </c>
      <c r="R37" s="724">
        <v>0</v>
      </c>
      <c r="S37" s="724">
        <v>1107.54</v>
      </c>
      <c r="T37" s="724">
        <v>0</v>
      </c>
      <c r="U37" s="724">
        <v>0</v>
      </c>
      <c r="V37" s="724">
        <v>0</v>
      </c>
      <c r="W37" s="92" t="s">
        <v>46</v>
      </c>
      <c r="X37" s="92" t="s">
        <v>47</v>
      </c>
      <c r="Y37" s="738">
        <v>1455</v>
      </c>
      <c r="Z37" s="738">
        <v>6462</v>
      </c>
      <c r="AA37" s="738">
        <v>3</v>
      </c>
      <c r="AB37" s="92"/>
      <c r="AC37" s="92"/>
      <c r="AD37" s="146" t="s">
        <v>59</v>
      </c>
      <c r="AE37" s="141" t="s">
        <v>60</v>
      </c>
      <c r="AF37" s="438" t="s">
        <v>43</v>
      </c>
      <c r="AG37" s="92"/>
    </row>
    <row r="38" s="570" customFormat="1" ht="24.95" customHeight="1" spans="1:33">
      <c r="A38" s="705"/>
      <c r="B38" s="199" t="s">
        <v>61</v>
      </c>
      <c r="C38" s="146" t="s">
        <v>52</v>
      </c>
      <c r="D38" s="152" t="s">
        <v>45</v>
      </c>
      <c r="E38" s="92">
        <v>3</v>
      </c>
      <c r="F38" s="92" t="s">
        <v>61</v>
      </c>
      <c r="G38" s="92"/>
      <c r="H38" s="724">
        <v>7800</v>
      </c>
      <c r="I38" s="724">
        <v>2600</v>
      </c>
      <c r="J38" s="724">
        <v>2600</v>
      </c>
      <c r="K38" s="724">
        <v>2600</v>
      </c>
      <c r="L38" s="724">
        <v>2018.01</v>
      </c>
      <c r="M38" s="724">
        <v>2020.12</v>
      </c>
      <c r="N38" s="724">
        <v>1452.52</v>
      </c>
      <c r="O38" s="724">
        <v>12.52</v>
      </c>
      <c r="P38" s="724">
        <v>720</v>
      </c>
      <c r="Q38" s="724">
        <v>720</v>
      </c>
      <c r="R38" s="724">
        <v>0</v>
      </c>
      <c r="S38" s="724">
        <v>1452.52</v>
      </c>
      <c r="T38" s="724">
        <v>0</v>
      </c>
      <c r="U38" s="724">
        <v>0</v>
      </c>
      <c r="V38" s="724">
        <v>0</v>
      </c>
      <c r="W38" s="92" t="s">
        <v>46</v>
      </c>
      <c r="X38" s="92" t="s">
        <v>47</v>
      </c>
      <c r="Y38" s="738">
        <v>4998</v>
      </c>
      <c r="Z38" s="738">
        <v>22509</v>
      </c>
      <c r="AA38" s="738">
        <v>3</v>
      </c>
      <c r="AB38" s="92"/>
      <c r="AC38" s="92"/>
      <c r="AD38" s="146" t="s">
        <v>62</v>
      </c>
      <c r="AE38" s="146" t="s">
        <v>63</v>
      </c>
      <c r="AF38" s="438" t="s">
        <v>43</v>
      </c>
      <c r="AG38" s="92"/>
    </row>
    <row r="39" s="570" customFormat="1" ht="24.95" customHeight="1" spans="1:33">
      <c r="A39" s="705"/>
      <c r="B39" s="199" t="s">
        <v>92</v>
      </c>
      <c r="C39" s="146" t="s">
        <v>52</v>
      </c>
      <c r="D39" s="152" t="s">
        <v>45</v>
      </c>
      <c r="E39" s="92">
        <v>2</v>
      </c>
      <c r="F39" s="92" t="s">
        <v>92</v>
      </c>
      <c r="G39" s="92"/>
      <c r="H39" s="724">
        <v>400</v>
      </c>
      <c r="I39" s="724">
        <v>0</v>
      </c>
      <c r="J39" s="724">
        <v>200</v>
      </c>
      <c r="K39" s="724">
        <v>200</v>
      </c>
      <c r="L39" s="724">
        <v>0</v>
      </c>
      <c r="M39" s="724">
        <v>2020.12</v>
      </c>
      <c r="N39" s="724">
        <v>130</v>
      </c>
      <c r="O39" s="724">
        <v>0</v>
      </c>
      <c r="P39" s="724">
        <v>65</v>
      </c>
      <c r="Q39" s="724">
        <v>65</v>
      </c>
      <c r="R39" s="724">
        <v>0</v>
      </c>
      <c r="S39" s="724">
        <v>130</v>
      </c>
      <c r="T39" s="724">
        <v>0</v>
      </c>
      <c r="U39" s="724">
        <v>0</v>
      </c>
      <c r="V39" s="724">
        <v>0</v>
      </c>
      <c r="W39" s="92" t="s">
        <v>46</v>
      </c>
      <c r="X39" s="92" t="s">
        <v>47</v>
      </c>
      <c r="Y39" s="738">
        <v>390</v>
      </c>
      <c r="Z39" s="738">
        <v>1332</v>
      </c>
      <c r="AA39" s="738">
        <v>2</v>
      </c>
      <c r="AB39" s="92"/>
      <c r="AC39" s="92"/>
      <c r="AD39" s="146" t="s">
        <v>93</v>
      </c>
      <c r="AE39" s="146" t="s">
        <v>94</v>
      </c>
      <c r="AF39" s="438" t="s">
        <v>43</v>
      </c>
      <c r="AG39" s="92"/>
    </row>
    <row r="40" s="570" customFormat="1" ht="24.95" customHeight="1" spans="1:33">
      <c r="A40" s="705"/>
      <c r="B40" s="711" t="s">
        <v>95</v>
      </c>
      <c r="C40" s="141" t="s">
        <v>52</v>
      </c>
      <c r="D40" s="141" t="s">
        <v>45</v>
      </c>
      <c r="E40" s="92">
        <v>10</v>
      </c>
      <c r="F40" s="92">
        <v>0</v>
      </c>
      <c r="G40" s="92"/>
      <c r="H40" s="724">
        <v>35810</v>
      </c>
      <c r="I40" s="724">
        <v>12554</v>
      </c>
      <c r="J40" s="724">
        <v>11628</v>
      </c>
      <c r="K40" s="724">
        <v>11628</v>
      </c>
      <c r="L40" s="724">
        <v>0</v>
      </c>
      <c r="M40" s="724">
        <v>0</v>
      </c>
      <c r="N40" s="724">
        <v>780.53</v>
      </c>
      <c r="O40" s="724">
        <v>355.49</v>
      </c>
      <c r="P40" s="724">
        <v>212.52</v>
      </c>
      <c r="Q40" s="724">
        <v>212.52</v>
      </c>
      <c r="R40" s="724">
        <v>0</v>
      </c>
      <c r="S40" s="724">
        <v>480.53</v>
      </c>
      <c r="T40" s="724">
        <v>0</v>
      </c>
      <c r="U40" s="724">
        <v>300</v>
      </c>
      <c r="V40" s="724">
        <v>0</v>
      </c>
      <c r="W40" s="92" t="s">
        <v>46</v>
      </c>
      <c r="X40" s="92" t="s">
        <v>47</v>
      </c>
      <c r="Y40" s="738">
        <v>12863</v>
      </c>
      <c r="Z40" s="738">
        <v>55269</v>
      </c>
      <c r="AA40" s="738">
        <v>10</v>
      </c>
      <c r="AB40" s="92"/>
      <c r="AC40" s="92"/>
      <c r="AD40" s="141" t="s">
        <v>68</v>
      </c>
      <c r="AE40" s="146" t="s">
        <v>50</v>
      </c>
      <c r="AF40" s="438" t="s">
        <v>43</v>
      </c>
      <c r="AG40" s="92"/>
    </row>
    <row r="41" s="570" customFormat="1" ht="24.95" customHeight="1" spans="1:33">
      <c r="A41" s="705"/>
      <c r="B41" s="199" t="s">
        <v>51</v>
      </c>
      <c r="C41" s="141" t="s">
        <v>52</v>
      </c>
      <c r="D41" s="141" t="s">
        <v>45</v>
      </c>
      <c r="E41" s="92">
        <v>1</v>
      </c>
      <c r="F41" s="92" t="s">
        <v>51</v>
      </c>
      <c r="G41" s="92"/>
      <c r="H41" s="724">
        <v>926</v>
      </c>
      <c r="I41" s="724">
        <v>926</v>
      </c>
      <c r="J41" s="724">
        <v>0</v>
      </c>
      <c r="K41" s="724">
        <v>0</v>
      </c>
      <c r="L41" s="724">
        <v>2018.01</v>
      </c>
      <c r="M41" s="724">
        <v>0</v>
      </c>
      <c r="N41" s="724">
        <v>24.09</v>
      </c>
      <c r="O41" s="724">
        <v>24.09</v>
      </c>
      <c r="P41" s="724">
        <v>0</v>
      </c>
      <c r="Q41" s="724">
        <v>0</v>
      </c>
      <c r="R41" s="724">
        <v>0</v>
      </c>
      <c r="S41" s="724">
        <v>24.09</v>
      </c>
      <c r="T41" s="724">
        <v>0</v>
      </c>
      <c r="U41" s="724">
        <v>0</v>
      </c>
      <c r="V41" s="724">
        <v>0</v>
      </c>
      <c r="W41" s="92" t="s">
        <v>46</v>
      </c>
      <c r="X41" s="92" t="s">
        <v>47</v>
      </c>
      <c r="Y41" s="738">
        <v>1760</v>
      </c>
      <c r="Z41" s="738">
        <v>7269</v>
      </c>
      <c r="AA41" s="738">
        <v>1</v>
      </c>
      <c r="AB41" s="92"/>
      <c r="AC41" s="92"/>
      <c r="AD41" s="740"/>
      <c r="AE41" s="741"/>
      <c r="AF41" s="742"/>
      <c r="AG41" s="92"/>
    </row>
    <row r="42" s="570" customFormat="1" ht="24.95" customHeight="1" spans="1:33">
      <c r="A42" s="705"/>
      <c r="B42" s="199" t="s">
        <v>72</v>
      </c>
      <c r="C42" s="146" t="s">
        <v>52</v>
      </c>
      <c r="D42" s="152" t="s">
        <v>45</v>
      </c>
      <c r="E42" s="92">
        <v>3</v>
      </c>
      <c r="F42" s="92" t="s">
        <v>72</v>
      </c>
      <c r="G42" s="92"/>
      <c r="H42" s="724">
        <v>3600</v>
      </c>
      <c r="I42" s="724">
        <v>1200</v>
      </c>
      <c r="J42" s="724">
        <v>1200</v>
      </c>
      <c r="K42" s="724">
        <v>1200</v>
      </c>
      <c r="L42" s="724">
        <v>2018.01</v>
      </c>
      <c r="M42" s="724">
        <v>2020.12</v>
      </c>
      <c r="N42" s="724">
        <v>135.04</v>
      </c>
      <c r="O42" s="724">
        <v>100</v>
      </c>
      <c r="P42" s="724">
        <v>17.52</v>
      </c>
      <c r="Q42" s="724">
        <v>17.52</v>
      </c>
      <c r="R42" s="724">
        <v>0</v>
      </c>
      <c r="S42" s="724">
        <v>35.04</v>
      </c>
      <c r="T42" s="724">
        <v>0</v>
      </c>
      <c r="U42" s="724">
        <v>100</v>
      </c>
      <c r="V42" s="724">
        <v>0</v>
      </c>
      <c r="W42" s="92" t="s">
        <v>46</v>
      </c>
      <c r="X42" s="92" t="s">
        <v>47</v>
      </c>
      <c r="Y42" s="738">
        <v>1797</v>
      </c>
      <c r="Z42" s="738">
        <v>7461</v>
      </c>
      <c r="AA42" s="738">
        <v>3</v>
      </c>
      <c r="AB42" s="92"/>
      <c r="AC42" s="92"/>
      <c r="AD42" s="146" t="s">
        <v>73</v>
      </c>
      <c r="AE42" s="438" t="s">
        <v>74</v>
      </c>
      <c r="AF42" s="438" t="s">
        <v>43</v>
      </c>
      <c r="AG42" s="92"/>
    </row>
    <row r="43" s="570" customFormat="1" ht="24.95" customHeight="1" spans="1:33">
      <c r="A43" s="705"/>
      <c r="B43" s="199" t="s">
        <v>75</v>
      </c>
      <c r="C43" s="141" t="s">
        <v>52</v>
      </c>
      <c r="D43" s="141" t="s">
        <v>45</v>
      </c>
      <c r="E43" s="92">
        <v>3</v>
      </c>
      <c r="F43" s="92" t="s">
        <v>75</v>
      </c>
      <c r="G43" s="92"/>
      <c r="H43" s="724">
        <v>23664</v>
      </c>
      <c r="I43" s="724">
        <v>7888</v>
      </c>
      <c r="J43" s="724">
        <v>7888</v>
      </c>
      <c r="K43" s="724">
        <v>7888</v>
      </c>
      <c r="L43" s="724">
        <v>2018.01</v>
      </c>
      <c r="M43" s="724">
        <v>2020.12</v>
      </c>
      <c r="N43" s="724">
        <v>394.4</v>
      </c>
      <c r="O43" s="724">
        <v>114.4</v>
      </c>
      <c r="P43" s="724">
        <v>140</v>
      </c>
      <c r="Q43" s="724">
        <v>140</v>
      </c>
      <c r="R43" s="724">
        <v>0</v>
      </c>
      <c r="S43" s="724">
        <v>294.4</v>
      </c>
      <c r="T43" s="724">
        <v>0</v>
      </c>
      <c r="U43" s="724">
        <v>100</v>
      </c>
      <c r="V43" s="724">
        <v>0</v>
      </c>
      <c r="W43" s="92" t="s">
        <v>46</v>
      </c>
      <c r="X43" s="92" t="s">
        <v>47</v>
      </c>
      <c r="Y43" s="738">
        <v>6480</v>
      </c>
      <c r="Z43" s="738">
        <v>28986</v>
      </c>
      <c r="AA43" s="738">
        <v>3</v>
      </c>
      <c r="AB43" s="92"/>
      <c r="AC43" s="92"/>
      <c r="AD43" s="146" t="s">
        <v>76</v>
      </c>
      <c r="AE43" s="146" t="s">
        <v>77</v>
      </c>
      <c r="AF43" s="438" t="s">
        <v>43</v>
      </c>
      <c r="AG43" s="92"/>
    </row>
    <row r="44" s="570" customFormat="1" ht="24.95" customHeight="1" spans="1:33">
      <c r="A44" s="705"/>
      <c r="B44" s="714" t="s">
        <v>84</v>
      </c>
      <c r="C44" s="141" t="s">
        <v>96</v>
      </c>
      <c r="D44" s="141" t="s">
        <v>45</v>
      </c>
      <c r="E44" s="92">
        <v>3</v>
      </c>
      <c r="F44" s="92" t="s">
        <v>84</v>
      </c>
      <c r="G44" s="92"/>
      <c r="H44" s="724">
        <v>7620</v>
      </c>
      <c r="I44" s="724">
        <v>2540</v>
      </c>
      <c r="J44" s="724">
        <v>2540</v>
      </c>
      <c r="K44" s="724">
        <v>2540</v>
      </c>
      <c r="L44" s="724">
        <v>2018.01</v>
      </c>
      <c r="M44" s="724">
        <v>2020.12</v>
      </c>
      <c r="N44" s="724">
        <v>227</v>
      </c>
      <c r="O44" s="724">
        <v>117</v>
      </c>
      <c r="P44" s="724">
        <v>55</v>
      </c>
      <c r="Q44" s="724">
        <v>55</v>
      </c>
      <c r="R44" s="724">
        <v>0</v>
      </c>
      <c r="S44" s="724">
        <v>127</v>
      </c>
      <c r="T44" s="724">
        <v>0</v>
      </c>
      <c r="U44" s="724">
        <v>100</v>
      </c>
      <c r="V44" s="724">
        <v>0</v>
      </c>
      <c r="W44" s="92" t="s">
        <v>46</v>
      </c>
      <c r="X44" s="92" t="s">
        <v>47</v>
      </c>
      <c r="Y44" s="738">
        <v>2826</v>
      </c>
      <c r="Z44" s="738">
        <v>11553</v>
      </c>
      <c r="AA44" s="738">
        <v>3</v>
      </c>
      <c r="AB44" s="92"/>
      <c r="AC44" s="92"/>
      <c r="AD44" s="146" t="s">
        <v>65</v>
      </c>
      <c r="AE44" s="146" t="s">
        <v>85</v>
      </c>
      <c r="AF44" s="438" t="s">
        <v>43</v>
      </c>
      <c r="AG44" s="92"/>
    </row>
    <row r="45" s="570" customFormat="1" ht="24.95" customHeight="1" spans="1:33">
      <c r="A45" s="705"/>
      <c r="B45" s="711" t="s">
        <v>97</v>
      </c>
      <c r="C45" s="71" t="s">
        <v>52</v>
      </c>
      <c r="D45" s="71" t="s">
        <v>45</v>
      </c>
      <c r="E45" s="92">
        <v>11</v>
      </c>
      <c r="F45" s="92">
        <v>0</v>
      </c>
      <c r="G45" s="92"/>
      <c r="H45" s="724">
        <v>30427.5</v>
      </c>
      <c r="I45" s="724">
        <v>10642.5</v>
      </c>
      <c r="J45" s="724">
        <v>9642.5</v>
      </c>
      <c r="K45" s="724">
        <v>10142.5</v>
      </c>
      <c r="L45" s="724">
        <v>0</v>
      </c>
      <c r="M45" s="724">
        <v>0</v>
      </c>
      <c r="N45" s="724">
        <v>2045.154</v>
      </c>
      <c r="O45" s="724">
        <v>664.818</v>
      </c>
      <c r="P45" s="724">
        <v>669.528</v>
      </c>
      <c r="Q45" s="724">
        <v>710.808</v>
      </c>
      <c r="R45" s="724">
        <v>0</v>
      </c>
      <c r="S45" s="724">
        <v>2045.154</v>
      </c>
      <c r="T45" s="724">
        <v>0</v>
      </c>
      <c r="U45" s="724">
        <v>0</v>
      </c>
      <c r="V45" s="724">
        <v>0</v>
      </c>
      <c r="W45" s="92" t="s">
        <v>46</v>
      </c>
      <c r="X45" s="92" t="s">
        <v>47</v>
      </c>
      <c r="Y45" s="738">
        <v>4942</v>
      </c>
      <c r="Z45" s="738">
        <v>20235</v>
      </c>
      <c r="AA45" s="738">
        <v>11</v>
      </c>
      <c r="AB45" s="92"/>
      <c r="AC45" s="92"/>
      <c r="AD45" s="141" t="s">
        <v>68</v>
      </c>
      <c r="AE45" s="146" t="s">
        <v>50</v>
      </c>
      <c r="AF45" s="438" t="s">
        <v>43</v>
      </c>
      <c r="AG45" s="92"/>
    </row>
    <row r="46" s="570" customFormat="1" ht="24.95" customHeight="1" spans="1:33">
      <c r="A46" s="705"/>
      <c r="B46" s="199" t="s">
        <v>98</v>
      </c>
      <c r="C46" s="71" t="s">
        <v>52</v>
      </c>
      <c r="D46" s="71" t="s">
        <v>45</v>
      </c>
      <c r="E46" s="92">
        <v>3</v>
      </c>
      <c r="F46" s="92" t="s">
        <v>98</v>
      </c>
      <c r="G46" s="92"/>
      <c r="H46" s="724">
        <v>3183</v>
      </c>
      <c r="I46" s="724">
        <v>1061</v>
      </c>
      <c r="J46" s="724">
        <v>1061</v>
      </c>
      <c r="K46" s="724">
        <v>1061</v>
      </c>
      <c r="L46" s="724">
        <v>2018.01</v>
      </c>
      <c r="M46" s="724">
        <v>2020.12</v>
      </c>
      <c r="N46" s="724">
        <v>106.2</v>
      </c>
      <c r="O46" s="724">
        <v>31.5</v>
      </c>
      <c r="P46" s="724">
        <v>33.2</v>
      </c>
      <c r="Q46" s="724">
        <v>41.5</v>
      </c>
      <c r="R46" s="724">
        <v>0</v>
      </c>
      <c r="S46" s="724">
        <v>106.2</v>
      </c>
      <c r="T46" s="724">
        <v>0</v>
      </c>
      <c r="U46" s="724">
        <v>0</v>
      </c>
      <c r="V46" s="724">
        <v>0</v>
      </c>
      <c r="W46" s="92" t="s">
        <v>46</v>
      </c>
      <c r="X46" s="92" t="s">
        <v>47</v>
      </c>
      <c r="Y46" s="738">
        <v>1422</v>
      </c>
      <c r="Z46" s="738">
        <v>6081</v>
      </c>
      <c r="AA46" s="738">
        <v>3</v>
      </c>
      <c r="AB46" s="92"/>
      <c r="AC46" s="92"/>
      <c r="AD46" s="746" t="s">
        <v>56</v>
      </c>
      <c r="AE46" s="746" t="s">
        <v>57</v>
      </c>
      <c r="AF46" s="438" t="s">
        <v>43</v>
      </c>
      <c r="AG46" s="92"/>
    </row>
    <row r="47" s="570" customFormat="1" ht="24.95" customHeight="1" spans="1:33">
      <c r="A47" s="705"/>
      <c r="B47" s="199" t="s">
        <v>58</v>
      </c>
      <c r="C47" s="71" t="s">
        <v>52</v>
      </c>
      <c r="D47" s="71" t="s">
        <v>45</v>
      </c>
      <c r="E47" s="92">
        <v>1</v>
      </c>
      <c r="F47" s="92" t="s">
        <v>58</v>
      </c>
      <c r="G47" s="92"/>
      <c r="H47" s="724">
        <v>500</v>
      </c>
      <c r="I47" s="724">
        <v>0</v>
      </c>
      <c r="J47" s="724">
        <v>0</v>
      </c>
      <c r="K47" s="724">
        <v>500</v>
      </c>
      <c r="L47" s="724">
        <v>0</v>
      </c>
      <c r="M47" s="724">
        <v>2020.12</v>
      </c>
      <c r="N47" s="724">
        <v>25</v>
      </c>
      <c r="O47" s="724">
        <v>0</v>
      </c>
      <c r="P47" s="724">
        <v>0</v>
      </c>
      <c r="Q47" s="724">
        <v>25</v>
      </c>
      <c r="R47" s="724">
        <v>0</v>
      </c>
      <c r="S47" s="724">
        <v>25</v>
      </c>
      <c r="T47" s="724">
        <v>0</v>
      </c>
      <c r="U47" s="724">
        <v>0</v>
      </c>
      <c r="V47" s="724">
        <v>0</v>
      </c>
      <c r="W47" s="92" t="s">
        <v>46</v>
      </c>
      <c r="X47" s="92" t="s">
        <v>47</v>
      </c>
      <c r="Y47" s="738">
        <v>45</v>
      </c>
      <c r="Z47" s="738">
        <v>145</v>
      </c>
      <c r="AA47" s="738">
        <v>1</v>
      </c>
      <c r="AB47" s="92"/>
      <c r="AC47" s="92"/>
      <c r="AD47" s="744"/>
      <c r="AE47" s="744"/>
      <c r="AF47" s="438"/>
      <c r="AG47" s="92"/>
    </row>
    <row r="48" s="570" customFormat="1" ht="24.95" customHeight="1" spans="1:33">
      <c r="A48" s="705"/>
      <c r="B48" s="199" t="s">
        <v>72</v>
      </c>
      <c r="C48" s="71" t="s">
        <v>52</v>
      </c>
      <c r="D48" s="71" t="s">
        <v>45</v>
      </c>
      <c r="E48" s="92">
        <v>1</v>
      </c>
      <c r="F48" s="92" t="s">
        <v>72</v>
      </c>
      <c r="G48" s="92"/>
      <c r="H48" s="724">
        <v>1000</v>
      </c>
      <c r="I48" s="724">
        <v>1000</v>
      </c>
      <c r="J48" s="724">
        <v>0</v>
      </c>
      <c r="K48" s="724">
        <v>0</v>
      </c>
      <c r="L48" s="724">
        <v>2018.01</v>
      </c>
      <c r="M48" s="724">
        <v>0</v>
      </c>
      <c r="N48" s="724">
        <v>227.23</v>
      </c>
      <c r="O48" s="724">
        <v>227.23</v>
      </c>
      <c r="P48" s="724">
        <v>0</v>
      </c>
      <c r="Q48" s="724">
        <v>0</v>
      </c>
      <c r="R48" s="724">
        <v>0</v>
      </c>
      <c r="S48" s="724">
        <v>227.23</v>
      </c>
      <c r="T48" s="724">
        <v>0</v>
      </c>
      <c r="U48" s="724">
        <v>0</v>
      </c>
      <c r="V48" s="724">
        <v>0</v>
      </c>
      <c r="W48" s="92" t="s">
        <v>46</v>
      </c>
      <c r="X48" s="92" t="s">
        <v>47</v>
      </c>
      <c r="Y48" s="738">
        <v>1000</v>
      </c>
      <c r="Z48" s="738">
        <v>3860</v>
      </c>
      <c r="AA48" s="738">
        <v>1</v>
      </c>
      <c r="AB48" s="92"/>
      <c r="AC48" s="92"/>
      <c r="AD48" s="745"/>
      <c r="AE48" s="745"/>
      <c r="AF48" s="438"/>
      <c r="AG48" s="92"/>
    </row>
    <row r="49" s="570" customFormat="1" ht="24.95" customHeight="1" spans="1:33">
      <c r="A49" s="705"/>
      <c r="B49" s="199" t="s">
        <v>78</v>
      </c>
      <c r="C49" s="71" t="s">
        <v>52</v>
      </c>
      <c r="D49" s="71" t="s">
        <v>45</v>
      </c>
      <c r="E49" s="92">
        <v>3</v>
      </c>
      <c r="F49" s="92" t="s">
        <v>78</v>
      </c>
      <c r="G49" s="92"/>
      <c r="H49" s="724">
        <v>7533</v>
      </c>
      <c r="I49" s="724">
        <v>2511</v>
      </c>
      <c r="J49" s="724">
        <v>2511</v>
      </c>
      <c r="K49" s="724">
        <v>2511</v>
      </c>
      <c r="L49" s="724">
        <v>2018.01</v>
      </c>
      <c r="M49" s="724">
        <v>2020.12</v>
      </c>
      <c r="N49" s="724">
        <v>300.6</v>
      </c>
      <c r="O49" s="724">
        <v>195.6</v>
      </c>
      <c r="P49" s="724">
        <v>52.5</v>
      </c>
      <c r="Q49" s="724">
        <v>52.5</v>
      </c>
      <c r="R49" s="724">
        <v>0</v>
      </c>
      <c r="S49" s="724">
        <v>300.6</v>
      </c>
      <c r="T49" s="724">
        <v>0</v>
      </c>
      <c r="U49" s="724">
        <v>0</v>
      </c>
      <c r="V49" s="724">
        <v>0</v>
      </c>
      <c r="W49" s="92" t="s">
        <v>46</v>
      </c>
      <c r="X49" s="92" t="s">
        <v>47</v>
      </c>
      <c r="Y49" s="738">
        <v>1104</v>
      </c>
      <c r="Z49" s="738">
        <v>4968</v>
      </c>
      <c r="AA49" s="738">
        <v>3</v>
      </c>
      <c r="AB49" s="92"/>
      <c r="AC49" s="92"/>
      <c r="AD49" s="86" t="s">
        <v>79</v>
      </c>
      <c r="AE49" s="86" t="s">
        <v>80</v>
      </c>
      <c r="AF49" s="438" t="s">
        <v>43</v>
      </c>
      <c r="AG49" s="92"/>
    </row>
    <row r="50" s="570" customFormat="1" ht="24.95" customHeight="1" spans="1:33">
      <c r="A50" s="705"/>
      <c r="B50" s="199" t="s">
        <v>91</v>
      </c>
      <c r="C50" s="71" t="s">
        <v>52</v>
      </c>
      <c r="D50" s="71" t="s">
        <v>45</v>
      </c>
      <c r="E50" s="92">
        <v>3</v>
      </c>
      <c r="F50" s="92" t="s">
        <v>91</v>
      </c>
      <c r="G50" s="92"/>
      <c r="H50" s="724">
        <v>18211.5</v>
      </c>
      <c r="I50" s="724">
        <v>6070.5</v>
      </c>
      <c r="J50" s="724">
        <v>6070.5</v>
      </c>
      <c r="K50" s="724">
        <v>6070.5</v>
      </c>
      <c r="L50" s="724">
        <v>2018.01</v>
      </c>
      <c r="M50" s="724">
        <v>2020.12</v>
      </c>
      <c r="N50" s="724">
        <v>1386.124</v>
      </c>
      <c r="O50" s="724">
        <v>210.488</v>
      </c>
      <c r="P50" s="724">
        <v>583.828</v>
      </c>
      <c r="Q50" s="724">
        <v>591.808</v>
      </c>
      <c r="R50" s="724">
        <v>0</v>
      </c>
      <c r="S50" s="724">
        <v>1386.124</v>
      </c>
      <c r="T50" s="724">
        <v>0</v>
      </c>
      <c r="U50" s="724">
        <v>0</v>
      </c>
      <c r="V50" s="724">
        <v>0</v>
      </c>
      <c r="W50" s="92" t="s">
        <v>46</v>
      </c>
      <c r="X50" s="92" t="s">
        <v>47</v>
      </c>
      <c r="Y50" s="738">
        <v>1371</v>
      </c>
      <c r="Z50" s="738">
        <v>5181</v>
      </c>
      <c r="AA50" s="738">
        <v>3</v>
      </c>
      <c r="AB50" s="92"/>
      <c r="AC50" s="92"/>
      <c r="AD50" s="146" t="s">
        <v>82</v>
      </c>
      <c r="AE50" s="146" t="s">
        <v>83</v>
      </c>
      <c r="AF50" s="438" t="s">
        <v>43</v>
      </c>
      <c r="AG50" s="92"/>
    </row>
    <row r="51" s="570" customFormat="1" ht="24.95" customHeight="1" spans="1:33">
      <c r="A51" s="705"/>
      <c r="B51" s="711" t="s">
        <v>99</v>
      </c>
      <c r="C51" s="146" t="s">
        <v>52</v>
      </c>
      <c r="D51" s="152" t="s">
        <v>45</v>
      </c>
      <c r="E51" s="92">
        <v>10</v>
      </c>
      <c r="F51" s="92">
        <v>0</v>
      </c>
      <c r="G51" s="92"/>
      <c r="H51" s="724">
        <v>16115</v>
      </c>
      <c r="I51" s="724">
        <v>1335</v>
      </c>
      <c r="J51" s="724">
        <v>7390</v>
      </c>
      <c r="K51" s="724">
        <v>7390</v>
      </c>
      <c r="L51" s="724">
        <v>0</v>
      </c>
      <c r="M51" s="724">
        <v>0</v>
      </c>
      <c r="N51" s="724">
        <v>1118.1405</v>
      </c>
      <c r="O51" s="724">
        <v>150.9405</v>
      </c>
      <c r="P51" s="724">
        <v>483.6</v>
      </c>
      <c r="Q51" s="724">
        <v>483.6</v>
      </c>
      <c r="R51" s="724">
        <v>0</v>
      </c>
      <c r="S51" s="724">
        <v>1068.1405</v>
      </c>
      <c r="T51" s="724">
        <v>0</v>
      </c>
      <c r="U51" s="724">
        <v>50</v>
      </c>
      <c r="V51" s="724">
        <v>0</v>
      </c>
      <c r="W51" s="92" t="s">
        <v>46</v>
      </c>
      <c r="X51" s="92" t="s">
        <v>47</v>
      </c>
      <c r="Y51" s="738">
        <v>6389</v>
      </c>
      <c r="Z51" s="738">
        <v>26515</v>
      </c>
      <c r="AA51" s="738">
        <v>10</v>
      </c>
      <c r="AB51" s="92"/>
      <c r="AC51" s="92"/>
      <c r="AD51" s="141" t="s">
        <v>68</v>
      </c>
      <c r="AE51" s="146" t="s">
        <v>50</v>
      </c>
      <c r="AF51" s="438" t="s">
        <v>43</v>
      </c>
      <c r="AG51" s="92"/>
    </row>
    <row r="52" s="570" customFormat="1" ht="24.95" customHeight="1" spans="1:33">
      <c r="A52" s="705"/>
      <c r="B52" s="199" t="s">
        <v>51</v>
      </c>
      <c r="C52" s="71" t="s">
        <v>52</v>
      </c>
      <c r="D52" s="71" t="s">
        <v>45</v>
      </c>
      <c r="E52" s="92">
        <v>2</v>
      </c>
      <c r="F52" s="92" t="s">
        <v>51</v>
      </c>
      <c r="G52" s="92"/>
      <c r="H52" s="724">
        <v>7100</v>
      </c>
      <c r="I52" s="724">
        <v>0</v>
      </c>
      <c r="J52" s="724">
        <v>3550</v>
      </c>
      <c r="K52" s="724">
        <v>3550</v>
      </c>
      <c r="L52" s="724">
        <v>0</v>
      </c>
      <c r="M52" s="724">
        <v>2020.12</v>
      </c>
      <c r="N52" s="724">
        <v>369.2</v>
      </c>
      <c r="O52" s="724">
        <v>0</v>
      </c>
      <c r="P52" s="724">
        <v>184.6</v>
      </c>
      <c r="Q52" s="724">
        <v>184.6</v>
      </c>
      <c r="R52" s="724">
        <v>0</v>
      </c>
      <c r="S52" s="724">
        <v>369.2</v>
      </c>
      <c r="T52" s="724">
        <v>0</v>
      </c>
      <c r="U52" s="724">
        <v>0</v>
      </c>
      <c r="V52" s="724">
        <v>0</v>
      </c>
      <c r="W52" s="92" t="s">
        <v>46</v>
      </c>
      <c r="X52" s="92" t="s">
        <v>47</v>
      </c>
      <c r="Y52" s="738">
        <v>1982</v>
      </c>
      <c r="Z52" s="738">
        <v>8204</v>
      </c>
      <c r="AA52" s="738">
        <v>2</v>
      </c>
      <c r="AB52" s="92"/>
      <c r="AC52" s="92"/>
      <c r="AD52" s="146" t="s">
        <v>53</v>
      </c>
      <c r="AE52" s="86" t="s">
        <v>54</v>
      </c>
      <c r="AF52" s="438" t="s">
        <v>43</v>
      </c>
      <c r="AG52" s="92"/>
    </row>
    <row r="53" s="570" customFormat="1" ht="24.95" customHeight="1" spans="1:33">
      <c r="A53" s="705"/>
      <c r="B53" s="199" t="s">
        <v>100</v>
      </c>
      <c r="C53" s="146" t="s">
        <v>52</v>
      </c>
      <c r="D53" s="152" t="s">
        <v>45</v>
      </c>
      <c r="E53" s="92">
        <v>1</v>
      </c>
      <c r="F53" s="92" t="s">
        <v>100</v>
      </c>
      <c r="G53" s="92"/>
      <c r="H53" s="724">
        <v>120</v>
      </c>
      <c r="I53" s="724">
        <v>120</v>
      </c>
      <c r="J53" s="724">
        <v>0</v>
      </c>
      <c r="K53" s="724">
        <v>0</v>
      </c>
      <c r="L53" s="724">
        <v>2018.01</v>
      </c>
      <c r="M53" s="724">
        <v>0</v>
      </c>
      <c r="N53" s="724">
        <v>9.06</v>
      </c>
      <c r="O53" s="724">
        <v>9.06</v>
      </c>
      <c r="P53" s="724">
        <v>0</v>
      </c>
      <c r="Q53" s="724">
        <v>0</v>
      </c>
      <c r="R53" s="724">
        <v>0</v>
      </c>
      <c r="S53" s="724">
        <v>9.06</v>
      </c>
      <c r="T53" s="724">
        <v>0</v>
      </c>
      <c r="U53" s="724">
        <v>0</v>
      </c>
      <c r="V53" s="724">
        <v>0</v>
      </c>
      <c r="W53" s="92" t="s">
        <v>46</v>
      </c>
      <c r="X53" s="92" t="s">
        <v>47</v>
      </c>
      <c r="Y53" s="738">
        <v>71</v>
      </c>
      <c r="Z53" s="738">
        <v>282</v>
      </c>
      <c r="AA53" s="738">
        <v>1</v>
      </c>
      <c r="AB53" s="92"/>
      <c r="AC53" s="92"/>
      <c r="AD53" s="146"/>
      <c r="AE53" s="146"/>
      <c r="AF53" s="438"/>
      <c r="AG53" s="92"/>
    </row>
    <row r="54" s="570" customFormat="1" ht="24.95" customHeight="1" spans="1:33">
      <c r="A54" s="705"/>
      <c r="B54" s="199" t="s">
        <v>91</v>
      </c>
      <c r="C54" s="146" t="s">
        <v>52</v>
      </c>
      <c r="D54" s="152" t="s">
        <v>45</v>
      </c>
      <c r="E54" s="92">
        <v>1</v>
      </c>
      <c r="F54" s="92" t="s">
        <v>91</v>
      </c>
      <c r="G54" s="92"/>
      <c r="H54" s="724">
        <v>200</v>
      </c>
      <c r="I54" s="724">
        <v>200</v>
      </c>
      <c r="J54" s="724">
        <v>0</v>
      </c>
      <c r="K54" s="724">
        <v>0</v>
      </c>
      <c r="L54" s="724">
        <v>2018.01</v>
      </c>
      <c r="M54" s="724">
        <v>0</v>
      </c>
      <c r="N54" s="724">
        <v>50</v>
      </c>
      <c r="O54" s="724">
        <v>50</v>
      </c>
      <c r="P54" s="724">
        <v>0</v>
      </c>
      <c r="Q54" s="724">
        <v>0</v>
      </c>
      <c r="R54" s="724">
        <v>0</v>
      </c>
      <c r="S54" s="724">
        <v>0</v>
      </c>
      <c r="T54" s="724">
        <v>0</v>
      </c>
      <c r="U54" s="724">
        <v>50</v>
      </c>
      <c r="V54" s="724">
        <v>0</v>
      </c>
      <c r="W54" s="92" t="s">
        <v>46</v>
      </c>
      <c r="X54" s="92" t="s">
        <v>47</v>
      </c>
      <c r="Y54" s="738">
        <v>284</v>
      </c>
      <c r="Z54" s="738">
        <v>1025</v>
      </c>
      <c r="AA54" s="738">
        <v>1</v>
      </c>
      <c r="AB54" s="92"/>
      <c r="AC54" s="92"/>
      <c r="AD54" s="146"/>
      <c r="AE54" s="146"/>
      <c r="AF54" s="438"/>
      <c r="AG54" s="92"/>
    </row>
    <row r="55" s="570" customFormat="1" ht="24.95" customHeight="1" spans="1:33">
      <c r="A55" s="705"/>
      <c r="B55" s="199" t="s">
        <v>101</v>
      </c>
      <c r="C55" s="146" t="s">
        <v>52</v>
      </c>
      <c r="D55" s="152" t="s">
        <v>45</v>
      </c>
      <c r="E55" s="92">
        <v>3</v>
      </c>
      <c r="F55" s="92" t="s">
        <v>101</v>
      </c>
      <c r="G55" s="92"/>
      <c r="H55" s="724">
        <v>2220</v>
      </c>
      <c r="I55" s="724">
        <v>740</v>
      </c>
      <c r="J55" s="724">
        <v>740</v>
      </c>
      <c r="K55" s="724">
        <v>740</v>
      </c>
      <c r="L55" s="724">
        <v>2018.01</v>
      </c>
      <c r="M55" s="724">
        <v>2020.12</v>
      </c>
      <c r="N55" s="724">
        <v>222</v>
      </c>
      <c r="O55" s="724">
        <v>74</v>
      </c>
      <c r="P55" s="724">
        <v>74</v>
      </c>
      <c r="Q55" s="724">
        <v>74</v>
      </c>
      <c r="R55" s="724">
        <v>0</v>
      </c>
      <c r="S55" s="724">
        <v>222</v>
      </c>
      <c r="T55" s="724">
        <v>0</v>
      </c>
      <c r="U55" s="724">
        <v>0</v>
      </c>
      <c r="V55" s="724">
        <v>0</v>
      </c>
      <c r="W55" s="92" t="s">
        <v>46</v>
      </c>
      <c r="X55" s="92" t="s">
        <v>47</v>
      </c>
      <c r="Y55" s="738">
        <v>1101</v>
      </c>
      <c r="Z55" s="738">
        <v>4815</v>
      </c>
      <c r="AA55" s="738">
        <v>3</v>
      </c>
      <c r="AB55" s="92"/>
      <c r="AC55" s="92"/>
      <c r="AD55" s="146" t="s">
        <v>70</v>
      </c>
      <c r="AE55" s="146" t="s">
        <v>71</v>
      </c>
      <c r="AF55" s="438" t="s">
        <v>43</v>
      </c>
      <c r="AG55" s="92"/>
    </row>
    <row r="56" s="570" customFormat="1" ht="24.95" customHeight="1" spans="1:33">
      <c r="A56" s="705"/>
      <c r="B56" s="199" t="s">
        <v>102</v>
      </c>
      <c r="C56" s="146" t="s">
        <v>52</v>
      </c>
      <c r="D56" s="152" t="s">
        <v>45</v>
      </c>
      <c r="E56" s="92">
        <v>2</v>
      </c>
      <c r="F56" s="92" t="s">
        <v>102</v>
      </c>
      <c r="G56" s="92"/>
      <c r="H56" s="724">
        <v>6200</v>
      </c>
      <c r="I56" s="724">
        <v>0</v>
      </c>
      <c r="J56" s="724">
        <v>3100</v>
      </c>
      <c r="K56" s="724">
        <v>3100</v>
      </c>
      <c r="L56" s="724">
        <v>0</v>
      </c>
      <c r="M56" s="724">
        <v>2020.12</v>
      </c>
      <c r="N56" s="724">
        <v>450</v>
      </c>
      <c r="O56" s="724">
        <v>0</v>
      </c>
      <c r="P56" s="724">
        <v>225</v>
      </c>
      <c r="Q56" s="724">
        <v>225</v>
      </c>
      <c r="R56" s="724">
        <v>0</v>
      </c>
      <c r="S56" s="724">
        <v>450</v>
      </c>
      <c r="T56" s="724">
        <v>0</v>
      </c>
      <c r="U56" s="724">
        <v>0</v>
      </c>
      <c r="V56" s="724">
        <v>0</v>
      </c>
      <c r="W56" s="92" t="s">
        <v>46</v>
      </c>
      <c r="X56" s="92" t="s">
        <v>47</v>
      </c>
      <c r="Y56" s="738">
        <v>2582</v>
      </c>
      <c r="Z56" s="738">
        <v>11066</v>
      </c>
      <c r="AA56" s="738">
        <v>2</v>
      </c>
      <c r="AB56" s="92"/>
      <c r="AC56" s="92"/>
      <c r="AD56" s="146" t="s">
        <v>62</v>
      </c>
      <c r="AE56" s="146" t="s">
        <v>63</v>
      </c>
      <c r="AF56" s="438" t="s">
        <v>43</v>
      </c>
      <c r="AG56" s="92"/>
    </row>
    <row r="57" s="570" customFormat="1" ht="24.95" customHeight="1" spans="1:33">
      <c r="A57" s="705"/>
      <c r="B57" s="199" t="s">
        <v>58</v>
      </c>
      <c r="C57" s="146" t="s">
        <v>52</v>
      </c>
      <c r="D57" s="71" t="s">
        <v>45</v>
      </c>
      <c r="E57" s="92">
        <v>1</v>
      </c>
      <c r="F57" s="92" t="s">
        <v>58</v>
      </c>
      <c r="G57" s="92"/>
      <c r="H57" s="724">
        <v>275</v>
      </c>
      <c r="I57" s="724">
        <v>275</v>
      </c>
      <c r="J57" s="724">
        <v>0</v>
      </c>
      <c r="K57" s="724">
        <v>0</v>
      </c>
      <c r="L57" s="724">
        <v>2018.01</v>
      </c>
      <c r="M57" s="724">
        <v>0</v>
      </c>
      <c r="N57" s="724">
        <v>17.8805</v>
      </c>
      <c r="O57" s="724">
        <v>17.8805</v>
      </c>
      <c r="P57" s="724">
        <v>0</v>
      </c>
      <c r="Q57" s="724">
        <v>0</v>
      </c>
      <c r="R57" s="724">
        <v>0</v>
      </c>
      <c r="S57" s="724">
        <v>17.8805</v>
      </c>
      <c r="T57" s="724">
        <v>0</v>
      </c>
      <c r="U57" s="724">
        <v>0</v>
      </c>
      <c r="V57" s="724">
        <v>0</v>
      </c>
      <c r="W57" s="92" t="s">
        <v>46</v>
      </c>
      <c r="X57" s="92" t="s">
        <v>47</v>
      </c>
      <c r="Y57" s="738">
        <v>369</v>
      </c>
      <c r="Z57" s="738">
        <v>1123</v>
      </c>
      <c r="AA57" s="738">
        <v>1</v>
      </c>
      <c r="AB57" s="92"/>
      <c r="AC57" s="92"/>
      <c r="AD57" s="744"/>
      <c r="AE57" s="744"/>
      <c r="AF57" s="438"/>
      <c r="AG57" s="92"/>
    </row>
    <row r="58" s="570" customFormat="1" ht="24.95" customHeight="1" spans="1:33">
      <c r="A58" s="705"/>
      <c r="B58" s="711" t="s">
        <v>103</v>
      </c>
      <c r="C58" s="141" t="s">
        <v>52</v>
      </c>
      <c r="D58" s="141" t="s">
        <v>45</v>
      </c>
      <c r="E58" s="92">
        <v>10</v>
      </c>
      <c r="F58" s="92">
        <v>0</v>
      </c>
      <c r="G58" s="92"/>
      <c r="H58" s="724">
        <v>19675</v>
      </c>
      <c r="I58" s="724">
        <v>5333</v>
      </c>
      <c r="J58" s="724">
        <v>7171</v>
      </c>
      <c r="K58" s="724">
        <v>7171</v>
      </c>
      <c r="L58" s="724">
        <v>0</v>
      </c>
      <c r="M58" s="724">
        <v>0</v>
      </c>
      <c r="N58" s="724">
        <v>758.06</v>
      </c>
      <c r="O58" s="724">
        <v>177.8</v>
      </c>
      <c r="P58" s="724">
        <v>268.53</v>
      </c>
      <c r="Q58" s="724">
        <v>311.73</v>
      </c>
      <c r="R58" s="724">
        <v>0</v>
      </c>
      <c r="S58" s="724">
        <v>758.06</v>
      </c>
      <c r="T58" s="724">
        <v>0</v>
      </c>
      <c r="U58" s="724">
        <v>0</v>
      </c>
      <c r="V58" s="724">
        <v>0</v>
      </c>
      <c r="W58" s="92" t="s">
        <v>46</v>
      </c>
      <c r="X58" s="92" t="s">
        <v>47</v>
      </c>
      <c r="Y58" s="738">
        <v>4720</v>
      </c>
      <c r="Z58" s="738">
        <v>19845</v>
      </c>
      <c r="AA58" s="738">
        <v>10</v>
      </c>
      <c r="AB58" s="92"/>
      <c r="AC58" s="92"/>
      <c r="AD58" s="141"/>
      <c r="AE58" s="146"/>
      <c r="AF58" s="748" t="s">
        <v>104</v>
      </c>
      <c r="AG58" s="92"/>
    </row>
    <row r="59" s="570" customFormat="1" ht="24.95" customHeight="1" spans="1:33">
      <c r="A59" s="705"/>
      <c r="B59" s="199" t="s">
        <v>51</v>
      </c>
      <c r="C59" s="141" t="s">
        <v>52</v>
      </c>
      <c r="D59" s="141" t="s">
        <v>45</v>
      </c>
      <c r="E59" s="92">
        <v>2</v>
      </c>
      <c r="F59" s="92" t="s">
        <v>51</v>
      </c>
      <c r="G59" s="92"/>
      <c r="H59" s="724">
        <v>2020</v>
      </c>
      <c r="I59" s="724">
        <v>0</v>
      </c>
      <c r="J59" s="724">
        <v>1010</v>
      </c>
      <c r="K59" s="724">
        <v>1010</v>
      </c>
      <c r="L59" s="724">
        <v>0</v>
      </c>
      <c r="M59" s="724">
        <v>2020.12</v>
      </c>
      <c r="N59" s="724">
        <v>40.4</v>
      </c>
      <c r="O59" s="724">
        <v>0</v>
      </c>
      <c r="P59" s="724">
        <v>0</v>
      </c>
      <c r="Q59" s="724">
        <v>40.4</v>
      </c>
      <c r="R59" s="724">
        <v>0</v>
      </c>
      <c r="S59" s="724">
        <v>40.4</v>
      </c>
      <c r="T59" s="724">
        <v>0</v>
      </c>
      <c r="U59" s="724">
        <v>0</v>
      </c>
      <c r="V59" s="724">
        <v>0</v>
      </c>
      <c r="W59" s="92" t="s">
        <v>46</v>
      </c>
      <c r="X59" s="92" t="s">
        <v>47</v>
      </c>
      <c r="Y59" s="738">
        <v>3544</v>
      </c>
      <c r="Z59" s="738">
        <v>14766</v>
      </c>
      <c r="AA59" s="738">
        <v>2</v>
      </c>
      <c r="AB59" s="92"/>
      <c r="AC59" s="92"/>
      <c r="AD59" s="740" t="s">
        <v>53</v>
      </c>
      <c r="AE59" s="741" t="s">
        <v>105</v>
      </c>
      <c r="AF59" s="748" t="s">
        <v>104</v>
      </c>
      <c r="AG59" s="92"/>
    </row>
    <row r="60" s="570" customFormat="1" ht="24.95" customHeight="1" spans="1:33">
      <c r="A60" s="705"/>
      <c r="B60" s="199" t="s">
        <v>58</v>
      </c>
      <c r="C60" s="146" t="s">
        <v>52</v>
      </c>
      <c r="D60" s="152" t="s">
        <v>45</v>
      </c>
      <c r="E60" s="92">
        <v>3</v>
      </c>
      <c r="F60" s="92" t="s">
        <v>58</v>
      </c>
      <c r="G60" s="92"/>
      <c r="H60" s="724">
        <v>5829</v>
      </c>
      <c r="I60" s="724">
        <v>1943</v>
      </c>
      <c r="J60" s="724">
        <v>1943</v>
      </c>
      <c r="K60" s="724">
        <v>1943</v>
      </c>
      <c r="L60" s="724">
        <v>2018.01</v>
      </c>
      <c r="M60" s="724">
        <v>2020.12</v>
      </c>
      <c r="N60" s="724">
        <v>71.67</v>
      </c>
      <c r="O60" s="724">
        <v>18.47</v>
      </c>
      <c r="P60" s="724">
        <v>25.2</v>
      </c>
      <c r="Q60" s="724">
        <v>28</v>
      </c>
      <c r="R60" s="724">
        <v>0</v>
      </c>
      <c r="S60" s="724">
        <v>71.67</v>
      </c>
      <c r="T60" s="724">
        <v>0</v>
      </c>
      <c r="U60" s="724">
        <v>0</v>
      </c>
      <c r="V60" s="724">
        <v>0</v>
      </c>
      <c r="W60" s="92" t="s">
        <v>46</v>
      </c>
      <c r="X60" s="92" t="s">
        <v>47</v>
      </c>
      <c r="Y60" s="738">
        <v>303</v>
      </c>
      <c r="Z60" s="738">
        <v>1347</v>
      </c>
      <c r="AA60" s="738">
        <v>3</v>
      </c>
      <c r="AB60" s="92"/>
      <c r="AC60" s="92"/>
      <c r="AD60" s="146" t="s">
        <v>59</v>
      </c>
      <c r="AE60" s="146" t="s">
        <v>60</v>
      </c>
      <c r="AF60" s="748" t="s">
        <v>104</v>
      </c>
      <c r="AG60" s="92"/>
    </row>
    <row r="61" s="570" customFormat="1" ht="24.95" customHeight="1" spans="1:33">
      <c r="A61" s="705"/>
      <c r="B61" s="199" t="s">
        <v>92</v>
      </c>
      <c r="C61" s="146" t="s">
        <v>52</v>
      </c>
      <c r="D61" s="152" t="s">
        <v>45</v>
      </c>
      <c r="E61" s="92">
        <v>2</v>
      </c>
      <c r="F61" s="92" t="s">
        <v>92</v>
      </c>
      <c r="G61" s="92"/>
      <c r="H61" s="724">
        <v>1656</v>
      </c>
      <c r="I61" s="724">
        <v>0</v>
      </c>
      <c r="J61" s="724">
        <v>828</v>
      </c>
      <c r="K61" s="724">
        <v>828</v>
      </c>
      <c r="L61" s="724">
        <v>0</v>
      </c>
      <c r="M61" s="724">
        <v>2020.12</v>
      </c>
      <c r="N61" s="724">
        <v>168</v>
      </c>
      <c r="O61" s="724">
        <v>0</v>
      </c>
      <c r="P61" s="724">
        <v>84</v>
      </c>
      <c r="Q61" s="724">
        <v>84</v>
      </c>
      <c r="R61" s="724">
        <v>0</v>
      </c>
      <c r="S61" s="724">
        <v>168</v>
      </c>
      <c r="T61" s="724">
        <v>0</v>
      </c>
      <c r="U61" s="724">
        <v>0</v>
      </c>
      <c r="V61" s="724">
        <v>0</v>
      </c>
      <c r="W61" s="92" t="s">
        <v>46</v>
      </c>
      <c r="X61" s="92" t="s">
        <v>47</v>
      </c>
      <c r="Y61" s="738">
        <v>564</v>
      </c>
      <c r="Z61" s="738">
        <v>2328</v>
      </c>
      <c r="AA61" s="738">
        <v>2</v>
      </c>
      <c r="AB61" s="92"/>
      <c r="AC61" s="92"/>
      <c r="AD61" s="146" t="s">
        <v>93</v>
      </c>
      <c r="AE61" s="146" t="s">
        <v>94</v>
      </c>
      <c r="AF61" s="748" t="s">
        <v>104</v>
      </c>
      <c r="AG61" s="92"/>
    </row>
    <row r="62" s="570" customFormat="1" ht="24.95" customHeight="1" spans="1:33">
      <c r="A62" s="705"/>
      <c r="B62" s="199" t="s">
        <v>64</v>
      </c>
      <c r="C62" s="146" t="s">
        <v>52</v>
      </c>
      <c r="D62" s="152" t="s">
        <v>45</v>
      </c>
      <c r="E62" s="92">
        <v>3</v>
      </c>
      <c r="F62" s="92" t="s">
        <v>64</v>
      </c>
      <c r="G62" s="92"/>
      <c r="H62" s="724">
        <v>10170</v>
      </c>
      <c r="I62" s="724">
        <v>3390</v>
      </c>
      <c r="J62" s="724">
        <v>3390</v>
      </c>
      <c r="K62" s="724">
        <v>3390</v>
      </c>
      <c r="L62" s="724">
        <v>2018.01</v>
      </c>
      <c r="M62" s="724">
        <v>2020.12</v>
      </c>
      <c r="N62" s="724">
        <v>477.99</v>
      </c>
      <c r="O62" s="724">
        <v>159.33</v>
      </c>
      <c r="P62" s="724">
        <v>159.33</v>
      </c>
      <c r="Q62" s="724">
        <v>159.33</v>
      </c>
      <c r="R62" s="724">
        <v>0</v>
      </c>
      <c r="S62" s="724">
        <v>477.99</v>
      </c>
      <c r="T62" s="724">
        <v>0</v>
      </c>
      <c r="U62" s="724">
        <v>0</v>
      </c>
      <c r="V62" s="724">
        <v>0</v>
      </c>
      <c r="W62" s="92" t="s">
        <v>46</v>
      </c>
      <c r="X62" s="92" t="s">
        <v>47</v>
      </c>
      <c r="Y62" s="738">
        <v>309</v>
      </c>
      <c r="Z62" s="738">
        <v>1404</v>
      </c>
      <c r="AA62" s="738">
        <v>3</v>
      </c>
      <c r="AB62" s="92"/>
      <c r="AC62" s="92"/>
      <c r="AD62" s="146" t="s">
        <v>106</v>
      </c>
      <c r="AE62" s="146" t="s">
        <v>107</v>
      </c>
      <c r="AF62" s="748" t="s">
        <v>104</v>
      </c>
      <c r="AG62" s="92"/>
    </row>
    <row r="63" s="570" customFormat="1" ht="24.95" customHeight="1" spans="1:33">
      <c r="A63" s="705"/>
      <c r="B63" s="711" t="s">
        <v>108</v>
      </c>
      <c r="C63" s="141" t="s">
        <v>52</v>
      </c>
      <c r="D63" s="141" t="s">
        <v>45</v>
      </c>
      <c r="E63" s="92">
        <v>9</v>
      </c>
      <c r="F63" s="92">
        <v>0</v>
      </c>
      <c r="G63" s="92"/>
      <c r="H63" s="724">
        <v>15906</v>
      </c>
      <c r="I63" s="724">
        <v>2302</v>
      </c>
      <c r="J63" s="724">
        <v>7302</v>
      </c>
      <c r="K63" s="724">
        <v>6302</v>
      </c>
      <c r="L63" s="724">
        <v>0</v>
      </c>
      <c r="M63" s="724">
        <v>0</v>
      </c>
      <c r="N63" s="724">
        <v>2807.955</v>
      </c>
      <c r="O63" s="724">
        <v>180.955</v>
      </c>
      <c r="P63" s="724">
        <v>1324</v>
      </c>
      <c r="Q63" s="724">
        <v>1303</v>
      </c>
      <c r="R63" s="724">
        <v>0</v>
      </c>
      <c r="S63" s="724">
        <v>2807.955</v>
      </c>
      <c r="T63" s="724">
        <v>0</v>
      </c>
      <c r="U63" s="724">
        <v>0</v>
      </c>
      <c r="V63" s="724">
        <v>0</v>
      </c>
      <c r="W63" s="92" t="s">
        <v>46</v>
      </c>
      <c r="X63" s="92" t="s">
        <v>47</v>
      </c>
      <c r="Y63" s="738">
        <v>2943</v>
      </c>
      <c r="Z63" s="738">
        <v>11960</v>
      </c>
      <c r="AA63" s="738">
        <v>9</v>
      </c>
      <c r="AB63" s="92"/>
      <c r="AC63" s="92"/>
      <c r="AD63" s="141" t="s">
        <v>68</v>
      </c>
      <c r="AE63" s="146" t="s">
        <v>50</v>
      </c>
      <c r="AF63" s="438" t="s">
        <v>43</v>
      </c>
      <c r="AG63" s="92"/>
    </row>
    <row r="64" s="570" customFormat="1" ht="24.95" customHeight="1" spans="1:33">
      <c r="A64" s="705"/>
      <c r="B64" s="199" t="s">
        <v>51</v>
      </c>
      <c r="C64" s="141" t="s">
        <v>52</v>
      </c>
      <c r="D64" s="141" t="s">
        <v>45</v>
      </c>
      <c r="E64" s="92">
        <v>1</v>
      </c>
      <c r="F64" s="92" t="s">
        <v>51</v>
      </c>
      <c r="G64" s="92"/>
      <c r="H64" s="724">
        <v>1000</v>
      </c>
      <c r="I64" s="724">
        <v>0</v>
      </c>
      <c r="J64" s="724">
        <v>1000</v>
      </c>
      <c r="K64" s="724">
        <v>0</v>
      </c>
      <c r="L64" s="724">
        <v>0</v>
      </c>
      <c r="M64" s="724">
        <v>0</v>
      </c>
      <c r="N64" s="724">
        <v>225</v>
      </c>
      <c r="O64" s="724">
        <v>0</v>
      </c>
      <c r="P64" s="724">
        <v>225</v>
      </c>
      <c r="Q64" s="724">
        <v>0</v>
      </c>
      <c r="R64" s="724">
        <v>0</v>
      </c>
      <c r="S64" s="724">
        <v>225</v>
      </c>
      <c r="T64" s="724">
        <v>0</v>
      </c>
      <c r="U64" s="724">
        <v>0</v>
      </c>
      <c r="V64" s="724">
        <v>0</v>
      </c>
      <c r="W64" s="92" t="s">
        <v>46</v>
      </c>
      <c r="X64" s="92" t="s">
        <v>47</v>
      </c>
      <c r="Y64" s="738">
        <v>0</v>
      </c>
      <c r="Z64" s="738">
        <v>0</v>
      </c>
      <c r="AA64" s="738">
        <v>1</v>
      </c>
      <c r="AB64" s="92"/>
      <c r="AC64" s="92"/>
      <c r="AD64" s="743" t="s">
        <v>53</v>
      </c>
      <c r="AE64" s="146" t="s">
        <v>54</v>
      </c>
      <c r="AF64" s="438" t="s">
        <v>43</v>
      </c>
      <c r="AG64" s="92"/>
    </row>
    <row r="65" s="570" customFormat="1" ht="24.95" customHeight="1" spans="1:33">
      <c r="A65" s="705"/>
      <c r="B65" s="199" t="s">
        <v>91</v>
      </c>
      <c r="C65" s="141" t="s">
        <v>52</v>
      </c>
      <c r="D65" s="141" t="s">
        <v>45</v>
      </c>
      <c r="E65" s="92">
        <v>3</v>
      </c>
      <c r="F65" s="92" t="s">
        <v>91</v>
      </c>
      <c r="G65" s="92"/>
      <c r="H65" s="724">
        <v>5610</v>
      </c>
      <c r="I65" s="724">
        <v>1870</v>
      </c>
      <c r="J65" s="724">
        <v>1870</v>
      </c>
      <c r="K65" s="724">
        <v>1870</v>
      </c>
      <c r="L65" s="724">
        <v>2018.01</v>
      </c>
      <c r="M65" s="724">
        <v>2020.12</v>
      </c>
      <c r="N65" s="724">
        <v>572.955</v>
      </c>
      <c r="O65" s="724">
        <v>62.955</v>
      </c>
      <c r="P65" s="724">
        <v>153</v>
      </c>
      <c r="Q65" s="724">
        <v>357</v>
      </c>
      <c r="R65" s="724">
        <v>0</v>
      </c>
      <c r="S65" s="724">
        <v>572.955</v>
      </c>
      <c r="T65" s="724">
        <v>0</v>
      </c>
      <c r="U65" s="724">
        <v>0</v>
      </c>
      <c r="V65" s="724">
        <v>0</v>
      </c>
      <c r="W65" s="92" t="s">
        <v>46</v>
      </c>
      <c r="X65" s="92" t="s">
        <v>47</v>
      </c>
      <c r="Y65" s="738">
        <v>711</v>
      </c>
      <c r="Z65" s="738">
        <v>2592</v>
      </c>
      <c r="AA65" s="738">
        <v>3</v>
      </c>
      <c r="AB65" s="92"/>
      <c r="AC65" s="92"/>
      <c r="AD65" s="146" t="s">
        <v>82</v>
      </c>
      <c r="AE65" s="146" t="s">
        <v>83</v>
      </c>
      <c r="AF65" s="438" t="s">
        <v>43</v>
      </c>
      <c r="AG65" s="92"/>
    </row>
    <row r="66" s="570" customFormat="1" ht="24.95" customHeight="1" spans="1:33">
      <c r="A66" s="705"/>
      <c r="B66" s="199" t="s">
        <v>102</v>
      </c>
      <c r="C66" s="141" t="s">
        <v>52</v>
      </c>
      <c r="D66" s="141" t="s">
        <v>45</v>
      </c>
      <c r="E66" s="92">
        <v>2</v>
      </c>
      <c r="F66" s="92" t="s">
        <v>102</v>
      </c>
      <c r="G66" s="92"/>
      <c r="H66" s="724">
        <v>8000</v>
      </c>
      <c r="I66" s="724">
        <v>0</v>
      </c>
      <c r="J66" s="724">
        <v>4000</v>
      </c>
      <c r="K66" s="724">
        <v>4000</v>
      </c>
      <c r="L66" s="724">
        <v>0</v>
      </c>
      <c r="M66" s="724">
        <v>2020.12</v>
      </c>
      <c r="N66" s="724">
        <v>1800</v>
      </c>
      <c r="O66" s="724">
        <v>0</v>
      </c>
      <c r="P66" s="724">
        <v>900</v>
      </c>
      <c r="Q66" s="724">
        <v>900</v>
      </c>
      <c r="R66" s="724">
        <v>0</v>
      </c>
      <c r="S66" s="724">
        <v>1800</v>
      </c>
      <c r="T66" s="724">
        <v>0</v>
      </c>
      <c r="U66" s="724">
        <v>0</v>
      </c>
      <c r="V66" s="724">
        <v>0</v>
      </c>
      <c r="W66" s="92" t="s">
        <v>46</v>
      </c>
      <c r="X66" s="92" t="s">
        <v>47</v>
      </c>
      <c r="Y66" s="738">
        <v>1830</v>
      </c>
      <c r="Z66" s="738">
        <v>7892</v>
      </c>
      <c r="AA66" s="738">
        <v>2</v>
      </c>
      <c r="AB66" s="92"/>
      <c r="AC66" s="92"/>
      <c r="AD66" s="146" t="s">
        <v>62</v>
      </c>
      <c r="AE66" s="146" t="s">
        <v>63</v>
      </c>
      <c r="AF66" s="438" t="s">
        <v>43</v>
      </c>
      <c r="AG66" s="92"/>
    </row>
    <row r="67" s="570" customFormat="1" ht="24.95" customHeight="1" spans="1:33">
      <c r="A67" s="705"/>
      <c r="B67" s="199" t="s">
        <v>100</v>
      </c>
      <c r="C67" s="141" t="s">
        <v>52</v>
      </c>
      <c r="D67" s="141" t="s">
        <v>45</v>
      </c>
      <c r="E67" s="92">
        <v>3</v>
      </c>
      <c r="F67" s="92" t="s">
        <v>100</v>
      </c>
      <c r="G67" s="92"/>
      <c r="H67" s="724">
        <v>1296</v>
      </c>
      <c r="I67" s="724">
        <v>432</v>
      </c>
      <c r="J67" s="724">
        <v>432</v>
      </c>
      <c r="K67" s="724">
        <v>432</v>
      </c>
      <c r="L67" s="724">
        <v>2018.01</v>
      </c>
      <c r="M67" s="724">
        <v>2020.12</v>
      </c>
      <c r="N67" s="724">
        <v>210</v>
      </c>
      <c r="O67" s="724">
        <v>118</v>
      </c>
      <c r="P67" s="724">
        <v>46</v>
      </c>
      <c r="Q67" s="724">
        <v>46</v>
      </c>
      <c r="R67" s="724">
        <v>0</v>
      </c>
      <c r="S67" s="724">
        <v>210</v>
      </c>
      <c r="T67" s="724">
        <v>0</v>
      </c>
      <c r="U67" s="724">
        <v>0</v>
      </c>
      <c r="V67" s="724">
        <v>0</v>
      </c>
      <c r="W67" s="92" t="s">
        <v>46</v>
      </c>
      <c r="X67" s="92" t="s">
        <v>47</v>
      </c>
      <c r="Y67" s="738">
        <v>402</v>
      </c>
      <c r="Z67" s="738">
        <v>1476</v>
      </c>
      <c r="AA67" s="738">
        <v>3</v>
      </c>
      <c r="AB67" s="92"/>
      <c r="AC67" s="92"/>
      <c r="AD67" s="146" t="s">
        <v>79</v>
      </c>
      <c r="AE67" s="146" t="s">
        <v>80</v>
      </c>
      <c r="AF67" s="438" t="s">
        <v>43</v>
      </c>
      <c r="AG67" s="92"/>
    </row>
    <row r="68" s="570" customFormat="1" ht="24.95" customHeight="1" spans="1:33">
      <c r="A68" s="705"/>
      <c r="B68" s="711" t="s">
        <v>109</v>
      </c>
      <c r="C68" s="141" t="s">
        <v>52</v>
      </c>
      <c r="D68" s="141" t="s">
        <v>45</v>
      </c>
      <c r="E68" s="92">
        <v>23</v>
      </c>
      <c r="F68" s="92">
        <v>0</v>
      </c>
      <c r="G68" s="92"/>
      <c r="H68" s="724">
        <v>13918</v>
      </c>
      <c r="I68" s="724">
        <v>5406</v>
      </c>
      <c r="J68" s="724">
        <v>4256</v>
      </c>
      <c r="K68" s="724">
        <v>4256</v>
      </c>
      <c r="L68" s="724">
        <v>0</v>
      </c>
      <c r="M68" s="724">
        <v>0</v>
      </c>
      <c r="N68" s="724">
        <v>3259.007539</v>
      </c>
      <c r="O68" s="724">
        <v>1431.039539</v>
      </c>
      <c r="P68" s="724">
        <v>1073.459</v>
      </c>
      <c r="Q68" s="724">
        <v>754.509</v>
      </c>
      <c r="R68" s="724">
        <v>0</v>
      </c>
      <c r="S68" s="724">
        <v>2759.007539</v>
      </c>
      <c r="T68" s="724">
        <v>0</v>
      </c>
      <c r="U68" s="724">
        <v>500</v>
      </c>
      <c r="V68" s="724">
        <v>0</v>
      </c>
      <c r="W68" s="92" t="s">
        <v>46</v>
      </c>
      <c r="X68" s="92" t="s">
        <v>47</v>
      </c>
      <c r="Y68" s="738">
        <v>17478</v>
      </c>
      <c r="Z68" s="738">
        <v>69858</v>
      </c>
      <c r="AA68" s="738">
        <v>23</v>
      </c>
      <c r="AB68" s="92"/>
      <c r="AC68" s="92"/>
      <c r="AD68" s="141" t="s">
        <v>68</v>
      </c>
      <c r="AE68" s="146" t="s">
        <v>50</v>
      </c>
      <c r="AF68" s="438" t="s">
        <v>43</v>
      </c>
      <c r="AG68" s="92"/>
    </row>
    <row r="69" s="570" customFormat="1" ht="24.95" customHeight="1" spans="1:33">
      <c r="A69" s="705"/>
      <c r="B69" s="199" t="s">
        <v>69</v>
      </c>
      <c r="C69" s="141" t="s">
        <v>52</v>
      </c>
      <c r="D69" s="141" t="s">
        <v>45</v>
      </c>
      <c r="E69" s="92">
        <v>3</v>
      </c>
      <c r="F69" s="92" t="s">
        <v>69</v>
      </c>
      <c r="G69" s="92"/>
      <c r="H69" s="724">
        <v>1368</v>
      </c>
      <c r="I69" s="724">
        <v>456</v>
      </c>
      <c r="J69" s="724">
        <v>456</v>
      </c>
      <c r="K69" s="724">
        <v>456</v>
      </c>
      <c r="L69" s="724">
        <v>2018.01</v>
      </c>
      <c r="M69" s="724">
        <v>2020.12</v>
      </c>
      <c r="N69" s="724">
        <v>155.04</v>
      </c>
      <c r="O69" s="724">
        <v>36.48</v>
      </c>
      <c r="P69" s="724">
        <v>59.28</v>
      </c>
      <c r="Q69" s="724">
        <v>59.28</v>
      </c>
      <c r="R69" s="724">
        <v>0</v>
      </c>
      <c r="S69" s="724">
        <v>155.04</v>
      </c>
      <c r="T69" s="724">
        <v>0</v>
      </c>
      <c r="U69" s="724">
        <v>0</v>
      </c>
      <c r="V69" s="724">
        <v>0</v>
      </c>
      <c r="W69" s="92" t="s">
        <v>46</v>
      </c>
      <c r="X69" s="92" t="s">
        <v>47</v>
      </c>
      <c r="Y69" s="738">
        <v>1368</v>
      </c>
      <c r="Z69" s="738">
        <v>5676</v>
      </c>
      <c r="AA69" s="738">
        <v>3</v>
      </c>
      <c r="AB69" s="92"/>
      <c r="AC69" s="92"/>
      <c r="AD69" s="146" t="s">
        <v>70</v>
      </c>
      <c r="AE69" s="146" t="s">
        <v>71</v>
      </c>
      <c r="AF69" s="438" t="s">
        <v>43</v>
      </c>
      <c r="AG69" s="92"/>
    </row>
    <row r="70" s="570" customFormat="1" ht="24.95" customHeight="1" spans="1:33">
      <c r="A70" s="705"/>
      <c r="B70" s="199" t="s">
        <v>51</v>
      </c>
      <c r="C70" s="146" t="s">
        <v>52</v>
      </c>
      <c r="D70" s="152" t="s">
        <v>45</v>
      </c>
      <c r="E70" s="92">
        <v>3</v>
      </c>
      <c r="F70" s="92" t="s">
        <v>51</v>
      </c>
      <c r="G70" s="92"/>
      <c r="H70" s="724">
        <v>2295</v>
      </c>
      <c r="I70" s="724">
        <v>765</v>
      </c>
      <c r="J70" s="724">
        <v>765</v>
      </c>
      <c r="K70" s="724">
        <v>765</v>
      </c>
      <c r="L70" s="724">
        <v>2018.01</v>
      </c>
      <c r="M70" s="724">
        <v>2020.12</v>
      </c>
      <c r="N70" s="724">
        <v>479.14</v>
      </c>
      <c r="O70" s="724">
        <v>193.24</v>
      </c>
      <c r="P70" s="724">
        <v>192.95</v>
      </c>
      <c r="Q70" s="724">
        <v>92.95</v>
      </c>
      <c r="R70" s="724">
        <v>0</v>
      </c>
      <c r="S70" s="724">
        <v>379.14</v>
      </c>
      <c r="T70" s="724">
        <v>0</v>
      </c>
      <c r="U70" s="724">
        <v>100</v>
      </c>
      <c r="V70" s="724">
        <v>0</v>
      </c>
      <c r="W70" s="92" t="s">
        <v>46</v>
      </c>
      <c r="X70" s="92" t="s">
        <v>47</v>
      </c>
      <c r="Y70" s="738">
        <v>5280</v>
      </c>
      <c r="Z70" s="738">
        <v>21807</v>
      </c>
      <c r="AA70" s="738">
        <v>3</v>
      </c>
      <c r="AB70" s="92"/>
      <c r="AC70" s="92"/>
      <c r="AD70" s="743" t="s">
        <v>53</v>
      </c>
      <c r="AE70" s="146" t="s">
        <v>54</v>
      </c>
      <c r="AF70" s="438" t="s">
        <v>43</v>
      </c>
      <c r="AG70" s="92"/>
    </row>
    <row r="71" s="570" customFormat="1" ht="24.95" customHeight="1" spans="1:33">
      <c r="A71" s="705"/>
      <c r="B71" s="199" t="s">
        <v>72</v>
      </c>
      <c r="C71" s="146" t="s">
        <v>52</v>
      </c>
      <c r="D71" s="152" t="s">
        <v>45</v>
      </c>
      <c r="E71" s="92">
        <v>3</v>
      </c>
      <c r="F71" s="92" t="s">
        <v>72</v>
      </c>
      <c r="G71" s="92"/>
      <c r="H71" s="724">
        <v>1653</v>
      </c>
      <c r="I71" s="724">
        <v>551</v>
      </c>
      <c r="J71" s="724">
        <v>551</v>
      </c>
      <c r="K71" s="724">
        <v>551</v>
      </c>
      <c r="L71" s="724">
        <v>2018.01</v>
      </c>
      <c r="M71" s="724">
        <v>2020.12</v>
      </c>
      <c r="N71" s="724">
        <v>286.24</v>
      </c>
      <c r="O71" s="724">
        <v>142.98</v>
      </c>
      <c r="P71" s="724">
        <v>71.63</v>
      </c>
      <c r="Q71" s="724">
        <v>71.63</v>
      </c>
      <c r="R71" s="724">
        <v>0</v>
      </c>
      <c r="S71" s="724">
        <v>286.24</v>
      </c>
      <c r="T71" s="724">
        <v>0</v>
      </c>
      <c r="U71" s="724">
        <v>0</v>
      </c>
      <c r="V71" s="724">
        <v>0</v>
      </c>
      <c r="W71" s="92" t="s">
        <v>46</v>
      </c>
      <c r="X71" s="92" t="s">
        <v>47</v>
      </c>
      <c r="Y71" s="738">
        <v>1653</v>
      </c>
      <c r="Z71" s="738">
        <v>6576</v>
      </c>
      <c r="AA71" s="738">
        <v>3</v>
      </c>
      <c r="AB71" s="92"/>
      <c r="AC71" s="92"/>
      <c r="AD71" s="146" t="s">
        <v>73</v>
      </c>
      <c r="AE71" s="438" t="s">
        <v>74</v>
      </c>
      <c r="AF71" s="438" t="s">
        <v>43</v>
      </c>
      <c r="AG71" s="92"/>
    </row>
    <row r="72" s="570" customFormat="1" ht="24.95" customHeight="1" spans="1:33">
      <c r="A72" s="705"/>
      <c r="B72" s="199" t="s">
        <v>91</v>
      </c>
      <c r="C72" s="146" t="s">
        <v>52</v>
      </c>
      <c r="D72" s="152" t="s">
        <v>45</v>
      </c>
      <c r="E72" s="92">
        <v>3</v>
      </c>
      <c r="F72" s="92" t="s">
        <v>91</v>
      </c>
      <c r="G72" s="92"/>
      <c r="H72" s="724">
        <v>837</v>
      </c>
      <c r="I72" s="724">
        <v>279</v>
      </c>
      <c r="J72" s="724">
        <v>279</v>
      </c>
      <c r="K72" s="724">
        <v>279</v>
      </c>
      <c r="L72" s="724">
        <v>2018.01</v>
      </c>
      <c r="M72" s="724">
        <v>2020.12</v>
      </c>
      <c r="N72" s="724">
        <v>251.1</v>
      </c>
      <c r="O72" s="724">
        <v>83.7</v>
      </c>
      <c r="P72" s="724">
        <v>83.7</v>
      </c>
      <c r="Q72" s="724">
        <v>83.7</v>
      </c>
      <c r="R72" s="724">
        <v>0</v>
      </c>
      <c r="S72" s="724">
        <v>251.1</v>
      </c>
      <c r="T72" s="724">
        <v>0</v>
      </c>
      <c r="U72" s="724">
        <v>0</v>
      </c>
      <c r="V72" s="724">
        <v>0</v>
      </c>
      <c r="W72" s="92" t="s">
        <v>46</v>
      </c>
      <c r="X72" s="92" t="s">
        <v>47</v>
      </c>
      <c r="Y72" s="738">
        <v>837</v>
      </c>
      <c r="Z72" s="738">
        <v>3057</v>
      </c>
      <c r="AA72" s="738">
        <v>3</v>
      </c>
      <c r="AB72" s="92"/>
      <c r="AC72" s="92"/>
      <c r="AD72" s="146" t="s">
        <v>82</v>
      </c>
      <c r="AE72" s="146" t="s">
        <v>83</v>
      </c>
      <c r="AF72" s="438" t="s">
        <v>43</v>
      </c>
      <c r="AG72" s="92"/>
    </row>
    <row r="73" s="570" customFormat="1" ht="24.95" customHeight="1" spans="1:33">
      <c r="A73" s="705"/>
      <c r="B73" s="199" t="s">
        <v>98</v>
      </c>
      <c r="C73" s="146" t="s">
        <v>52</v>
      </c>
      <c r="D73" s="152" t="s">
        <v>45</v>
      </c>
      <c r="E73" s="92">
        <v>3</v>
      </c>
      <c r="F73" s="92" t="s">
        <v>98</v>
      </c>
      <c r="G73" s="92"/>
      <c r="H73" s="724">
        <v>1215</v>
      </c>
      <c r="I73" s="724">
        <v>405</v>
      </c>
      <c r="J73" s="724">
        <v>405</v>
      </c>
      <c r="K73" s="724">
        <v>405</v>
      </c>
      <c r="L73" s="724">
        <v>2018.01</v>
      </c>
      <c r="M73" s="724">
        <v>2020.12</v>
      </c>
      <c r="N73" s="724">
        <v>463.643</v>
      </c>
      <c r="O73" s="724">
        <v>82.295</v>
      </c>
      <c r="P73" s="724">
        <v>168.399</v>
      </c>
      <c r="Q73" s="724">
        <v>212.949</v>
      </c>
      <c r="R73" s="724">
        <v>0</v>
      </c>
      <c r="S73" s="724">
        <v>463.643</v>
      </c>
      <c r="T73" s="724">
        <v>0</v>
      </c>
      <c r="U73" s="724">
        <v>0</v>
      </c>
      <c r="V73" s="724">
        <v>0</v>
      </c>
      <c r="W73" s="92" t="s">
        <v>46</v>
      </c>
      <c r="X73" s="92" t="s">
        <v>47</v>
      </c>
      <c r="Y73" s="738">
        <v>1329</v>
      </c>
      <c r="Z73" s="738">
        <v>5616</v>
      </c>
      <c r="AA73" s="738">
        <v>3</v>
      </c>
      <c r="AB73" s="92"/>
      <c r="AC73" s="92"/>
      <c r="AD73" s="141" t="s">
        <v>56</v>
      </c>
      <c r="AE73" s="146" t="s">
        <v>57</v>
      </c>
      <c r="AF73" s="438" t="s">
        <v>43</v>
      </c>
      <c r="AG73" s="92"/>
    </row>
    <row r="74" s="570" customFormat="1" ht="24.95" customHeight="1" spans="1:33">
      <c r="A74" s="705"/>
      <c r="B74" s="199" t="s">
        <v>75</v>
      </c>
      <c r="C74" s="141" t="s">
        <v>52</v>
      </c>
      <c r="D74" s="141" t="s">
        <v>45</v>
      </c>
      <c r="E74" s="92">
        <v>3</v>
      </c>
      <c r="F74" s="92" t="s">
        <v>75</v>
      </c>
      <c r="G74" s="92"/>
      <c r="H74" s="724">
        <v>2250</v>
      </c>
      <c r="I74" s="724">
        <v>750</v>
      </c>
      <c r="J74" s="724">
        <v>750</v>
      </c>
      <c r="K74" s="724">
        <v>750</v>
      </c>
      <c r="L74" s="724">
        <v>2018.01</v>
      </c>
      <c r="M74" s="724">
        <v>2020.12</v>
      </c>
      <c r="N74" s="724">
        <v>492.5</v>
      </c>
      <c r="O74" s="724">
        <v>97.5</v>
      </c>
      <c r="P74" s="724">
        <v>297.5</v>
      </c>
      <c r="Q74" s="724">
        <v>97.5</v>
      </c>
      <c r="R74" s="724">
        <v>0</v>
      </c>
      <c r="S74" s="724">
        <v>292.5</v>
      </c>
      <c r="T74" s="724">
        <v>0</v>
      </c>
      <c r="U74" s="724">
        <v>200</v>
      </c>
      <c r="V74" s="724">
        <v>0</v>
      </c>
      <c r="W74" s="92" t="s">
        <v>46</v>
      </c>
      <c r="X74" s="92" t="s">
        <v>47</v>
      </c>
      <c r="Y74" s="738">
        <v>3051</v>
      </c>
      <c r="Z74" s="738">
        <v>12744</v>
      </c>
      <c r="AA74" s="738">
        <v>3</v>
      </c>
      <c r="AB74" s="92"/>
      <c r="AC74" s="92"/>
      <c r="AD74" s="146" t="s">
        <v>76</v>
      </c>
      <c r="AE74" s="146" t="s">
        <v>77</v>
      </c>
      <c r="AF74" s="438" t="s">
        <v>43</v>
      </c>
      <c r="AG74" s="92"/>
    </row>
    <row r="75" s="570" customFormat="1" ht="24.95" customHeight="1" spans="1:33">
      <c r="A75" s="705"/>
      <c r="B75" s="199" t="s">
        <v>61</v>
      </c>
      <c r="C75" s="141" t="s">
        <v>52</v>
      </c>
      <c r="D75" s="141" t="s">
        <v>45</v>
      </c>
      <c r="E75" s="92">
        <v>3</v>
      </c>
      <c r="F75" s="92" t="s">
        <v>61</v>
      </c>
      <c r="G75" s="92"/>
      <c r="H75" s="724">
        <v>3150</v>
      </c>
      <c r="I75" s="724">
        <v>1050</v>
      </c>
      <c r="J75" s="724">
        <v>1050</v>
      </c>
      <c r="K75" s="724">
        <v>1050</v>
      </c>
      <c r="L75" s="724">
        <v>2018.01</v>
      </c>
      <c r="M75" s="724">
        <v>2020.12</v>
      </c>
      <c r="N75" s="724">
        <v>956.024539</v>
      </c>
      <c r="O75" s="724">
        <v>619.524539</v>
      </c>
      <c r="P75" s="724">
        <v>200</v>
      </c>
      <c r="Q75" s="724">
        <v>136.5</v>
      </c>
      <c r="R75" s="724">
        <v>0</v>
      </c>
      <c r="S75" s="724">
        <v>756.024539</v>
      </c>
      <c r="T75" s="724">
        <v>0</v>
      </c>
      <c r="U75" s="724">
        <v>200</v>
      </c>
      <c r="V75" s="724">
        <v>0</v>
      </c>
      <c r="W75" s="92" t="s">
        <v>46</v>
      </c>
      <c r="X75" s="92" t="s">
        <v>47</v>
      </c>
      <c r="Y75" s="738">
        <v>2808</v>
      </c>
      <c r="Z75" s="738">
        <v>9840</v>
      </c>
      <c r="AA75" s="738">
        <v>3</v>
      </c>
      <c r="AB75" s="92"/>
      <c r="AC75" s="92"/>
      <c r="AD75" s="146" t="s">
        <v>62</v>
      </c>
      <c r="AE75" s="146" t="s">
        <v>63</v>
      </c>
      <c r="AF75" s="438" t="s">
        <v>43</v>
      </c>
      <c r="AG75" s="92"/>
    </row>
    <row r="76" s="570" customFormat="1" ht="24.95" customHeight="1" spans="1:33">
      <c r="A76" s="705"/>
      <c r="B76" s="199" t="s">
        <v>78</v>
      </c>
      <c r="C76" s="146" t="s">
        <v>52</v>
      </c>
      <c r="D76" s="152" t="s">
        <v>45</v>
      </c>
      <c r="E76" s="92">
        <v>1</v>
      </c>
      <c r="F76" s="92" t="s">
        <v>78</v>
      </c>
      <c r="G76" s="92"/>
      <c r="H76" s="724">
        <v>500</v>
      </c>
      <c r="I76" s="724">
        <v>500</v>
      </c>
      <c r="J76" s="724">
        <v>0</v>
      </c>
      <c r="K76" s="724">
        <v>0</v>
      </c>
      <c r="L76" s="724">
        <v>2018.01</v>
      </c>
      <c r="M76" s="724">
        <v>0</v>
      </c>
      <c r="N76" s="724">
        <v>106.42</v>
      </c>
      <c r="O76" s="724">
        <v>106.42</v>
      </c>
      <c r="P76" s="724">
        <v>0</v>
      </c>
      <c r="Q76" s="724">
        <v>0</v>
      </c>
      <c r="R76" s="724">
        <v>0</v>
      </c>
      <c r="S76" s="724">
        <v>106.42</v>
      </c>
      <c r="T76" s="724">
        <v>0</v>
      </c>
      <c r="U76" s="724">
        <v>0</v>
      </c>
      <c r="V76" s="724">
        <v>0</v>
      </c>
      <c r="W76" s="92" t="s">
        <v>46</v>
      </c>
      <c r="X76" s="92" t="s">
        <v>47</v>
      </c>
      <c r="Y76" s="738">
        <v>552</v>
      </c>
      <c r="Z76" s="738">
        <v>2222</v>
      </c>
      <c r="AA76" s="738">
        <v>1</v>
      </c>
      <c r="AB76" s="92"/>
      <c r="AC76" s="92"/>
      <c r="AD76" s="146"/>
      <c r="AE76" s="146"/>
      <c r="AF76" s="438"/>
      <c r="AG76" s="92"/>
    </row>
    <row r="77" s="570" customFormat="1" ht="24.95" customHeight="1" spans="1:33">
      <c r="A77" s="705"/>
      <c r="B77" s="199" t="s">
        <v>84</v>
      </c>
      <c r="C77" s="146" t="s">
        <v>52</v>
      </c>
      <c r="D77" s="152" t="s">
        <v>45</v>
      </c>
      <c r="E77" s="92">
        <v>1</v>
      </c>
      <c r="F77" s="92" t="s">
        <v>84</v>
      </c>
      <c r="G77" s="92"/>
      <c r="H77" s="724">
        <v>650</v>
      </c>
      <c r="I77" s="724">
        <v>650</v>
      </c>
      <c r="J77" s="724">
        <v>0</v>
      </c>
      <c r="K77" s="724">
        <v>0</v>
      </c>
      <c r="L77" s="724">
        <v>2018.01</v>
      </c>
      <c r="M77" s="724">
        <v>0</v>
      </c>
      <c r="N77" s="724">
        <v>68.9</v>
      </c>
      <c r="O77" s="724">
        <v>68.9</v>
      </c>
      <c r="P77" s="724">
        <v>0</v>
      </c>
      <c r="Q77" s="724">
        <v>0</v>
      </c>
      <c r="R77" s="724">
        <v>0</v>
      </c>
      <c r="S77" s="724">
        <v>68.9</v>
      </c>
      <c r="T77" s="724">
        <v>0</v>
      </c>
      <c r="U77" s="724">
        <v>0</v>
      </c>
      <c r="V77" s="724">
        <v>0</v>
      </c>
      <c r="W77" s="92" t="s">
        <v>46</v>
      </c>
      <c r="X77" s="92" t="s">
        <v>47</v>
      </c>
      <c r="Y77" s="738">
        <v>600</v>
      </c>
      <c r="Z77" s="738">
        <v>2320</v>
      </c>
      <c r="AA77" s="738">
        <v>1</v>
      </c>
      <c r="AB77" s="92"/>
      <c r="AC77" s="92"/>
      <c r="AD77" s="146"/>
      <c r="AE77" s="146"/>
      <c r="AF77" s="438"/>
      <c r="AG77" s="92"/>
    </row>
    <row r="78" s="570" customFormat="1" ht="24.95" customHeight="1" spans="1:33">
      <c r="A78" s="705"/>
      <c r="B78" s="711" t="s">
        <v>110</v>
      </c>
      <c r="C78" s="71" t="s">
        <v>52</v>
      </c>
      <c r="D78" s="152"/>
      <c r="E78" s="92">
        <v>3</v>
      </c>
      <c r="F78" s="92">
        <v>0</v>
      </c>
      <c r="G78" s="92"/>
      <c r="H78" s="724">
        <v>12900</v>
      </c>
      <c r="I78" s="724">
        <v>4300</v>
      </c>
      <c r="J78" s="724">
        <v>4300</v>
      </c>
      <c r="K78" s="724">
        <v>4300</v>
      </c>
      <c r="L78" s="724">
        <v>2018.01</v>
      </c>
      <c r="M78" s="724">
        <v>2020.12</v>
      </c>
      <c r="N78" s="724">
        <v>165.9</v>
      </c>
      <c r="O78" s="724">
        <v>9.9</v>
      </c>
      <c r="P78" s="724">
        <v>78</v>
      </c>
      <c r="Q78" s="724">
        <v>78</v>
      </c>
      <c r="R78" s="724">
        <v>0</v>
      </c>
      <c r="S78" s="724">
        <v>165.9</v>
      </c>
      <c r="T78" s="724">
        <v>0</v>
      </c>
      <c r="U78" s="724">
        <v>0</v>
      </c>
      <c r="V78" s="724">
        <v>0</v>
      </c>
      <c r="W78" s="92" t="s">
        <v>46</v>
      </c>
      <c r="X78" s="92" t="s">
        <v>47</v>
      </c>
      <c r="Y78" s="738">
        <v>657</v>
      </c>
      <c r="Z78" s="738">
        <v>2727</v>
      </c>
      <c r="AA78" s="738">
        <v>3</v>
      </c>
      <c r="AB78" s="92"/>
      <c r="AC78" s="92"/>
      <c r="AD78" s="141" t="s">
        <v>68</v>
      </c>
      <c r="AE78" s="146" t="s">
        <v>50</v>
      </c>
      <c r="AF78" s="438" t="s">
        <v>43</v>
      </c>
      <c r="AG78" s="92"/>
    </row>
    <row r="79" s="570" customFormat="1" ht="24.95" customHeight="1" spans="1:33">
      <c r="A79" s="705"/>
      <c r="B79" s="199" t="s">
        <v>58</v>
      </c>
      <c r="C79" s="71" t="s">
        <v>52</v>
      </c>
      <c r="D79" s="71" t="s">
        <v>45</v>
      </c>
      <c r="E79" s="92">
        <v>3</v>
      </c>
      <c r="F79" s="92" t="s">
        <v>58</v>
      </c>
      <c r="G79" s="92"/>
      <c r="H79" s="724">
        <v>12900</v>
      </c>
      <c r="I79" s="724">
        <v>4300</v>
      </c>
      <c r="J79" s="724">
        <v>4300</v>
      </c>
      <c r="K79" s="724">
        <v>4300</v>
      </c>
      <c r="L79" s="724">
        <v>2018.01</v>
      </c>
      <c r="M79" s="724">
        <v>2020.12</v>
      </c>
      <c r="N79" s="724">
        <v>165.9</v>
      </c>
      <c r="O79" s="724">
        <v>9.9</v>
      </c>
      <c r="P79" s="724">
        <v>78</v>
      </c>
      <c r="Q79" s="724">
        <v>78</v>
      </c>
      <c r="R79" s="724">
        <v>0</v>
      </c>
      <c r="S79" s="724">
        <v>165.9</v>
      </c>
      <c r="T79" s="724">
        <v>0</v>
      </c>
      <c r="U79" s="724">
        <v>0</v>
      </c>
      <c r="V79" s="724">
        <v>0</v>
      </c>
      <c r="W79" s="92" t="s">
        <v>46</v>
      </c>
      <c r="X79" s="92" t="s">
        <v>47</v>
      </c>
      <c r="Y79" s="738">
        <v>657</v>
      </c>
      <c r="Z79" s="738">
        <v>2727</v>
      </c>
      <c r="AA79" s="738">
        <v>3</v>
      </c>
      <c r="AB79" s="92"/>
      <c r="AC79" s="92"/>
      <c r="AD79" s="744" t="s">
        <v>59</v>
      </c>
      <c r="AE79" s="744" t="s">
        <v>60</v>
      </c>
      <c r="AF79" s="438" t="s">
        <v>43</v>
      </c>
      <c r="AG79" s="92"/>
    </row>
    <row r="80" s="570" customFormat="1" ht="24.95" customHeight="1" spans="1:33">
      <c r="A80" s="705"/>
      <c r="B80" s="711" t="s">
        <v>111</v>
      </c>
      <c r="C80" s="146"/>
      <c r="D80" s="141" t="s">
        <v>45</v>
      </c>
      <c r="E80" s="92">
        <v>6</v>
      </c>
      <c r="F80" s="92">
        <v>0</v>
      </c>
      <c r="G80" s="92"/>
      <c r="H80" s="724">
        <v>11453.5</v>
      </c>
      <c r="I80" s="724">
        <v>3438.5</v>
      </c>
      <c r="J80" s="724">
        <v>4007.5</v>
      </c>
      <c r="K80" s="724">
        <v>4007.5</v>
      </c>
      <c r="L80" s="724">
        <v>0</v>
      </c>
      <c r="M80" s="724">
        <v>0</v>
      </c>
      <c r="N80" s="724">
        <v>1884.325</v>
      </c>
      <c r="O80" s="724">
        <v>311.44</v>
      </c>
      <c r="P80" s="724">
        <v>786.4425</v>
      </c>
      <c r="Q80" s="724">
        <v>786.4425</v>
      </c>
      <c r="R80" s="724">
        <v>0</v>
      </c>
      <c r="S80" s="724">
        <v>1584.325</v>
      </c>
      <c r="T80" s="724">
        <v>0</v>
      </c>
      <c r="U80" s="724">
        <v>300</v>
      </c>
      <c r="V80" s="724">
        <v>0</v>
      </c>
      <c r="W80" s="92" t="s">
        <v>46</v>
      </c>
      <c r="X80" s="92" t="s">
        <v>47</v>
      </c>
      <c r="Y80" s="738">
        <v>2172</v>
      </c>
      <c r="Z80" s="738">
        <v>8857</v>
      </c>
      <c r="AA80" s="738">
        <v>6</v>
      </c>
      <c r="AB80" s="92"/>
      <c r="AC80" s="92"/>
      <c r="AD80" s="141" t="s">
        <v>68</v>
      </c>
      <c r="AE80" s="146" t="s">
        <v>50</v>
      </c>
      <c r="AF80" s="438" t="s">
        <v>43</v>
      </c>
      <c r="AG80" s="92"/>
    </row>
    <row r="81" s="570" customFormat="1" ht="24.95" customHeight="1" spans="1:33">
      <c r="A81" s="705"/>
      <c r="B81" s="199" t="s">
        <v>78</v>
      </c>
      <c r="C81" s="146" t="s">
        <v>52</v>
      </c>
      <c r="D81" s="152" t="s">
        <v>45</v>
      </c>
      <c r="E81" s="92">
        <v>1</v>
      </c>
      <c r="F81" s="92" t="s">
        <v>78</v>
      </c>
      <c r="G81" s="92"/>
      <c r="H81" s="724">
        <v>136</v>
      </c>
      <c r="I81" s="724">
        <v>136</v>
      </c>
      <c r="J81" s="724">
        <v>0</v>
      </c>
      <c r="K81" s="724">
        <v>0</v>
      </c>
      <c r="L81" s="724">
        <v>2018.01</v>
      </c>
      <c r="M81" s="724">
        <v>0</v>
      </c>
      <c r="N81" s="724">
        <v>13.6</v>
      </c>
      <c r="O81" s="724">
        <v>13.6</v>
      </c>
      <c r="P81" s="724">
        <v>0</v>
      </c>
      <c r="Q81" s="724">
        <v>0</v>
      </c>
      <c r="R81" s="724">
        <v>0</v>
      </c>
      <c r="S81" s="724">
        <v>13.6</v>
      </c>
      <c r="T81" s="724">
        <v>0</v>
      </c>
      <c r="U81" s="724">
        <v>0</v>
      </c>
      <c r="V81" s="724">
        <v>0</v>
      </c>
      <c r="W81" s="92" t="s">
        <v>46</v>
      </c>
      <c r="X81" s="92" t="s">
        <v>47</v>
      </c>
      <c r="Y81" s="738">
        <v>36</v>
      </c>
      <c r="Z81" s="738">
        <v>136</v>
      </c>
      <c r="AA81" s="738">
        <v>1</v>
      </c>
      <c r="AB81" s="92"/>
      <c r="AC81" s="92"/>
      <c r="AD81" s="146"/>
      <c r="AE81" s="146"/>
      <c r="AF81" s="438"/>
      <c r="AG81" s="92"/>
    </row>
    <row r="82" s="570" customFormat="1" ht="24.95" customHeight="1" spans="1:33">
      <c r="A82" s="705"/>
      <c r="B82" s="199" t="s">
        <v>92</v>
      </c>
      <c r="C82" s="146" t="s">
        <v>52</v>
      </c>
      <c r="D82" s="152" t="s">
        <v>45</v>
      </c>
      <c r="E82" s="92">
        <v>2</v>
      </c>
      <c r="F82" s="92" t="s">
        <v>92</v>
      </c>
      <c r="G82" s="92"/>
      <c r="H82" s="724">
        <v>1410</v>
      </c>
      <c r="I82" s="724">
        <v>0</v>
      </c>
      <c r="J82" s="724">
        <v>705</v>
      </c>
      <c r="K82" s="724">
        <v>705</v>
      </c>
      <c r="L82" s="724">
        <v>0</v>
      </c>
      <c r="M82" s="724">
        <v>2020.12</v>
      </c>
      <c r="N82" s="724">
        <v>285.525</v>
      </c>
      <c r="O82" s="724">
        <v>0</v>
      </c>
      <c r="P82" s="724">
        <v>142.7625</v>
      </c>
      <c r="Q82" s="724">
        <v>142.7625</v>
      </c>
      <c r="R82" s="724">
        <v>0</v>
      </c>
      <c r="S82" s="724">
        <v>285.525</v>
      </c>
      <c r="T82" s="724">
        <v>0</v>
      </c>
      <c r="U82" s="724">
        <v>0</v>
      </c>
      <c r="V82" s="724">
        <v>0</v>
      </c>
      <c r="W82" s="92" t="s">
        <v>46</v>
      </c>
      <c r="X82" s="92" t="s">
        <v>47</v>
      </c>
      <c r="Y82" s="738">
        <v>390</v>
      </c>
      <c r="Z82" s="738">
        <v>1332</v>
      </c>
      <c r="AA82" s="738">
        <v>2</v>
      </c>
      <c r="AB82" s="92"/>
      <c r="AC82" s="92"/>
      <c r="AD82" s="146" t="s">
        <v>93</v>
      </c>
      <c r="AE82" s="146" t="s">
        <v>94</v>
      </c>
      <c r="AF82" s="438" t="s">
        <v>43</v>
      </c>
      <c r="AG82" s="92"/>
    </row>
    <row r="83" s="570" customFormat="1" ht="24.95" customHeight="1" spans="1:33">
      <c r="A83" s="705"/>
      <c r="B83" s="199" t="s">
        <v>64</v>
      </c>
      <c r="C83" s="141" t="s">
        <v>96</v>
      </c>
      <c r="D83" s="141" t="s">
        <v>45</v>
      </c>
      <c r="E83" s="92">
        <v>3</v>
      </c>
      <c r="F83" s="92" t="s">
        <v>64</v>
      </c>
      <c r="G83" s="92"/>
      <c r="H83" s="724">
        <v>9907.5</v>
      </c>
      <c r="I83" s="724">
        <v>3302.5</v>
      </c>
      <c r="J83" s="724">
        <v>3302.5</v>
      </c>
      <c r="K83" s="724">
        <v>3302.5</v>
      </c>
      <c r="L83" s="724">
        <v>2018.01</v>
      </c>
      <c r="M83" s="724">
        <v>2020.12</v>
      </c>
      <c r="N83" s="724">
        <v>1585.2</v>
      </c>
      <c r="O83" s="724">
        <v>297.84</v>
      </c>
      <c r="P83" s="724">
        <v>643.68</v>
      </c>
      <c r="Q83" s="724">
        <v>643.68</v>
      </c>
      <c r="R83" s="724">
        <v>0</v>
      </c>
      <c r="S83" s="724">
        <v>1285.2</v>
      </c>
      <c r="T83" s="724">
        <v>0</v>
      </c>
      <c r="U83" s="724">
        <v>300</v>
      </c>
      <c r="V83" s="724">
        <v>0</v>
      </c>
      <c r="W83" s="92" t="s">
        <v>46</v>
      </c>
      <c r="X83" s="92" t="s">
        <v>47</v>
      </c>
      <c r="Y83" s="738">
        <v>1746</v>
      </c>
      <c r="Z83" s="738">
        <v>7389</v>
      </c>
      <c r="AA83" s="738">
        <v>3</v>
      </c>
      <c r="AB83" s="92"/>
      <c r="AC83" s="92"/>
      <c r="AD83" s="146" t="s">
        <v>65</v>
      </c>
      <c r="AE83" s="146" t="s">
        <v>66</v>
      </c>
      <c r="AF83" s="438" t="s">
        <v>43</v>
      </c>
      <c r="AG83" s="92"/>
    </row>
    <row r="84" s="570" customFormat="1" ht="24.95" customHeight="1" spans="1:33">
      <c r="A84" s="705"/>
      <c r="B84" s="711" t="s">
        <v>112</v>
      </c>
      <c r="C84" s="141" t="s">
        <v>52</v>
      </c>
      <c r="D84" s="141" t="s">
        <v>45</v>
      </c>
      <c r="E84" s="92">
        <v>3</v>
      </c>
      <c r="F84" s="92">
        <v>0</v>
      </c>
      <c r="G84" s="92"/>
      <c r="H84" s="724">
        <v>9378</v>
      </c>
      <c r="I84" s="724">
        <v>3126</v>
      </c>
      <c r="J84" s="724">
        <v>3126</v>
      </c>
      <c r="K84" s="724">
        <v>3126</v>
      </c>
      <c r="L84" s="724">
        <v>2018.01</v>
      </c>
      <c r="M84" s="724">
        <v>2020.12</v>
      </c>
      <c r="N84" s="724">
        <v>562.68</v>
      </c>
      <c r="O84" s="724">
        <v>22.68</v>
      </c>
      <c r="P84" s="724">
        <v>180</v>
      </c>
      <c r="Q84" s="724">
        <v>360</v>
      </c>
      <c r="R84" s="724">
        <v>0</v>
      </c>
      <c r="S84" s="724">
        <v>562.68</v>
      </c>
      <c r="T84" s="724">
        <v>0</v>
      </c>
      <c r="U84" s="724">
        <v>0</v>
      </c>
      <c r="V84" s="724">
        <v>0</v>
      </c>
      <c r="W84" s="92" t="s">
        <v>46</v>
      </c>
      <c r="X84" s="92" t="s">
        <v>47</v>
      </c>
      <c r="Y84" s="738">
        <v>348</v>
      </c>
      <c r="Z84" s="738">
        <v>1296</v>
      </c>
      <c r="AA84" s="738">
        <v>3</v>
      </c>
      <c r="AB84" s="92"/>
      <c r="AC84" s="92"/>
      <c r="AD84" s="141" t="s">
        <v>68</v>
      </c>
      <c r="AE84" s="146" t="s">
        <v>50</v>
      </c>
      <c r="AF84" s="438" t="s">
        <v>43</v>
      </c>
      <c r="AG84" s="92"/>
    </row>
    <row r="85" s="570" customFormat="1" ht="24.95" customHeight="1" spans="1:33">
      <c r="A85" s="705"/>
      <c r="B85" s="714" t="s">
        <v>81</v>
      </c>
      <c r="C85" s="141" t="s">
        <v>52</v>
      </c>
      <c r="D85" s="152" t="s">
        <v>45</v>
      </c>
      <c r="E85" s="92">
        <v>3</v>
      </c>
      <c r="F85" s="92" t="s">
        <v>81</v>
      </c>
      <c r="G85" s="92"/>
      <c r="H85" s="724">
        <v>9378</v>
      </c>
      <c r="I85" s="724">
        <v>3126</v>
      </c>
      <c r="J85" s="724">
        <v>3126</v>
      </c>
      <c r="K85" s="724">
        <v>3126</v>
      </c>
      <c r="L85" s="724">
        <v>2018.01</v>
      </c>
      <c r="M85" s="724">
        <v>2020.12</v>
      </c>
      <c r="N85" s="724">
        <v>562.68</v>
      </c>
      <c r="O85" s="724">
        <v>22.68</v>
      </c>
      <c r="P85" s="724">
        <v>180</v>
      </c>
      <c r="Q85" s="724">
        <v>360</v>
      </c>
      <c r="R85" s="724">
        <v>0</v>
      </c>
      <c r="S85" s="724">
        <v>562.68</v>
      </c>
      <c r="T85" s="724">
        <v>0</v>
      </c>
      <c r="U85" s="724">
        <v>0</v>
      </c>
      <c r="V85" s="724">
        <v>0</v>
      </c>
      <c r="W85" s="92" t="s">
        <v>46</v>
      </c>
      <c r="X85" s="92" t="s">
        <v>47</v>
      </c>
      <c r="Y85" s="738">
        <v>348</v>
      </c>
      <c r="Z85" s="738">
        <v>1296</v>
      </c>
      <c r="AA85" s="738">
        <v>3</v>
      </c>
      <c r="AB85" s="92"/>
      <c r="AC85" s="92"/>
      <c r="AD85" s="146" t="s">
        <v>82</v>
      </c>
      <c r="AE85" s="146" t="s">
        <v>83</v>
      </c>
      <c r="AF85" s="752" t="s">
        <v>43</v>
      </c>
      <c r="AG85" s="92"/>
    </row>
    <row r="86" s="570" customFormat="1" ht="24.95" customHeight="1" spans="1:33">
      <c r="A86" s="705"/>
      <c r="B86" s="750" t="s">
        <v>113</v>
      </c>
      <c r="C86" s="146" t="s">
        <v>52</v>
      </c>
      <c r="D86" s="146" t="s">
        <v>45</v>
      </c>
      <c r="E86" s="92">
        <v>2</v>
      </c>
      <c r="F86" s="92">
        <v>0</v>
      </c>
      <c r="G86" s="92"/>
      <c r="H86" s="724">
        <v>2000</v>
      </c>
      <c r="I86" s="724">
        <v>0</v>
      </c>
      <c r="J86" s="724">
        <v>1000</v>
      </c>
      <c r="K86" s="724">
        <v>1000</v>
      </c>
      <c r="L86" s="724">
        <v>0</v>
      </c>
      <c r="M86" s="724">
        <v>2020.12</v>
      </c>
      <c r="N86" s="724">
        <v>180</v>
      </c>
      <c r="O86" s="724">
        <v>0</v>
      </c>
      <c r="P86" s="724">
        <v>90</v>
      </c>
      <c r="Q86" s="724">
        <v>90</v>
      </c>
      <c r="R86" s="724">
        <v>0</v>
      </c>
      <c r="S86" s="724">
        <v>180</v>
      </c>
      <c r="T86" s="724">
        <v>0</v>
      </c>
      <c r="U86" s="724">
        <v>0</v>
      </c>
      <c r="V86" s="724">
        <v>0</v>
      </c>
      <c r="W86" s="92" t="s">
        <v>46</v>
      </c>
      <c r="X86" s="92" t="s">
        <v>47</v>
      </c>
      <c r="Y86" s="738">
        <v>274</v>
      </c>
      <c r="Z86" s="738">
        <v>1178</v>
      </c>
      <c r="AA86" s="738">
        <v>2</v>
      </c>
      <c r="AB86" s="92"/>
      <c r="AC86" s="92"/>
      <c r="AD86" s="141" t="s">
        <v>68</v>
      </c>
      <c r="AE86" s="146" t="s">
        <v>50</v>
      </c>
      <c r="AF86" s="438" t="s">
        <v>43</v>
      </c>
      <c r="AG86" s="92"/>
    </row>
    <row r="87" s="570" customFormat="1" ht="24.95" customHeight="1" spans="1:33">
      <c r="A87" s="705"/>
      <c r="B87" s="199" t="s">
        <v>114</v>
      </c>
      <c r="C87" s="141" t="s">
        <v>52</v>
      </c>
      <c r="D87" s="141" t="s">
        <v>45</v>
      </c>
      <c r="E87" s="92">
        <v>2</v>
      </c>
      <c r="F87" s="92" t="s">
        <v>114</v>
      </c>
      <c r="G87" s="92"/>
      <c r="H87" s="724">
        <v>2000</v>
      </c>
      <c r="I87" s="724">
        <v>0</v>
      </c>
      <c r="J87" s="724">
        <v>1000</v>
      </c>
      <c r="K87" s="724">
        <v>1000</v>
      </c>
      <c r="L87" s="724">
        <v>0</v>
      </c>
      <c r="M87" s="724">
        <v>2020.12</v>
      </c>
      <c r="N87" s="724">
        <v>180</v>
      </c>
      <c r="O87" s="724">
        <v>0</v>
      </c>
      <c r="P87" s="724">
        <v>90</v>
      </c>
      <c r="Q87" s="724">
        <v>90</v>
      </c>
      <c r="R87" s="724">
        <v>0</v>
      </c>
      <c r="S87" s="724">
        <v>180</v>
      </c>
      <c r="T87" s="724">
        <v>0</v>
      </c>
      <c r="U87" s="724">
        <v>0</v>
      </c>
      <c r="V87" s="724">
        <v>0</v>
      </c>
      <c r="W87" s="92" t="s">
        <v>46</v>
      </c>
      <c r="X87" s="92" t="s">
        <v>47</v>
      </c>
      <c r="Y87" s="738">
        <v>274</v>
      </c>
      <c r="Z87" s="738">
        <v>1178</v>
      </c>
      <c r="AA87" s="738">
        <v>2</v>
      </c>
      <c r="AB87" s="92"/>
      <c r="AC87" s="92"/>
      <c r="AD87" s="193" t="s">
        <v>115</v>
      </c>
      <c r="AE87" s="146" t="s">
        <v>116</v>
      </c>
      <c r="AF87" s="752" t="s">
        <v>43</v>
      </c>
      <c r="AG87" s="92"/>
    </row>
    <row r="88" s="570" customFormat="1" ht="24.95" customHeight="1" spans="1:33">
      <c r="A88" s="705"/>
      <c r="B88" s="711" t="s">
        <v>117</v>
      </c>
      <c r="C88" s="712"/>
      <c r="D88" s="713"/>
      <c r="E88" s="92">
        <v>3</v>
      </c>
      <c r="F88" s="92">
        <v>0</v>
      </c>
      <c r="G88" s="92"/>
      <c r="H88" s="724">
        <v>3060</v>
      </c>
      <c r="I88" s="724">
        <v>1020</v>
      </c>
      <c r="J88" s="724">
        <v>1020</v>
      </c>
      <c r="K88" s="724">
        <v>1020</v>
      </c>
      <c r="L88" s="724">
        <v>2018.01</v>
      </c>
      <c r="M88" s="724">
        <v>2020.12</v>
      </c>
      <c r="N88" s="724">
        <v>90</v>
      </c>
      <c r="O88" s="724">
        <v>30</v>
      </c>
      <c r="P88" s="724">
        <v>30</v>
      </c>
      <c r="Q88" s="724">
        <v>30</v>
      </c>
      <c r="R88" s="724">
        <v>0</v>
      </c>
      <c r="S88" s="724">
        <v>60</v>
      </c>
      <c r="T88" s="724">
        <v>0</v>
      </c>
      <c r="U88" s="724">
        <v>30</v>
      </c>
      <c r="V88" s="724">
        <v>0</v>
      </c>
      <c r="W88" s="92" t="s">
        <v>46</v>
      </c>
      <c r="X88" s="92" t="s">
        <v>47</v>
      </c>
      <c r="Y88" s="738">
        <v>477</v>
      </c>
      <c r="Z88" s="738">
        <v>1860</v>
      </c>
      <c r="AA88" s="738">
        <v>3</v>
      </c>
      <c r="AB88" s="92"/>
      <c r="AC88" s="92"/>
      <c r="AD88" s="141" t="s">
        <v>68</v>
      </c>
      <c r="AE88" s="146" t="s">
        <v>50</v>
      </c>
      <c r="AF88" s="438" t="s">
        <v>43</v>
      </c>
      <c r="AG88" s="92"/>
    </row>
    <row r="89" s="570" customFormat="1" ht="24.95" customHeight="1" spans="1:33">
      <c r="A89" s="705"/>
      <c r="B89" s="199" t="s">
        <v>72</v>
      </c>
      <c r="C89" s="712" t="s">
        <v>52</v>
      </c>
      <c r="D89" s="713" t="s">
        <v>45</v>
      </c>
      <c r="E89" s="92">
        <v>3</v>
      </c>
      <c r="F89" s="92" t="s">
        <v>72</v>
      </c>
      <c r="G89" s="92"/>
      <c r="H89" s="724">
        <v>3060</v>
      </c>
      <c r="I89" s="724">
        <v>1020</v>
      </c>
      <c r="J89" s="724">
        <v>1020</v>
      </c>
      <c r="K89" s="724">
        <v>1020</v>
      </c>
      <c r="L89" s="724">
        <v>2018.01</v>
      </c>
      <c r="M89" s="724">
        <v>2020.12</v>
      </c>
      <c r="N89" s="724">
        <v>90</v>
      </c>
      <c r="O89" s="724">
        <v>30</v>
      </c>
      <c r="P89" s="724">
        <v>30</v>
      </c>
      <c r="Q89" s="724">
        <v>30</v>
      </c>
      <c r="R89" s="724">
        <v>0</v>
      </c>
      <c r="S89" s="724">
        <v>60</v>
      </c>
      <c r="T89" s="724">
        <v>0</v>
      </c>
      <c r="U89" s="724">
        <v>30</v>
      </c>
      <c r="V89" s="724">
        <v>0</v>
      </c>
      <c r="W89" s="92" t="s">
        <v>46</v>
      </c>
      <c r="X89" s="92" t="s">
        <v>47</v>
      </c>
      <c r="Y89" s="738">
        <v>477</v>
      </c>
      <c r="Z89" s="738">
        <v>1860</v>
      </c>
      <c r="AA89" s="738">
        <v>3</v>
      </c>
      <c r="AB89" s="92"/>
      <c r="AC89" s="92"/>
      <c r="AD89" s="101" t="s">
        <v>73</v>
      </c>
      <c r="AE89" s="601" t="s">
        <v>74</v>
      </c>
      <c r="AF89" s="438" t="s">
        <v>43</v>
      </c>
      <c r="AG89" s="92"/>
    </row>
    <row r="90" s="570" customFormat="1" ht="24.95" customHeight="1" spans="1:33">
      <c r="A90" s="705"/>
      <c r="B90" s="711" t="s">
        <v>118</v>
      </c>
      <c r="C90" s="141" t="s">
        <v>52</v>
      </c>
      <c r="D90" s="141" t="s">
        <v>45</v>
      </c>
      <c r="E90" s="92">
        <v>4</v>
      </c>
      <c r="F90" s="92">
        <v>0</v>
      </c>
      <c r="G90" s="92"/>
      <c r="H90" s="724">
        <v>2511</v>
      </c>
      <c r="I90" s="724">
        <v>637</v>
      </c>
      <c r="J90" s="724">
        <v>937</v>
      </c>
      <c r="K90" s="724">
        <v>937</v>
      </c>
      <c r="L90" s="724">
        <v>0</v>
      </c>
      <c r="M90" s="724">
        <v>2020.12</v>
      </c>
      <c r="N90" s="724">
        <v>76.9374</v>
      </c>
      <c r="O90" s="724">
        <v>18.2724</v>
      </c>
      <c r="P90" s="724">
        <v>14.014</v>
      </c>
      <c r="Q90" s="724">
        <v>44.651</v>
      </c>
      <c r="R90" s="724">
        <v>0</v>
      </c>
      <c r="S90" s="724">
        <v>76.9374</v>
      </c>
      <c r="T90" s="724">
        <v>0</v>
      </c>
      <c r="U90" s="724">
        <v>0</v>
      </c>
      <c r="V90" s="724">
        <v>0</v>
      </c>
      <c r="W90" s="92" t="s">
        <v>46</v>
      </c>
      <c r="X90" s="92" t="s">
        <v>47</v>
      </c>
      <c r="Y90" s="738">
        <v>742</v>
      </c>
      <c r="Z90" s="738">
        <v>3062</v>
      </c>
      <c r="AA90" s="738">
        <v>4</v>
      </c>
      <c r="AB90" s="92"/>
      <c r="AC90" s="92"/>
      <c r="AD90" s="141" t="s">
        <v>68</v>
      </c>
      <c r="AE90" s="146" t="s">
        <v>50</v>
      </c>
      <c r="AF90" s="438" t="s">
        <v>43</v>
      </c>
      <c r="AG90" s="92"/>
    </row>
    <row r="91" s="570" customFormat="1" ht="24.95" customHeight="1" spans="1:33">
      <c r="A91" s="705"/>
      <c r="B91" s="199" t="s">
        <v>98</v>
      </c>
      <c r="C91" s="146" t="s">
        <v>52</v>
      </c>
      <c r="D91" s="152" t="s">
        <v>45</v>
      </c>
      <c r="E91" s="92">
        <v>3</v>
      </c>
      <c r="F91" s="92" t="s">
        <v>98</v>
      </c>
      <c r="G91" s="92"/>
      <c r="H91" s="724">
        <v>1911</v>
      </c>
      <c r="I91" s="724">
        <v>637</v>
      </c>
      <c r="J91" s="724">
        <v>637</v>
      </c>
      <c r="K91" s="724">
        <v>637</v>
      </c>
      <c r="L91" s="724">
        <v>2018.01</v>
      </c>
      <c r="M91" s="724">
        <v>2020.12</v>
      </c>
      <c r="N91" s="724">
        <v>46.9374</v>
      </c>
      <c r="O91" s="724">
        <v>18.2724</v>
      </c>
      <c r="P91" s="724">
        <v>14.014</v>
      </c>
      <c r="Q91" s="724">
        <v>14.651</v>
      </c>
      <c r="R91" s="724">
        <v>0</v>
      </c>
      <c r="S91" s="724">
        <v>46.9374</v>
      </c>
      <c r="T91" s="724">
        <v>0</v>
      </c>
      <c r="U91" s="724">
        <v>0</v>
      </c>
      <c r="V91" s="724">
        <v>0</v>
      </c>
      <c r="W91" s="92" t="s">
        <v>46</v>
      </c>
      <c r="X91" s="92" t="s">
        <v>47</v>
      </c>
      <c r="Y91" s="738">
        <v>468</v>
      </c>
      <c r="Z91" s="738">
        <v>1884</v>
      </c>
      <c r="AA91" s="738">
        <v>3</v>
      </c>
      <c r="AB91" s="92"/>
      <c r="AC91" s="92"/>
      <c r="AD91" s="141" t="s">
        <v>56</v>
      </c>
      <c r="AE91" s="146" t="s">
        <v>57</v>
      </c>
      <c r="AF91" s="438" t="s">
        <v>43</v>
      </c>
      <c r="AG91" s="92"/>
    </row>
    <row r="92" s="570" customFormat="1" ht="24.95" customHeight="1" spans="1:33">
      <c r="A92" s="705"/>
      <c r="B92" s="199" t="s">
        <v>114</v>
      </c>
      <c r="C92" s="141" t="s">
        <v>52</v>
      </c>
      <c r="D92" s="141" t="s">
        <v>45</v>
      </c>
      <c r="E92" s="92">
        <v>1</v>
      </c>
      <c r="F92" s="92" t="s">
        <v>114</v>
      </c>
      <c r="G92" s="92"/>
      <c r="H92" s="724">
        <v>300</v>
      </c>
      <c r="I92" s="724">
        <v>0</v>
      </c>
      <c r="J92" s="724">
        <v>0</v>
      </c>
      <c r="K92" s="724">
        <v>300</v>
      </c>
      <c r="L92" s="724">
        <v>0</v>
      </c>
      <c r="M92" s="724">
        <v>2020.12</v>
      </c>
      <c r="N92" s="724">
        <v>30</v>
      </c>
      <c r="O92" s="724">
        <v>0</v>
      </c>
      <c r="P92" s="724">
        <v>0</v>
      </c>
      <c r="Q92" s="724">
        <v>30</v>
      </c>
      <c r="R92" s="724">
        <v>0</v>
      </c>
      <c r="S92" s="724">
        <v>30</v>
      </c>
      <c r="T92" s="724">
        <v>0</v>
      </c>
      <c r="U92" s="724">
        <v>0</v>
      </c>
      <c r="V92" s="724">
        <v>0</v>
      </c>
      <c r="W92" s="92" t="s">
        <v>46</v>
      </c>
      <c r="X92" s="92" t="s">
        <v>47</v>
      </c>
      <c r="Y92" s="738">
        <v>137</v>
      </c>
      <c r="Z92" s="738">
        <v>589</v>
      </c>
      <c r="AA92" s="738">
        <v>1</v>
      </c>
      <c r="AB92" s="92"/>
      <c r="AC92" s="92"/>
      <c r="AD92" s="146"/>
      <c r="AE92" s="146"/>
      <c r="AF92" s="438"/>
      <c r="AG92" s="92"/>
    </row>
    <row r="93" s="570" customFormat="1" ht="24.95" customHeight="1" spans="1:33">
      <c r="A93" s="705"/>
      <c r="B93" s="711" t="s">
        <v>119</v>
      </c>
      <c r="C93" s="141" t="s">
        <v>52</v>
      </c>
      <c r="D93" s="141" t="s">
        <v>45</v>
      </c>
      <c r="E93" s="92">
        <v>1</v>
      </c>
      <c r="F93" s="92">
        <v>0</v>
      </c>
      <c r="G93" s="92"/>
      <c r="H93" s="724">
        <v>835</v>
      </c>
      <c r="I93" s="724">
        <v>835</v>
      </c>
      <c r="J93" s="724">
        <v>0</v>
      </c>
      <c r="K93" s="724">
        <v>0</v>
      </c>
      <c r="L93" s="724">
        <v>2018.01</v>
      </c>
      <c r="M93" s="724">
        <v>0</v>
      </c>
      <c r="N93" s="724">
        <v>20.04</v>
      </c>
      <c r="O93" s="724">
        <v>20.04</v>
      </c>
      <c r="P93" s="724">
        <v>0</v>
      </c>
      <c r="Q93" s="724">
        <v>0</v>
      </c>
      <c r="R93" s="724">
        <v>0</v>
      </c>
      <c r="S93" s="724">
        <v>20.04</v>
      </c>
      <c r="T93" s="724">
        <v>0</v>
      </c>
      <c r="U93" s="724">
        <v>0</v>
      </c>
      <c r="V93" s="724">
        <v>0</v>
      </c>
      <c r="W93" s="92" t="s">
        <v>46</v>
      </c>
      <c r="X93" s="92" t="s">
        <v>47</v>
      </c>
      <c r="Y93" s="738">
        <v>471</v>
      </c>
      <c r="Z93" s="738">
        <v>2070</v>
      </c>
      <c r="AA93" s="738">
        <v>1</v>
      </c>
      <c r="AB93" s="92"/>
      <c r="AC93" s="92"/>
      <c r="AD93" s="141"/>
      <c r="AE93" s="146"/>
      <c r="AF93" s="438"/>
      <c r="AG93" s="92"/>
    </row>
    <row r="94" s="570" customFormat="1" ht="24.95" customHeight="1" spans="1:33">
      <c r="A94" s="705"/>
      <c r="B94" s="199" t="s">
        <v>58</v>
      </c>
      <c r="C94" s="146" t="s">
        <v>52</v>
      </c>
      <c r="D94" s="152" t="s">
        <v>45</v>
      </c>
      <c r="E94" s="92">
        <v>1</v>
      </c>
      <c r="F94" s="92" t="s">
        <v>58</v>
      </c>
      <c r="G94" s="92"/>
      <c r="H94" s="724">
        <v>835</v>
      </c>
      <c r="I94" s="724">
        <v>835</v>
      </c>
      <c r="J94" s="724">
        <v>0</v>
      </c>
      <c r="K94" s="724">
        <v>0</v>
      </c>
      <c r="L94" s="724">
        <v>2018.01</v>
      </c>
      <c r="M94" s="724">
        <v>0</v>
      </c>
      <c r="N94" s="724">
        <v>20.04</v>
      </c>
      <c r="O94" s="724">
        <v>20.04</v>
      </c>
      <c r="P94" s="724">
        <v>0</v>
      </c>
      <c r="Q94" s="724">
        <v>0</v>
      </c>
      <c r="R94" s="724">
        <v>0</v>
      </c>
      <c r="S94" s="724">
        <v>20.04</v>
      </c>
      <c r="T94" s="724">
        <v>0</v>
      </c>
      <c r="U94" s="724">
        <v>0</v>
      </c>
      <c r="V94" s="724">
        <v>0</v>
      </c>
      <c r="W94" s="92" t="s">
        <v>46</v>
      </c>
      <c r="X94" s="92" t="s">
        <v>47</v>
      </c>
      <c r="Y94" s="738">
        <v>471</v>
      </c>
      <c r="Z94" s="738">
        <v>2070</v>
      </c>
      <c r="AA94" s="738">
        <v>1</v>
      </c>
      <c r="AB94" s="92"/>
      <c r="AC94" s="92"/>
      <c r="AD94" s="744"/>
      <c r="AE94" s="744"/>
      <c r="AF94" s="438"/>
      <c r="AG94" s="92"/>
    </row>
    <row r="95" s="570" customFormat="1" ht="24.95" customHeight="1" spans="1:33">
      <c r="A95" s="705"/>
      <c r="B95" s="711" t="s">
        <v>120</v>
      </c>
      <c r="C95" s="712" t="s">
        <v>52</v>
      </c>
      <c r="D95" s="713" t="s">
        <v>45</v>
      </c>
      <c r="E95" s="92">
        <v>1</v>
      </c>
      <c r="F95" s="92">
        <v>0</v>
      </c>
      <c r="G95" s="92"/>
      <c r="H95" s="724">
        <v>570</v>
      </c>
      <c r="I95" s="724">
        <v>570</v>
      </c>
      <c r="J95" s="724">
        <v>0</v>
      </c>
      <c r="K95" s="724">
        <v>0</v>
      </c>
      <c r="L95" s="724">
        <v>2018.01</v>
      </c>
      <c r="M95" s="724">
        <v>0</v>
      </c>
      <c r="N95" s="724">
        <v>85.5</v>
      </c>
      <c r="O95" s="724">
        <v>85.5</v>
      </c>
      <c r="P95" s="724">
        <v>0</v>
      </c>
      <c r="Q95" s="724">
        <v>0</v>
      </c>
      <c r="R95" s="724">
        <v>0</v>
      </c>
      <c r="S95" s="724">
        <v>85.5</v>
      </c>
      <c r="T95" s="724">
        <v>0</v>
      </c>
      <c r="U95" s="724">
        <v>0</v>
      </c>
      <c r="V95" s="724">
        <v>0</v>
      </c>
      <c r="W95" s="92" t="s">
        <v>46</v>
      </c>
      <c r="X95" s="92" t="s">
        <v>47</v>
      </c>
      <c r="Y95" s="738">
        <v>35</v>
      </c>
      <c r="Z95" s="738">
        <v>128</v>
      </c>
      <c r="AA95" s="738">
        <v>1</v>
      </c>
      <c r="AB95" s="92"/>
      <c r="AC95" s="92"/>
      <c r="AD95" s="101"/>
      <c r="AE95" s="712"/>
      <c r="AF95" s="601"/>
      <c r="AG95" s="92"/>
    </row>
    <row r="96" s="570" customFormat="1" ht="24.95" customHeight="1" spans="1:33">
      <c r="A96" s="705"/>
      <c r="B96" s="199" t="s">
        <v>69</v>
      </c>
      <c r="C96" s="712" t="s">
        <v>52</v>
      </c>
      <c r="D96" s="713" t="s">
        <v>45</v>
      </c>
      <c r="E96" s="92">
        <v>1</v>
      </c>
      <c r="F96" s="92" t="s">
        <v>69</v>
      </c>
      <c r="G96" s="92"/>
      <c r="H96" s="724">
        <v>570</v>
      </c>
      <c r="I96" s="724">
        <v>570</v>
      </c>
      <c r="J96" s="724">
        <v>0</v>
      </c>
      <c r="K96" s="724">
        <v>0</v>
      </c>
      <c r="L96" s="724">
        <v>2018.01</v>
      </c>
      <c r="M96" s="724">
        <v>0</v>
      </c>
      <c r="N96" s="724">
        <v>85.5</v>
      </c>
      <c r="O96" s="724">
        <v>85.5</v>
      </c>
      <c r="P96" s="724">
        <v>0</v>
      </c>
      <c r="Q96" s="724">
        <v>0</v>
      </c>
      <c r="R96" s="724">
        <v>0</v>
      </c>
      <c r="S96" s="724">
        <v>85.5</v>
      </c>
      <c r="T96" s="724">
        <v>0</v>
      </c>
      <c r="U96" s="724">
        <v>0</v>
      </c>
      <c r="V96" s="724">
        <v>0</v>
      </c>
      <c r="W96" s="92" t="s">
        <v>46</v>
      </c>
      <c r="X96" s="92" t="s">
        <v>47</v>
      </c>
      <c r="Y96" s="738">
        <v>35</v>
      </c>
      <c r="Z96" s="738">
        <v>128</v>
      </c>
      <c r="AA96" s="738">
        <v>1</v>
      </c>
      <c r="AB96" s="92"/>
      <c r="AC96" s="92"/>
      <c r="AD96" s="101"/>
      <c r="AE96" s="712"/>
      <c r="AF96" s="601"/>
      <c r="AG96" s="92"/>
    </row>
    <row r="97" s="570" customFormat="1" ht="24.95" customHeight="1" spans="1:33">
      <c r="A97" s="705"/>
      <c r="B97" s="711" t="s">
        <v>121</v>
      </c>
      <c r="C97" s="712"/>
      <c r="D97" s="713"/>
      <c r="E97" s="92">
        <v>1</v>
      </c>
      <c r="F97" s="92">
        <v>0</v>
      </c>
      <c r="G97" s="92"/>
      <c r="H97" s="724">
        <v>500</v>
      </c>
      <c r="I97" s="724">
        <v>0</v>
      </c>
      <c r="J97" s="724">
        <v>0</v>
      </c>
      <c r="K97" s="724">
        <v>500</v>
      </c>
      <c r="L97" s="724">
        <v>0</v>
      </c>
      <c r="M97" s="724">
        <v>2020.12</v>
      </c>
      <c r="N97" s="724">
        <v>5000</v>
      </c>
      <c r="O97" s="724">
        <v>0</v>
      </c>
      <c r="P97" s="724">
        <v>0</v>
      </c>
      <c r="Q97" s="724">
        <v>5000</v>
      </c>
      <c r="R97" s="724">
        <v>0</v>
      </c>
      <c r="S97" s="724">
        <v>5000</v>
      </c>
      <c r="T97" s="724">
        <v>0</v>
      </c>
      <c r="U97" s="724">
        <v>0</v>
      </c>
      <c r="V97" s="724">
        <v>0</v>
      </c>
      <c r="W97" s="92" t="s">
        <v>46</v>
      </c>
      <c r="X97" s="92" t="s">
        <v>47</v>
      </c>
      <c r="Y97" s="738">
        <v>332</v>
      </c>
      <c r="Z97" s="738">
        <v>1300</v>
      </c>
      <c r="AA97" s="738">
        <v>1</v>
      </c>
      <c r="AB97" s="92"/>
      <c r="AC97" s="92"/>
      <c r="AD97" s="141"/>
      <c r="AE97" s="146"/>
      <c r="AF97" s="438"/>
      <c r="AG97" s="92"/>
    </row>
    <row r="98" s="570" customFormat="1" ht="24.95" customHeight="1" spans="1:33">
      <c r="A98" s="705"/>
      <c r="B98" s="199" t="s">
        <v>51</v>
      </c>
      <c r="C98" s="712" t="s">
        <v>52</v>
      </c>
      <c r="D98" s="713" t="s">
        <v>45</v>
      </c>
      <c r="E98" s="92">
        <v>1</v>
      </c>
      <c r="F98" s="92" t="s">
        <v>51</v>
      </c>
      <c r="G98" s="92"/>
      <c r="H98" s="724">
        <v>500</v>
      </c>
      <c r="I98" s="724">
        <v>0</v>
      </c>
      <c r="J98" s="724">
        <v>0</v>
      </c>
      <c r="K98" s="724">
        <v>500</v>
      </c>
      <c r="L98" s="724">
        <v>0</v>
      </c>
      <c r="M98" s="724">
        <v>2020.12</v>
      </c>
      <c r="N98" s="724">
        <v>5000</v>
      </c>
      <c r="O98" s="724">
        <v>0</v>
      </c>
      <c r="P98" s="724">
        <v>0</v>
      </c>
      <c r="Q98" s="724">
        <v>5000</v>
      </c>
      <c r="R98" s="724">
        <v>0</v>
      </c>
      <c r="S98" s="724">
        <v>5000</v>
      </c>
      <c r="T98" s="724">
        <v>0</v>
      </c>
      <c r="U98" s="724">
        <v>0</v>
      </c>
      <c r="V98" s="724">
        <v>0</v>
      </c>
      <c r="W98" s="92" t="s">
        <v>46</v>
      </c>
      <c r="X98" s="92" t="s">
        <v>47</v>
      </c>
      <c r="Y98" s="738">
        <v>332</v>
      </c>
      <c r="Z98" s="738">
        <v>1300</v>
      </c>
      <c r="AA98" s="738">
        <v>1</v>
      </c>
      <c r="AB98" s="92"/>
      <c r="AC98" s="92"/>
      <c r="AD98" s="712"/>
      <c r="AE98" s="753"/>
      <c r="AF98" s="438"/>
      <c r="AG98" s="92"/>
    </row>
    <row r="99" s="570" customFormat="1" ht="24.95" customHeight="1" spans="1:33">
      <c r="A99" s="705"/>
      <c r="B99" s="711" t="s">
        <v>122</v>
      </c>
      <c r="C99" s="146" t="s">
        <v>52</v>
      </c>
      <c r="D99" s="152" t="s">
        <v>45</v>
      </c>
      <c r="E99" s="92">
        <v>2</v>
      </c>
      <c r="F99" s="92">
        <v>0</v>
      </c>
      <c r="G99" s="92"/>
      <c r="H99" s="724">
        <v>736</v>
      </c>
      <c r="I99" s="724">
        <v>0</v>
      </c>
      <c r="J99" s="724">
        <v>368</v>
      </c>
      <c r="K99" s="724">
        <v>368</v>
      </c>
      <c r="L99" s="724">
        <v>0</v>
      </c>
      <c r="M99" s="724">
        <v>2020.12</v>
      </c>
      <c r="N99" s="724">
        <v>99.32</v>
      </c>
      <c r="O99" s="724">
        <v>0</v>
      </c>
      <c r="P99" s="724">
        <v>49.66</v>
      </c>
      <c r="Q99" s="724">
        <v>49.66</v>
      </c>
      <c r="R99" s="724">
        <v>0</v>
      </c>
      <c r="S99" s="724">
        <v>99.32</v>
      </c>
      <c r="T99" s="724">
        <v>0</v>
      </c>
      <c r="U99" s="724">
        <v>0</v>
      </c>
      <c r="V99" s="724">
        <v>0</v>
      </c>
      <c r="W99" s="92" t="s">
        <v>46</v>
      </c>
      <c r="X99" s="92" t="s">
        <v>47</v>
      </c>
      <c r="Y99" s="738">
        <v>736</v>
      </c>
      <c r="Z99" s="738">
        <v>3088</v>
      </c>
      <c r="AA99" s="738">
        <v>2</v>
      </c>
      <c r="AB99" s="92"/>
      <c r="AC99" s="92"/>
      <c r="AD99" s="141" t="s">
        <v>68</v>
      </c>
      <c r="AE99" s="146" t="s">
        <v>50</v>
      </c>
      <c r="AF99" s="438" t="s">
        <v>43</v>
      </c>
      <c r="AG99" s="92"/>
    </row>
    <row r="100" s="570" customFormat="1" ht="24.95" customHeight="1" spans="1:33">
      <c r="A100" s="705"/>
      <c r="B100" s="199" t="s">
        <v>114</v>
      </c>
      <c r="C100" s="146" t="s">
        <v>52</v>
      </c>
      <c r="D100" s="152" t="s">
        <v>45</v>
      </c>
      <c r="E100" s="92">
        <v>2</v>
      </c>
      <c r="F100" s="92" t="s">
        <v>114</v>
      </c>
      <c r="G100" s="92"/>
      <c r="H100" s="724">
        <v>736</v>
      </c>
      <c r="I100" s="724">
        <v>0</v>
      </c>
      <c r="J100" s="724">
        <v>368</v>
      </c>
      <c r="K100" s="724">
        <v>368</v>
      </c>
      <c r="L100" s="724">
        <v>0</v>
      </c>
      <c r="M100" s="724">
        <v>2020.12</v>
      </c>
      <c r="N100" s="724">
        <v>99.32</v>
      </c>
      <c r="O100" s="724">
        <v>0</v>
      </c>
      <c r="P100" s="724">
        <v>49.66</v>
      </c>
      <c r="Q100" s="724">
        <v>49.66</v>
      </c>
      <c r="R100" s="724">
        <v>0</v>
      </c>
      <c r="S100" s="724">
        <v>99.32</v>
      </c>
      <c r="T100" s="724">
        <v>0</v>
      </c>
      <c r="U100" s="724">
        <v>0</v>
      </c>
      <c r="V100" s="724">
        <v>0</v>
      </c>
      <c r="W100" s="92" t="s">
        <v>46</v>
      </c>
      <c r="X100" s="92" t="s">
        <v>47</v>
      </c>
      <c r="Y100" s="738">
        <v>736</v>
      </c>
      <c r="Z100" s="738">
        <v>3088</v>
      </c>
      <c r="AA100" s="738">
        <v>2</v>
      </c>
      <c r="AB100" s="92"/>
      <c r="AC100" s="92"/>
      <c r="AD100" s="146" t="s">
        <v>115</v>
      </c>
      <c r="AE100" s="146" t="s">
        <v>116</v>
      </c>
      <c r="AF100" s="438" t="s">
        <v>43</v>
      </c>
      <c r="AG100" s="92"/>
    </row>
    <row r="101" s="570" customFormat="1" ht="24.95" customHeight="1" spans="1:33">
      <c r="A101" s="705"/>
      <c r="B101" s="711" t="s">
        <v>123</v>
      </c>
      <c r="C101" s="141" t="s">
        <v>52</v>
      </c>
      <c r="D101" s="141" t="s">
        <v>45</v>
      </c>
      <c r="E101" s="92">
        <v>2</v>
      </c>
      <c r="F101" s="92">
        <v>0</v>
      </c>
      <c r="G101" s="92"/>
      <c r="H101" s="724">
        <v>736</v>
      </c>
      <c r="I101" s="724">
        <v>0</v>
      </c>
      <c r="J101" s="724">
        <v>368</v>
      </c>
      <c r="K101" s="724">
        <v>368</v>
      </c>
      <c r="L101" s="724">
        <v>0</v>
      </c>
      <c r="M101" s="724">
        <v>2020.12</v>
      </c>
      <c r="N101" s="724">
        <v>22</v>
      </c>
      <c r="O101" s="724">
        <v>0</v>
      </c>
      <c r="P101" s="724">
        <v>11</v>
      </c>
      <c r="Q101" s="724">
        <v>11</v>
      </c>
      <c r="R101" s="724">
        <v>0</v>
      </c>
      <c r="S101" s="724">
        <v>22</v>
      </c>
      <c r="T101" s="724">
        <v>0</v>
      </c>
      <c r="U101" s="724">
        <v>0</v>
      </c>
      <c r="V101" s="724">
        <v>0</v>
      </c>
      <c r="W101" s="92" t="s">
        <v>46</v>
      </c>
      <c r="X101" s="92" t="s">
        <v>47</v>
      </c>
      <c r="Y101" s="738">
        <v>736</v>
      </c>
      <c r="Z101" s="738">
        <v>3088</v>
      </c>
      <c r="AA101" s="738">
        <v>2</v>
      </c>
      <c r="AB101" s="92"/>
      <c r="AC101" s="92"/>
      <c r="AD101" s="141" t="s">
        <v>68</v>
      </c>
      <c r="AE101" s="146" t="s">
        <v>50</v>
      </c>
      <c r="AF101" s="438" t="s">
        <v>43</v>
      </c>
      <c r="AG101" s="92"/>
    </row>
    <row r="102" s="570" customFormat="1" ht="24.95" customHeight="1" spans="1:33">
      <c r="A102" s="705"/>
      <c r="B102" s="199" t="s">
        <v>114</v>
      </c>
      <c r="C102" s="141" t="s">
        <v>52</v>
      </c>
      <c r="D102" s="141" t="s">
        <v>45</v>
      </c>
      <c r="E102" s="92">
        <v>2</v>
      </c>
      <c r="F102" s="92" t="s">
        <v>114</v>
      </c>
      <c r="G102" s="92"/>
      <c r="H102" s="724">
        <v>736</v>
      </c>
      <c r="I102" s="724">
        <v>0</v>
      </c>
      <c r="J102" s="724">
        <v>368</v>
      </c>
      <c r="K102" s="724">
        <v>368</v>
      </c>
      <c r="L102" s="724">
        <v>0</v>
      </c>
      <c r="M102" s="724">
        <v>2020.12</v>
      </c>
      <c r="N102" s="724">
        <v>22</v>
      </c>
      <c r="O102" s="724">
        <v>0</v>
      </c>
      <c r="P102" s="724">
        <v>11</v>
      </c>
      <c r="Q102" s="724">
        <v>11</v>
      </c>
      <c r="R102" s="724">
        <v>0</v>
      </c>
      <c r="S102" s="724">
        <v>22</v>
      </c>
      <c r="T102" s="724">
        <v>0</v>
      </c>
      <c r="U102" s="724">
        <v>0</v>
      </c>
      <c r="V102" s="724">
        <v>0</v>
      </c>
      <c r="W102" s="92" t="s">
        <v>46</v>
      </c>
      <c r="X102" s="92" t="s">
        <v>47</v>
      </c>
      <c r="Y102" s="738">
        <v>736</v>
      </c>
      <c r="Z102" s="738">
        <v>3088</v>
      </c>
      <c r="AA102" s="738">
        <v>2</v>
      </c>
      <c r="AB102" s="92"/>
      <c r="AC102" s="92"/>
      <c r="AD102" s="193" t="s">
        <v>115</v>
      </c>
      <c r="AE102" s="146" t="s">
        <v>116</v>
      </c>
      <c r="AF102" s="438" t="s">
        <v>43</v>
      </c>
      <c r="AG102" s="92"/>
    </row>
    <row r="103" s="570" customFormat="1" ht="24.95" customHeight="1" spans="1:33">
      <c r="A103" s="705"/>
      <c r="B103" s="711" t="s">
        <v>124</v>
      </c>
      <c r="C103" s="712"/>
      <c r="D103" s="713"/>
      <c r="E103" s="92">
        <v>3</v>
      </c>
      <c r="F103" s="92">
        <v>0</v>
      </c>
      <c r="G103" s="92"/>
      <c r="H103" s="724">
        <v>630</v>
      </c>
      <c r="I103" s="724">
        <v>210</v>
      </c>
      <c r="J103" s="724">
        <v>210</v>
      </c>
      <c r="K103" s="724">
        <v>210</v>
      </c>
      <c r="L103" s="724">
        <v>2018.01</v>
      </c>
      <c r="M103" s="724">
        <v>2020.12</v>
      </c>
      <c r="N103" s="724">
        <v>335.84</v>
      </c>
      <c r="O103" s="724">
        <v>97.8</v>
      </c>
      <c r="P103" s="724">
        <v>198.12</v>
      </c>
      <c r="Q103" s="724">
        <v>39.92</v>
      </c>
      <c r="R103" s="724">
        <v>0</v>
      </c>
      <c r="S103" s="724">
        <v>235.84</v>
      </c>
      <c r="T103" s="724">
        <v>0</v>
      </c>
      <c r="U103" s="724">
        <v>100</v>
      </c>
      <c r="V103" s="724">
        <v>0</v>
      </c>
      <c r="W103" s="92" t="s">
        <v>46</v>
      </c>
      <c r="X103" s="92" t="s">
        <v>47</v>
      </c>
      <c r="Y103" s="738">
        <v>1206</v>
      </c>
      <c r="Z103" s="738">
        <v>4803</v>
      </c>
      <c r="AA103" s="738">
        <v>3</v>
      </c>
      <c r="AB103" s="92"/>
      <c r="AC103" s="92"/>
      <c r="AD103" s="141" t="s">
        <v>68</v>
      </c>
      <c r="AE103" s="146" t="s">
        <v>50</v>
      </c>
      <c r="AF103" s="438" t="s">
        <v>43</v>
      </c>
      <c r="AG103" s="92"/>
    </row>
    <row r="104" s="570" customFormat="1" ht="24.95" customHeight="1" spans="1:33">
      <c r="A104" s="705"/>
      <c r="B104" s="199" t="s">
        <v>72</v>
      </c>
      <c r="C104" s="712" t="s">
        <v>52</v>
      </c>
      <c r="D104" s="713" t="s">
        <v>45</v>
      </c>
      <c r="E104" s="92">
        <v>3</v>
      </c>
      <c r="F104" s="92" t="s">
        <v>72</v>
      </c>
      <c r="G104" s="92"/>
      <c r="H104" s="724">
        <v>630</v>
      </c>
      <c r="I104" s="724">
        <v>210</v>
      </c>
      <c r="J104" s="724">
        <v>210</v>
      </c>
      <c r="K104" s="724">
        <v>210</v>
      </c>
      <c r="L104" s="724">
        <v>2018.01</v>
      </c>
      <c r="M104" s="724">
        <v>2020.12</v>
      </c>
      <c r="N104" s="724">
        <v>335.84</v>
      </c>
      <c r="O104" s="724">
        <v>97.8</v>
      </c>
      <c r="P104" s="724">
        <v>198.12</v>
      </c>
      <c r="Q104" s="724">
        <v>39.92</v>
      </c>
      <c r="R104" s="724">
        <v>0</v>
      </c>
      <c r="S104" s="724">
        <v>235.84</v>
      </c>
      <c r="T104" s="724">
        <v>0</v>
      </c>
      <c r="U104" s="724">
        <v>100</v>
      </c>
      <c r="V104" s="724">
        <v>0</v>
      </c>
      <c r="W104" s="92" t="s">
        <v>46</v>
      </c>
      <c r="X104" s="92" t="s">
        <v>47</v>
      </c>
      <c r="Y104" s="738">
        <v>1206</v>
      </c>
      <c r="Z104" s="738">
        <v>4803</v>
      </c>
      <c r="AA104" s="738">
        <v>3</v>
      </c>
      <c r="AB104" s="92"/>
      <c r="AC104" s="92"/>
      <c r="AD104" s="101" t="s">
        <v>73</v>
      </c>
      <c r="AE104" s="601" t="s">
        <v>74</v>
      </c>
      <c r="AF104" s="438" t="s">
        <v>43</v>
      </c>
      <c r="AG104" s="92"/>
    </row>
    <row r="105" s="570" customFormat="1" ht="24.95" customHeight="1" spans="1:33">
      <c r="A105" s="705"/>
      <c r="B105" s="711" t="s">
        <v>125</v>
      </c>
      <c r="C105" s="712" t="s">
        <v>52</v>
      </c>
      <c r="D105" s="713" t="s">
        <v>45</v>
      </c>
      <c r="E105" s="92">
        <v>1</v>
      </c>
      <c r="F105" s="92">
        <v>0</v>
      </c>
      <c r="G105" s="92"/>
      <c r="H105" s="724">
        <v>180</v>
      </c>
      <c r="I105" s="724">
        <v>180</v>
      </c>
      <c r="J105" s="724">
        <v>0</v>
      </c>
      <c r="K105" s="724">
        <v>0</v>
      </c>
      <c r="L105" s="724">
        <v>2018.01</v>
      </c>
      <c r="M105" s="724">
        <v>0</v>
      </c>
      <c r="N105" s="724">
        <v>27</v>
      </c>
      <c r="O105" s="724">
        <v>27</v>
      </c>
      <c r="P105" s="724">
        <v>0</v>
      </c>
      <c r="Q105" s="724">
        <v>0</v>
      </c>
      <c r="R105" s="724">
        <v>0</v>
      </c>
      <c r="S105" s="724">
        <v>27</v>
      </c>
      <c r="T105" s="724">
        <v>0</v>
      </c>
      <c r="U105" s="724">
        <v>0</v>
      </c>
      <c r="V105" s="724">
        <v>0</v>
      </c>
      <c r="W105" s="92" t="s">
        <v>46</v>
      </c>
      <c r="X105" s="92" t="s">
        <v>47</v>
      </c>
      <c r="Y105" s="738">
        <v>90</v>
      </c>
      <c r="Z105" s="738">
        <v>383</v>
      </c>
      <c r="AA105" s="738">
        <v>1</v>
      </c>
      <c r="AB105" s="92"/>
      <c r="AC105" s="92"/>
      <c r="AD105" s="101"/>
      <c r="AE105" s="712"/>
      <c r="AF105" s="601"/>
      <c r="AG105" s="92"/>
    </row>
    <row r="106" s="570" customFormat="1" ht="24.95" customHeight="1" spans="1:33">
      <c r="A106" s="705"/>
      <c r="B106" s="199" t="s">
        <v>69</v>
      </c>
      <c r="C106" s="712" t="s">
        <v>52</v>
      </c>
      <c r="D106" s="713" t="s">
        <v>45</v>
      </c>
      <c r="E106" s="92">
        <v>1</v>
      </c>
      <c r="F106" s="92" t="s">
        <v>69</v>
      </c>
      <c r="G106" s="92"/>
      <c r="H106" s="724">
        <v>180</v>
      </c>
      <c r="I106" s="724">
        <v>180</v>
      </c>
      <c r="J106" s="724">
        <v>0</v>
      </c>
      <c r="K106" s="724">
        <v>0</v>
      </c>
      <c r="L106" s="724">
        <v>2018.01</v>
      </c>
      <c r="M106" s="724">
        <v>0</v>
      </c>
      <c r="N106" s="724">
        <v>27</v>
      </c>
      <c r="O106" s="724">
        <v>27</v>
      </c>
      <c r="P106" s="724">
        <v>0</v>
      </c>
      <c r="Q106" s="724">
        <v>0</v>
      </c>
      <c r="R106" s="724">
        <v>0</v>
      </c>
      <c r="S106" s="724">
        <v>27</v>
      </c>
      <c r="T106" s="724">
        <v>0</v>
      </c>
      <c r="U106" s="724">
        <v>0</v>
      </c>
      <c r="V106" s="724">
        <v>0</v>
      </c>
      <c r="W106" s="92" t="s">
        <v>46</v>
      </c>
      <c r="X106" s="92" t="s">
        <v>47</v>
      </c>
      <c r="Y106" s="738">
        <v>90</v>
      </c>
      <c r="Z106" s="738">
        <v>383</v>
      </c>
      <c r="AA106" s="738">
        <v>1</v>
      </c>
      <c r="AB106" s="92"/>
      <c r="AC106" s="92"/>
      <c r="AD106" s="101"/>
      <c r="AE106" s="712"/>
      <c r="AF106" s="601"/>
      <c r="AG106" s="92"/>
    </row>
    <row r="107" s="570" customFormat="1" ht="24.95" customHeight="1" spans="1:33">
      <c r="A107" s="705"/>
      <c r="B107" s="711" t="s">
        <v>126</v>
      </c>
      <c r="C107" s="713" t="s">
        <v>52</v>
      </c>
      <c r="D107" s="56" t="s">
        <v>45</v>
      </c>
      <c r="E107" s="92">
        <v>1</v>
      </c>
      <c r="F107" s="92" t="s">
        <v>127</v>
      </c>
      <c r="G107" s="92"/>
      <c r="H107" s="724">
        <v>150</v>
      </c>
      <c r="I107" s="724">
        <v>150</v>
      </c>
      <c r="J107" s="724">
        <v>0</v>
      </c>
      <c r="K107" s="724">
        <v>0</v>
      </c>
      <c r="L107" s="724">
        <v>2018.01</v>
      </c>
      <c r="M107" s="724">
        <v>0</v>
      </c>
      <c r="N107" s="724">
        <v>22.5</v>
      </c>
      <c r="O107" s="724">
        <v>22.5</v>
      </c>
      <c r="P107" s="724">
        <v>0</v>
      </c>
      <c r="Q107" s="724">
        <v>0</v>
      </c>
      <c r="R107" s="724">
        <v>0</v>
      </c>
      <c r="S107" s="724">
        <v>22.5</v>
      </c>
      <c r="T107" s="724">
        <v>0</v>
      </c>
      <c r="U107" s="724">
        <v>0</v>
      </c>
      <c r="V107" s="724">
        <v>0</v>
      </c>
      <c r="W107" s="92" t="s">
        <v>46</v>
      </c>
      <c r="X107" s="92" t="s">
        <v>47</v>
      </c>
      <c r="Y107" s="738">
        <v>118</v>
      </c>
      <c r="Z107" s="738">
        <v>556</v>
      </c>
      <c r="AA107" s="738">
        <v>1</v>
      </c>
      <c r="AB107" s="92"/>
      <c r="AC107" s="92"/>
      <c r="AD107" s="141"/>
      <c r="AE107" s="146"/>
      <c r="AF107" s="438"/>
      <c r="AG107" s="92"/>
    </row>
    <row r="108" s="570" customFormat="1" ht="24.95" customHeight="1" spans="1:33">
      <c r="A108" s="705"/>
      <c r="B108" s="199" t="s">
        <v>69</v>
      </c>
      <c r="C108" s="713" t="s">
        <v>52</v>
      </c>
      <c r="D108" s="56" t="s">
        <v>45</v>
      </c>
      <c r="E108" s="92">
        <v>1</v>
      </c>
      <c r="F108" s="92" t="s">
        <v>69</v>
      </c>
      <c r="G108" s="92"/>
      <c r="H108" s="724">
        <v>150</v>
      </c>
      <c r="I108" s="724">
        <v>150</v>
      </c>
      <c r="J108" s="724">
        <v>0</v>
      </c>
      <c r="K108" s="724">
        <v>0</v>
      </c>
      <c r="L108" s="724">
        <v>2018.01</v>
      </c>
      <c r="M108" s="724">
        <v>0</v>
      </c>
      <c r="N108" s="724">
        <v>22.5</v>
      </c>
      <c r="O108" s="724">
        <v>22.5</v>
      </c>
      <c r="P108" s="724">
        <v>0</v>
      </c>
      <c r="Q108" s="724">
        <v>0</v>
      </c>
      <c r="R108" s="724">
        <v>0</v>
      </c>
      <c r="S108" s="724">
        <v>22.5</v>
      </c>
      <c r="T108" s="724">
        <v>0</v>
      </c>
      <c r="U108" s="724">
        <v>0</v>
      </c>
      <c r="V108" s="724">
        <v>0</v>
      </c>
      <c r="W108" s="92" t="s">
        <v>46</v>
      </c>
      <c r="X108" s="92" t="s">
        <v>47</v>
      </c>
      <c r="Y108" s="738">
        <v>118</v>
      </c>
      <c r="Z108" s="738">
        <v>556</v>
      </c>
      <c r="AA108" s="738">
        <v>1</v>
      </c>
      <c r="AB108" s="92"/>
      <c r="AC108" s="92"/>
      <c r="AD108" s="712"/>
      <c r="AE108" s="753"/>
      <c r="AF108" s="601"/>
      <c r="AG108" s="92"/>
    </row>
    <row r="109" s="570" customFormat="1" ht="24.95" customHeight="1" spans="1:33">
      <c r="A109" s="705"/>
      <c r="B109" s="711" t="s">
        <v>128</v>
      </c>
      <c r="C109" s="712" t="s">
        <v>52</v>
      </c>
      <c r="D109" s="713" t="s">
        <v>129</v>
      </c>
      <c r="E109" s="92">
        <v>3</v>
      </c>
      <c r="F109" s="92">
        <v>0</v>
      </c>
      <c r="G109" s="92"/>
      <c r="H109" s="724">
        <v>120</v>
      </c>
      <c r="I109" s="724">
        <v>40</v>
      </c>
      <c r="J109" s="724">
        <v>40</v>
      </c>
      <c r="K109" s="724">
        <v>40</v>
      </c>
      <c r="L109" s="724">
        <v>2018.01</v>
      </c>
      <c r="M109" s="724">
        <v>2020.12</v>
      </c>
      <c r="N109" s="724">
        <v>104.84</v>
      </c>
      <c r="O109" s="724">
        <v>24.84</v>
      </c>
      <c r="P109" s="724">
        <v>40</v>
      </c>
      <c r="Q109" s="724">
        <v>40</v>
      </c>
      <c r="R109" s="724">
        <v>0</v>
      </c>
      <c r="S109" s="724">
        <v>104.84</v>
      </c>
      <c r="T109" s="724">
        <v>0</v>
      </c>
      <c r="U109" s="724">
        <v>0</v>
      </c>
      <c r="V109" s="724">
        <v>0</v>
      </c>
      <c r="W109" s="92" t="s">
        <v>46</v>
      </c>
      <c r="X109" s="92" t="s">
        <v>47</v>
      </c>
      <c r="Y109" s="738">
        <v>399</v>
      </c>
      <c r="Z109" s="738">
        <v>1560</v>
      </c>
      <c r="AA109" s="738">
        <v>3</v>
      </c>
      <c r="AB109" s="92"/>
      <c r="AC109" s="92"/>
      <c r="AD109" s="101" t="s">
        <v>70</v>
      </c>
      <c r="AE109" s="712" t="s">
        <v>71</v>
      </c>
      <c r="AF109" s="438" t="s">
        <v>43</v>
      </c>
      <c r="AG109" s="92"/>
    </row>
    <row r="110" s="570" customFormat="1" ht="24.95" customHeight="1" spans="1:33">
      <c r="A110" s="705"/>
      <c r="B110" s="199" t="s">
        <v>69</v>
      </c>
      <c r="C110" s="712" t="s">
        <v>52</v>
      </c>
      <c r="D110" s="713" t="s">
        <v>129</v>
      </c>
      <c r="E110" s="92">
        <v>3</v>
      </c>
      <c r="F110" s="92" t="s">
        <v>69</v>
      </c>
      <c r="G110" s="92"/>
      <c r="H110" s="724">
        <v>120</v>
      </c>
      <c r="I110" s="724">
        <v>40</v>
      </c>
      <c r="J110" s="724">
        <v>40</v>
      </c>
      <c r="K110" s="724">
        <v>40</v>
      </c>
      <c r="L110" s="724">
        <v>2018.01</v>
      </c>
      <c r="M110" s="724">
        <v>2020.12</v>
      </c>
      <c r="N110" s="724">
        <v>104.84</v>
      </c>
      <c r="O110" s="724">
        <v>24.84</v>
      </c>
      <c r="P110" s="724">
        <v>40</v>
      </c>
      <c r="Q110" s="724">
        <v>40</v>
      </c>
      <c r="R110" s="724">
        <v>0</v>
      </c>
      <c r="S110" s="724">
        <v>104.84</v>
      </c>
      <c r="T110" s="724">
        <v>0</v>
      </c>
      <c r="U110" s="724">
        <v>0</v>
      </c>
      <c r="V110" s="724">
        <v>0</v>
      </c>
      <c r="W110" s="92" t="s">
        <v>46</v>
      </c>
      <c r="X110" s="92" t="s">
        <v>47</v>
      </c>
      <c r="Y110" s="738">
        <v>399</v>
      </c>
      <c r="Z110" s="738">
        <v>1560</v>
      </c>
      <c r="AA110" s="738">
        <v>3</v>
      </c>
      <c r="AB110" s="92"/>
      <c r="AC110" s="92"/>
      <c r="AD110" s="101" t="s">
        <v>70</v>
      </c>
      <c r="AE110" s="712" t="s">
        <v>71</v>
      </c>
      <c r="AF110" s="438" t="s">
        <v>43</v>
      </c>
      <c r="AG110" s="92"/>
    </row>
    <row r="111" s="570" customFormat="1" ht="24.95" customHeight="1" spans="1:33">
      <c r="A111" s="705">
        <v>5</v>
      </c>
      <c r="B111" s="708" t="s">
        <v>130</v>
      </c>
      <c r="C111" s="708"/>
      <c r="D111" s="709" t="s">
        <v>131</v>
      </c>
      <c r="E111" s="92">
        <v>24</v>
      </c>
      <c r="F111" s="92">
        <v>0</v>
      </c>
      <c r="G111" s="92"/>
      <c r="H111" s="724">
        <v>180546</v>
      </c>
      <c r="I111" s="724">
        <v>59230</v>
      </c>
      <c r="J111" s="724">
        <v>60658</v>
      </c>
      <c r="K111" s="724">
        <v>60658</v>
      </c>
      <c r="L111" s="724">
        <v>0</v>
      </c>
      <c r="M111" s="724">
        <v>0</v>
      </c>
      <c r="N111" s="724">
        <v>4143.969</v>
      </c>
      <c r="O111" s="724">
        <v>661.199</v>
      </c>
      <c r="P111" s="724">
        <v>1717.29</v>
      </c>
      <c r="Q111" s="724">
        <v>1765.48</v>
      </c>
      <c r="R111" s="724">
        <v>0</v>
      </c>
      <c r="S111" s="724">
        <v>4143.969</v>
      </c>
      <c r="T111" s="724">
        <v>0</v>
      </c>
      <c r="U111" s="724">
        <v>0</v>
      </c>
      <c r="V111" s="724">
        <v>0</v>
      </c>
      <c r="W111" s="92" t="s">
        <v>46</v>
      </c>
      <c r="X111" s="92" t="s">
        <v>47</v>
      </c>
      <c r="Y111" s="738">
        <v>15082</v>
      </c>
      <c r="Z111" s="738">
        <v>63461.069</v>
      </c>
      <c r="AA111" s="738">
        <v>24</v>
      </c>
      <c r="AB111" s="708"/>
      <c r="AC111" s="708"/>
      <c r="AD111" s="708"/>
      <c r="AE111" s="708"/>
      <c r="AF111" s="708" t="s">
        <v>43</v>
      </c>
      <c r="AG111" s="708"/>
    </row>
    <row r="112" s="570" customFormat="1" ht="43" customHeight="1" spans="1:33">
      <c r="A112" s="705">
        <v>7</v>
      </c>
      <c r="B112" s="92" t="s">
        <v>132</v>
      </c>
      <c r="C112" s="92"/>
      <c r="D112" s="76"/>
      <c r="E112" s="92">
        <v>24</v>
      </c>
      <c r="F112" s="92">
        <v>0</v>
      </c>
      <c r="G112" s="92"/>
      <c r="H112" s="724">
        <v>180546</v>
      </c>
      <c r="I112" s="724">
        <v>59230</v>
      </c>
      <c r="J112" s="724">
        <v>60658</v>
      </c>
      <c r="K112" s="724">
        <v>60658</v>
      </c>
      <c r="L112" s="724">
        <v>0</v>
      </c>
      <c r="M112" s="724">
        <v>0</v>
      </c>
      <c r="N112" s="724">
        <v>4143.969</v>
      </c>
      <c r="O112" s="724">
        <v>661.199</v>
      </c>
      <c r="P112" s="724">
        <v>1717.29</v>
      </c>
      <c r="Q112" s="724">
        <v>1765.48</v>
      </c>
      <c r="R112" s="724">
        <v>0</v>
      </c>
      <c r="S112" s="724">
        <v>4143.969</v>
      </c>
      <c r="T112" s="724">
        <v>0</v>
      </c>
      <c r="U112" s="724">
        <v>0</v>
      </c>
      <c r="V112" s="724">
        <v>0</v>
      </c>
      <c r="W112" s="92" t="s">
        <v>46</v>
      </c>
      <c r="X112" s="92" t="s">
        <v>47</v>
      </c>
      <c r="Y112" s="738">
        <v>15082</v>
      </c>
      <c r="Z112" s="738">
        <v>63461.069</v>
      </c>
      <c r="AA112" s="738">
        <v>24</v>
      </c>
      <c r="AB112" s="92"/>
      <c r="AC112" s="92"/>
      <c r="AD112" s="92"/>
      <c r="AE112" s="92"/>
      <c r="AF112" s="92" t="s">
        <v>43</v>
      </c>
      <c r="AG112" s="92"/>
    </row>
    <row r="113" s="570" customFormat="1" ht="24.95" customHeight="1" spans="1:33">
      <c r="A113" s="705" t="s">
        <v>48</v>
      </c>
      <c r="B113" s="751" t="s">
        <v>133</v>
      </c>
      <c r="C113" s="146" t="s">
        <v>52</v>
      </c>
      <c r="D113" s="434" t="s">
        <v>134</v>
      </c>
      <c r="E113" s="92">
        <v>11</v>
      </c>
      <c r="F113" s="92">
        <v>0</v>
      </c>
      <c r="G113" s="92"/>
      <c r="H113" s="724">
        <v>154031</v>
      </c>
      <c r="I113" s="724">
        <v>49653</v>
      </c>
      <c r="J113" s="724">
        <v>52189</v>
      </c>
      <c r="K113" s="724">
        <v>52189</v>
      </c>
      <c r="L113" s="724">
        <v>0</v>
      </c>
      <c r="M113" s="724">
        <v>0</v>
      </c>
      <c r="N113" s="724">
        <v>3795.6</v>
      </c>
      <c r="O113" s="724">
        <v>393.29</v>
      </c>
      <c r="P113" s="724">
        <v>1670.55</v>
      </c>
      <c r="Q113" s="724">
        <v>1731.76</v>
      </c>
      <c r="R113" s="724">
        <v>0</v>
      </c>
      <c r="S113" s="724">
        <v>3795.6</v>
      </c>
      <c r="T113" s="724">
        <v>0</v>
      </c>
      <c r="U113" s="724">
        <v>0</v>
      </c>
      <c r="V113" s="724">
        <v>0</v>
      </c>
      <c r="W113" s="92" t="s">
        <v>46</v>
      </c>
      <c r="X113" s="92" t="s">
        <v>47</v>
      </c>
      <c r="Y113" s="738">
        <v>13045</v>
      </c>
      <c r="Z113" s="738">
        <v>55409</v>
      </c>
      <c r="AA113" s="738">
        <v>11</v>
      </c>
      <c r="AB113" s="92"/>
      <c r="AC113" s="92"/>
      <c r="AD113" s="141" t="s">
        <v>68</v>
      </c>
      <c r="AE113" s="146" t="s">
        <v>50</v>
      </c>
      <c r="AF113" s="438" t="s">
        <v>43</v>
      </c>
      <c r="AG113" s="92"/>
    </row>
    <row r="114" s="570" customFormat="1" ht="24.95" customHeight="1" spans="1:33">
      <c r="A114" s="705"/>
      <c r="B114" s="714" t="s">
        <v>81</v>
      </c>
      <c r="C114" s="146" t="s">
        <v>52</v>
      </c>
      <c r="D114" s="141" t="s">
        <v>134</v>
      </c>
      <c r="E114" s="92">
        <v>3</v>
      </c>
      <c r="F114" s="92" t="s">
        <v>81</v>
      </c>
      <c r="G114" s="92"/>
      <c r="H114" s="724">
        <v>2334</v>
      </c>
      <c r="I114" s="724">
        <v>778</v>
      </c>
      <c r="J114" s="724">
        <v>778</v>
      </c>
      <c r="K114" s="724">
        <v>778</v>
      </c>
      <c r="L114" s="724">
        <v>2018.01</v>
      </c>
      <c r="M114" s="724">
        <v>2020.12</v>
      </c>
      <c r="N114" s="724">
        <v>122.4</v>
      </c>
      <c r="O114" s="724">
        <v>22.4</v>
      </c>
      <c r="P114" s="724">
        <v>50</v>
      </c>
      <c r="Q114" s="724">
        <v>50</v>
      </c>
      <c r="R114" s="724">
        <v>0</v>
      </c>
      <c r="S114" s="724">
        <v>122.4</v>
      </c>
      <c r="T114" s="724">
        <v>0</v>
      </c>
      <c r="U114" s="724">
        <v>0</v>
      </c>
      <c r="V114" s="724">
        <v>0</v>
      </c>
      <c r="W114" s="92" t="s">
        <v>46</v>
      </c>
      <c r="X114" s="92" t="s">
        <v>47</v>
      </c>
      <c r="Y114" s="738">
        <v>1218</v>
      </c>
      <c r="Z114" s="738">
        <v>5067</v>
      </c>
      <c r="AA114" s="738">
        <v>3</v>
      </c>
      <c r="AB114" s="92"/>
      <c r="AC114" s="92"/>
      <c r="AD114" s="193" t="s">
        <v>82</v>
      </c>
      <c r="AE114" s="146" t="s">
        <v>135</v>
      </c>
      <c r="AF114" s="438" t="s">
        <v>43</v>
      </c>
      <c r="AG114" s="92"/>
    </row>
    <row r="115" s="570" customFormat="1" ht="24.95" customHeight="1" spans="1:33">
      <c r="A115" s="705"/>
      <c r="B115" s="199" t="s">
        <v>75</v>
      </c>
      <c r="C115" s="146" t="s">
        <v>52</v>
      </c>
      <c r="D115" s="141" t="s">
        <v>134</v>
      </c>
      <c r="E115" s="92">
        <v>3</v>
      </c>
      <c r="F115" s="92" t="s">
        <v>75</v>
      </c>
      <c r="G115" s="92"/>
      <c r="H115" s="724">
        <v>20958</v>
      </c>
      <c r="I115" s="724">
        <v>6986</v>
      </c>
      <c r="J115" s="724">
        <v>6986</v>
      </c>
      <c r="K115" s="724">
        <v>6986</v>
      </c>
      <c r="L115" s="724">
        <v>2018.01</v>
      </c>
      <c r="M115" s="724">
        <v>2020.12</v>
      </c>
      <c r="N115" s="724">
        <v>555.41</v>
      </c>
      <c r="O115" s="724">
        <v>170.59</v>
      </c>
      <c r="P115" s="724">
        <v>192.41</v>
      </c>
      <c r="Q115" s="724">
        <v>192.41</v>
      </c>
      <c r="R115" s="724">
        <v>0</v>
      </c>
      <c r="S115" s="724">
        <v>555.41</v>
      </c>
      <c r="T115" s="724">
        <v>0</v>
      </c>
      <c r="U115" s="724">
        <v>0</v>
      </c>
      <c r="V115" s="724">
        <v>0</v>
      </c>
      <c r="W115" s="92" t="s">
        <v>46</v>
      </c>
      <c r="X115" s="92" t="s">
        <v>47</v>
      </c>
      <c r="Y115" s="738">
        <v>1737</v>
      </c>
      <c r="Z115" s="738">
        <v>7638</v>
      </c>
      <c r="AA115" s="738">
        <v>3</v>
      </c>
      <c r="AB115" s="92"/>
      <c r="AC115" s="92"/>
      <c r="AD115" s="146" t="s">
        <v>76</v>
      </c>
      <c r="AE115" s="146" t="s">
        <v>136</v>
      </c>
      <c r="AF115" s="438" t="s">
        <v>43</v>
      </c>
      <c r="AG115" s="92"/>
    </row>
    <row r="116" s="570" customFormat="1" ht="24.95" customHeight="1" spans="1:33">
      <c r="A116" s="705"/>
      <c r="B116" s="714" t="s">
        <v>98</v>
      </c>
      <c r="C116" s="141" t="s">
        <v>52</v>
      </c>
      <c r="D116" s="141" t="s">
        <v>134</v>
      </c>
      <c r="E116" s="92">
        <v>3</v>
      </c>
      <c r="F116" s="92" t="s">
        <v>98</v>
      </c>
      <c r="G116" s="92"/>
      <c r="H116" s="724">
        <v>125667</v>
      </c>
      <c r="I116" s="724">
        <v>41889</v>
      </c>
      <c r="J116" s="724">
        <v>41889</v>
      </c>
      <c r="K116" s="724">
        <v>41889</v>
      </c>
      <c r="L116" s="724">
        <v>2018.01</v>
      </c>
      <c r="M116" s="724">
        <v>2020.12</v>
      </c>
      <c r="N116" s="724">
        <v>2610.59</v>
      </c>
      <c r="O116" s="724">
        <v>200.3</v>
      </c>
      <c r="P116" s="724">
        <v>1174.54</v>
      </c>
      <c r="Q116" s="724">
        <v>1235.75</v>
      </c>
      <c r="R116" s="724">
        <v>0</v>
      </c>
      <c r="S116" s="724">
        <v>2610.59</v>
      </c>
      <c r="T116" s="724">
        <v>0</v>
      </c>
      <c r="U116" s="724">
        <v>0</v>
      </c>
      <c r="V116" s="724">
        <v>0</v>
      </c>
      <c r="W116" s="92" t="s">
        <v>46</v>
      </c>
      <c r="X116" s="92" t="s">
        <v>47</v>
      </c>
      <c r="Y116" s="738">
        <v>6378</v>
      </c>
      <c r="Z116" s="738">
        <v>26706</v>
      </c>
      <c r="AA116" s="738">
        <v>3</v>
      </c>
      <c r="AB116" s="92"/>
      <c r="AC116" s="92"/>
      <c r="AD116" s="146" t="s">
        <v>56</v>
      </c>
      <c r="AE116" s="141" t="s">
        <v>137</v>
      </c>
      <c r="AF116" s="438" t="s">
        <v>43</v>
      </c>
      <c r="AG116" s="92"/>
    </row>
    <row r="117" s="570" customFormat="1" ht="24.95" customHeight="1" spans="1:33">
      <c r="A117" s="705"/>
      <c r="B117" s="199" t="s">
        <v>69</v>
      </c>
      <c r="C117" s="141" t="s">
        <v>52</v>
      </c>
      <c r="D117" s="141" t="s">
        <v>134</v>
      </c>
      <c r="E117" s="92">
        <v>2</v>
      </c>
      <c r="F117" s="92" t="s">
        <v>69</v>
      </c>
      <c r="G117" s="92"/>
      <c r="H117" s="724">
        <v>5072</v>
      </c>
      <c r="I117" s="724">
        <v>0</v>
      </c>
      <c r="J117" s="724">
        <v>2536</v>
      </c>
      <c r="K117" s="724">
        <v>2536</v>
      </c>
      <c r="L117" s="724">
        <v>0</v>
      </c>
      <c r="M117" s="724">
        <v>2020.12</v>
      </c>
      <c r="N117" s="724">
        <v>507.2</v>
      </c>
      <c r="O117" s="724">
        <v>0</v>
      </c>
      <c r="P117" s="724">
        <v>253.6</v>
      </c>
      <c r="Q117" s="724">
        <v>253.6</v>
      </c>
      <c r="R117" s="724">
        <v>0</v>
      </c>
      <c r="S117" s="724">
        <v>507.2</v>
      </c>
      <c r="T117" s="724">
        <v>0</v>
      </c>
      <c r="U117" s="724">
        <v>0</v>
      </c>
      <c r="V117" s="724">
        <v>0</v>
      </c>
      <c r="W117" s="92" t="s">
        <v>46</v>
      </c>
      <c r="X117" s="92" t="s">
        <v>47</v>
      </c>
      <c r="Y117" s="738">
        <v>3712</v>
      </c>
      <c r="Z117" s="738">
        <v>15998</v>
      </c>
      <c r="AA117" s="738">
        <v>2</v>
      </c>
      <c r="AB117" s="92"/>
      <c r="AC117" s="92"/>
      <c r="AD117" s="146" t="s">
        <v>70</v>
      </c>
      <c r="AE117" s="146" t="s">
        <v>138</v>
      </c>
      <c r="AF117" s="438" t="s">
        <v>43</v>
      </c>
      <c r="AG117" s="92"/>
    </row>
    <row r="118" s="570" customFormat="1" ht="24.95" customHeight="1" spans="1:33">
      <c r="A118" s="705"/>
      <c r="B118" s="711" t="s">
        <v>139</v>
      </c>
      <c r="C118" s="146" t="s">
        <v>52</v>
      </c>
      <c r="D118" s="152" t="s">
        <v>140</v>
      </c>
      <c r="E118" s="92">
        <v>3</v>
      </c>
      <c r="F118" s="92">
        <v>0</v>
      </c>
      <c r="G118" s="92"/>
      <c r="H118" s="724">
        <v>22560</v>
      </c>
      <c r="I118" s="724">
        <v>7520</v>
      </c>
      <c r="J118" s="724">
        <v>7520</v>
      </c>
      <c r="K118" s="724">
        <v>7520</v>
      </c>
      <c r="L118" s="724">
        <v>0</v>
      </c>
      <c r="M118" s="724">
        <v>2020.12</v>
      </c>
      <c r="N118" s="724">
        <v>22.56</v>
      </c>
      <c r="O118" s="724">
        <v>8.78</v>
      </c>
      <c r="P118" s="724">
        <v>8.78</v>
      </c>
      <c r="Q118" s="724">
        <v>5</v>
      </c>
      <c r="R118" s="724">
        <v>0</v>
      </c>
      <c r="S118" s="724">
        <v>22.56</v>
      </c>
      <c r="T118" s="724">
        <v>0</v>
      </c>
      <c r="U118" s="724">
        <v>0</v>
      </c>
      <c r="V118" s="724">
        <v>0</v>
      </c>
      <c r="W118" s="92" t="s">
        <v>46</v>
      </c>
      <c r="X118" s="92" t="s">
        <v>47</v>
      </c>
      <c r="Y118" s="738">
        <v>381</v>
      </c>
      <c r="Z118" s="738">
        <v>1503</v>
      </c>
      <c r="AA118" s="738">
        <v>3</v>
      </c>
      <c r="AB118" s="92"/>
      <c r="AC118" s="92"/>
      <c r="AD118" s="141" t="s">
        <v>68</v>
      </c>
      <c r="AE118" s="146" t="s">
        <v>50</v>
      </c>
      <c r="AF118" s="438" t="s">
        <v>43</v>
      </c>
      <c r="AG118" s="92"/>
    </row>
    <row r="119" s="570" customFormat="1" ht="24.95" customHeight="1" spans="1:33">
      <c r="A119" s="705"/>
      <c r="B119" s="714" t="s">
        <v>81</v>
      </c>
      <c r="C119" s="146" t="s">
        <v>52</v>
      </c>
      <c r="D119" s="152" t="s">
        <v>140</v>
      </c>
      <c r="E119" s="92">
        <v>3</v>
      </c>
      <c r="F119" s="92" t="s">
        <v>81</v>
      </c>
      <c r="G119" s="92"/>
      <c r="H119" s="724">
        <v>22560</v>
      </c>
      <c r="I119" s="724">
        <v>7520</v>
      </c>
      <c r="J119" s="724">
        <v>7520</v>
      </c>
      <c r="K119" s="724">
        <v>7520</v>
      </c>
      <c r="L119" s="724">
        <v>2018.01</v>
      </c>
      <c r="M119" s="724">
        <v>2020.12</v>
      </c>
      <c r="N119" s="724">
        <v>22.56</v>
      </c>
      <c r="O119" s="724">
        <v>8.78</v>
      </c>
      <c r="P119" s="724">
        <v>8.78</v>
      </c>
      <c r="Q119" s="724">
        <v>5</v>
      </c>
      <c r="R119" s="724">
        <v>0</v>
      </c>
      <c r="S119" s="724">
        <v>22.56</v>
      </c>
      <c r="T119" s="724">
        <v>0</v>
      </c>
      <c r="U119" s="724">
        <v>0</v>
      </c>
      <c r="V119" s="724">
        <v>0</v>
      </c>
      <c r="W119" s="92" t="s">
        <v>46</v>
      </c>
      <c r="X119" s="92" t="s">
        <v>47</v>
      </c>
      <c r="Y119" s="738">
        <v>381</v>
      </c>
      <c r="Z119" s="738">
        <v>1503</v>
      </c>
      <c r="AA119" s="738">
        <v>3</v>
      </c>
      <c r="AB119" s="92"/>
      <c r="AC119" s="92"/>
      <c r="AD119" s="146" t="s">
        <v>82</v>
      </c>
      <c r="AE119" s="146" t="s">
        <v>135</v>
      </c>
      <c r="AF119" s="438" t="s">
        <v>43</v>
      </c>
      <c r="AG119" s="92"/>
    </row>
    <row r="120" s="570" customFormat="1" ht="24.95" customHeight="1" spans="1:33">
      <c r="A120" s="705"/>
      <c r="B120" s="751" t="s">
        <v>141</v>
      </c>
      <c r="C120" s="146" t="s">
        <v>52</v>
      </c>
      <c r="D120" s="434"/>
      <c r="E120" s="92">
        <v>6</v>
      </c>
      <c r="F120" s="92">
        <v>0</v>
      </c>
      <c r="G120" s="92"/>
      <c r="H120" s="724">
        <v>2755</v>
      </c>
      <c r="I120" s="724">
        <v>857</v>
      </c>
      <c r="J120" s="724">
        <v>949</v>
      </c>
      <c r="K120" s="724">
        <v>949</v>
      </c>
      <c r="L120" s="724">
        <v>0</v>
      </c>
      <c r="M120" s="724">
        <v>0</v>
      </c>
      <c r="N120" s="724">
        <v>99.58</v>
      </c>
      <c r="O120" s="724">
        <v>32.9</v>
      </c>
      <c r="P120" s="724">
        <v>37.96</v>
      </c>
      <c r="Q120" s="724">
        <v>28.72</v>
      </c>
      <c r="R120" s="724">
        <v>0</v>
      </c>
      <c r="S120" s="724">
        <v>99.58</v>
      </c>
      <c r="T120" s="724">
        <v>0</v>
      </c>
      <c r="U120" s="724">
        <v>0</v>
      </c>
      <c r="V120" s="724">
        <v>0</v>
      </c>
      <c r="W120" s="92" t="s">
        <v>46</v>
      </c>
      <c r="X120" s="92" t="s">
        <v>47</v>
      </c>
      <c r="Y120" s="738">
        <v>739</v>
      </c>
      <c r="Z120" s="738">
        <v>2911</v>
      </c>
      <c r="AA120" s="738">
        <v>6</v>
      </c>
      <c r="AB120" s="92"/>
      <c r="AC120" s="92"/>
      <c r="AD120" s="141" t="s">
        <v>68</v>
      </c>
      <c r="AE120" s="146" t="s">
        <v>50</v>
      </c>
      <c r="AF120" s="438" t="s">
        <v>43</v>
      </c>
      <c r="AG120" s="92"/>
    </row>
    <row r="121" s="570" customFormat="1" ht="24.95" customHeight="1" spans="1:33">
      <c r="A121" s="705"/>
      <c r="B121" s="714" t="s">
        <v>81</v>
      </c>
      <c r="C121" s="146" t="s">
        <v>52</v>
      </c>
      <c r="D121" s="152" t="s">
        <v>140</v>
      </c>
      <c r="E121" s="92">
        <v>3</v>
      </c>
      <c r="F121" s="92" t="s">
        <v>81</v>
      </c>
      <c r="G121" s="92"/>
      <c r="H121" s="724">
        <v>2385</v>
      </c>
      <c r="I121" s="724">
        <v>795</v>
      </c>
      <c r="J121" s="724">
        <v>795</v>
      </c>
      <c r="K121" s="724">
        <v>795</v>
      </c>
      <c r="L121" s="724">
        <v>2018.01</v>
      </c>
      <c r="M121" s="724">
        <v>2020.12</v>
      </c>
      <c r="N121" s="724">
        <v>63.6</v>
      </c>
      <c r="O121" s="724">
        <v>27.72</v>
      </c>
      <c r="P121" s="724">
        <v>22.56</v>
      </c>
      <c r="Q121" s="724">
        <v>13.32</v>
      </c>
      <c r="R121" s="724">
        <v>0</v>
      </c>
      <c r="S121" s="724">
        <v>63.6</v>
      </c>
      <c r="T121" s="724">
        <v>0</v>
      </c>
      <c r="U121" s="724">
        <v>0</v>
      </c>
      <c r="V121" s="724">
        <v>0</v>
      </c>
      <c r="W121" s="92" t="s">
        <v>46</v>
      </c>
      <c r="X121" s="92" t="s">
        <v>47</v>
      </c>
      <c r="Y121" s="738">
        <v>573</v>
      </c>
      <c r="Z121" s="738">
        <v>2214</v>
      </c>
      <c r="AA121" s="738">
        <v>3</v>
      </c>
      <c r="AB121" s="92"/>
      <c r="AC121" s="92"/>
      <c r="AD121" s="146" t="s">
        <v>82</v>
      </c>
      <c r="AE121" s="146" t="s">
        <v>135</v>
      </c>
      <c r="AF121" s="438" t="s">
        <v>43</v>
      </c>
      <c r="AG121" s="92"/>
    </row>
    <row r="122" s="570" customFormat="1" ht="24.95" customHeight="1" spans="1:33">
      <c r="A122" s="705"/>
      <c r="B122" s="714" t="s">
        <v>98</v>
      </c>
      <c r="C122" s="146" t="s">
        <v>52</v>
      </c>
      <c r="D122" s="152" t="s">
        <v>140</v>
      </c>
      <c r="E122" s="92">
        <v>1</v>
      </c>
      <c r="F122" s="92" t="s">
        <v>98</v>
      </c>
      <c r="G122" s="92"/>
      <c r="H122" s="724">
        <v>62</v>
      </c>
      <c r="I122" s="724">
        <v>62</v>
      </c>
      <c r="J122" s="724">
        <v>0</v>
      </c>
      <c r="K122" s="724">
        <v>0</v>
      </c>
      <c r="L122" s="724">
        <v>2018.01</v>
      </c>
      <c r="M122" s="724">
        <v>0</v>
      </c>
      <c r="N122" s="724">
        <v>5.18</v>
      </c>
      <c r="O122" s="724">
        <v>5.18</v>
      </c>
      <c r="P122" s="724">
        <v>0</v>
      </c>
      <c r="Q122" s="724">
        <v>0</v>
      </c>
      <c r="R122" s="724">
        <v>0</v>
      </c>
      <c r="S122" s="724">
        <v>5.18</v>
      </c>
      <c r="T122" s="724">
        <v>0</v>
      </c>
      <c r="U122" s="724">
        <v>0</v>
      </c>
      <c r="V122" s="724">
        <v>0</v>
      </c>
      <c r="W122" s="92" t="s">
        <v>46</v>
      </c>
      <c r="X122" s="92" t="s">
        <v>47</v>
      </c>
      <c r="Y122" s="738">
        <v>14</v>
      </c>
      <c r="Z122" s="738">
        <v>67</v>
      </c>
      <c r="AA122" s="738">
        <v>1</v>
      </c>
      <c r="AB122" s="92"/>
      <c r="AC122" s="92"/>
      <c r="AD122" s="146"/>
      <c r="AE122" s="141"/>
      <c r="AF122" s="438"/>
      <c r="AG122" s="92"/>
    </row>
    <row r="123" s="570" customFormat="1" ht="24.95" customHeight="1" spans="1:33">
      <c r="A123" s="705"/>
      <c r="B123" s="199" t="s">
        <v>69</v>
      </c>
      <c r="C123" s="146" t="s">
        <v>52</v>
      </c>
      <c r="D123" s="152" t="s">
        <v>140</v>
      </c>
      <c r="E123" s="92">
        <v>2</v>
      </c>
      <c r="F123" s="92" t="s">
        <v>69</v>
      </c>
      <c r="G123" s="92"/>
      <c r="H123" s="724">
        <v>308</v>
      </c>
      <c r="I123" s="724">
        <v>0</v>
      </c>
      <c r="J123" s="724">
        <v>154</v>
      </c>
      <c r="K123" s="724">
        <v>154</v>
      </c>
      <c r="L123" s="724">
        <v>0</v>
      </c>
      <c r="M123" s="724">
        <v>2020.12</v>
      </c>
      <c r="N123" s="724">
        <v>30.8</v>
      </c>
      <c r="O123" s="724">
        <v>0</v>
      </c>
      <c r="P123" s="724">
        <v>15.4</v>
      </c>
      <c r="Q123" s="724">
        <v>15.4</v>
      </c>
      <c r="R123" s="724">
        <v>0</v>
      </c>
      <c r="S123" s="724">
        <v>30.8</v>
      </c>
      <c r="T123" s="724">
        <v>0</v>
      </c>
      <c r="U123" s="724">
        <v>0</v>
      </c>
      <c r="V123" s="724">
        <v>0</v>
      </c>
      <c r="W123" s="92" t="s">
        <v>46</v>
      </c>
      <c r="X123" s="92" t="s">
        <v>47</v>
      </c>
      <c r="Y123" s="738">
        <v>152</v>
      </c>
      <c r="Z123" s="738">
        <v>630</v>
      </c>
      <c r="AA123" s="738">
        <v>2</v>
      </c>
      <c r="AB123" s="92"/>
      <c r="AC123" s="92"/>
      <c r="AD123" s="146" t="s">
        <v>70</v>
      </c>
      <c r="AE123" s="146" t="s">
        <v>138</v>
      </c>
      <c r="AF123" s="438" t="s">
        <v>43</v>
      </c>
      <c r="AG123" s="92"/>
    </row>
    <row r="124" s="570" customFormat="1" ht="24.95" customHeight="1" spans="1:33">
      <c r="A124" s="705"/>
      <c r="B124" s="750" t="s">
        <v>142</v>
      </c>
      <c r="C124" s="141" t="s">
        <v>52</v>
      </c>
      <c r="D124" s="141" t="s">
        <v>134</v>
      </c>
      <c r="E124" s="92">
        <v>3</v>
      </c>
      <c r="F124" s="92">
        <v>0</v>
      </c>
      <c r="G124" s="92"/>
      <c r="H124" s="724">
        <v>858</v>
      </c>
      <c r="I124" s="724">
        <v>858</v>
      </c>
      <c r="J124" s="724">
        <v>0</v>
      </c>
      <c r="K124" s="724">
        <v>0</v>
      </c>
      <c r="L124" s="724">
        <v>0</v>
      </c>
      <c r="M124" s="724">
        <v>0</v>
      </c>
      <c r="N124" s="724">
        <v>192.029</v>
      </c>
      <c r="O124" s="724">
        <v>192.029</v>
      </c>
      <c r="P124" s="724">
        <v>0</v>
      </c>
      <c r="Q124" s="724">
        <v>0</v>
      </c>
      <c r="R124" s="724">
        <v>0</v>
      </c>
      <c r="S124" s="724">
        <v>192.029</v>
      </c>
      <c r="T124" s="724">
        <v>0</v>
      </c>
      <c r="U124" s="724">
        <v>0</v>
      </c>
      <c r="V124" s="724">
        <v>0</v>
      </c>
      <c r="W124" s="92" t="s">
        <v>46</v>
      </c>
      <c r="X124" s="92" t="s">
        <v>47</v>
      </c>
      <c r="Y124" s="738">
        <v>746</v>
      </c>
      <c r="Z124" s="738">
        <v>2909.069</v>
      </c>
      <c r="AA124" s="738">
        <v>3</v>
      </c>
      <c r="AB124" s="92"/>
      <c r="AC124" s="92"/>
      <c r="AD124" s="141"/>
      <c r="AE124" s="146"/>
      <c r="AF124" s="438"/>
      <c r="AG124" s="92"/>
    </row>
    <row r="125" s="570" customFormat="1" ht="24.95" customHeight="1" spans="1:33">
      <c r="A125" s="705"/>
      <c r="B125" s="714" t="s">
        <v>143</v>
      </c>
      <c r="C125" s="146" t="s">
        <v>52</v>
      </c>
      <c r="D125" s="152" t="s">
        <v>134</v>
      </c>
      <c r="E125" s="92">
        <v>1</v>
      </c>
      <c r="F125" s="92" t="s">
        <v>143</v>
      </c>
      <c r="G125" s="92"/>
      <c r="H125" s="724">
        <v>106</v>
      </c>
      <c r="I125" s="724">
        <v>106</v>
      </c>
      <c r="J125" s="724">
        <v>0</v>
      </c>
      <c r="K125" s="724">
        <v>0</v>
      </c>
      <c r="L125" s="724">
        <v>2018.01</v>
      </c>
      <c r="M125" s="724">
        <v>0</v>
      </c>
      <c r="N125" s="724">
        <v>17.069</v>
      </c>
      <c r="O125" s="724">
        <v>17.069</v>
      </c>
      <c r="P125" s="724">
        <v>0</v>
      </c>
      <c r="Q125" s="724">
        <v>0</v>
      </c>
      <c r="R125" s="724">
        <v>0</v>
      </c>
      <c r="S125" s="724">
        <v>17.069</v>
      </c>
      <c r="T125" s="724">
        <v>0</v>
      </c>
      <c r="U125" s="724">
        <v>0</v>
      </c>
      <c r="V125" s="724">
        <v>0</v>
      </c>
      <c r="W125" s="92" t="s">
        <v>46</v>
      </c>
      <c r="X125" s="92" t="s">
        <v>47</v>
      </c>
      <c r="Y125" s="738">
        <v>33</v>
      </c>
      <c r="Z125" s="738">
        <v>17.069</v>
      </c>
      <c r="AA125" s="738">
        <v>1</v>
      </c>
      <c r="AB125" s="92"/>
      <c r="AC125" s="92"/>
      <c r="AD125" s="141"/>
      <c r="AE125" s="146"/>
      <c r="AF125" s="438"/>
      <c r="AG125" s="92"/>
    </row>
    <row r="126" s="570" customFormat="1" ht="24.95" customHeight="1" spans="1:33">
      <c r="A126" s="705"/>
      <c r="B126" s="714" t="s">
        <v>81</v>
      </c>
      <c r="C126" s="146" t="s">
        <v>52</v>
      </c>
      <c r="D126" s="152" t="s">
        <v>134</v>
      </c>
      <c r="E126" s="92">
        <v>1</v>
      </c>
      <c r="F126" s="92" t="s">
        <v>81</v>
      </c>
      <c r="G126" s="92"/>
      <c r="H126" s="724">
        <v>176</v>
      </c>
      <c r="I126" s="724">
        <v>176</v>
      </c>
      <c r="J126" s="724">
        <v>0</v>
      </c>
      <c r="K126" s="724">
        <v>0</v>
      </c>
      <c r="L126" s="724">
        <v>2018.01</v>
      </c>
      <c r="M126" s="724">
        <v>0</v>
      </c>
      <c r="N126" s="724">
        <v>31</v>
      </c>
      <c r="O126" s="724">
        <v>31</v>
      </c>
      <c r="P126" s="724">
        <v>0</v>
      </c>
      <c r="Q126" s="724">
        <v>0</v>
      </c>
      <c r="R126" s="724">
        <v>0</v>
      </c>
      <c r="S126" s="724">
        <v>31</v>
      </c>
      <c r="T126" s="724">
        <v>0</v>
      </c>
      <c r="U126" s="724">
        <v>0</v>
      </c>
      <c r="V126" s="724">
        <v>0</v>
      </c>
      <c r="W126" s="92" t="s">
        <v>46</v>
      </c>
      <c r="X126" s="92" t="s">
        <v>47</v>
      </c>
      <c r="Y126" s="738">
        <v>151</v>
      </c>
      <c r="Z126" s="738">
        <v>600</v>
      </c>
      <c r="AA126" s="738">
        <v>1</v>
      </c>
      <c r="AB126" s="92"/>
      <c r="AC126" s="92"/>
      <c r="AD126" s="146"/>
      <c r="AE126" s="146"/>
      <c r="AF126" s="438"/>
      <c r="AG126" s="92"/>
    </row>
    <row r="127" s="570" customFormat="1" ht="24.95" customHeight="1" spans="1:33">
      <c r="A127" s="705"/>
      <c r="B127" s="714" t="s">
        <v>98</v>
      </c>
      <c r="C127" s="146" t="s">
        <v>52</v>
      </c>
      <c r="D127" s="152" t="s">
        <v>134</v>
      </c>
      <c r="E127" s="92">
        <v>1</v>
      </c>
      <c r="F127" s="92" t="s">
        <v>98</v>
      </c>
      <c r="G127" s="92"/>
      <c r="H127" s="724">
        <v>576</v>
      </c>
      <c r="I127" s="724">
        <v>576</v>
      </c>
      <c r="J127" s="724">
        <v>0</v>
      </c>
      <c r="K127" s="724">
        <v>0</v>
      </c>
      <c r="L127" s="724">
        <v>2018.01</v>
      </c>
      <c r="M127" s="724">
        <v>0</v>
      </c>
      <c r="N127" s="724">
        <v>143.96</v>
      </c>
      <c r="O127" s="724">
        <v>143.96</v>
      </c>
      <c r="P127" s="724">
        <v>0</v>
      </c>
      <c r="Q127" s="724">
        <v>0</v>
      </c>
      <c r="R127" s="724">
        <v>0</v>
      </c>
      <c r="S127" s="724">
        <v>143.96</v>
      </c>
      <c r="T127" s="724">
        <v>0</v>
      </c>
      <c r="U127" s="724">
        <v>0</v>
      </c>
      <c r="V127" s="724">
        <v>0</v>
      </c>
      <c r="W127" s="92" t="s">
        <v>46</v>
      </c>
      <c r="X127" s="92" t="s">
        <v>47</v>
      </c>
      <c r="Y127" s="738">
        <v>562</v>
      </c>
      <c r="Z127" s="738">
        <v>2292</v>
      </c>
      <c r="AA127" s="738">
        <v>1</v>
      </c>
      <c r="AB127" s="92"/>
      <c r="AC127" s="92"/>
      <c r="AD127" s="146"/>
      <c r="AE127" s="141"/>
      <c r="AF127" s="438"/>
      <c r="AG127" s="92"/>
    </row>
    <row r="128" s="570" customFormat="1" ht="24.95" customHeight="1" spans="1:33">
      <c r="A128" s="705"/>
      <c r="B128" s="750" t="s">
        <v>144</v>
      </c>
      <c r="C128" s="141" t="s">
        <v>52</v>
      </c>
      <c r="D128" s="434" t="s">
        <v>145</v>
      </c>
      <c r="E128" s="92">
        <v>1</v>
      </c>
      <c r="F128" s="92">
        <v>0</v>
      </c>
      <c r="G128" s="92"/>
      <c r="H128" s="724">
        <v>342</v>
      </c>
      <c r="I128" s="724">
        <v>342</v>
      </c>
      <c r="J128" s="724">
        <v>0</v>
      </c>
      <c r="K128" s="724">
        <v>0</v>
      </c>
      <c r="L128" s="724">
        <v>0</v>
      </c>
      <c r="M128" s="724">
        <v>0</v>
      </c>
      <c r="N128" s="724">
        <v>34.2</v>
      </c>
      <c r="O128" s="724">
        <v>34.2</v>
      </c>
      <c r="P128" s="724">
        <v>0</v>
      </c>
      <c r="Q128" s="724">
        <v>0</v>
      </c>
      <c r="R128" s="724">
        <v>0</v>
      </c>
      <c r="S128" s="724">
        <v>34.2</v>
      </c>
      <c r="T128" s="724">
        <v>0</v>
      </c>
      <c r="U128" s="724">
        <v>0</v>
      </c>
      <c r="V128" s="724">
        <v>0</v>
      </c>
      <c r="W128" s="92" t="s">
        <v>46</v>
      </c>
      <c r="X128" s="92" t="s">
        <v>47</v>
      </c>
      <c r="Y128" s="738">
        <v>171</v>
      </c>
      <c r="Z128" s="738">
        <v>729</v>
      </c>
      <c r="AA128" s="738">
        <v>1</v>
      </c>
      <c r="AB128" s="92"/>
      <c r="AC128" s="92"/>
      <c r="AD128" s="141"/>
      <c r="AE128" s="146"/>
      <c r="AF128" s="438"/>
      <c r="AG128" s="92"/>
    </row>
    <row r="129" s="570" customFormat="1" ht="24.95" customHeight="1" spans="1:33">
      <c r="A129" s="705"/>
      <c r="B129" s="714" t="s">
        <v>72</v>
      </c>
      <c r="C129" s="141" t="s">
        <v>52</v>
      </c>
      <c r="D129" s="434" t="s">
        <v>145</v>
      </c>
      <c r="E129" s="92">
        <v>1</v>
      </c>
      <c r="F129" s="92" t="s">
        <v>72</v>
      </c>
      <c r="G129" s="92"/>
      <c r="H129" s="724">
        <v>342</v>
      </c>
      <c r="I129" s="724">
        <v>342</v>
      </c>
      <c r="J129" s="724">
        <v>0</v>
      </c>
      <c r="K129" s="724">
        <v>0</v>
      </c>
      <c r="L129" s="724">
        <v>2018.01</v>
      </c>
      <c r="M129" s="724">
        <v>0</v>
      </c>
      <c r="N129" s="724">
        <v>34.2</v>
      </c>
      <c r="O129" s="724">
        <v>34.2</v>
      </c>
      <c r="P129" s="724">
        <v>0</v>
      </c>
      <c r="Q129" s="724">
        <v>0</v>
      </c>
      <c r="R129" s="724">
        <v>0</v>
      </c>
      <c r="S129" s="724">
        <v>34.2</v>
      </c>
      <c r="T129" s="724">
        <v>0</v>
      </c>
      <c r="U129" s="724">
        <v>0</v>
      </c>
      <c r="V129" s="724">
        <v>0</v>
      </c>
      <c r="W129" s="92" t="s">
        <v>46</v>
      </c>
      <c r="X129" s="92" t="s">
        <v>47</v>
      </c>
      <c r="Y129" s="738">
        <v>171</v>
      </c>
      <c r="Z129" s="738">
        <v>729</v>
      </c>
      <c r="AA129" s="738">
        <v>1</v>
      </c>
      <c r="AB129" s="92"/>
      <c r="AC129" s="92"/>
      <c r="AD129" s="146"/>
      <c r="AE129" s="438"/>
      <c r="AF129" s="438"/>
      <c r="AG129" s="92"/>
    </row>
    <row r="130" s="570" customFormat="1" ht="48" spans="1:33">
      <c r="A130" s="705">
        <v>8</v>
      </c>
      <c r="B130" s="708" t="s">
        <v>146</v>
      </c>
      <c r="C130" s="708"/>
      <c r="D130" s="709" t="s">
        <v>147</v>
      </c>
      <c r="E130" s="92">
        <v>0</v>
      </c>
      <c r="F130" s="92">
        <v>0</v>
      </c>
      <c r="G130" s="92"/>
      <c r="H130" s="724">
        <v>0</v>
      </c>
      <c r="I130" s="724">
        <v>0</v>
      </c>
      <c r="J130" s="724">
        <v>0</v>
      </c>
      <c r="K130" s="724">
        <v>0</v>
      </c>
      <c r="L130" s="724">
        <v>0</v>
      </c>
      <c r="M130" s="724">
        <v>0</v>
      </c>
      <c r="N130" s="724">
        <v>0</v>
      </c>
      <c r="O130" s="724">
        <v>0</v>
      </c>
      <c r="P130" s="724">
        <v>0</v>
      </c>
      <c r="Q130" s="724">
        <v>0</v>
      </c>
      <c r="R130" s="724">
        <v>0</v>
      </c>
      <c r="S130" s="724">
        <v>0</v>
      </c>
      <c r="T130" s="724">
        <v>0</v>
      </c>
      <c r="U130" s="724">
        <v>0</v>
      </c>
      <c r="V130" s="724">
        <v>0</v>
      </c>
      <c r="W130" s="92">
        <v>0</v>
      </c>
      <c r="X130" s="92">
        <v>0</v>
      </c>
      <c r="Y130" s="738">
        <v>0</v>
      </c>
      <c r="Z130" s="738">
        <v>0</v>
      </c>
      <c r="AA130" s="738">
        <v>0</v>
      </c>
      <c r="AB130" s="708"/>
      <c r="AC130" s="708"/>
      <c r="AD130" s="708"/>
      <c r="AE130" s="708"/>
      <c r="AF130" s="708"/>
      <c r="AG130" s="708"/>
    </row>
    <row r="131" s="570" customFormat="1" ht="24.95" customHeight="1" spans="1:33">
      <c r="A131" s="705" t="s">
        <v>48</v>
      </c>
      <c r="B131" s="92" t="s">
        <v>148</v>
      </c>
      <c r="C131" s="92"/>
      <c r="D131" s="76"/>
      <c r="E131" s="92">
        <v>0</v>
      </c>
      <c r="F131" s="92">
        <v>0</v>
      </c>
      <c r="G131" s="92"/>
      <c r="H131" s="724">
        <v>0</v>
      </c>
      <c r="I131" s="724">
        <v>0</v>
      </c>
      <c r="J131" s="724">
        <v>0</v>
      </c>
      <c r="K131" s="724">
        <v>0</v>
      </c>
      <c r="L131" s="724">
        <v>0</v>
      </c>
      <c r="M131" s="724">
        <v>0</v>
      </c>
      <c r="N131" s="724">
        <v>0</v>
      </c>
      <c r="O131" s="724">
        <v>0</v>
      </c>
      <c r="P131" s="724">
        <v>0</v>
      </c>
      <c r="Q131" s="724">
        <v>0</v>
      </c>
      <c r="R131" s="724">
        <v>0</v>
      </c>
      <c r="S131" s="724">
        <v>0</v>
      </c>
      <c r="T131" s="724">
        <v>0</v>
      </c>
      <c r="U131" s="724">
        <v>0</v>
      </c>
      <c r="V131" s="724">
        <v>0</v>
      </c>
      <c r="W131" s="92" t="s">
        <v>46</v>
      </c>
      <c r="X131" s="92" t="s">
        <v>47</v>
      </c>
      <c r="Y131" s="738">
        <v>0</v>
      </c>
      <c r="Z131" s="738">
        <v>0</v>
      </c>
      <c r="AA131" s="738">
        <v>0</v>
      </c>
      <c r="AB131" s="92"/>
      <c r="AC131" s="92"/>
      <c r="AD131" s="92"/>
      <c r="AE131" s="92"/>
      <c r="AF131" s="92"/>
      <c r="AG131" s="92"/>
    </row>
    <row r="132" s="570" customFormat="1" ht="52" customHeight="1" spans="1:33">
      <c r="A132" s="705">
        <v>9</v>
      </c>
      <c r="B132" s="708" t="s">
        <v>149</v>
      </c>
      <c r="C132" s="708"/>
      <c r="D132" s="709" t="s">
        <v>150</v>
      </c>
      <c r="E132" s="92">
        <v>171</v>
      </c>
      <c r="F132" s="92">
        <v>0</v>
      </c>
      <c r="G132" s="92"/>
      <c r="H132" s="724">
        <v>171</v>
      </c>
      <c r="I132" s="724">
        <v>86</v>
      </c>
      <c r="J132" s="724">
        <v>80</v>
      </c>
      <c r="K132" s="724">
        <v>5</v>
      </c>
      <c r="L132" s="724">
        <v>0</v>
      </c>
      <c r="M132" s="724">
        <v>0</v>
      </c>
      <c r="N132" s="724">
        <v>4375</v>
      </c>
      <c r="O132" s="724">
        <v>3180</v>
      </c>
      <c r="P132" s="724">
        <v>1127.5</v>
      </c>
      <c r="Q132" s="724">
        <v>67.5</v>
      </c>
      <c r="R132" s="724">
        <v>0</v>
      </c>
      <c r="S132" s="724">
        <v>2955</v>
      </c>
      <c r="T132" s="724">
        <v>0</v>
      </c>
      <c r="U132" s="724">
        <v>1420</v>
      </c>
      <c r="V132" s="724">
        <v>0</v>
      </c>
      <c r="W132" s="92" t="s">
        <v>46</v>
      </c>
      <c r="X132" s="92" t="s">
        <v>47</v>
      </c>
      <c r="Y132" s="738">
        <v>12034</v>
      </c>
      <c r="Z132" s="738">
        <v>47752</v>
      </c>
      <c r="AA132" s="738">
        <v>171</v>
      </c>
      <c r="AB132" s="708"/>
      <c r="AC132" s="708"/>
      <c r="AD132" s="141" t="s">
        <v>68</v>
      </c>
      <c r="AE132" s="146" t="s">
        <v>50</v>
      </c>
      <c r="AF132" s="438" t="s">
        <v>43</v>
      </c>
      <c r="AG132" s="708" t="s">
        <v>41</v>
      </c>
    </row>
    <row r="133" s="570" customFormat="1" ht="38" customHeight="1" spans="1:33">
      <c r="A133" s="705"/>
      <c r="B133" s="199" t="s">
        <v>69</v>
      </c>
      <c r="C133" s="146" t="s">
        <v>52</v>
      </c>
      <c r="D133" s="152" t="s">
        <v>150</v>
      </c>
      <c r="E133" s="92">
        <v>4</v>
      </c>
      <c r="F133" s="92" t="s">
        <v>69</v>
      </c>
      <c r="G133" s="92"/>
      <c r="H133" s="724">
        <v>4</v>
      </c>
      <c r="I133" s="724">
        <v>2</v>
      </c>
      <c r="J133" s="724">
        <v>2</v>
      </c>
      <c r="K133" s="724">
        <v>0</v>
      </c>
      <c r="L133" s="724">
        <v>2018.01</v>
      </c>
      <c r="M133" s="724">
        <v>0</v>
      </c>
      <c r="N133" s="724">
        <v>100</v>
      </c>
      <c r="O133" s="724">
        <v>40</v>
      </c>
      <c r="P133" s="724">
        <v>60</v>
      </c>
      <c r="Q133" s="724">
        <v>0</v>
      </c>
      <c r="R133" s="724">
        <v>0</v>
      </c>
      <c r="S133" s="724">
        <v>80</v>
      </c>
      <c r="T133" s="724">
        <v>0</v>
      </c>
      <c r="U133" s="724">
        <v>20</v>
      </c>
      <c r="V133" s="724">
        <v>0</v>
      </c>
      <c r="W133" s="92" t="s">
        <v>46</v>
      </c>
      <c r="X133" s="92" t="s">
        <v>47</v>
      </c>
      <c r="Y133" s="738">
        <v>146</v>
      </c>
      <c r="Z133" s="738">
        <v>676</v>
      </c>
      <c r="AA133" s="738">
        <v>4</v>
      </c>
      <c r="AB133" s="708"/>
      <c r="AC133" s="708"/>
      <c r="AD133" s="146" t="s">
        <v>70</v>
      </c>
      <c r="AE133" s="146" t="s">
        <v>138</v>
      </c>
      <c r="AF133" s="146" t="s">
        <v>43</v>
      </c>
      <c r="AG133" s="708"/>
    </row>
    <row r="134" s="570" customFormat="1" ht="38" customHeight="1" spans="1:33">
      <c r="A134" s="705"/>
      <c r="B134" s="714" t="s">
        <v>151</v>
      </c>
      <c r="C134" s="146" t="s">
        <v>52</v>
      </c>
      <c r="D134" s="152" t="s">
        <v>150</v>
      </c>
      <c r="E134" s="92">
        <v>4</v>
      </c>
      <c r="F134" s="92" t="s">
        <v>151</v>
      </c>
      <c r="G134" s="92"/>
      <c r="H134" s="724">
        <v>4</v>
      </c>
      <c r="I134" s="724">
        <v>2</v>
      </c>
      <c r="J134" s="724">
        <v>2</v>
      </c>
      <c r="K134" s="724">
        <v>0</v>
      </c>
      <c r="L134" s="724">
        <v>2018.01</v>
      </c>
      <c r="M134" s="724">
        <v>0</v>
      </c>
      <c r="N134" s="724">
        <v>670</v>
      </c>
      <c r="O134" s="724">
        <v>570</v>
      </c>
      <c r="P134" s="724">
        <v>100</v>
      </c>
      <c r="Q134" s="724">
        <v>0</v>
      </c>
      <c r="R134" s="724">
        <v>0</v>
      </c>
      <c r="S134" s="724">
        <v>670</v>
      </c>
      <c r="T134" s="724">
        <v>0</v>
      </c>
      <c r="U134" s="724">
        <v>0</v>
      </c>
      <c r="V134" s="724">
        <v>0</v>
      </c>
      <c r="W134" s="92" t="s">
        <v>46</v>
      </c>
      <c r="X134" s="92" t="s">
        <v>47</v>
      </c>
      <c r="Y134" s="738">
        <v>3520</v>
      </c>
      <c r="Z134" s="738">
        <v>14538</v>
      </c>
      <c r="AA134" s="738">
        <v>4</v>
      </c>
      <c r="AB134" s="708"/>
      <c r="AC134" s="708"/>
      <c r="AD134" s="743" t="s">
        <v>152</v>
      </c>
      <c r="AE134" s="146" t="s">
        <v>153</v>
      </c>
      <c r="AF134" s="146" t="s">
        <v>43</v>
      </c>
      <c r="AG134" s="708"/>
    </row>
    <row r="135" s="570" customFormat="1" ht="38" customHeight="1" spans="1:33">
      <c r="A135" s="705"/>
      <c r="B135" s="714" t="s">
        <v>154</v>
      </c>
      <c r="C135" s="146" t="s">
        <v>52</v>
      </c>
      <c r="D135" s="152" t="s">
        <v>150</v>
      </c>
      <c r="E135" s="92">
        <v>28</v>
      </c>
      <c r="F135" s="92" t="s">
        <v>154</v>
      </c>
      <c r="G135" s="92"/>
      <c r="H135" s="724">
        <v>28</v>
      </c>
      <c r="I135" s="724">
        <v>14</v>
      </c>
      <c r="J135" s="724">
        <v>14</v>
      </c>
      <c r="K135" s="724">
        <v>0</v>
      </c>
      <c r="L135" s="724">
        <v>2018.01</v>
      </c>
      <c r="M135" s="724">
        <v>0</v>
      </c>
      <c r="N135" s="724">
        <v>420</v>
      </c>
      <c r="O135" s="724">
        <v>300</v>
      </c>
      <c r="P135" s="724">
        <v>120</v>
      </c>
      <c r="Q135" s="724">
        <v>0</v>
      </c>
      <c r="R135" s="724">
        <v>0</v>
      </c>
      <c r="S135" s="724">
        <v>360</v>
      </c>
      <c r="T135" s="724">
        <v>0</v>
      </c>
      <c r="U135" s="724">
        <v>60</v>
      </c>
      <c r="V135" s="724">
        <v>0</v>
      </c>
      <c r="W135" s="92" t="s">
        <v>46</v>
      </c>
      <c r="X135" s="92" t="s">
        <v>47</v>
      </c>
      <c r="Y135" s="738">
        <v>456</v>
      </c>
      <c r="Z135" s="738">
        <v>1770</v>
      </c>
      <c r="AA135" s="738">
        <v>28</v>
      </c>
      <c r="AB135" s="708"/>
      <c r="AC135" s="708"/>
      <c r="AD135" s="146" t="s">
        <v>73</v>
      </c>
      <c r="AE135" s="438" t="s">
        <v>74</v>
      </c>
      <c r="AF135" s="146" t="s">
        <v>43</v>
      </c>
      <c r="AG135" s="708"/>
    </row>
    <row r="136" s="570" customFormat="1" ht="38" customHeight="1" spans="1:33">
      <c r="A136" s="705"/>
      <c r="B136" s="714" t="s">
        <v>81</v>
      </c>
      <c r="C136" s="146" t="s">
        <v>52</v>
      </c>
      <c r="D136" s="152" t="s">
        <v>150</v>
      </c>
      <c r="E136" s="92">
        <v>22</v>
      </c>
      <c r="F136" s="92" t="s">
        <v>81</v>
      </c>
      <c r="G136" s="92"/>
      <c r="H136" s="724">
        <v>22</v>
      </c>
      <c r="I136" s="724">
        <v>11</v>
      </c>
      <c r="J136" s="724">
        <v>11</v>
      </c>
      <c r="K136" s="724">
        <v>0</v>
      </c>
      <c r="L136" s="724">
        <v>2018.01</v>
      </c>
      <c r="M136" s="724">
        <v>0</v>
      </c>
      <c r="N136" s="724">
        <v>220</v>
      </c>
      <c r="O136" s="724">
        <v>220</v>
      </c>
      <c r="P136" s="724">
        <v>0</v>
      </c>
      <c r="Q136" s="724">
        <v>0</v>
      </c>
      <c r="R136" s="724">
        <v>0</v>
      </c>
      <c r="S136" s="724">
        <v>140</v>
      </c>
      <c r="T136" s="724">
        <v>0</v>
      </c>
      <c r="U136" s="724">
        <v>80</v>
      </c>
      <c r="V136" s="724">
        <v>0</v>
      </c>
      <c r="W136" s="92" t="s">
        <v>46</v>
      </c>
      <c r="X136" s="92" t="s">
        <v>47</v>
      </c>
      <c r="Y136" s="738">
        <v>3954</v>
      </c>
      <c r="Z136" s="738">
        <v>15352</v>
      </c>
      <c r="AA136" s="738">
        <v>22</v>
      </c>
      <c r="AB136" s="708"/>
      <c r="AC136" s="708"/>
      <c r="AD136" s="146" t="s">
        <v>82</v>
      </c>
      <c r="AE136" s="146" t="s">
        <v>135</v>
      </c>
      <c r="AF136" s="146" t="s">
        <v>43</v>
      </c>
      <c r="AG136" s="708"/>
    </row>
    <row r="137" s="570" customFormat="1" ht="38" customHeight="1" spans="1:33">
      <c r="A137" s="705"/>
      <c r="B137" s="714" t="s">
        <v>98</v>
      </c>
      <c r="C137" s="146" t="s">
        <v>52</v>
      </c>
      <c r="D137" s="152" t="s">
        <v>150</v>
      </c>
      <c r="E137" s="92">
        <v>18</v>
      </c>
      <c r="F137" s="92" t="s">
        <v>98</v>
      </c>
      <c r="G137" s="92"/>
      <c r="H137" s="724">
        <v>18</v>
      </c>
      <c r="I137" s="724">
        <v>9</v>
      </c>
      <c r="J137" s="724">
        <v>9</v>
      </c>
      <c r="K137" s="724">
        <v>0</v>
      </c>
      <c r="L137" s="724">
        <v>2018.01</v>
      </c>
      <c r="M137" s="724">
        <v>0</v>
      </c>
      <c r="N137" s="724">
        <v>370</v>
      </c>
      <c r="O137" s="724">
        <v>310</v>
      </c>
      <c r="P137" s="724">
        <v>60</v>
      </c>
      <c r="Q137" s="724">
        <v>0</v>
      </c>
      <c r="R137" s="724">
        <v>0</v>
      </c>
      <c r="S137" s="724">
        <v>310</v>
      </c>
      <c r="T137" s="724">
        <v>0</v>
      </c>
      <c r="U137" s="724">
        <v>60</v>
      </c>
      <c r="V137" s="724">
        <v>0</v>
      </c>
      <c r="W137" s="92" t="s">
        <v>46</v>
      </c>
      <c r="X137" s="92" t="s">
        <v>47</v>
      </c>
      <c r="Y137" s="738">
        <v>720</v>
      </c>
      <c r="Z137" s="738">
        <v>3230</v>
      </c>
      <c r="AA137" s="738">
        <v>18</v>
      </c>
      <c r="AB137" s="708"/>
      <c r="AC137" s="708"/>
      <c r="AD137" s="146" t="s">
        <v>56</v>
      </c>
      <c r="AE137" s="146" t="s">
        <v>137</v>
      </c>
      <c r="AF137" s="146" t="s">
        <v>43</v>
      </c>
      <c r="AG137" s="708"/>
    </row>
    <row r="138" s="570" customFormat="1" ht="38" customHeight="1" spans="1:33">
      <c r="A138" s="705"/>
      <c r="B138" s="199" t="s">
        <v>75</v>
      </c>
      <c r="C138" s="146" t="s">
        <v>52</v>
      </c>
      <c r="D138" s="152" t="s">
        <v>150</v>
      </c>
      <c r="E138" s="92">
        <v>12</v>
      </c>
      <c r="F138" s="92" t="s">
        <v>75</v>
      </c>
      <c r="G138" s="92"/>
      <c r="H138" s="724">
        <v>12</v>
      </c>
      <c r="I138" s="724">
        <v>6</v>
      </c>
      <c r="J138" s="724">
        <v>6</v>
      </c>
      <c r="K138" s="724">
        <v>0</v>
      </c>
      <c r="L138" s="724">
        <v>2018.01</v>
      </c>
      <c r="M138" s="724">
        <v>0</v>
      </c>
      <c r="N138" s="724">
        <v>500</v>
      </c>
      <c r="O138" s="724">
        <v>120</v>
      </c>
      <c r="P138" s="724">
        <v>380</v>
      </c>
      <c r="Q138" s="724">
        <v>0</v>
      </c>
      <c r="R138" s="724">
        <v>0</v>
      </c>
      <c r="S138" s="724">
        <v>480</v>
      </c>
      <c r="T138" s="724">
        <v>0</v>
      </c>
      <c r="U138" s="724">
        <v>20</v>
      </c>
      <c r="V138" s="724">
        <v>0</v>
      </c>
      <c r="W138" s="92" t="s">
        <v>46</v>
      </c>
      <c r="X138" s="92" t="s">
        <v>47</v>
      </c>
      <c r="Y138" s="738">
        <v>432</v>
      </c>
      <c r="Z138" s="738">
        <v>1318</v>
      </c>
      <c r="AA138" s="738">
        <v>12</v>
      </c>
      <c r="AB138" s="708"/>
      <c r="AC138" s="708"/>
      <c r="AD138" s="146" t="s">
        <v>76</v>
      </c>
      <c r="AE138" s="753" t="s">
        <v>136</v>
      </c>
      <c r="AF138" s="146" t="s">
        <v>43</v>
      </c>
      <c r="AG138" s="708"/>
    </row>
    <row r="139" s="570" customFormat="1" ht="38" customHeight="1" spans="1:33">
      <c r="A139" s="705"/>
      <c r="B139" s="714" t="s">
        <v>155</v>
      </c>
      <c r="C139" s="146" t="s">
        <v>52</v>
      </c>
      <c r="D139" s="152" t="s">
        <v>150</v>
      </c>
      <c r="E139" s="92">
        <v>4</v>
      </c>
      <c r="F139" s="92" t="s">
        <v>155</v>
      </c>
      <c r="G139" s="92"/>
      <c r="H139" s="724">
        <v>4</v>
      </c>
      <c r="I139" s="724">
        <v>2</v>
      </c>
      <c r="J139" s="724">
        <v>2</v>
      </c>
      <c r="K139" s="724">
        <v>0</v>
      </c>
      <c r="L139" s="724">
        <v>2018.01</v>
      </c>
      <c r="M139" s="724">
        <v>0</v>
      </c>
      <c r="N139" s="724">
        <v>100</v>
      </c>
      <c r="O139" s="724">
        <v>40</v>
      </c>
      <c r="P139" s="724">
        <v>60</v>
      </c>
      <c r="Q139" s="724">
        <v>0</v>
      </c>
      <c r="R139" s="724">
        <v>0</v>
      </c>
      <c r="S139" s="724">
        <v>100</v>
      </c>
      <c r="T139" s="724">
        <v>0</v>
      </c>
      <c r="U139" s="724">
        <v>0</v>
      </c>
      <c r="V139" s="724">
        <v>0</v>
      </c>
      <c r="W139" s="92" t="s">
        <v>46</v>
      </c>
      <c r="X139" s="92" t="s">
        <v>47</v>
      </c>
      <c r="Y139" s="738">
        <v>306</v>
      </c>
      <c r="Z139" s="738">
        <v>890</v>
      </c>
      <c r="AA139" s="738">
        <v>4</v>
      </c>
      <c r="AB139" s="708"/>
      <c r="AC139" s="708"/>
      <c r="AD139" s="146" t="s">
        <v>59</v>
      </c>
      <c r="AE139" s="146" t="s">
        <v>156</v>
      </c>
      <c r="AF139" s="146" t="s">
        <v>43</v>
      </c>
      <c r="AG139" s="708"/>
    </row>
    <row r="140" s="570" customFormat="1" ht="38" customHeight="1" spans="1:33">
      <c r="A140" s="705"/>
      <c r="B140" s="714" t="s">
        <v>102</v>
      </c>
      <c r="C140" s="146" t="s">
        <v>52</v>
      </c>
      <c r="D140" s="152" t="s">
        <v>150</v>
      </c>
      <c r="E140" s="92">
        <v>46</v>
      </c>
      <c r="F140" s="92" t="s">
        <v>102</v>
      </c>
      <c r="G140" s="92"/>
      <c r="H140" s="724">
        <v>46</v>
      </c>
      <c r="I140" s="724">
        <v>23</v>
      </c>
      <c r="J140" s="724">
        <v>23</v>
      </c>
      <c r="K140" s="724">
        <v>0</v>
      </c>
      <c r="L140" s="724">
        <v>2018.01</v>
      </c>
      <c r="M140" s="724">
        <v>0</v>
      </c>
      <c r="N140" s="724">
        <v>1332.42</v>
      </c>
      <c r="O140" s="724">
        <v>1132.42</v>
      </c>
      <c r="P140" s="724">
        <v>200</v>
      </c>
      <c r="Q140" s="724">
        <v>0</v>
      </c>
      <c r="R140" s="724">
        <v>0</v>
      </c>
      <c r="S140" s="724">
        <v>460</v>
      </c>
      <c r="T140" s="724">
        <v>0</v>
      </c>
      <c r="U140" s="724">
        <v>872.42</v>
      </c>
      <c r="V140" s="724">
        <v>0</v>
      </c>
      <c r="W140" s="92" t="s">
        <v>46</v>
      </c>
      <c r="X140" s="92" t="s">
        <v>47</v>
      </c>
      <c r="Y140" s="738">
        <v>1636</v>
      </c>
      <c r="Z140" s="738">
        <v>6496</v>
      </c>
      <c r="AA140" s="738">
        <v>46</v>
      </c>
      <c r="AB140" s="708"/>
      <c r="AC140" s="708"/>
      <c r="AD140" s="792" t="s">
        <v>62</v>
      </c>
      <c r="AE140" s="146" t="s">
        <v>63</v>
      </c>
      <c r="AF140" s="146" t="s">
        <v>43</v>
      </c>
      <c r="AG140" s="708"/>
    </row>
    <row r="141" s="570" customFormat="1" ht="38" customHeight="1" spans="1:33">
      <c r="A141" s="705"/>
      <c r="B141" s="714" t="s">
        <v>100</v>
      </c>
      <c r="C141" s="146" t="s">
        <v>52</v>
      </c>
      <c r="D141" s="152" t="s">
        <v>150</v>
      </c>
      <c r="E141" s="92">
        <v>15</v>
      </c>
      <c r="F141" s="92" t="s">
        <v>100</v>
      </c>
      <c r="G141" s="92"/>
      <c r="H141" s="724">
        <v>15</v>
      </c>
      <c r="I141" s="724">
        <v>5</v>
      </c>
      <c r="J141" s="724">
        <v>5</v>
      </c>
      <c r="K141" s="724">
        <v>5</v>
      </c>
      <c r="L141" s="724">
        <v>2018.01</v>
      </c>
      <c r="M141" s="724">
        <v>2020.12</v>
      </c>
      <c r="N141" s="724">
        <v>235</v>
      </c>
      <c r="O141" s="724">
        <v>100</v>
      </c>
      <c r="P141" s="724">
        <v>67.5</v>
      </c>
      <c r="Q141" s="724">
        <v>67.5</v>
      </c>
      <c r="R141" s="724">
        <v>0</v>
      </c>
      <c r="S141" s="724">
        <v>195</v>
      </c>
      <c r="T141" s="724">
        <v>0</v>
      </c>
      <c r="U141" s="724">
        <v>40</v>
      </c>
      <c r="V141" s="724">
        <v>0</v>
      </c>
      <c r="W141" s="92" t="s">
        <v>46</v>
      </c>
      <c r="X141" s="92" t="s">
        <v>47</v>
      </c>
      <c r="Y141" s="738">
        <v>213</v>
      </c>
      <c r="Z141" s="738">
        <v>765</v>
      </c>
      <c r="AA141" s="738">
        <v>15</v>
      </c>
      <c r="AB141" s="708"/>
      <c r="AC141" s="708"/>
      <c r="AD141" s="146" t="s">
        <v>79</v>
      </c>
      <c r="AE141" s="146" t="s">
        <v>157</v>
      </c>
      <c r="AF141" s="146" t="s">
        <v>43</v>
      </c>
      <c r="AG141" s="708"/>
    </row>
    <row r="142" s="570" customFormat="1" ht="38" customHeight="1" spans="1:33">
      <c r="A142" s="705"/>
      <c r="B142" s="714" t="s">
        <v>84</v>
      </c>
      <c r="C142" s="146" t="s">
        <v>52</v>
      </c>
      <c r="D142" s="152" t="s">
        <v>150</v>
      </c>
      <c r="E142" s="92">
        <v>12</v>
      </c>
      <c r="F142" s="92" t="s">
        <v>84</v>
      </c>
      <c r="G142" s="92"/>
      <c r="H142" s="724">
        <v>12</v>
      </c>
      <c r="I142" s="724">
        <v>6</v>
      </c>
      <c r="J142" s="724">
        <v>6</v>
      </c>
      <c r="K142" s="724">
        <v>0</v>
      </c>
      <c r="L142" s="724">
        <v>2018.01</v>
      </c>
      <c r="M142" s="724">
        <v>0</v>
      </c>
      <c r="N142" s="724">
        <v>307.58</v>
      </c>
      <c r="O142" s="724">
        <v>227.58</v>
      </c>
      <c r="P142" s="724">
        <v>80</v>
      </c>
      <c r="Q142" s="724">
        <v>0</v>
      </c>
      <c r="R142" s="724">
        <v>0</v>
      </c>
      <c r="S142" s="724">
        <v>80</v>
      </c>
      <c r="T142" s="724">
        <v>0</v>
      </c>
      <c r="U142" s="724">
        <v>227.58</v>
      </c>
      <c r="V142" s="724">
        <v>0</v>
      </c>
      <c r="W142" s="92" t="s">
        <v>46</v>
      </c>
      <c r="X142" s="92" t="s">
        <v>47</v>
      </c>
      <c r="Y142" s="738">
        <v>432</v>
      </c>
      <c r="Z142" s="738">
        <v>1790</v>
      </c>
      <c r="AA142" s="738">
        <v>12</v>
      </c>
      <c r="AB142" s="708"/>
      <c r="AC142" s="708"/>
      <c r="AD142" s="146" t="s">
        <v>65</v>
      </c>
      <c r="AE142" s="146" t="s">
        <v>66</v>
      </c>
      <c r="AF142" s="146" t="s">
        <v>43</v>
      </c>
      <c r="AG142" s="708"/>
    </row>
    <row r="143" s="570" customFormat="1" ht="38" customHeight="1" spans="1:33">
      <c r="A143" s="705"/>
      <c r="B143" s="199" t="s">
        <v>114</v>
      </c>
      <c r="C143" s="146" t="s">
        <v>52</v>
      </c>
      <c r="D143" s="152" t="s">
        <v>150</v>
      </c>
      <c r="E143" s="92">
        <v>3</v>
      </c>
      <c r="F143" s="92" t="s">
        <v>114</v>
      </c>
      <c r="G143" s="92"/>
      <c r="H143" s="724">
        <v>3</v>
      </c>
      <c r="I143" s="724">
        <v>3</v>
      </c>
      <c r="J143" s="724">
        <v>0</v>
      </c>
      <c r="K143" s="724">
        <v>0</v>
      </c>
      <c r="L143" s="724">
        <v>2018.01</v>
      </c>
      <c r="M143" s="724">
        <v>0</v>
      </c>
      <c r="N143" s="724">
        <v>60</v>
      </c>
      <c r="O143" s="724">
        <v>60</v>
      </c>
      <c r="P143" s="724">
        <v>0</v>
      </c>
      <c r="Q143" s="724">
        <v>0</v>
      </c>
      <c r="R143" s="724">
        <v>0</v>
      </c>
      <c r="S143" s="724">
        <v>60</v>
      </c>
      <c r="T143" s="724">
        <v>0</v>
      </c>
      <c r="U143" s="724">
        <v>0</v>
      </c>
      <c r="V143" s="724">
        <v>0</v>
      </c>
      <c r="W143" s="92" t="s">
        <v>46</v>
      </c>
      <c r="X143" s="92" t="s">
        <v>47</v>
      </c>
      <c r="Y143" s="738">
        <v>108</v>
      </c>
      <c r="Z143" s="738">
        <v>464</v>
      </c>
      <c r="AA143" s="738">
        <v>3</v>
      </c>
      <c r="AB143" s="708"/>
      <c r="AC143" s="708"/>
      <c r="AD143" s="146"/>
      <c r="AE143" s="146"/>
      <c r="AF143" s="146"/>
      <c r="AG143" s="708"/>
    </row>
    <row r="144" s="570" customFormat="1" ht="38" customHeight="1" spans="1:33">
      <c r="A144" s="705"/>
      <c r="B144" s="714" t="s">
        <v>143</v>
      </c>
      <c r="C144" s="146" t="s">
        <v>52</v>
      </c>
      <c r="D144" s="152" t="s">
        <v>150</v>
      </c>
      <c r="E144" s="92">
        <v>3</v>
      </c>
      <c r="F144" s="92" t="s">
        <v>143</v>
      </c>
      <c r="G144" s="92"/>
      <c r="H144" s="724">
        <v>3</v>
      </c>
      <c r="I144" s="724">
        <v>3</v>
      </c>
      <c r="J144" s="724">
        <v>0</v>
      </c>
      <c r="K144" s="724">
        <v>0</v>
      </c>
      <c r="L144" s="724">
        <v>2018.01</v>
      </c>
      <c r="M144" s="724">
        <v>0</v>
      </c>
      <c r="N144" s="724">
        <v>60</v>
      </c>
      <c r="O144" s="724">
        <v>60</v>
      </c>
      <c r="P144" s="724">
        <v>0</v>
      </c>
      <c r="Q144" s="724">
        <v>0</v>
      </c>
      <c r="R144" s="724">
        <v>0</v>
      </c>
      <c r="S144" s="724">
        <v>20</v>
      </c>
      <c r="T144" s="724">
        <v>0</v>
      </c>
      <c r="U144" s="724">
        <v>40</v>
      </c>
      <c r="V144" s="724">
        <v>0</v>
      </c>
      <c r="W144" s="92" t="s">
        <v>46</v>
      </c>
      <c r="X144" s="92" t="s">
        <v>47</v>
      </c>
      <c r="Y144" s="738">
        <v>111</v>
      </c>
      <c r="Z144" s="738">
        <v>463</v>
      </c>
      <c r="AA144" s="738">
        <v>3</v>
      </c>
      <c r="AB144" s="708"/>
      <c r="AC144" s="708"/>
      <c r="AD144" s="146"/>
      <c r="AE144" s="146"/>
      <c r="AF144" s="146"/>
      <c r="AG144" s="708"/>
    </row>
    <row r="145" s="570" customFormat="1" ht="24.95" customHeight="1" spans="1:33">
      <c r="A145" s="705">
        <v>10</v>
      </c>
      <c r="B145" s="708" t="s">
        <v>158</v>
      </c>
      <c r="C145" s="708"/>
      <c r="D145" s="709" t="s">
        <v>159</v>
      </c>
      <c r="E145" s="92">
        <v>61</v>
      </c>
      <c r="F145" s="92">
        <v>0</v>
      </c>
      <c r="G145" s="92"/>
      <c r="H145" s="724">
        <v>96994.5</v>
      </c>
      <c r="I145" s="724">
        <v>30911.5</v>
      </c>
      <c r="J145" s="724">
        <v>33041.5</v>
      </c>
      <c r="K145" s="724">
        <v>33041.5</v>
      </c>
      <c r="L145" s="724">
        <v>0</v>
      </c>
      <c r="M145" s="724">
        <v>0</v>
      </c>
      <c r="N145" s="724">
        <v>5157.5</v>
      </c>
      <c r="O145" s="724">
        <v>2017.5</v>
      </c>
      <c r="P145" s="724">
        <v>1570</v>
      </c>
      <c r="Q145" s="724">
        <v>1570</v>
      </c>
      <c r="R145" s="724">
        <v>0</v>
      </c>
      <c r="S145" s="724">
        <v>5157.5</v>
      </c>
      <c r="T145" s="724">
        <v>0</v>
      </c>
      <c r="U145" s="724">
        <v>0</v>
      </c>
      <c r="V145" s="724">
        <v>0</v>
      </c>
      <c r="W145" s="92">
        <v>0</v>
      </c>
      <c r="X145" s="92">
        <v>0</v>
      </c>
      <c r="Y145" s="738">
        <v>20858</v>
      </c>
      <c r="Z145" s="738">
        <v>88768.2</v>
      </c>
      <c r="AA145" s="738">
        <v>61</v>
      </c>
      <c r="AB145" s="708"/>
      <c r="AC145" s="708"/>
      <c r="AD145" s="708"/>
      <c r="AE145" s="708"/>
      <c r="AF145" s="708" t="s">
        <v>160</v>
      </c>
      <c r="AG145" s="708" t="s">
        <v>41</v>
      </c>
    </row>
    <row r="146" s="570" customFormat="1" ht="50" customHeight="1" spans="1:33">
      <c r="A146" s="705"/>
      <c r="B146" s="755" t="s">
        <v>161</v>
      </c>
      <c r="C146" s="146" t="s">
        <v>162</v>
      </c>
      <c r="D146" s="152" t="s">
        <v>163</v>
      </c>
      <c r="E146" s="92">
        <v>1</v>
      </c>
      <c r="F146" s="92">
        <v>0</v>
      </c>
      <c r="G146" s="92"/>
      <c r="H146" s="724">
        <v>870</v>
      </c>
      <c r="I146" s="724">
        <v>870</v>
      </c>
      <c r="J146" s="724">
        <v>0</v>
      </c>
      <c r="K146" s="724">
        <v>0</v>
      </c>
      <c r="L146" s="724">
        <v>2018.01</v>
      </c>
      <c r="M146" s="724">
        <v>0</v>
      </c>
      <c r="N146" s="724">
        <v>870</v>
      </c>
      <c r="O146" s="724">
        <v>870</v>
      </c>
      <c r="P146" s="724">
        <v>0</v>
      </c>
      <c r="Q146" s="724">
        <v>0</v>
      </c>
      <c r="R146" s="724">
        <v>0</v>
      </c>
      <c r="S146" s="724">
        <v>870</v>
      </c>
      <c r="T146" s="724">
        <v>0</v>
      </c>
      <c r="U146" s="724">
        <v>0</v>
      </c>
      <c r="V146" s="724">
        <v>0</v>
      </c>
      <c r="W146" s="92">
        <v>0</v>
      </c>
      <c r="X146" s="92">
        <v>0</v>
      </c>
      <c r="Y146" s="738">
        <v>1844</v>
      </c>
      <c r="Z146" s="738">
        <v>7008</v>
      </c>
      <c r="AA146" s="738">
        <v>1</v>
      </c>
      <c r="AB146" s="708"/>
      <c r="AC146" s="708"/>
      <c r="AD146" s="141"/>
      <c r="AE146" s="146"/>
      <c r="AF146" s="708"/>
      <c r="AG146" s="146"/>
    </row>
    <row r="147" s="570" customFormat="1" ht="41" customHeight="1" spans="1:33">
      <c r="A147" s="705" t="s">
        <v>48</v>
      </c>
      <c r="B147" s="755" t="s">
        <v>164</v>
      </c>
      <c r="C147" s="146" t="s">
        <v>162</v>
      </c>
      <c r="D147" s="152" t="s">
        <v>163</v>
      </c>
      <c r="E147" s="92">
        <v>60</v>
      </c>
      <c r="F147" s="92">
        <v>0</v>
      </c>
      <c r="G147" s="92"/>
      <c r="H147" s="724">
        <v>96124.5</v>
      </c>
      <c r="I147" s="724">
        <v>30041.5</v>
      </c>
      <c r="J147" s="724">
        <v>33041.5</v>
      </c>
      <c r="K147" s="724">
        <v>33041.5</v>
      </c>
      <c r="L147" s="724">
        <v>0</v>
      </c>
      <c r="M147" s="724">
        <v>0</v>
      </c>
      <c r="N147" s="724">
        <v>4287.5</v>
      </c>
      <c r="O147" s="724">
        <v>1147.5</v>
      </c>
      <c r="P147" s="724">
        <v>1570</v>
      </c>
      <c r="Q147" s="724">
        <v>1570</v>
      </c>
      <c r="R147" s="724">
        <v>0</v>
      </c>
      <c r="S147" s="724">
        <v>4287.5</v>
      </c>
      <c r="T147" s="724">
        <v>0</v>
      </c>
      <c r="U147" s="724">
        <v>0</v>
      </c>
      <c r="V147" s="724">
        <v>0</v>
      </c>
      <c r="W147" s="92" t="s">
        <v>46</v>
      </c>
      <c r="X147" s="92" t="s">
        <v>47</v>
      </c>
      <c r="Y147" s="738">
        <v>19014</v>
      </c>
      <c r="Z147" s="738">
        <v>81760.2</v>
      </c>
      <c r="AA147" s="738">
        <v>60</v>
      </c>
      <c r="AB147" s="92"/>
      <c r="AC147" s="92"/>
      <c r="AD147" s="141" t="s">
        <v>165</v>
      </c>
      <c r="AE147" s="146" t="s">
        <v>166</v>
      </c>
      <c r="AF147" s="708" t="s">
        <v>160</v>
      </c>
      <c r="AG147" s="92"/>
    </row>
    <row r="148" s="694" customFormat="1" ht="41" customHeight="1" spans="1:33">
      <c r="A148" s="705"/>
      <c r="B148" s="822" t="s">
        <v>69</v>
      </c>
      <c r="C148" s="146" t="s">
        <v>162</v>
      </c>
      <c r="D148" s="152" t="s">
        <v>163</v>
      </c>
      <c r="E148" s="92">
        <v>3</v>
      </c>
      <c r="F148" s="92" t="s">
        <v>69</v>
      </c>
      <c r="G148" s="92"/>
      <c r="H148" s="724">
        <v>3429</v>
      </c>
      <c r="I148" s="724">
        <v>1143</v>
      </c>
      <c r="J148" s="724">
        <v>1143</v>
      </c>
      <c r="K148" s="724">
        <v>1143</v>
      </c>
      <c r="L148" s="724">
        <v>2018.01</v>
      </c>
      <c r="M148" s="724">
        <v>2020.12</v>
      </c>
      <c r="N148" s="724">
        <v>151.5</v>
      </c>
      <c r="O148" s="724">
        <v>43.5</v>
      </c>
      <c r="P148" s="724">
        <v>54</v>
      </c>
      <c r="Q148" s="724">
        <v>54</v>
      </c>
      <c r="R148" s="724">
        <v>0</v>
      </c>
      <c r="S148" s="724">
        <v>151.5</v>
      </c>
      <c r="T148" s="724">
        <v>0</v>
      </c>
      <c r="U148" s="724">
        <v>0</v>
      </c>
      <c r="V148" s="724">
        <v>0</v>
      </c>
      <c r="W148" s="92" t="s">
        <v>46</v>
      </c>
      <c r="X148" s="92" t="s">
        <v>47</v>
      </c>
      <c r="Y148" s="738">
        <v>729</v>
      </c>
      <c r="Z148" s="738">
        <v>3134.7</v>
      </c>
      <c r="AA148" s="738">
        <v>3</v>
      </c>
      <c r="AB148" s="92"/>
      <c r="AC148" s="92"/>
      <c r="AD148" s="141" t="s">
        <v>167</v>
      </c>
      <c r="AE148" s="146" t="s">
        <v>168</v>
      </c>
      <c r="AF148" s="708" t="s">
        <v>160</v>
      </c>
      <c r="AG148" s="92"/>
    </row>
    <row r="149" s="694" customFormat="1" ht="41" customHeight="1" spans="1:33">
      <c r="A149" s="705"/>
      <c r="B149" s="822" t="s">
        <v>51</v>
      </c>
      <c r="C149" s="146" t="s">
        <v>162</v>
      </c>
      <c r="D149" s="152" t="s">
        <v>163</v>
      </c>
      <c r="E149" s="92">
        <v>3</v>
      </c>
      <c r="F149" s="92" t="s">
        <v>51</v>
      </c>
      <c r="G149" s="92"/>
      <c r="H149" s="724">
        <v>5385.3</v>
      </c>
      <c r="I149" s="724">
        <v>1795.1</v>
      </c>
      <c r="J149" s="724">
        <v>1795.1</v>
      </c>
      <c r="K149" s="724">
        <v>1795.1</v>
      </c>
      <c r="L149" s="724">
        <v>2018.01</v>
      </c>
      <c r="M149" s="724">
        <v>2020.12</v>
      </c>
      <c r="N149" s="724">
        <v>251.4</v>
      </c>
      <c r="O149" s="724">
        <v>81.4</v>
      </c>
      <c r="P149" s="724">
        <v>85</v>
      </c>
      <c r="Q149" s="724">
        <v>85</v>
      </c>
      <c r="R149" s="724">
        <v>0</v>
      </c>
      <c r="S149" s="724">
        <v>251.4</v>
      </c>
      <c r="T149" s="724">
        <v>0</v>
      </c>
      <c r="U149" s="724">
        <v>0</v>
      </c>
      <c r="V149" s="724">
        <v>0</v>
      </c>
      <c r="W149" s="92" t="s">
        <v>46</v>
      </c>
      <c r="X149" s="92" t="s">
        <v>47</v>
      </c>
      <c r="Y149" s="738">
        <v>1140</v>
      </c>
      <c r="Z149" s="738">
        <v>4902</v>
      </c>
      <c r="AA149" s="738">
        <v>3</v>
      </c>
      <c r="AB149" s="92"/>
      <c r="AC149" s="92"/>
      <c r="AD149" s="141" t="s">
        <v>169</v>
      </c>
      <c r="AE149" s="146" t="s">
        <v>170</v>
      </c>
      <c r="AF149" s="708" t="s">
        <v>160</v>
      </c>
      <c r="AG149" s="92"/>
    </row>
    <row r="150" s="694" customFormat="1" ht="41" customHeight="1" spans="1:33">
      <c r="A150" s="705"/>
      <c r="B150" s="822" t="s">
        <v>72</v>
      </c>
      <c r="C150" s="146" t="s">
        <v>162</v>
      </c>
      <c r="D150" s="152" t="s">
        <v>163</v>
      </c>
      <c r="E150" s="92">
        <v>3</v>
      </c>
      <c r="F150" s="92" t="s">
        <v>72</v>
      </c>
      <c r="G150" s="92"/>
      <c r="H150" s="724">
        <v>9856.8</v>
      </c>
      <c r="I150" s="724">
        <v>3285.6</v>
      </c>
      <c r="J150" s="724">
        <v>3285.6</v>
      </c>
      <c r="K150" s="724">
        <v>3285.6</v>
      </c>
      <c r="L150" s="724">
        <v>2018.01</v>
      </c>
      <c r="M150" s="724">
        <v>2020.12</v>
      </c>
      <c r="N150" s="724">
        <v>433.9</v>
      </c>
      <c r="O150" s="724">
        <v>121.9</v>
      </c>
      <c r="P150" s="724">
        <v>156</v>
      </c>
      <c r="Q150" s="724">
        <v>156</v>
      </c>
      <c r="R150" s="724">
        <v>0</v>
      </c>
      <c r="S150" s="724">
        <v>433.9</v>
      </c>
      <c r="T150" s="724">
        <v>0</v>
      </c>
      <c r="U150" s="724">
        <v>0</v>
      </c>
      <c r="V150" s="724">
        <v>0</v>
      </c>
      <c r="W150" s="92" t="s">
        <v>46</v>
      </c>
      <c r="X150" s="92" t="s">
        <v>47</v>
      </c>
      <c r="Y150" s="738">
        <v>2172</v>
      </c>
      <c r="Z150" s="738">
        <v>9339.6</v>
      </c>
      <c r="AA150" s="738">
        <v>3</v>
      </c>
      <c r="AB150" s="92"/>
      <c r="AC150" s="92"/>
      <c r="AD150" s="141" t="s">
        <v>171</v>
      </c>
      <c r="AE150" s="146" t="s">
        <v>172</v>
      </c>
      <c r="AF150" s="708" t="s">
        <v>160</v>
      </c>
      <c r="AG150" s="92"/>
    </row>
    <row r="151" s="694" customFormat="1" ht="41" customHeight="1" spans="1:33">
      <c r="A151" s="705"/>
      <c r="B151" s="822" t="s">
        <v>91</v>
      </c>
      <c r="C151" s="146" t="s">
        <v>162</v>
      </c>
      <c r="D151" s="152" t="s">
        <v>163</v>
      </c>
      <c r="E151" s="92">
        <v>3</v>
      </c>
      <c r="F151" s="92" t="s">
        <v>91</v>
      </c>
      <c r="G151" s="92"/>
      <c r="H151" s="724">
        <v>10070.1</v>
      </c>
      <c r="I151" s="724">
        <v>3356.7</v>
      </c>
      <c r="J151" s="724">
        <v>3356.7</v>
      </c>
      <c r="K151" s="724">
        <v>3356.7</v>
      </c>
      <c r="L151" s="724">
        <v>2018.01</v>
      </c>
      <c r="M151" s="724">
        <v>2020.12</v>
      </c>
      <c r="N151" s="724">
        <v>447.4</v>
      </c>
      <c r="O151" s="724">
        <v>129.4</v>
      </c>
      <c r="P151" s="724">
        <v>159</v>
      </c>
      <c r="Q151" s="724">
        <v>159</v>
      </c>
      <c r="R151" s="724">
        <v>0</v>
      </c>
      <c r="S151" s="724">
        <v>447.4</v>
      </c>
      <c r="T151" s="724">
        <v>0</v>
      </c>
      <c r="U151" s="724">
        <v>0</v>
      </c>
      <c r="V151" s="724">
        <v>0</v>
      </c>
      <c r="W151" s="92" t="s">
        <v>46</v>
      </c>
      <c r="X151" s="92" t="s">
        <v>47</v>
      </c>
      <c r="Y151" s="738">
        <v>2151</v>
      </c>
      <c r="Z151" s="738">
        <v>9249.3</v>
      </c>
      <c r="AA151" s="738">
        <v>3</v>
      </c>
      <c r="AB151" s="92"/>
      <c r="AC151" s="92"/>
      <c r="AD151" s="141" t="s">
        <v>82</v>
      </c>
      <c r="AE151" s="146" t="s">
        <v>173</v>
      </c>
      <c r="AF151" s="708" t="s">
        <v>160</v>
      </c>
      <c r="AG151" s="92"/>
    </row>
    <row r="152" s="694" customFormat="1" ht="41" customHeight="1" spans="1:33">
      <c r="A152" s="705"/>
      <c r="B152" s="822" t="s">
        <v>55</v>
      </c>
      <c r="C152" s="146" t="s">
        <v>162</v>
      </c>
      <c r="D152" s="152" t="s">
        <v>163</v>
      </c>
      <c r="E152" s="92">
        <v>3</v>
      </c>
      <c r="F152" s="92" t="s">
        <v>55</v>
      </c>
      <c r="G152" s="92"/>
      <c r="H152" s="724">
        <v>8948.1</v>
      </c>
      <c r="I152" s="724">
        <v>2982.7</v>
      </c>
      <c r="J152" s="724">
        <v>2982.7</v>
      </c>
      <c r="K152" s="724">
        <v>2982.7</v>
      </c>
      <c r="L152" s="724">
        <v>2018.01</v>
      </c>
      <c r="M152" s="724">
        <v>2020.12</v>
      </c>
      <c r="N152" s="724">
        <v>392.9</v>
      </c>
      <c r="O152" s="724">
        <v>108.9</v>
      </c>
      <c r="P152" s="724">
        <v>142</v>
      </c>
      <c r="Q152" s="724">
        <v>142</v>
      </c>
      <c r="R152" s="724">
        <v>0</v>
      </c>
      <c r="S152" s="724">
        <v>392.9</v>
      </c>
      <c r="T152" s="724">
        <v>0</v>
      </c>
      <c r="U152" s="724">
        <v>0</v>
      </c>
      <c r="V152" s="724">
        <v>0</v>
      </c>
      <c r="W152" s="92" t="s">
        <v>46</v>
      </c>
      <c r="X152" s="92" t="s">
        <v>47</v>
      </c>
      <c r="Y152" s="738">
        <v>2166</v>
      </c>
      <c r="Z152" s="738">
        <v>9313.8</v>
      </c>
      <c r="AA152" s="738">
        <v>3</v>
      </c>
      <c r="AB152" s="92"/>
      <c r="AC152" s="92"/>
      <c r="AD152" s="141" t="s">
        <v>174</v>
      </c>
      <c r="AE152" s="146" t="s">
        <v>175</v>
      </c>
      <c r="AF152" s="708" t="s">
        <v>160</v>
      </c>
      <c r="AG152" s="92"/>
    </row>
    <row r="153" s="694" customFormat="1" ht="41" customHeight="1" spans="1:33">
      <c r="A153" s="705"/>
      <c r="B153" s="822" t="s">
        <v>75</v>
      </c>
      <c r="C153" s="146" t="s">
        <v>162</v>
      </c>
      <c r="D153" s="152" t="s">
        <v>163</v>
      </c>
      <c r="E153" s="92">
        <v>3</v>
      </c>
      <c r="F153" s="92" t="s">
        <v>75</v>
      </c>
      <c r="G153" s="92"/>
      <c r="H153" s="724">
        <v>10984.5</v>
      </c>
      <c r="I153" s="724">
        <v>3661.5</v>
      </c>
      <c r="J153" s="724">
        <v>3661.5</v>
      </c>
      <c r="K153" s="724">
        <v>3661.5</v>
      </c>
      <c r="L153" s="724">
        <v>2018.01</v>
      </c>
      <c r="M153" s="724">
        <v>2020.12</v>
      </c>
      <c r="N153" s="724">
        <v>496.4</v>
      </c>
      <c r="O153" s="724">
        <v>148.4</v>
      </c>
      <c r="P153" s="724">
        <v>174</v>
      </c>
      <c r="Q153" s="724">
        <v>174</v>
      </c>
      <c r="R153" s="724">
        <v>0</v>
      </c>
      <c r="S153" s="724">
        <v>496.4</v>
      </c>
      <c r="T153" s="724">
        <v>0</v>
      </c>
      <c r="U153" s="724">
        <v>0</v>
      </c>
      <c r="V153" s="724">
        <v>0</v>
      </c>
      <c r="W153" s="92" t="s">
        <v>46</v>
      </c>
      <c r="X153" s="92" t="s">
        <v>47</v>
      </c>
      <c r="Y153" s="738">
        <v>2223</v>
      </c>
      <c r="Z153" s="738">
        <v>9558.9</v>
      </c>
      <c r="AA153" s="738">
        <v>3</v>
      </c>
      <c r="AB153" s="92"/>
      <c r="AC153" s="92"/>
      <c r="AD153" s="141" t="s">
        <v>176</v>
      </c>
      <c r="AE153" s="146" t="s">
        <v>177</v>
      </c>
      <c r="AF153" s="708" t="s">
        <v>160</v>
      </c>
      <c r="AG153" s="92"/>
    </row>
    <row r="154" s="694" customFormat="1" ht="41" customHeight="1" spans="1:33">
      <c r="A154" s="705"/>
      <c r="B154" s="822" t="s">
        <v>58</v>
      </c>
      <c r="C154" s="146" t="s">
        <v>162</v>
      </c>
      <c r="D154" s="152" t="s">
        <v>163</v>
      </c>
      <c r="E154" s="92">
        <v>3</v>
      </c>
      <c r="F154" s="92" t="s">
        <v>58</v>
      </c>
      <c r="G154" s="92"/>
      <c r="H154" s="724">
        <v>3324</v>
      </c>
      <c r="I154" s="724">
        <v>1108</v>
      </c>
      <c r="J154" s="724">
        <v>1108</v>
      </c>
      <c r="K154" s="724">
        <v>1108</v>
      </c>
      <c r="L154" s="724">
        <v>2018.01</v>
      </c>
      <c r="M154" s="724">
        <v>2020.12</v>
      </c>
      <c r="N154" s="724">
        <v>147.1</v>
      </c>
      <c r="O154" s="724">
        <v>41.1</v>
      </c>
      <c r="P154" s="724">
        <v>53</v>
      </c>
      <c r="Q154" s="724">
        <v>53</v>
      </c>
      <c r="R154" s="724">
        <v>0</v>
      </c>
      <c r="S154" s="724">
        <v>147.1</v>
      </c>
      <c r="T154" s="724">
        <v>0</v>
      </c>
      <c r="U154" s="724">
        <v>0</v>
      </c>
      <c r="V154" s="724">
        <v>0</v>
      </c>
      <c r="W154" s="92" t="s">
        <v>46</v>
      </c>
      <c r="X154" s="92" t="s">
        <v>47</v>
      </c>
      <c r="Y154" s="738">
        <v>675</v>
      </c>
      <c r="Z154" s="738">
        <v>2902.5</v>
      </c>
      <c r="AA154" s="738">
        <v>3</v>
      </c>
      <c r="AB154" s="92"/>
      <c r="AC154" s="92"/>
      <c r="AD154" s="141" t="s">
        <v>178</v>
      </c>
      <c r="AE154" s="146" t="s">
        <v>179</v>
      </c>
      <c r="AF154" s="708" t="s">
        <v>160</v>
      </c>
      <c r="AG154" s="92"/>
    </row>
    <row r="155" s="694" customFormat="1" ht="41" customHeight="1" spans="1:33">
      <c r="A155" s="705"/>
      <c r="B155" s="822" t="s">
        <v>61</v>
      </c>
      <c r="C155" s="146" t="s">
        <v>162</v>
      </c>
      <c r="D155" s="152" t="s">
        <v>163</v>
      </c>
      <c r="E155" s="92">
        <v>3</v>
      </c>
      <c r="F155" s="92" t="s">
        <v>61</v>
      </c>
      <c r="G155" s="92"/>
      <c r="H155" s="724">
        <v>19456.5</v>
      </c>
      <c r="I155" s="724">
        <v>6485.5</v>
      </c>
      <c r="J155" s="724">
        <v>6485.5</v>
      </c>
      <c r="K155" s="724">
        <v>6485.5</v>
      </c>
      <c r="L155" s="724">
        <v>2018.01</v>
      </c>
      <c r="M155" s="724">
        <v>2020.12</v>
      </c>
      <c r="N155" s="724">
        <v>834.5</v>
      </c>
      <c r="O155" s="724">
        <v>218.5</v>
      </c>
      <c r="P155" s="724">
        <v>308</v>
      </c>
      <c r="Q155" s="724">
        <v>308</v>
      </c>
      <c r="R155" s="724">
        <v>0</v>
      </c>
      <c r="S155" s="724">
        <v>834.5</v>
      </c>
      <c r="T155" s="724">
        <v>0</v>
      </c>
      <c r="U155" s="724">
        <v>0</v>
      </c>
      <c r="V155" s="724">
        <v>0</v>
      </c>
      <c r="W155" s="92" t="s">
        <v>46</v>
      </c>
      <c r="X155" s="92" t="s">
        <v>47</v>
      </c>
      <c r="Y155" s="738">
        <v>3936</v>
      </c>
      <c r="Z155" s="738">
        <v>16924.8</v>
      </c>
      <c r="AA155" s="738">
        <v>3</v>
      </c>
      <c r="AB155" s="92"/>
      <c r="AC155" s="92"/>
      <c r="AD155" s="141" t="s">
        <v>180</v>
      </c>
      <c r="AE155" s="146" t="s">
        <v>181</v>
      </c>
      <c r="AF155" s="708" t="s">
        <v>160</v>
      </c>
      <c r="AG155" s="92"/>
    </row>
    <row r="156" s="694" customFormat="1" ht="41" customHeight="1" spans="1:33">
      <c r="A156" s="705"/>
      <c r="B156" s="822" t="s">
        <v>78</v>
      </c>
      <c r="C156" s="146" t="s">
        <v>162</v>
      </c>
      <c r="D156" s="152" t="s">
        <v>163</v>
      </c>
      <c r="E156" s="92">
        <v>3</v>
      </c>
      <c r="F156" s="92" t="s">
        <v>78</v>
      </c>
      <c r="G156" s="92"/>
      <c r="H156" s="724">
        <v>5610</v>
      </c>
      <c r="I156" s="724">
        <v>1870</v>
      </c>
      <c r="J156" s="724">
        <v>1870</v>
      </c>
      <c r="K156" s="724">
        <v>1870</v>
      </c>
      <c r="L156" s="724">
        <v>2018.01</v>
      </c>
      <c r="M156" s="724">
        <v>2020.12</v>
      </c>
      <c r="N156" s="724">
        <v>251.1</v>
      </c>
      <c r="O156" s="724">
        <v>73.1</v>
      </c>
      <c r="P156" s="724">
        <v>89</v>
      </c>
      <c r="Q156" s="724">
        <v>89</v>
      </c>
      <c r="R156" s="724">
        <v>0</v>
      </c>
      <c r="S156" s="724">
        <v>251.1</v>
      </c>
      <c r="T156" s="724">
        <v>0</v>
      </c>
      <c r="U156" s="724">
        <v>0</v>
      </c>
      <c r="V156" s="724">
        <v>0</v>
      </c>
      <c r="W156" s="92" t="s">
        <v>46</v>
      </c>
      <c r="X156" s="92" t="s">
        <v>47</v>
      </c>
      <c r="Y156" s="738">
        <v>1155</v>
      </c>
      <c r="Z156" s="738">
        <v>4966.5</v>
      </c>
      <c r="AA156" s="738">
        <v>3</v>
      </c>
      <c r="AB156" s="92"/>
      <c r="AC156" s="92"/>
      <c r="AD156" s="141" t="s">
        <v>79</v>
      </c>
      <c r="AE156" s="146" t="s">
        <v>182</v>
      </c>
      <c r="AF156" s="708" t="s">
        <v>160</v>
      </c>
      <c r="AG156" s="92"/>
    </row>
    <row r="157" s="694" customFormat="1" ht="41" customHeight="1" spans="1:33">
      <c r="A157" s="705"/>
      <c r="B157" s="822" t="s">
        <v>114</v>
      </c>
      <c r="C157" s="146" t="s">
        <v>162</v>
      </c>
      <c r="D157" s="152" t="s">
        <v>163</v>
      </c>
      <c r="E157" s="92">
        <v>3</v>
      </c>
      <c r="F157" s="92" t="s">
        <v>114</v>
      </c>
      <c r="G157" s="92"/>
      <c r="H157" s="724">
        <v>1875</v>
      </c>
      <c r="I157" s="724">
        <v>625</v>
      </c>
      <c r="J157" s="724">
        <v>625</v>
      </c>
      <c r="K157" s="724">
        <v>625</v>
      </c>
      <c r="L157" s="724">
        <v>2018.01</v>
      </c>
      <c r="M157" s="724">
        <v>2020.12</v>
      </c>
      <c r="N157" s="724">
        <v>85.6</v>
      </c>
      <c r="O157" s="724">
        <v>25.6</v>
      </c>
      <c r="P157" s="724">
        <v>30</v>
      </c>
      <c r="Q157" s="724">
        <v>30</v>
      </c>
      <c r="R157" s="724">
        <v>0</v>
      </c>
      <c r="S157" s="724">
        <v>85.6</v>
      </c>
      <c r="T157" s="724">
        <v>0</v>
      </c>
      <c r="U157" s="724">
        <v>0</v>
      </c>
      <c r="V157" s="724">
        <v>0</v>
      </c>
      <c r="W157" s="92" t="s">
        <v>46</v>
      </c>
      <c r="X157" s="92" t="s">
        <v>47</v>
      </c>
      <c r="Y157" s="738">
        <v>378</v>
      </c>
      <c r="Z157" s="738">
        <v>1625.4</v>
      </c>
      <c r="AA157" s="738">
        <v>3</v>
      </c>
      <c r="AB157" s="92"/>
      <c r="AC157" s="92"/>
      <c r="AD157" s="141" t="s">
        <v>183</v>
      </c>
      <c r="AE157" s="146" t="s">
        <v>184</v>
      </c>
      <c r="AF157" s="708" t="s">
        <v>160</v>
      </c>
      <c r="AG157" s="92"/>
    </row>
    <row r="158" s="694" customFormat="1" ht="41" customHeight="1" spans="1:33">
      <c r="A158" s="705"/>
      <c r="B158" s="822" t="s">
        <v>64</v>
      </c>
      <c r="C158" s="146" t="s">
        <v>162</v>
      </c>
      <c r="D158" s="152" t="s">
        <v>163</v>
      </c>
      <c r="E158" s="92">
        <v>3</v>
      </c>
      <c r="F158" s="92" t="s">
        <v>64</v>
      </c>
      <c r="G158" s="92"/>
      <c r="H158" s="724">
        <v>7660.2</v>
      </c>
      <c r="I158" s="724">
        <v>2553.4</v>
      </c>
      <c r="J158" s="724">
        <v>2553.4</v>
      </c>
      <c r="K158" s="724">
        <v>2553.4</v>
      </c>
      <c r="L158" s="724">
        <v>2018.01</v>
      </c>
      <c r="M158" s="724">
        <v>2020.12</v>
      </c>
      <c r="N158" s="724">
        <v>347.4</v>
      </c>
      <c r="O158" s="724">
        <v>105.4</v>
      </c>
      <c r="P158" s="724">
        <v>121</v>
      </c>
      <c r="Q158" s="724">
        <v>121</v>
      </c>
      <c r="R158" s="724">
        <v>0</v>
      </c>
      <c r="S158" s="724">
        <v>347.4</v>
      </c>
      <c r="T158" s="724">
        <v>0</v>
      </c>
      <c r="U158" s="724">
        <v>0</v>
      </c>
      <c r="V158" s="724">
        <v>0</v>
      </c>
      <c r="W158" s="92" t="s">
        <v>46</v>
      </c>
      <c r="X158" s="92" t="s">
        <v>47</v>
      </c>
      <c r="Y158" s="738">
        <v>1581</v>
      </c>
      <c r="Z158" s="738">
        <v>6798.3</v>
      </c>
      <c r="AA158" s="738">
        <v>3</v>
      </c>
      <c r="AB158" s="92"/>
      <c r="AC158" s="92"/>
      <c r="AD158" s="141" t="s">
        <v>185</v>
      </c>
      <c r="AE158" s="146" t="s">
        <v>186</v>
      </c>
      <c r="AF158" s="708" t="s">
        <v>160</v>
      </c>
      <c r="AG158" s="92"/>
    </row>
    <row r="159" s="694" customFormat="1" ht="41" customHeight="1" spans="1:33">
      <c r="A159" s="705"/>
      <c r="B159" s="822" t="s">
        <v>92</v>
      </c>
      <c r="C159" s="146" t="s">
        <v>162</v>
      </c>
      <c r="D159" s="152" t="s">
        <v>163</v>
      </c>
      <c r="E159" s="92">
        <v>3</v>
      </c>
      <c r="F159" s="92" t="s">
        <v>92</v>
      </c>
      <c r="G159" s="92"/>
      <c r="H159" s="724">
        <v>3525</v>
      </c>
      <c r="I159" s="724">
        <v>1175</v>
      </c>
      <c r="J159" s="724">
        <v>1175</v>
      </c>
      <c r="K159" s="724">
        <v>1175</v>
      </c>
      <c r="L159" s="724">
        <v>2018.01</v>
      </c>
      <c r="M159" s="724">
        <v>2020.12</v>
      </c>
      <c r="N159" s="724">
        <v>162.3</v>
      </c>
      <c r="O159" s="724">
        <v>50.3</v>
      </c>
      <c r="P159" s="724">
        <v>56</v>
      </c>
      <c r="Q159" s="724">
        <v>56</v>
      </c>
      <c r="R159" s="724">
        <v>0</v>
      </c>
      <c r="S159" s="724">
        <v>162.3</v>
      </c>
      <c r="T159" s="724">
        <v>0</v>
      </c>
      <c r="U159" s="724">
        <v>0</v>
      </c>
      <c r="V159" s="724">
        <v>0</v>
      </c>
      <c r="W159" s="92" t="s">
        <v>46</v>
      </c>
      <c r="X159" s="92" t="s">
        <v>47</v>
      </c>
      <c r="Y159" s="738">
        <v>708</v>
      </c>
      <c r="Z159" s="738">
        <v>3044.4</v>
      </c>
      <c r="AA159" s="738">
        <v>3</v>
      </c>
      <c r="AB159" s="92"/>
      <c r="AC159" s="92"/>
      <c r="AD159" s="141" t="s">
        <v>187</v>
      </c>
      <c r="AE159" s="146" t="s">
        <v>188</v>
      </c>
      <c r="AF159" s="708" t="s">
        <v>160</v>
      </c>
      <c r="AG159" s="92"/>
    </row>
    <row r="160" s="570" customFormat="1" ht="24.95" customHeight="1" spans="1:33">
      <c r="A160" s="705" t="s">
        <v>48</v>
      </c>
      <c r="B160" s="823" t="s">
        <v>189</v>
      </c>
      <c r="C160" s="146" t="s">
        <v>162</v>
      </c>
      <c r="D160" s="76" t="s">
        <v>163</v>
      </c>
      <c r="E160" s="92">
        <v>24</v>
      </c>
      <c r="F160" s="92">
        <v>0</v>
      </c>
      <c r="G160" s="92"/>
      <c r="H160" s="724">
        <v>6000</v>
      </c>
      <c r="I160" s="724">
        <v>0</v>
      </c>
      <c r="J160" s="724">
        <v>3000</v>
      </c>
      <c r="K160" s="724">
        <v>3000</v>
      </c>
      <c r="L160" s="724">
        <v>0</v>
      </c>
      <c r="M160" s="724">
        <v>2020.12</v>
      </c>
      <c r="N160" s="724">
        <v>286</v>
      </c>
      <c r="O160" s="724">
        <v>0</v>
      </c>
      <c r="P160" s="724">
        <v>143</v>
      </c>
      <c r="Q160" s="724">
        <v>143</v>
      </c>
      <c r="R160" s="724">
        <v>0</v>
      </c>
      <c r="S160" s="724">
        <v>286</v>
      </c>
      <c r="T160" s="724">
        <v>0</v>
      </c>
      <c r="U160" s="724">
        <v>0</v>
      </c>
      <c r="V160" s="724">
        <v>0</v>
      </c>
      <c r="W160" s="92">
        <v>0</v>
      </c>
      <c r="X160" s="92">
        <v>0</v>
      </c>
      <c r="Y160" s="738">
        <v>0</v>
      </c>
      <c r="Z160" s="738">
        <v>0</v>
      </c>
      <c r="AA160" s="738">
        <v>24</v>
      </c>
      <c r="AB160" s="92"/>
      <c r="AC160" s="92"/>
      <c r="AD160" s="141" t="s">
        <v>165</v>
      </c>
      <c r="AE160" s="146" t="s">
        <v>166</v>
      </c>
      <c r="AF160" s="708" t="s">
        <v>160</v>
      </c>
      <c r="AG160" s="92"/>
    </row>
    <row r="161" s="570" customFormat="1" ht="24.95" customHeight="1" spans="1:33">
      <c r="A161" s="705">
        <v>11</v>
      </c>
      <c r="B161" s="708" t="s">
        <v>190</v>
      </c>
      <c r="C161" s="708"/>
      <c r="D161" s="709"/>
      <c r="E161" s="92">
        <v>0</v>
      </c>
      <c r="F161" s="92">
        <v>0</v>
      </c>
      <c r="G161" s="92"/>
      <c r="H161" s="724">
        <v>0</v>
      </c>
      <c r="I161" s="724">
        <v>0</v>
      </c>
      <c r="J161" s="724">
        <v>0</v>
      </c>
      <c r="K161" s="724">
        <v>0</v>
      </c>
      <c r="L161" s="724">
        <v>0</v>
      </c>
      <c r="M161" s="724">
        <v>0</v>
      </c>
      <c r="N161" s="724">
        <v>0</v>
      </c>
      <c r="O161" s="724">
        <v>0</v>
      </c>
      <c r="P161" s="724">
        <v>0</v>
      </c>
      <c r="Q161" s="724">
        <v>0</v>
      </c>
      <c r="R161" s="724">
        <v>0</v>
      </c>
      <c r="S161" s="724">
        <v>0</v>
      </c>
      <c r="T161" s="724">
        <v>0</v>
      </c>
      <c r="U161" s="724">
        <v>0</v>
      </c>
      <c r="V161" s="724">
        <v>0</v>
      </c>
      <c r="W161" s="92">
        <v>0</v>
      </c>
      <c r="X161" s="92">
        <v>0</v>
      </c>
      <c r="Y161" s="738">
        <v>0</v>
      </c>
      <c r="Z161" s="738">
        <v>0</v>
      </c>
      <c r="AA161" s="738">
        <v>0</v>
      </c>
      <c r="AB161" s="708"/>
      <c r="AC161" s="708"/>
      <c r="AD161" s="708"/>
      <c r="AE161" s="708"/>
      <c r="AF161" s="708"/>
      <c r="AG161" s="708"/>
    </row>
    <row r="162" s="570" customFormat="1" ht="25" customHeight="1" spans="1:33">
      <c r="A162" s="705" t="s">
        <v>48</v>
      </c>
      <c r="B162" s="92" t="s">
        <v>191</v>
      </c>
      <c r="C162" s="92"/>
      <c r="D162" s="76" t="s">
        <v>192</v>
      </c>
      <c r="E162" s="92">
        <v>0</v>
      </c>
      <c r="F162" s="92">
        <v>0</v>
      </c>
      <c r="G162" s="92"/>
      <c r="H162" s="724">
        <v>0</v>
      </c>
      <c r="I162" s="724">
        <v>0</v>
      </c>
      <c r="J162" s="724">
        <v>0</v>
      </c>
      <c r="K162" s="724">
        <v>0</v>
      </c>
      <c r="L162" s="724">
        <v>0</v>
      </c>
      <c r="M162" s="724">
        <v>0</v>
      </c>
      <c r="N162" s="724">
        <v>0</v>
      </c>
      <c r="O162" s="724">
        <v>0</v>
      </c>
      <c r="P162" s="724">
        <v>0</v>
      </c>
      <c r="Q162" s="724">
        <v>0</v>
      </c>
      <c r="R162" s="724">
        <v>0</v>
      </c>
      <c r="S162" s="724">
        <v>0</v>
      </c>
      <c r="T162" s="724">
        <v>0</v>
      </c>
      <c r="U162" s="724">
        <v>0</v>
      </c>
      <c r="V162" s="724">
        <v>0</v>
      </c>
      <c r="W162" s="92">
        <v>0</v>
      </c>
      <c r="X162" s="92">
        <v>0</v>
      </c>
      <c r="Y162" s="738">
        <v>0</v>
      </c>
      <c r="Z162" s="738">
        <v>0</v>
      </c>
      <c r="AA162" s="738">
        <v>0</v>
      </c>
      <c r="AB162" s="92"/>
      <c r="AC162" s="92"/>
      <c r="AD162" s="92"/>
      <c r="AE162" s="92"/>
      <c r="AF162" s="92"/>
      <c r="AG162" s="92"/>
    </row>
    <row r="163" s="570" customFormat="1" ht="24.95" customHeight="1" spans="1:33">
      <c r="A163" s="705">
        <v>13</v>
      </c>
      <c r="B163" s="708" t="s">
        <v>193</v>
      </c>
      <c r="C163" s="708"/>
      <c r="D163" s="709" t="s">
        <v>194</v>
      </c>
      <c r="E163" s="92">
        <v>0</v>
      </c>
      <c r="F163" s="92">
        <v>0</v>
      </c>
      <c r="G163" s="92"/>
      <c r="H163" s="724">
        <v>0</v>
      </c>
      <c r="I163" s="724">
        <v>0</v>
      </c>
      <c r="J163" s="724">
        <v>0</v>
      </c>
      <c r="K163" s="724">
        <v>0</v>
      </c>
      <c r="L163" s="724">
        <v>0</v>
      </c>
      <c r="M163" s="724">
        <v>0</v>
      </c>
      <c r="N163" s="724">
        <v>0</v>
      </c>
      <c r="O163" s="724">
        <v>0</v>
      </c>
      <c r="P163" s="724">
        <v>0</v>
      </c>
      <c r="Q163" s="724">
        <v>0</v>
      </c>
      <c r="R163" s="724">
        <v>0</v>
      </c>
      <c r="S163" s="724">
        <v>0</v>
      </c>
      <c r="T163" s="724">
        <v>0</v>
      </c>
      <c r="U163" s="724">
        <v>0</v>
      </c>
      <c r="V163" s="724">
        <v>0</v>
      </c>
      <c r="W163" s="92">
        <v>0</v>
      </c>
      <c r="X163" s="92">
        <v>0</v>
      </c>
      <c r="Y163" s="738">
        <v>0</v>
      </c>
      <c r="Z163" s="738">
        <v>0</v>
      </c>
      <c r="AA163" s="738">
        <v>0</v>
      </c>
      <c r="AB163" s="708"/>
      <c r="AC163" s="708"/>
      <c r="AD163" s="708"/>
      <c r="AE163" s="708"/>
      <c r="AF163" s="708" t="s">
        <v>195</v>
      </c>
      <c r="AG163" s="708"/>
    </row>
    <row r="164" s="570" customFormat="1" ht="32.1" customHeight="1" spans="1:33">
      <c r="A164" s="705">
        <v>19</v>
      </c>
      <c r="B164" s="708" t="s">
        <v>196</v>
      </c>
      <c r="C164" s="708"/>
      <c r="D164" s="709"/>
      <c r="E164" s="92">
        <v>53</v>
      </c>
      <c r="F164" s="92">
        <v>0</v>
      </c>
      <c r="G164" s="92"/>
      <c r="H164" s="724">
        <v>53</v>
      </c>
      <c r="I164" s="724">
        <v>0</v>
      </c>
      <c r="J164" s="724">
        <v>53</v>
      </c>
      <c r="K164" s="724">
        <v>0</v>
      </c>
      <c r="L164" s="724">
        <v>0</v>
      </c>
      <c r="M164" s="724">
        <v>0</v>
      </c>
      <c r="N164" s="724">
        <v>3710</v>
      </c>
      <c r="O164" s="724">
        <v>0</v>
      </c>
      <c r="P164" s="724">
        <v>3710</v>
      </c>
      <c r="Q164" s="724">
        <v>0</v>
      </c>
      <c r="R164" s="724">
        <v>0</v>
      </c>
      <c r="S164" s="724">
        <v>3710</v>
      </c>
      <c r="T164" s="724">
        <v>0</v>
      </c>
      <c r="U164" s="724">
        <v>0</v>
      </c>
      <c r="V164" s="724">
        <v>0</v>
      </c>
      <c r="W164" s="92">
        <v>0</v>
      </c>
      <c r="X164" s="92">
        <v>0</v>
      </c>
      <c r="Y164" s="738">
        <v>4981</v>
      </c>
      <c r="Z164" s="738">
        <v>21437.1</v>
      </c>
      <c r="AA164" s="738">
        <v>53</v>
      </c>
      <c r="AB164" s="708"/>
      <c r="AC164" s="708"/>
      <c r="AD164" s="708"/>
      <c r="AE164" s="708"/>
      <c r="AF164" s="708"/>
      <c r="AG164" s="708" t="s">
        <v>41</v>
      </c>
    </row>
    <row r="165" s="570" customFormat="1" ht="24.95" customHeight="1" spans="1:33">
      <c r="A165" s="705">
        <v>20</v>
      </c>
      <c r="B165" s="756" t="s">
        <v>197</v>
      </c>
      <c r="C165" s="757"/>
      <c r="D165" s="705" t="s">
        <v>150</v>
      </c>
      <c r="E165" s="92">
        <v>53</v>
      </c>
      <c r="F165" s="92">
        <v>0</v>
      </c>
      <c r="G165" s="92"/>
      <c r="H165" s="724">
        <v>53</v>
      </c>
      <c r="I165" s="724">
        <v>0</v>
      </c>
      <c r="J165" s="724">
        <v>53</v>
      </c>
      <c r="K165" s="724">
        <v>0</v>
      </c>
      <c r="L165" s="724">
        <v>0</v>
      </c>
      <c r="M165" s="724">
        <v>0</v>
      </c>
      <c r="N165" s="724">
        <v>3710</v>
      </c>
      <c r="O165" s="724">
        <v>0</v>
      </c>
      <c r="P165" s="724">
        <v>3710</v>
      </c>
      <c r="Q165" s="724">
        <v>0</v>
      </c>
      <c r="R165" s="724">
        <v>0</v>
      </c>
      <c r="S165" s="724">
        <v>3710</v>
      </c>
      <c r="T165" s="724">
        <v>0</v>
      </c>
      <c r="U165" s="724">
        <v>0</v>
      </c>
      <c r="V165" s="724">
        <v>0</v>
      </c>
      <c r="W165" s="92" t="s">
        <v>46</v>
      </c>
      <c r="X165" s="92" t="s">
        <v>47</v>
      </c>
      <c r="Y165" s="738">
        <v>4981</v>
      </c>
      <c r="Z165" s="738">
        <v>21437.1</v>
      </c>
      <c r="AA165" s="738">
        <v>53</v>
      </c>
      <c r="AB165" s="757"/>
      <c r="AC165" s="757"/>
      <c r="AD165" s="757"/>
      <c r="AE165" s="757"/>
      <c r="AF165" s="757"/>
      <c r="AG165" s="757" t="s">
        <v>41</v>
      </c>
    </row>
    <row r="166" s="570" customFormat="1" ht="24.95" customHeight="1" spans="1:33">
      <c r="A166" s="705">
        <v>21</v>
      </c>
      <c r="B166" s="756" t="s">
        <v>198</v>
      </c>
      <c r="C166" s="757"/>
      <c r="D166" s="705" t="s">
        <v>150</v>
      </c>
      <c r="E166" s="92">
        <v>53</v>
      </c>
      <c r="F166" s="92">
        <v>0</v>
      </c>
      <c r="G166" s="92"/>
      <c r="H166" s="724">
        <v>53</v>
      </c>
      <c r="I166" s="724">
        <v>0</v>
      </c>
      <c r="J166" s="724">
        <v>53</v>
      </c>
      <c r="K166" s="724">
        <v>0</v>
      </c>
      <c r="L166" s="724">
        <v>0</v>
      </c>
      <c r="M166" s="724">
        <v>0</v>
      </c>
      <c r="N166" s="724">
        <v>3710</v>
      </c>
      <c r="O166" s="724">
        <v>0</v>
      </c>
      <c r="P166" s="724">
        <v>3710</v>
      </c>
      <c r="Q166" s="724">
        <v>0</v>
      </c>
      <c r="R166" s="724">
        <v>0</v>
      </c>
      <c r="S166" s="724">
        <v>3710</v>
      </c>
      <c r="T166" s="724">
        <v>0</v>
      </c>
      <c r="U166" s="724">
        <v>0</v>
      </c>
      <c r="V166" s="724">
        <v>0</v>
      </c>
      <c r="W166" s="92" t="s">
        <v>46</v>
      </c>
      <c r="X166" s="92" t="s">
        <v>47</v>
      </c>
      <c r="Y166" s="738">
        <v>4981</v>
      </c>
      <c r="Z166" s="738">
        <v>21437.1</v>
      </c>
      <c r="AA166" s="738">
        <v>53</v>
      </c>
      <c r="AB166" s="757"/>
      <c r="AC166" s="757"/>
      <c r="AD166" s="146" t="s">
        <v>199</v>
      </c>
      <c r="AE166" s="141" t="s">
        <v>200</v>
      </c>
      <c r="AF166" s="146" t="s">
        <v>201</v>
      </c>
      <c r="AG166" s="757" t="s">
        <v>41</v>
      </c>
    </row>
    <row r="167" s="570" customFormat="1" ht="24.95" customHeight="1" spans="1:33">
      <c r="A167" s="705"/>
      <c r="B167" s="714" t="s">
        <v>101</v>
      </c>
      <c r="C167" s="146" t="s">
        <v>52</v>
      </c>
      <c r="D167" s="152" t="s">
        <v>202</v>
      </c>
      <c r="E167" s="92">
        <v>3</v>
      </c>
      <c r="F167" s="92" t="s">
        <v>101</v>
      </c>
      <c r="G167" s="92"/>
      <c r="H167" s="724">
        <v>3</v>
      </c>
      <c r="I167" s="724">
        <v>0</v>
      </c>
      <c r="J167" s="724">
        <v>3</v>
      </c>
      <c r="K167" s="724">
        <v>0</v>
      </c>
      <c r="L167" s="724">
        <v>0</v>
      </c>
      <c r="M167" s="724">
        <v>0</v>
      </c>
      <c r="N167" s="724">
        <v>210</v>
      </c>
      <c r="O167" s="724">
        <v>0</v>
      </c>
      <c r="P167" s="724">
        <v>210</v>
      </c>
      <c r="Q167" s="724">
        <v>0</v>
      </c>
      <c r="R167" s="724">
        <v>0</v>
      </c>
      <c r="S167" s="724">
        <v>210</v>
      </c>
      <c r="T167" s="724">
        <v>0</v>
      </c>
      <c r="U167" s="724">
        <v>0</v>
      </c>
      <c r="V167" s="724">
        <v>0</v>
      </c>
      <c r="W167" s="92" t="s">
        <v>46</v>
      </c>
      <c r="X167" s="92" t="s">
        <v>47</v>
      </c>
      <c r="Y167" s="738">
        <v>56</v>
      </c>
      <c r="Z167" s="738">
        <v>240.8</v>
      </c>
      <c r="AA167" s="738">
        <v>3</v>
      </c>
      <c r="AB167" s="757"/>
      <c r="AC167" s="757"/>
      <c r="AD167" s="146" t="s">
        <v>203</v>
      </c>
      <c r="AE167" s="141" t="s">
        <v>204</v>
      </c>
      <c r="AF167" s="146" t="s">
        <v>201</v>
      </c>
      <c r="AG167" s="757"/>
    </row>
    <row r="168" s="570" customFormat="1" ht="24.95" customHeight="1" spans="1:33">
      <c r="A168" s="705"/>
      <c r="B168" s="714" t="s">
        <v>151</v>
      </c>
      <c r="C168" s="146" t="s">
        <v>52</v>
      </c>
      <c r="D168" s="152" t="s">
        <v>202</v>
      </c>
      <c r="E168" s="92">
        <v>4</v>
      </c>
      <c r="F168" s="92" t="s">
        <v>151</v>
      </c>
      <c r="G168" s="92"/>
      <c r="H168" s="724">
        <v>4</v>
      </c>
      <c r="I168" s="724">
        <v>0</v>
      </c>
      <c r="J168" s="724">
        <v>4</v>
      </c>
      <c r="K168" s="724">
        <v>0</v>
      </c>
      <c r="L168" s="724">
        <v>0</v>
      </c>
      <c r="M168" s="724">
        <v>0</v>
      </c>
      <c r="N168" s="724">
        <v>280</v>
      </c>
      <c r="O168" s="724">
        <v>0</v>
      </c>
      <c r="P168" s="724">
        <v>280</v>
      </c>
      <c r="Q168" s="724">
        <v>0</v>
      </c>
      <c r="R168" s="724">
        <v>0</v>
      </c>
      <c r="S168" s="724">
        <v>280</v>
      </c>
      <c r="T168" s="724">
        <v>0</v>
      </c>
      <c r="U168" s="724">
        <v>0</v>
      </c>
      <c r="V168" s="724">
        <v>0</v>
      </c>
      <c r="W168" s="92" t="s">
        <v>46</v>
      </c>
      <c r="X168" s="92" t="s">
        <v>47</v>
      </c>
      <c r="Y168" s="738">
        <v>77</v>
      </c>
      <c r="Z168" s="738">
        <v>331.1</v>
      </c>
      <c r="AA168" s="738">
        <v>4</v>
      </c>
      <c r="AB168" s="757"/>
      <c r="AC168" s="757"/>
      <c r="AD168" s="146" t="s">
        <v>53</v>
      </c>
      <c r="AE168" s="141" t="s">
        <v>205</v>
      </c>
      <c r="AF168" s="146" t="s">
        <v>201</v>
      </c>
      <c r="AG168" s="757"/>
    </row>
    <row r="169" s="570" customFormat="1" ht="24.95" customHeight="1" spans="1:33">
      <c r="A169" s="705"/>
      <c r="B169" s="714" t="s">
        <v>154</v>
      </c>
      <c r="C169" s="146" t="s">
        <v>52</v>
      </c>
      <c r="D169" s="152" t="s">
        <v>202</v>
      </c>
      <c r="E169" s="92">
        <v>2</v>
      </c>
      <c r="F169" s="92" t="s">
        <v>154</v>
      </c>
      <c r="G169" s="92"/>
      <c r="H169" s="724">
        <v>2</v>
      </c>
      <c r="I169" s="724">
        <v>0</v>
      </c>
      <c r="J169" s="724">
        <v>2</v>
      </c>
      <c r="K169" s="724">
        <v>0</v>
      </c>
      <c r="L169" s="724">
        <v>0</v>
      </c>
      <c r="M169" s="724">
        <v>0</v>
      </c>
      <c r="N169" s="724">
        <v>140</v>
      </c>
      <c r="O169" s="724">
        <v>0</v>
      </c>
      <c r="P169" s="724">
        <v>140</v>
      </c>
      <c r="Q169" s="724">
        <v>0</v>
      </c>
      <c r="R169" s="724">
        <v>0</v>
      </c>
      <c r="S169" s="724">
        <v>140</v>
      </c>
      <c r="T169" s="724">
        <v>0</v>
      </c>
      <c r="U169" s="724">
        <v>0</v>
      </c>
      <c r="V169" s="724">
        <v>0</v>
      </c>
      <c r="W169" s="92" t="s">
        <v>46</v>
      </c>
      <c r="X169" s="92" t="s">
        <v>47</v>
      </c>
      <c r="Y169" s="738">
        <v>38</v>
      </c>
      <c r="Z169" s="738">
        <v>163.4</v>
      </c>
      <c r="AA169" s="738">
        <v>2</v>
      </c>
      <c r="AB169" s="757"/>
      <c r="AC169" s="757"/>
      <c r="AD169" s="146" t="s">
        <v>171</v>
      </c>
      <c r="AE169" s="141" t="s">
        <v>206</v>
      </c>
      <c r="AF169" s="146" t="s">
        <v>201</v>
      </c>
      <c r="AG169" s="757"/>
    </row>
    <row r="170" s="570" customFormat="1" ht="24.95" customHeight="1" spans="1:33">
      <c r="A170" s="705"/>
      <c r="B170" s="714" t="s">
        <v>81</v>
      </c>
      <c r="C170" s="146" t="s">
        <v>52</v>
      </c>
      <c r="D170" s="152" t="s">
        <v>202</v>
      </c>
      <c r="E170" s="92">
        <v>7</v>
      </c>
      <c r="F170" s="92" t="s">
        <v>81</v>
      </c>
      <c r="G170" s="92"/>
      <c r="H170" s="724">
        <v>7</v>
      </c>
      <c r="I170" s="724">
        <v>0</v>
      </c>
      <c r="J170" s="724">
        <v>7</v>
      </c>
      <c r="K170" s="724">
        <v>0</v>
      </c>
      <c r="L170" s="724">
        <v>0</v>
      </c>
      <c r="M170" s="724">
        <v>0</v>
      </c>
      <c r="N170" s="724">
        <v>490</v>
      </c>
      <c r="O170" s="724">
        <v>0</v>
      </c>
      <c r="P170" s="724">
        <v>490</v>
      </c>
      <c r="Q170" s="724">
        <v>0</v>
      </c>
      <c r="R170" s="724">
        <v>0</v>
      </c>
      <c r="S170" s="724">
        <v>490</v>
      </c>
      <c r="T170" s="724">
        <v>0</v>
      </c>
      <c r="U170" s="724">
        <v>0</v>
      </c>
      <c r="V170" s="724">
        <v>0</v>
      </c>
      <c r="W170" s="92" t="s">
        <v>46</v>
      </c>
      <c r="X170" s="92" t="s">
        <v>47</v>
      </c>
      <c r="Y170" s="738">
        <v>905</v>
      </c>
      <c r="Z170" s="738">
        <v>3615</v>
      </c>
      <c r="AA170" s="738">
        <v>7</v>
      </c>
      <c r="AB170" s="757"/>
      <c r="AC170" s="757"/>
      <c r="AD170" s="146" t="s">
        <v>207</v>
      </c>
      <c r="AE170" s="141" t="s">
        <v>208</v>
      </c>
      <c r="AF170" s="146" t="s">
        <v>201</v>
      </c>
      <c r="AG170" s="757"/>
    </row>
    <row r="171" s="570" customFormat="1" ht="24.95" customHeight="1" spans="1:33">
      <c r="A171" s="705"/>
      <c r="B171" s="714" t="s">
        <v>98</v>
      </c>
      <c r="C171" s="146" t="s">
        <v>52</v>
      </c>
      <c r="D171" s="152" t="s">
        <v>202</v>
      </c>
      <c r="E171" s="92">
        <v>4</v>
      </c>
      <c r="F171" s="92" t="s">
        <v>98</v>
      </c>
      <c r="G171" s="92"/>
      <c r="H171" s="724">
        <v>4</v>
      </c>
      <c r="I171" s="724">
        <v>0</v>
      </c>
      <c r="J171" s="724">
        <v>4</v>
      </c>
      <c r="K171" s="724">
        <v>0</v>
      </c>
      <c r="L171" s="724">
        <v>0</v>
      </c>
      <c r="M171" s="724">
        <v>0</v>
      </c>
      <c r="N171" s="724">
        <v>280</v>
      </c>
      <c r="O171" s="724">
        <v>0</v>
      </c>
      <c r="P171" s="724">
        <v>280</v>
      </c>
      <c r="Q171" s="724">
        <v>0</v>
      </c>
      <c r="R171" s="724">
        <v>0</v>
      </c>
      <c r="S171" s="724">
        <v>280</v>
      </c>
      <c r="T171" s="724">
        <v>0</v>
      </c>
      <c r="U171" s="724">
        <v>0</v>
      </c>
      <c r="V171" s="724">
        <v>0</v>
      </c>
      <c r="W171" s="92" t="s">
        <v>46</v>
      </c>
      <c r="X171" s="92" t="s">
        <v>47</v>
      </c>
      <c r="Y171" s="738">
        <v>70</v>
      </c>
      <c r="Z171" s="738">
        <v>301</v>
      </c>
      <c r="AA171" s="738">
        <v>4</v>
      </c>
      <c r="AB171" s="757"/>
      <c r="AC171" s="757"/>
      <c r="AD171" s="146" t="s">
        <v>209</v>
      </c>
      <c r="AE171" s="141" t="s">
        <v>210</v>
      </c>
      <c r="AF171" s="146" t="s">
        <v>201</v>
      </c>
      <c r="AG171" s="757"/>
    </row>
    <row r="172" s="570" customFormat="1" ht="24.95" customHeight="1" spans="1:33">
      <c r="A172" s="705"/>
      <c r="B172" s="714" t="s">
        <v>211</v>
      </c>
      <c r="C172" s="146" t="s">
        <v>52</v>
      </c>
      <c r="D172" s="152" t="s">
        <v>202</v>
      </c>
      <c r="E172" s="92">
        <v>13</v>
      </c>
      <c r="F172" s="92" t="s">
        <v>211</v>
      </c>
      <c r="G172" s="92"/>
      <c r="H172" s="724">
        <v>13</v>
      </c>
      <c r="I172" s="724">
        <v>0</v>
      </c>
      <c r="J172" s="724">
        <v>13</v>
      </c>
      <c r="K172" s="724">
        <v>0</v>
      </c>
      <c r="L172" s="724">
        <v>0</v>
      </c>
      <c r="M172" s="724">
        <v>0</v>
      </c>
      <c r="N172" s="724">
        <v>910</v>
      </c>
      <c r="O172" s="724">
        <v>0</v>
      </c>
      <c r="P172" s="724">
        <v>910</v>
      </c>
      <c r="Q172" s="724">
        <v>0</v>
      </c>
      <c r="R172" s="724">
        <v>0</v>
      </c>
      <c r="S172" s="724">
        <v>910</v>
      </c>
      <c r="T172" s="724">
        <v>0</v>
      </c>
      <c r="U172" s="724">
        <v>0</v>
      </c>
      <c r="V172" s="724">
        <v>0</v>
      </c>
      <c r="W172" s="92" t="s">
        <v>46</v>
      </c>
      <c r="X172" s="92" t="s">
        <v>47</v>
      </c>
      <c r="Y172" s="738">
        <v>1847</v>
      </c>
      <c r="Z172" s="738">
        <v>8399</v>
      </c>
      <c r="AA172" s="738">
        <v>13</v>
      </c>
      <c r="AB172" s="757"/>
      <c r="AC172" s="757"/>
      <c r="AD172" s="146" t="s">
        <v>212</v>
      </c>
      <c r="AE172" s="141" t="s">
        <v>213</v>
      </c>
      <c r="AF172" s="146" t="s">
        <v>201</v>
      </c>
      <c r="AG172" s="757"/>
    </row>
    <row r="173" s="570" customFormat="1" ht="24.95" customHeight="1" spans="1:33">
      <c r="A173" s="705"/>
      <c r="B173" s="714" t="s">
        <v>155</v>
      </c>
      <c r="C173" s="146" t="s">
        <v>52</v>
      </c>
      <c r="D173" s="152" t="s">
        <v>202</v>
      </c>
      <c r="E173" s="92">
        <v>8</v>
      </c>
      <c r="F173" s="92" t="s">
        <v>155</v>
      </c>
      <c r="G173" s="92"/>
      <c r="H173" s="724">
        <v>8</v>
      </c>
      <c r="I173" s="724">
        <v>0</v>
      </c>
      <c r="J173" s="724">
        <v>8</v>
      </c>
      <c r="K173" s="724">
        <v>0</v>
      </c>
      <c r="L173" s="724">
        <v>0</v>
      </c>
      <c r="M173" s="724">
        <v>0</v>
      </c>
      <c r="N173" s="724">
        <v>560</v>
      </c>
      <c r="O173" s="724">
        <v>0</v>
      </c>
      <c r="P173" s="724">
        <v>560</v>
      </c>
      <c r="Q173" s="724">
        <v>0</v>
      </c>
      <c r="R173" s="724">
        <v>0</v>
      </c>
      <c r="S173" s="724">
        <v>560</v>
      </c>
      <c r="T173" s="724">
        <v>0</v>
      </c>
      <c r="U173" s="724">
        <v>0</v>
      </c>
      <c r="V173" s="724">
        <v>0</v>
      </c>
      <c r="W173" s="92" t="s">
        <v>46</v>
      </c>
      <c r="X173" s="92" t="s">
        <v>47</v>
      </c>
      <c r="Y173" s="738">
        <v>618</v>
      </c>
      <c r="Z173" s="738">
        <v>2651</v>
      </c>
      <c r="AA173" s="738">
        <v>8</v>
      </c>
      <c r="AB173" s="757"/>
      <c r="AC173" s="757"/>
      <c r="AD173" s="146" t="s">
        <v>178</v>
      </c>
      <c r="AE173" s="141" t="s">
        <v>214</v>
      </c>
      <c r="AF173" s="146" t="s">
        <v>201</v>
      </c>
      <c r="AG173" s="757"/>
    </row>
    <row r="174" s="570" customFormat="1" ht="24.95" customHeight="1" spans="1:33">
      <c r="A174" s="705"/>
      <c r="B174" s="714" t="s">
        <v>102</v>
      </c>
      <c r="C174" s="146" t="s">
        <v>52</v>
      </c>
      <c r="D174" s="152" t="s">
        <v>202</v>
      </c>
      <c r="E174" s="92">
        <v>7</v>
      </c>
      <c r="F174" s="92" t="s">
        <v>102</v>
      </c>
      <c r="G174" s="92"/>
      <c r="H174" s="724">
        <v>7</v>
      </c>
      <c r="I174" s="724">
        <v>0</v>
      </c>
      <c r="J174" s="724">
        <v>7</v>
      </c>
      <c r="K174" s="724">
        <v>0</v>
      </c>
      <c r="L174" s="724">
        <v>0</v>
      </c>
      <c r="M174" s="724">
        <v>0</v>
      </c>
      <c r="N174" s="724">
        <v>490</v>
      </c>
      <c r="O174" s="724">
        <v>0</v>
      </c>
      <c r="P174" s="724">
        <v>490</v>
      </c>
      <c r="Q174" s="724">
        <v>0</v>
      </c>
      <c r="R174" s="724">
        <v>0</v>
      </c>
      <c r="S174" s="724">
        <v>490</v>
      </c>
      <c r="T174" s="724">
        <v>0</v>
      </c>
      <c r="U174" s="724">
        <v>0</v>
      </c>
      <c r="V174" s="724">
        <v>0</v>
      </c>
      <c r="W174" s="92" t="s">
        <v>46</v>
      </c>
      <c r="X174" s="92" t="s">
        <v>47</v>
      </c>
      <c r="Y174" s="738">
        <v>960</v>
      </c>
      <c r="Z174" s="738">
        <v>4128</v>
      </c>
      <c r="AA174" s="738">
        <v>7</v>
      </c>
      <c r="AB174" s="757"/>
      <c r="AC174" s="757"/>
      <c r="AD174" s="146" t="s">
        <v>215</v>
      </c>
      <c r="AE174" s="141" t="s">
        <v>216</v>
      </c>
      <c r="AF174" s="146" t="s">
        <v>201</v>
      </c>
      <c r="AG174" s="757"/>
    </row>
    <row r="175" s="570" customFormat="1" ht="24.95" customHeight="1" spans="1:33">
      <c r="A175" s="705"/>
      <c r="B175" s="714" t="s">
        <v>100</v>
      </c>
      <c r="C175" s="146" t="s">
        <v>52</v>
      </c>
      <c r="D175" s="152" t="s">
        <v>202</v>
      </c>
      <c r="E175" s="92">
        <v>1</v>
      </c>
      <c r="F175" s="92" t="s">
        <v>100</v>
      </c>
      <c r="G175" s="92"/>
      <c r="H175" s="724">
        <v>1</v>
      </c>
      <c r="I175" s="724">
        <v>0</v>
      </c>
      <c r="J175" s="724">
        <v>1</v>
      </c>
      <c r="K175" s="724">
        <v>0</v>
      </c>
      <c r="L175" s="724">
        <v>0</v>
      </c>
      <c r="M175" s="724">
        <v>0</v>
      </c>
      <c r="N175" s="724">
        <v>70</v>
      </c>
      <c r="O175" s="724">
        <v>0</v>
      </c>
      <c r="P175" s="724">
        <v>70</v>
      </c>
      <c r="Q175" s="724">
        <v>0</v>
      </c>
      <c r="R175" s="724">
        <v>0</v>
      </c>
      <c r="S175" s="724">
        <v>70</v>
      </c>
      <c r="T175" s="724">
        <v>0</v>
      </c>
      <c r="U175" s="724">
        <v>0</v>
      </c>
      <c r="V175" s="724">
        <v>0</v>
      </c>
      <c r="W175" s="92" t="s">
        <v>46</v>
      </c>
      <c r="X175" s="92" t="s">
        <v>47</v>
      </c>
      <c r="Y175" s="738">
        <v>19</v>
      </c>
      <c r="Z175" s="738">
        <v>81.7</v>
      </c>
      <c r="AA175" s="738">
        <v>1</v>
      </c>
      <c r="AB175" s="757"/>
      <c r="AC175" s="757"/>
      <c r="AD175" s="146" t="s">
        <v>217</v>
      </c>
      <c r="AE175" s="141" t="s">
        <v>218</v>
      </c>
      <c r="AF175" s="146" t="s">
        <v>201</v>
      </c>
      <c r="AG175" s="757"/>
    </row>
    <row r="176" s="570" customFormat="1" ht="24.95" customHeight="1" spans="1:33">
      <c r="A176" s="705"/>
      <c r="B176" s="714" t="s">
        <v>84</v>
      </c>
      <c r="C176" s="146" t="s">
        <v>52</v>
      </c>
      <c r="D176" s="152" t="s">
        <v>202</v>
      </c>
      <c r="E176" s="92">
        <v>3</v>
      </c>
      <c r="F176" s="92" t="s">
        <v>84</v>
      </c>
      <c r="G176" s="92"/>
      <c r="H176" s="724">
        <v>3</v>
      </c>
      <c r="I176" s="724">
        <v>0</v>
      </c>
      <c r="J176" s="724">
        <v>3</v>
      </c>
      <c r="K176" s="724">
        <v>0</v>
      </c>
      <c r="L176" s="724">
        <v>0</v>
      </c>
      <c r="M176" s="724">
        <v>0</v>
      </c>
      <c r="N176" s="724">
        <v>210</v>
      </c>
      <c r="O176" s="724">
        <v>0</v>
      </c>
      <c r="P176" s="724">
        <v>210</v>
      </c>
      <c r="Q176" s="724">
        <v>0</v>
      </c>
      <c r="R176" s="724">
        <v>0</v>
      </c>
      <c r="S176" s="724">
        <v>210</v>
      </c>
      <c r="T176" s="724">
        <v>0</v>
      </c>
      <c r="U176" s="724">
        <v>0</v>
      </c>
      <c r="V176" s="724">
        <v>0</v>
      </c>
      <c r="W176" s="92" t="s">
        <v>46</v>
      </c>
      <c r="X176" s="92" t="s">
        <v>47</v>
      </c>
      <c r="Y176" s="738">
        <v>374</v>
      </c>
      <c r="Z176" s="738">
        <v>1453</v>
      </c>
      <c r="AA176" s="738">
        <v>3</v>
      </c>
      <c r="AB176" s="757"/>
      <c r="AC176" s="757"/>
      <c r="AD176" s="146" t="s">
        <v>219</v>
      </c>
      <c r="AE176" s="141" t="s">
        <v>220</v>
      </c>
      <c r="AF176" s="146" t="s">
        <v>201</v>
      </c>
      <c r="AG176" s="757"/>
    </row>
    <row r="177" s="570" customFormat="1" ht="24.95" customHeight="1" spans="1:33">
      <c r="A177" s="705"/>
      <c r="B177" s="714" t="s">
        <v>143</v>
      </c>
      <c r="C177" s="146" t="s">
        <v>52</v>
      </c>
      <c r="D177" s="152" t="s">
        <v>202</v>
      </c>
      <c r="E177" s="92">
        <v>1</v>
      </c>
      <c r="F177" s="92" t="s">
        <v>143</v>
      </c>
      <c r="G177" s="92"/>
      <c r="H177" s="724">
        <v>1</v>
      </c>
      <c r="I177" s="724">
        <v>0</v>
      </c>
      <c r="J177" s="724">
        <v>1</v>
      </c>
      <c r="K177" s="724">
        <v>0</v>
      </c>
      <c r="L177" s="724">
        <v>0</v>
      </c>
      <c r="M177" s="724">
        <v>0</v>
      </c>
      <c r="N177" s="724">
        <v>70</v>
      </c>
      <c r="O177" s="724">
        <v>0</v>
      </c>
      <c r="P177" s="724">
        <v>70</v>
      </c>
      <c r="Q177" s="724">
        <v>0</v>
      </c>
      <c r="R177" s="724">
        <v>0</v>
      </c>
      <c r="S177" s="724">
        <v>70</v>
      </c>
      <c r="T177" s="724">
        <v>0</v>
      </c>
      <c r="U177" s="724">
        <v>0</v>
      </c>
      <c r="V177" s="724">
        <v>0</v>
      </c>
      <c r="W177" s="92" t="s">
        <v>46</v>
      </c>
      <c r="X177" s="92" t="s">
        <v>47</v>
      </c>
      <c r="Y177" s="738">
        <v>17</v>
      </c>
      <c r="Z177" s="738">
        <v>73.1</v>
      </c>
      <c r="AA177" s="738">
        <v>1</v>
      </c>
      <c r="AB177" s="757"/>
      <c r="AC177" s="757"/>
      <c r="AD177" s="146" t="s">
        <v>221</v>
      </c>
      <c r="AE177" s="141" t="s">
        <v>222</v>
      </c>
      <c r="AF177" s="146" t="s">
        <v>201</v>
      </c>
      <c r="AG177" s="757"/>
    </row>
    <row r="178" s="570" customFormat="1" ht="24.95" customHeight="1" spans="1:33">
      <c r="A178" s="705">
        <v>22</v>
      </c>
      <c r="B178" s="757" t="s">
        <v>223</v>
      </c>
      <c r="C178" s="757"/>
      <c r="D178" s="705"/>
      <c r="E178" s="92">
        <v>0</v>
      </c>
      <c r="F178" s="92">
        <v>0</v>
      </c>
      <c r="G178" s="92"/>
      <c r="H178" s="724">
        <v>0</v>
      </c>
      <c r="I178" s="724">
        <v>0</v>
      </c>
      <c r="J178" s="724">
        <v>0</v>
      </c>
      <c r="K178" s="724">
        <v>0</v>
      </c>
      <c r="L178" s="724">
        <v>0</v>
      </c>
      <c r="M178" s="724">
        <v>0</v>
      </c>
      <c r="N178" s="724">
        <v>0</v>
      </c>
      <c r="O178" s="724">
        <v>0</v>
      </c>
      <c r="P178" s="724">
        <v>0</v>
      </c>
      <c r="Q178" s="724">
        <v>0</v>
      </c>
      <c r="R178" s="724">
        <v>0</v>
      </c>
      <c r="S178" s="724">
        <v>0</v>
      </c>
      <c r="T178" s="724">
        <v>0</v>
      </c>
      <c r="U178" s="724">
        <v>0</v>
      </c>
      <c r="V178" s="724">
        <v>0</v>
      </c>
      <c r="W178" s="92">
        <v>0</v>
      </c>
      <c r="X178" s="92">
        <v>0</v>
      </c>
      <c r="Y178" s="738">
        <v>0</v>
      </c>
      <c r="Z178" s="738">
        <v>0</v>
      </c>
      <c r="AA178" s="738">
        <v>0</v>
      </c>
      <c r="AB178" s="757"/>
      <c r="AC178" s="757"/>
      <c r="AD178" s="757"/>
      <c r="AE178" s="757"/>
      <c r="AF178" s="757" t="s">
        <v>160</v>
      </c>
      <c r="AG178" s="757" t="s">
        <v>41</v>
      </c>
    </row>
    <row r="179" s="570" customFormat="1" ht="24.95" customHeight="1" spans="1:33">
      <c r="A179" s="705" t="s">
        <v>48</v>
      </c>
      <c r="B179" s="757" t="s">
        <v>148</v>
      </c>
      <c r="C179" s="757"/>
      <c r="D179" s="705"/>
      <c r="E179" s="92">
        <v>0</v>
      </c>
      <c r="F179" s="92">
        <v>0</v>
      </c>
      <c r="G179" s="92"/>
      <c r="H179" s="724">
        <v>0</v>
      </c>
      <c r="I179" s="724">
        <v>0</v>
      </c>
      <c r="J179" s="724">
        <v>0</v>
      </c>
      <c r="K179" s="724">
        <v>0</v>
      </c>
      <c r="L179" s="724">
        <v>0</v>
      </c>
      <c r="M179" s="724">
        <v>0</v>
      </c>
      <c r="N179" s="724">
        <v>0</v>
      </c>
      <c r="O179" s="724">
        <v>0</v>
      </c>
      <c r="P179" s="724">
        <v>0</v>
      </c>
      <c r="Q179" s="724">
        <v>0</v>
      </c>
      <c r="R179" s="724">
        <v>0</v>
      </c>
      <c r="S179" s="724">
        <v>0</v>
      </c>
      <c r="T179" s="724">
        <v>0</v>
      </c>
      <c r="U179" s="724">
        <v>0</v>
      </c>
      <c r="V179" s="724">
        <v>0</v>
      </c>
      <c r="W179" s="92">
        <v>0</v>
      </c>
      <c r="X179" s="92">
        <v>0</v>
      </c>
      <c r="Y179" s="738">
        <v>0</v>
      </c>
      <c r="Z179" s="738">
        <v>0</v>
      </c>
      <c r="AA179" s="738">
        <v>0</v>
      </c>
      <c r="AB179" s="757"/>
      <c r="AC179" s="757"/>
      <c r="AD179" s="757"/>
      <c r="AE179" s="757"/>
      <c r="AF179" s="757"/>
      <c r="AG179" s="757"/>
    </row>
    <row r="180" s="570" customFormat="1" ht="44.25" customHeight="1" spans="1:33">
      <c r="A180" s="705">
        <v>23</v>
      </c>
      <c r="B180" s="757" t="s">
        <v>224</v>
      </c>
      <c r="C180" s="757"/>
      <c r="D180" s="705" t="s">
        <v>150</v>
      </c>
      <c r="E180" s="92">
        <v>0</v>
      </c>
      <c r="F180" s="92">
        <v>0</v>
      </c>
      <c r="G180" s="92"/>
      <c r="H180" s="724">
        <v>0</v>
      </c>
      <c r="I180" s="724">
        <v>0</v>
      </c>
      <c r="J180" s="724">
        <v>0</v>
      </c>
      <c r="K180" s="724">
        <v>0</v>
      </c>
      <c r="L180" s="724">
        <v>0</v>
      </c>
      <c r="M180" s="724">
        <v>0</v>
      </c>
      <c r="N180" s="724">
        <v>0</v>
      </c>
      <c r="O180" s="724">
        <v>0</v>
      </c>
      <c r="P180" s="724">
        <v>0</v>
      </c>
      <c r="Q180" s="724">
        <v>0</v>
      </c>
      <c r="R180" s="724">
        <v>0</v>
      </c>
      <c r="S180" s="724">
        <v>0</v>
      </c>
      <c r="T180" s="724">
        <v>0</v>
      </c>
      <c r="U180" s="724">
        <v>0</v>
      </c>
      <c r="V180" s="724">
        <v>0</v>
      </c>
      <c r="W180" s="92">
        <v>0</v>
      </c>
      <c r="X180" s="92">
        <v>0</v>
      </c>
      <c r="Y180" s="738">
        <v>0</v>
      </c>
      <c r="Z180" s="738">
        <v>0</v>
      </c>
      <c r="AA180" s="738">
        <v>0</v>
      </c>
      <c r="AB180" s="757"/>
      <c r="AC180" s="757"/>
      <c r="AD180" s="765"/>
      <c r="AE180" s="757"/>
      <c r="AF180" s="757" t="s">
        <v>43</v>
      </c>
      <c r="AG180" s="757" t="s">
        <v>41</v>
      </c>
    </row>
    <row r="181" s="570" customFormat="1" ht="24.95" customHeight="1" spans="1:33">
      <c r="A181" s="705" t="s">
        <v>48</v>
      </c>
      <c r="B181" s="757" t="s">
        <v>148</v>
      </c>
      <c r="C181" s="757"/>
      <c r="D181" s="705"/>
      <c r="E181" s="92">
        <v>0</v>
      </c>
      <c r="F181" s="92">
        <v>0</v>
      </c>
      <c r="G181" s="92"/>
      <c r="H181" s="724">
        <v>0</v>
      </c>
      <c r="I181" s="724">
        <v>0</v>
      </c>
      <c r="J181" s="724">
        <v>0</v>
      </c>
      <c r="K181" s="724">
        <v>0</v>
      </c>
      <c r="L181" s="724">
        <v>0</v>
      </c>
      <c r="M181" s="724">
        <v>0</v>
      </c>
      <c r="N181" s="724">
        <v>0</v>
      </c>
      <c r="O181" s="724">
        <v>0</v>
      </c>
      <c r="P181" s="724">
        <v>0</v>
      </c>
      <c r="Q181" s="724">
        <v>0</v>
      </c>
      <c r="R181" s="724">
        <v>0</v>
      </c>
      <c r="S181" s="724">
        <v>0</v>
      </c>
      <c r="T181" s="724">
        <v>0</v>
      </c>
      <c r="U181" s="724">
        <v>0</v>
      </c>
      <c r="V181" s="724">
        <v>0</v>
      </c>
      <c r="W181" s="92">
        <v>0</v>
      </c>
      <c r="X181" s="92">
        <v>0</v>
      </c>
      <c r="Y181" s="738">
        <v>0</v>
      </c>
      <c r="Z181" s="738">
        <v>0</v>
      </c>
      <c r="AA181" s="738">
        <v>0</v>
      </c>
      <c r="AB181" s="757"/>
      <c r="AC181" s="757"/>
      <c r="AD181" s="757"/>
      <c r="AE181" s="757"/>
      <c r="AF181" s="757"/>
      <c r="AG181" s="757"/>
    </row>
    <row r="182" s="570" customFormat="1" ht="24.95" customHeight="1" spans="1:33">
      <c r="A182" s="705">
        <v>24</v>
      </c>
      <c r="B182" s="757" t="s">
        <v>225</v>
      </c>
      <c r="C182" s="757"/>
      <c r="D182" s="705" t="s">
        <v>150</v>
      </c>
      <c r="E182" s="92">
        <v>0</v>
      </c>
      <c r="F182" s="92">
        <v>0</v>
      </c>
      <c r="G182" s="92"/>
      <c r="H182" s="724">
        <v>0</v>
      </c>
      <c r="I182" s="724">
        <v>0</v>
      </c>
      <c r="J182" s="724">
        <v>0</v>
      </c>
      <c r="K182" s="724">
        <v>0</v>
      </c>
      <c r="L182" s="724">
        <v>0</v>
      </c>
      <c r="M182" s="724">
        <v>0</v>
      </c>
      <c r="N182" s="724">
        <v>0</v>
      </c>
      <c r="O182" s="724">
        <v>0</v>
      </c>
      <c r="P182" s="724">
        <v>0</v>
      </c>
      <c r="Q182" s="724">
        <v>0</v>
      </c>
      <c r="R182" s="724">
        <v>0</v>
      </c>
      <c r="S182" s="724">
        <v>0</v>
      </c>
      <c r="T182" s="724">
        <v>0</v>
      </c>
      <c r="U182" s="724">
        <v>0</v>
      </c>
      <c r="V182" s="724">
        <v>0</v>
      </c>
      <c r="W182" s="92">
        <v>0</v>
      </c>
      <c r="X182" s="92">
        <v>0</v>
      </c>
      <c r="Y182" s="738">
        <v>0</v>
      </c>
      <c r="Z182" s="738">
        <v>0</v>
      </c>
      <c r="AA182" s="738">
        <v>0</v>
      </c>
      <c r="AB182" s="757"/>
      <c r="AC182" s="757"/>
      <c r="AD182" s="765"/>
      <c r="AE182" s="757"/>
      <c r="AF182" s="757" t="s">
        <v>43</v>
      </c>
      <c r="AG182" s="757" t="s">
        <v>41</v>
      </c>
    </row>
    <row r="183" s="570" customFormat="1" ht="24.95" customHeight="1" spans="1:33">
      <c r="A183" s="705" t="s">
        <v>48</v>
      </c>
      <c r="B183" s="757" t="s">
        <v>148</v>
      </c>
      <c r="C183" s="757"/>
      <c r="D183" s="705"/>
      <c r="E183" s="92">
        <v>0</v>
      </c>
      <c r="F183" s="92">
        <v>0</v>
      </c>
      <c r="G183" s="92"/>
      <c r="H183" s="724">
        <v>0</v>
      </c>
      <c r="I183" s="724">
        <v>0</v>
      </c>
      <c r="J183" s="724">
        <v>0</v>
      </c>
      <c r="K183" s="724">
        <v>0</v>
      </c>
      <c r="L183" s="724">
        <v>0</v>
      </c>
      <c r="M183" s="724">
        <v>0</v>
      </c>
      <c r="N183" s="724">
        <v>0</v>
      </c>
      <c r="O183" s="724">
        <v>0</v>
      </c>
      <c r="P183" s="724">
        <v>0</v>
      </c>
      <c r="Q183" s="724">
        <v>0</v>
      </c>
      <c r="R183" s="724">
        <v>0</v>
      </c>
      <c r="S183" s="724">
        <v>0</v>
      </c>
      <c r="T183" s="724">
        <v>0</v>
      </c>
      <c r="U183" s="724">
        <v>0</v>
      </c>
      <c r="V183" s="724">
        <v>0</v>
      </c>
      <c r="W183" s="92">
        <v>0</v>
      </c>
      <c r="X183" s="92">
        <v>0</v>
      </c>
      <c r="Y183" s="738">
        <v>0</v>
      </c>
      <c r="Z183" s="738">
        <v>0</v>
      </c>
      <c r="AA183" s="738">
        <v>0</v>
      </c>
      <c r="AB183" s="757"/>
      <c r="AC183" s="757"/>
      <c r="AD183" s="757"/>
      <c r="AE183" s="757"/>
      <c r="AF183" s="757"/>
      <c r="AG183" s="757"/>
    </row>
    <row r="184" s="570" customFormat="1" ht="29.1" customHeight="1" spans="1:33">
      <c r="A184" s="705">
        <v>25</v>
      </c>
      <c r="B184" s="757" t="s">
        <v>226</v>
      </c>
      <c r="C184" s="757"/>
      <c r="D184" s="705" t="s">
        <v>202</v>
      </c>
      <c r="E184" s="92">
        <v>0</v>
      </c>
      <c r="F184" s="92">
        <v>0</v>
      </c>
      <c r="G184" s="92"/>
      <c r="H184" s="724">
        <v>0</v>
      </c>
      <c r="I184" s="724">
        <v>0</v>
      </c>
      <c r="J184" s="724">
        <v>0</v>
      </c>
      <c r="K184" s="724">
        <v>0</v>
      </c>
      <c r="L184" s="724">
        <v>0</v>
      </c>
      <c r="M184" s="724">
        <v>0</v>
      </c>
      <c r="N184" s="724">
        <v>0</v>
      </c>
      <c r="O184" s="724">
        <v>0</v>
      </c>
      <c r="P184" s="724">
        <v>0</v>
      </c>
      <c r="Q184" s="724">
        <v>0</v>
      </c>
      <c r="R184" s="724">
        <v>0</v>
      </c>
      <c r="S184" s="724">
        <v>0</v>
      </c>
      <c r="T184" s="724">
        <v>0</v>
      </c>
      <c r="U184" s="724">
        <v>0</v>
      </c>
      <c r="V184" s="724">
        <v>0</v>
      </c>
      <c r="W184" s="92">
        <v>0</v>
      </c>
      <c r="X184" s="92">
        <v>0</v>
      </c>
      <c r="Y184" s="738">
        <v>0</v>
      </c>
      <c r="Z184" s="738">
        <v>0</v>
      </c>
      <c r="AA184" s="738">
        <v>0</v>
      </c>
      <c r="AB184" s="757"/>
      <c r="AC184" s="757"/>
      <c r="AD184" s="757"/>
      <c r="AE184" s="757"/>
      <c r="AF184" s="757"/>
      <c r="AG184" s="757" t="s">
        <v>41</v>
      </c>
    </row>
    <row r="185" s="570" customFormat="1" ht="24.95" customHeight="1" spans="1:33">
      <c r="A185" s="705" t="s">
        <v>48</v>
      </c>
      <c r="B185" s="757" t="s">
        <v>148</v>
      </c>
      <c r="C185" s="757"/>
      <c r="D185" s="705"/>
      <c r="E185" s="92">
        <v>0</v>
      </c>
      <c r="F185" s="92">
        <v>0</v>
      </c>
      <c r="G185" s="92"/>
      <c r="H185" s="724">
        <v>0</v>
      </c>
      <c r="I185" s="724">
        <v>0</v>
      </c>
      <c r="J185" s="724">
        <v>0</v>
      </c>
      <c r="K185" s="724">
        <v>0</v>
      </c>
      <c r="L185" s="724">
        <v>0</v>
      </c>
      <c r="M185" s="724">
        <v>0</v>
      </c>
      <c r="N185" s="724">
        <v>0</v>
      </c>
      <c r="O185" s="724">
        <v>0</v>
      </c>
      <c r="P185" s="724">
        <v>0</v>
      </c>
      <c r="Q185" s="724">
        <v>0</v>
      </c>
      <c r="R185" s="724">
        <v>0</v>
      </c>
      <c r="S185" s="724">
        <v>0</v>
      </c>
      <c r="T185" s="724">
        <v>0</v>
      </c>
      <c r="U185" s="724">
        <v>0</v>
      </c>
      <c r="V185" s="724">
        <v>0</v>
      </c>
      <c r="W185" s="92">
        <v>0</v>
      </c>
      <c r="X185" s="92">
        <v>0</v>
      </c>
      <c r="Y185" s="738">
        <v>0</v>
      </c>
      <c r="Z185" s="738">
        <v>0</v>
      </c>
      <c r="AA185" s="738">
        <v>0</v>
      </c>
      <c r="AB185" s="757"/>
      <c r="AC185" s="757"/>
      <c r="AD185" s="757"/>
      <c r="AE185" s="757"/>
      <c r="AF185" s="757"/>
      <c r="AG185" s="757"/>
    </row>
    <row r="186" s="570" customFormat="1" ht="24.95" customHeight="1" spans="1:33">
      <c r="A186" s="705"/>
      <c r="B186" s="757" t="s">
        <v>227</v>
      </c>
      <c r="C186" s="757"/>
      <c r="D186" s="705"/>
      <c r="E186" s="92">
        <v>74</v>
      </c>
      <c r="F186" s="92">
        <v>0</v>
      </c>
      <c r="G186" s="92"/>
      <c r="H186" s="724">
        <v>5600</v>
      </c>
      <c r="I186" s="724">
        <v>0</v>
      </c>
      <c r="J186" s="724">
        <v>5600</v>
      </c>
      <c r="K186" s="724">
        <v>0</v>
      </c>
      <c r="L186" s="724">
        <v>0</v>
      </c>
      <c r="M186" s="724">
        <v>0</v>
      </c>
      <c r="N186" s="724">
        <v>1210</v>
      </c>
      <c r="O186" s="724">
        <v>0</v>
      </c>
      <c r="P186" s="724">
        <v>1210</v>
      </c>
      <c r="Q186" s="724">
        <v>0</v>
      </c>
      <c r="R186" s="724">
        <v>0</v>
      </c>
      <c r="S186" s="724">
        <v>1210</v>
      </c>
      <c r="T186" s="724">
        <v>0</v>
      </c>
      <c r="U186" s="724">
        <v>0</v>
      </c>
      <c r="V186" s="724">
        <v>0</v>
      </c>
      <c r="W186" s="92">
        <v>0</v>
      </c>
      <c r="X186" s="92">
        <v>0</v>
      </c>
      <c r="Y186" s="738">
        <v>4127</v>
      </c>
      <c r="Z186" s="738">
        <v>16347</v>
      </c>
      <c r="AA186" s="738">
        <v>74</v>
      </c>
      <c r="AB186" s="757"/>
      <c r="AC186" s="757"/>
      <c r="AD186" s="757"/>
      <c r="AE186" s="757"/>
      <c r="AF186" s="757"/>
      <c r="AG186" s="757"/>
    </row>
    <row r="187" s="570" customFormat="1" ht="24.95" customHeight="1" spans="1:33">
      <c r="A187" s="705"/>
      <c r="B187" s="757" t="s">
        <v>228</v>
      </c>
      <c r="C187" s="146" t="s">
        <v>52</v>
      </c>
      <c r="D187" s="705" t="s">
        <v>150</v>
      </c>
      <c r="E187" s="92">
        <v>5</v>
      </c>
      <c r="F187" s="92">
        <v>0</v>
      </c>
      <c r="G187" s="92"/>
      <c r="H187" s="724">
        <v>5</v>
      </c>
      <c r="I187" s="724">
        <v>0</v>
      </c>
      <c r="J187" s="724">
        <v>5</v>
      </c>
      <c r="K187" s="724">
        <v>0</v>
      </c>
      <c r="L187" s="724">
        <v>0</v>
      </c>
      <c r="M187" s="724">
        <v>0</v>
      </c>
      <c r="N187" s="724">
        <v>400</v>
      </c>
      <c r="O187" s="724">
        <v>0</v>
      </c>
      <c r="P187" s="724">
        <v>400</v>
      </c>
      <c r="Q187" s="724">
        <v>0</v>
      </c>
      <c r="R187" s="724">
        <v>0</v>
      </c>
      <c r="S187" s="724">
        <v>400</v>
      </c>
      <c r="T187" s="724">
        <v>0</v>
      </c>
      <c r="U187" s="724">
        <v>0</v>
      </c>
      <c r="V187" s="724">
        <v>0</v>
      </c>
      <c r="W187" s="92">
        <v>0</v>
      </c>
      <c r="X187" s="92" t="s">
        <v>47</v>
      </c>
      <c r="Y187" s="738">
        <v>91</v>
      </c>
      <c r="Z187" s="738">
        <v>366</v>
      </c>
      <c r="AA187" s="738">
        <v>5</v>
      </c>
      <c r="AB187" s="757"/>
      <c r="AC187" s="757"/>
      <c r="AD187" s="141" t="s">
        <v>68</v>
      </c>
      <c r="AE187" s="146" t="s">
        <v>50</v>
      </c>
      <c r="AF187" s="438" t="s">
        <v>43</v>
      </c>
      <c r="AG187" s="757"/>
    </row>
    <row r="188" s="570" customFormat="1" ht="24.95" customHeight="1" spans="1:33">
      <c r="A188" s="705"/>
      <c r="B188" s="758" t="s">
        <v>55</v>
      </c>
      <c r="C188" s="146" t="s">
        <v>52</v>
      </c>
      <c r="D188" s="705" t="s">
        <v>150</v>
      </c>
      <c r="E188" s="92">
        <v>2</v>
      </c>
      <c r="F188" s="92" t="s">
        <v>55</v>
      </c>
      <c r="G188" s="92"/>
      <c r="H188" s="724">
        <v>2</v>
      </c>
      <c r="I188" s="724">
        <v>0</v>
      </c>
      <c r="J188" s="724">
        <v>2</v>
      </c>
      <c r="K188" s="724">
        <v>0</v>
      </c>
      <c r="L188" s="724">
        <v>0</v>
      </c>
      <c r="M188" s="724">
        <v>0</v>
      </c>
      <c r="N188" s="724">
        <v>160</v>
      </c>
      <c r="O188" s="724">
        <v>0</v>
      </c>
      <c r="P188" s="724">
        <v>160</v>
      </c>
      <c r="Q188" s="724">
        <v>0</v>
      </c>
      <c r="R188" s="724">
        <v>0</v>
      </c>
      <c r="S188" s="724">
        <v>160</v>
      </c>
      <c r="T188" s="724">
        <v>0</v>
      </c>
      <c r="U188" s="724">
        <v>0</v>
      </c>
      <c r="V188" s="724">
        <v>0</v>
      </c>
      <c r="W188" s="92">
        <v>0</v>
      </c>
      <c r="X188" s="92" t="s">
        <v>47</v>
      </c>
      <c r="Y188" s="738">
        <v>40</v>
      </c>
      <c r="Z188" s="738">
        <v>160</v>
      </c>
      <c r="AA188" s="738">
        <v>2</v>
      </c>
      <c r="AB188" s="757"/>
      <c r="AC188" s="757"/>
      <c r="AD188" s="146" t="s">
        <v>56</v>
      </c>
      <c r="AE188" s="146" t="s">
        <v>137</v>
      </c>
      <c r="AF188" s="146" t="s">
        <v>43</v>
      </c>
      <c r="AG188" s="757"/>
    </row>
    <row r="189" s="570" customFormat="1" ht="24.95" customHeight="1" spans="1:33">
      <c r="A189" s="705"/>
      <c r="B189" s="758" t="s">
        <v>69</v>
      </c>
      <c r="C189" s="146" t="s">
        <v>52</v>
      </c>
      <c r="D189" s="705" t="s">
        <v>150</v>
      </c>
      <c r="E189" s="92">
        <v>1</v>
      </c>
      <c r="F189" s="92" t="s">
        <v>69</v>
      </c>
      <c r="G189" s="92"/>
      <c r="H189" s="724">
        <v>1</v>
      </c>
      <c r="I189" s="724">
        <v>0</v>
      </c>
      <c r="J189" s="724">
        <v>1</v>
      </c>
      <c r="K189" s="724">
        <v>0</v>
      </c>
      <c r="L189" s="724">
        <v>0</v>
      </c>
      <c r="M189" s="724">
        <v>0</v>
      </c>
      <c r="N189" s="724">
        <v>80</v>
      </c>
      <c r="O189" s="724">
        <v>0</v>
      </c>
      <c r="P189" s="724">
        <v>80</v>
      </c>
      <c r="Q189" s="724">
        <v>0</v>
      </c>
      <c r="R189" s="724">
        <v>0</v>
      </c>
      <c r="S189" s="724">
        <v>80</v>
      </c>
      <c r="T189" s="724">
        <v>0</v>
      </c>
      <c r="U189" s="724">
        <v>0</v>
      </c>
      <c r="V189" s="724">
        <v>0</v>
      </c>
      <c r="W189" s="92">
        <v>0</v>
      </c>
      <c r="X189" s="92" t="s">
        <v>47</v>
      </c>
      <c r="Y189" s="738">
        <v>20</v>
      </c>
      <c r="Z189" s="738">
        <v>80</v>
      </c>
      <c r="AA189" s="738">
        <v>1</v>
      </c>
      <c r="AB189" s="757"/>
      <c r="AC189" s="757"/>
      <c r="AD189" s="146" t="s">
        <v>70</v>
      </c>
      <c r="AE189" s="146" t="s">
        <v>138</v>
      </c>
      <c r="AF189" s="146" t="s">
        <v>43</v>
      </c>
      <c r="AG189" s="757"/>
    </row>
    <row r="190" s="570" customFormat="1" ht="24.95" customHeight="1" spans="1:33">
      <c r="A190" s="705"/>
      <c r="B190" s="758" t="s">
        <v>75</v>
      </c>
      <c r="C190" s="146" t="s">
        <v>52</v>
      </c>
      <c r="D190" s="705" t="s">
        <v>150</v>
      </c>
      <c r="E190" s="92">
        <v>1</v>
      </c>
      <c r="F190" s="92" t="s">
        <v>75</v>
      </c>
      <c r="G190" s="92"/>
      <c r="H190" s="724">
        <v>1</v>
      </c>
      <c r="I190" s="724">
        <v>0</v>
      </c>
      <c r="J190" s="724">
        <v>1</v>
      </c>
      <c r="K190" s="724">
        <v>0</v>
      </c>
      <c r="L190" s="724">
        <v>0</v>
      </c>
      <c r="M190" s="724">
        <v>0</v>
      </c>
      <c r="N190" s="724">
        <v>80</v>
      </c>
      <c r="O190" s="724">
        <v>0</v>
      </c>
      <c r="P190" s="724">
        <v>80</v>
      </c>
      <c r="Q190" s="724">
        <v>0</v>
      </c>
      <c r="R190" s="724">
        <v>0</v>
      </c>
      <c r="S190" s="724">
        <v>80</v>
      </c>
      <c r="T190" s="724">
        <v>0</v>
      </c>
      <c r="U190" s="724">
        <v>0</v>
      </c>
      <c r="V190" s="724">
        <v>0</v>
      </c>
      <c r="W190" s="92">
        <v>0</v>
      </c>
      <c r="X190" s="92" t="s">
        <v>47</v>
      </c>
      <c r="Y190" s="738">
        <v>20</v>
      </c>
      <c r="Z190" s="738">
        <v>80</v>
      </c>
      <c r="AA190" s="738">
        <v>1</v>
      </c>
      <c r="AB190" s="757"/>
      <c r="AC190" s="757"/>
      <c r="AD190" s="146" t="s">
        <v>76</v>
      </c>
      <c r="AE190" s="753" t="s">
        <v>136</v>
      </c>
      <c r="AF190" s="146" t="s">
        <v>43</v>
      </c>
      <c r="AG190" s="757"/>
    </row>
    <row r="191" s="570" customFormat="1" ht="24.95" customHeight="1" spans="1:33">
      <c r="A191" s="705"/>
      <c r="B191" s="758" t="s">
        <v>64</v>
      </c>
      <c r="C191" s="146" t="s">
        <v>52</v>
      </c>
      <c r="D191" s="705" t="s">
        <v>150</v>
      </c>
      <c r="E191" s="92">
        <v>1</v>
      </c>
      <c r="F191" s="92" t="s">
        <v>64</v>
      </c>
      <c r="G191" s="92"/>
      <c r="H191" s="724">
        <v>1</v>
      </c>
      <c r="I191" s="724">
        <v>0</v>
      </c>
      <c r="J191" s="724">
        <v>1</v>
      </c>
      <c r="K191" s="724">
        <v>0</v>
      </c>
      <c r="L191" s="724">
        <v>0</v>
      </c>
      <c r="M191" s="724">
        <v>0</v>
      </c>
      <c r="N191" s="724">
        <v>80</v>
      </c>
      <c r="O191" s="724">
        <v>0</v>
      </c>
      <c r="P191" s="724">
        <v>80</v>
      </c>
      <c r="Q191" s="724">
        <v>0</v>
      </c>
      <c r="R191" s="724">
        <v>0</v>
      </c>
      <c r="S191" s="724">
        <v>80</v>
      </c>
      <c r="T191" s="724">
        <v>0</v>
      </c>
      <c r="U191" s="724">
        <v>0</v>
      </c>
      <c r="V191" s="724">
        <v>0</v>
      </c>
      <c r="W191" s="92">
        <v>0</v>
      </c>
      <c r="X191" s="92" t="s">
        <v>47</v>
      </c>
      <c r="Y191" s="738">
        <v>11</v>
      </c>
      <c r="Z191" s="738">
        <v>46</v>
      </c>
      <c r="AA191" s="738">
        <v>1</v>
      </c>
      <c r="AB191" s="757"/>
      <c r="AC191" s="757"/>
      <c r="AD191" s="146" t="s">
        <v>65</v>
      </c>
      <c r="AE191" s="146" t="s">
        <v>66</v>
      </c>
      <c r="AF191" s="146" t="s">
        <v>43</v>
      </c>
      <c r="AG191" s="757"/>
    </row>
    <row r="192" s="570" customFormat="1" ht="34" customHeight="1" spans="1:33">
      <c r="A192" s="705"/>
      <c r="B192" s="758" t="s">
        <v>229</v>
      </c>
      <c r="C192" s="146" t="s">
        <v>52</v>
      </c>
      <c r="D192" s="705" t="s">
        <v>150</v>
      </c>
      <c r="E192" s="92">
        <v>5</v>
      </c>
      <c r="F192" s="92">
        <v>0</v>
      </c>
      <c r="G192" s="92"/>
      <c r="H192" s="724">
        <v>5</v>
      </c>
      <c r="I192" s="724">
        <v>0</v>
      </c>
      <c r="J192" s="724">
        <v>5</v>
      </c>
      <c r="K192" s="724">
        <v>0</v>
      </c>
      <c r="L192" s="724">
        <v>0</v>
      </c>
      <c r="M192" s="724">
        <v>0</v>
      </c>
      <c r="N192" s="724">
        <v>100</v>
      </c>
      <c r="O192" s="724">
        <v>0</v>
      </c>
      <c r="P192" s="724">
        <v>100</v>
      </c>
      <c r="Q192" s="724">
        <v>0</v>
      </c>
      <c r="R192" s="724">
        <v>0</v>
      </c>
      <c r="S192" s="724">
        <v>100</v>
      </c>
      <c r="T192" s="724">
        <v>0</v>
      </c>
      <c r="U192" s="724">
        <v>0</v>
      </c>
      <c r="V192" s="724">
        <v>0</v>
      </c>
      <c r="W192" s="92">
        <v>0</v>
      </c>
      <c r="X192" s="92" t="s">
        <v>47</v>
      </c>
      <c r="Y192" s="738">
        <v>250</v>
      </c>
      <c r="Z192" s="738">
        <v>1000</v>
      </c>
      <c r="AA192" s="738">
        <v>5</v>
      </c>
      <c r="AB192" s="757"/>
      <c r="AC192" s="757"/>
      <c r="AD192" s="146"/>
      <c r="AE192" s="146"/>
      <c r="AF192" s="146"/>
      <c r="AG192" s="757"/>
    </row>
    <row r="193" s="570" customFormat="1" ht="24.95" customHeight="1" spans="1:33">
      <c r="A193" s="705"/>
      <c r="B193" s="767" t="s">
        <v>58</v>
      </c>
      <c r="C193" s="146" t="s">
        <v>52</v>
      </c>
      <c r="D193" s="705" t="s">
        <v>150</v>
      </c>
      <c r="E193" s="92">
        <v>2</v>
      </c>
      <c r="F193" s="92" t="s">
        <v>58</v>
      </c>
      <c r="G193" s="92"/>
      <c r="H193" s="724">
        <v>2</v>
      </c>
      <c r="I193" s="724">
        <v>0</v>
      </c>
      <c r="J193" s="724">
        <v>2</v>
      </c>
      <c r="K193" s="724">
        <v>0</v>
      </c>
      <c r="L193" s="724">
        <v>0</v>
      </c>
      <c r="M193" s="724">
        <v>0</v>
      </c>
      <c r="N193" s="724">
        <v>40</v>
      </c>
      <c r="O193" s="724">
        <v>0</v>
      </c>
      <c r="P193" s="724">
        <v>40</v>
      </c>
      <c r="Q193" s="724">
        <v>0</v>
      </c>
      <c r="R193" s="724">
        <v>0</v>
      </c>
      <c r="S193" s="724">
        <v>40</v>
      </c>
      <c r="T193" s="724">
        <v>0</v>
      </c>
      <c r="U193" s="724">
        <v>0</v>
      </c>
      <c r="V193" s="724">
        <v>0</v>
      </c>
      <c r="W193" s="92">
        <v>0</v>
      </c>
      <c r="X193" s="92" t="s">
        <v>47</v>
      </c>
      <c r="Y193" s="738">
        <v>100</v>
      </c>
      <c r="Z193" s="738">
        <v>400</v>
      </c>
      <c r="AA193" s="738">
        <v>2</v>
      </c>
      <c r="AB193" s="757"/>
      <c r="AC193" s="757"/>
      <c r="AD193" s="744" t="s">
        <v>59</v>
      </c>
      <c r="AE193" s="744" t="s">
        <v>60</v>
      </c>
      <c r="AF193" s="438" t="s">
        <v>43</v>
      </c>
      <c r="AG193" s="757"/>
    </row>
    <row r="194" s="570" customFormat="1" ht="24.95" customHeight="1" spans="1:33">
      <c r="A194" s="705"/>
      <c r="B194" s="767" t="s">
        <v>64</v>
      </c>
      <c r="C194" s="146" t="s">
        <v>52</v>
      </c>
      <c r="D194" s="705" t="s">
        <v>150</v>
      </c>
      <c r="E194" s="92">
        <v>1</v>
      </c>
      <c r="F194" s="92" t="s">
        <v>64</v>
      </c>
      <c r="G194" s="92"/>
      <c r="H194" s="724">
        <v>1</v>
      </c>
      <c r="I194" s="724">
        <v>0</v>
      </c>
      <c r="J194" s="724">
        <v>1</v>
      </c>
      <c r="K194" s="724">
        <v>0</v>
      </c>
      <c r="L194" s="724">
        <v>0</v>
      </c>
      <c r="M194" s="724">
        <v>0</v>
      </c>
      <c r="N194" s="724">
        <v>20</v>
      </c>
      <c r="O194" s="724">
        <v>0</v>
      </c>
      <c r="P194" s="724">
        <v>20</v>
      </c>
      <c r="Q194" s="724">
        <v>0</v>
      </c>
      <c r="R194" s="724">
        <v>0</v>
      </c>
      <c r="S194" s="724">
        <v>20</v>
      </c>
      <c r="T194" s="724">
        <v>0</v>
      </c>
      <c r="U194" s="724">
        <v>0</v>
      </c>
      <c r="V194" s="724">
        <v>0</v>
      </c>
      <c r="W194" s="92">
        <v>0</v>
      </c>
      <c r="X194" s="92" t="s">
        <v>47</v>
      </c>
      <c r="Y194" s="738">
        <v>50</v>
      </c>
      <c r="Z194" s="738">
        <v>200</v>
      </c>
      <c r="AA194" s="738">
        <v>1</v>
      </c>
      <c r="AB194" s="757"/>
      <c r="AC194" s="757"/>
      <c r="AD194" s="146" t="s">
        <v>65</v>
      </c>
      <c r="AE194" s="146" t="s">
        <v>66</v>
      </c>
      <c r="AF194" s="438" t="s">
        <v>43</v>
      </c>
      <c r="AG194" s="757"/>
    </row>
    <row r="195" s="570" customFormat="1" ht="24.95" customHeight="1" spans="1:33">
      <c r="A195" s="705"/>
      <c r="B195" s="767" t="s">
        <v>75</v>
      </c>
      <c r="C195" s="146" t="s">
        <v>52</v>
      </c>
      <c r="D195" s="705" t="s">
        <v>150</v>
      </c>
      <c r="E195" s="92">
        <v>1</v>
      </c>
      <c r="F195" s="92" t="s">
        <v>75</v>
      </c>
      <c r="G195" s="92"/>
      <c r="H195" s="724">
        <v>1</v>
      </c>
      <c r="I195" s="724">
        <v>0</v>
      </c>
      <c r="J195" s="724">
        <v>1</v>
      </c>
      <c r="K195" s="724">
        <v>0</v>
      </c>
      <c r="L195" s="724">
        <v>0</v>
      </c>
      <c r="M195" s="724">
        <v>0</v>
      </c>
      <c r="N195" s="724">
        <v>20</v>
      </c>
      <c r="O195" s="724">
        <v>0</v>
      </c>
      <c r="P195" s="724">
        <v>20</v>
      </c>
      <c r="Q195" s="724">
        <v>0</v>
      </c>
      <c r="R195" s="724">
        <v>0</v>
      </c>
      <c r="S195" s="724">
        <v>20</v>
      </c>
      <c r="T195" s="724">
        <v>0</v>
      </c>
      <c r="U195" s="724">
        <v>0</v>
      </c>
      <c r="V195" s="724">
        <v>0</v>
      </c>
      <c r="W195" s="92">
        <v>0</v>
      </c>
      <c r="X195" s="92" t="s">
        <v>47</v>
      </c>
      <c r="Y195" s="738">
        <v>50</v>
      </c>
      <c r="Z195" s="738">
        <v>200</v>
      </c>
      <c r="AA195" s="738">
        <v>1</v>
      </c>
      <c r="AB195" s="757"/>
      <c r="AC195" s="757"/>
      <c r="AD195" s="146" t="s">
        <v>76</v>
      </c>
      <c r="AE195" s="146" t="s">
        <v>77</v>
      </c>
      <c r="AF195" s="438" t="s">
        <v>43</v>
      </c>
      <c r="AG195" s="757"/>
    </row>
    <row r="196" s="570" customFormat="1" ht="24.95" customHeight="1" spans="1:33">
      <c r="A196" s="705"/>
      <c r="B196" s="767" t="s">
        <v>91</v>
      </c>
      <c r="C196" s="146" t="s">
        <v>52</v>
      </c>
      <c r="D196" s="705" t="s">
        <v>150</v>
      </c>
      <c r="E196" s="92">
        <v>1</v>
      </c>
      <c r="F196" s="92" t="s">
        <v>91</v>
      </c>
      <c r="G196" s="92"/>
      <c r="H196" s="724">
        <v>1</v>
      </c>
      <c r="I196" s="724">
        <v>0</v>
      </c>
      <c r="J196" s="724">
        <v>1</v>
      </c>
      <c r="K196" s="724">
        <v>0</v>
      </c>
      <c r="L196" s="724">
        <v>0</v>
      </c>
      <c r="M196" s="724">
        <v>0</v>
      </c>
      <c r="N196" s="724">
        <v>20</v>
      </c>
      <c r="O196" s="724">
        <v>0</v>
      </c>
      <c r="P196" s="724">
        <v>20</v>
      </c>
      <c r="Q196" s="724">
        <v>0</v>
      </c>
      <c r="R196" s="724">
        <v>0</v>
      </c>
      <c r="S196" s="724">
        <v>20</v>
      </c>
      <c r="T196" s="724">
        <v>0</v>
      </c>
      <c r="U196" s="724">
        <v>0</v>
      </c>
      <c r="V196" s="724">
        <v>0</v>
      </c>
      <c r="W196" s="92">
        <v>0</v>
      </c>
      <c r="X196" s="92" t="s">
        <v>47</v>
      </c>
      <c r="Y196" s="738">
        <v>50</v>
      </c>
      <c r="Z196" s="738">
        <v>200</v>
      </c>
      <c r="AA196" s="738">
        <v>1</v>
      </c>
      <c r="AB196" s="757"/>
      <c r="AC196" s="757"/>
      <c r="AD196" s="146" t="s">
        <v>82</v>
      </c>
      <c r="AE196" s="146" t="s">
        <v>83</v>
      </c>
      <c r="AF196" s="438" t="s">
        <v>43</v>
      </c>
      <c r="AG196" s="757"/>
    </row>
    <row r="197" s="570" customFormat="1" ht="34" customHeight="1" spans="1:33">
      <c r="A197" s="705"/>
      <c r="B197" s="768" t="s">
        <v>230</v>
      </c>
      <c r="C197" s="146" t="s">
        <v>52</v>
      </c>
      <c r="D197" s="705" t="s">
        <v>150</v>
      </c>
      <c r="E197" s="92">
        <v>3</v>
      </c>
      <c r="F197" s="92">
        <v>0</v>
      </c>
      <c r="G197" s="92"/>
      <c r="H197" s="724">
        <v>3</v>
      </c>
      <c r="I197" s="724">
        <v>0</v>
      </c>
      <c r="J197" s="724">
        <v>3</v>
      </c>
      <c r="K197" s="724">
        <v>0</v>
      </c>
      <c r="L197" s="724">
        <v>0</v>
      </c>
      <c r="M197" s="724">
        <v>0</v>
      </c>
      <c r="N197" s="724">
        <v>30</v>
      </c>
      <c r="O197" s="724">
        <v>0</v>
      </c>
      <c r="P197" s="724">
        <v>30</v>
      </c>
      <c r="Q197" s="724">
        <v>0</v>
      </c>
      <c r="R197" s="724">
        <v>0</v>
      </c>
      <c r="S197" s="724">
        <v>30</v>
      </c>
      <c r="T197" s="724">
        <v>0</v>
      </c>
      <c r="U197" s="724">
        <v>0</v>
      </c>
      <c r="V197" s="724">
        <v>0</v>
      </c>
      <c r="W197" s="92">
        <v>0</v>
      </c>
      <c r="X197" s="92" t="s">
        <v>47</v>
      </c>
      <c r="Y197" s="738">
        <v>476</v>
      </c>
      <c r="Z197" s="738">
        <v>1984</v>
      </c>
      <c r="AA197" s="738">
        <v>3</v>
      </c>
      <c r="AB197" s="757"/>
      <c r="AC197" s="757"/>
      <c r="AD197" s="146"/>
      <c r="AE197" s="146"/>
      <c r="AF197" s="146"/>
      <c r="AG197" s="757"/>
    </row>
    <row r="198" s="570" customFormat="1" ht="24.95" customHeight="1" spans="1:33">
      <c r="A198" s="705"/>
      <c r="B198" s="758" t="s">
        <v>75</v>
      </c>
      <c r="C198" s="146" t="s">
        <v>52</v>
      </c>
      <c r="D198" s="705" t="s">
        <v>150</v>
      </c>
      <c r="E198" s="92">
        <v>2</v>
      </c>
      <c r="F198" s="92" t="s">
        <v>75</v>
      </c>
      <c r="G198" s="92"/>
      <c r="H198" s="724">
        <v>2</v>
      </c>
      <c r="I198" s="724">
        <v>0</v>
      </c>
      <c r="J198" s="724">
        <v>2</v>
      </c>
      <c r="K198" s="724">
        <v>0</v>
      </c>
      <c r="L198" s="724">
        <v>0</v>
      </c>
      <c r="M198" s="724">
        <v>0</v>
      </c>
      <c r="N198" s="724">
        <v>20</v>
      </c>
      <c r="O198" s="724">
        <v>0</v>
      </c>
      <c r="P198" s="724">
        <v>20</v>
      </c>
      <c r="Q198" s="724">
        <v>0</v>
      </c>
      <c r="R198" s="724">
        <v>0</v>
      </c>
      <c r="S198" s="724">
        <v>20</v>
      </c>
      <c r="T198" s="724">
        <v>0</v>
      </c>
      <c r="U198" s="724">
        <v>0</v>
      </c>
      <c r="V198" s="724">
        <v>0</v>
      </c>
      <c r="W198" s="92">
        <v>0</v>
      </c>
      <c r="X198" s="92" t="s">
        <v>47</v>
      </c>
      <c r="Y198" s="738">
        <v>308</v>
      </c>
      <c r="Z198" s="738">
        <v>1291</v>
      </c>
      <c r="AA198" s="738">
        <v>2</v>
      </c>
      <c r="AB198" s="757"/>
      <c r="AC198" s="757"/>
      <c r="AD198" s="146" t="s">
        <v>76</v>
      </c>
      <c r="AE198" s="146" t="s">
        <v>77</v>
      </c>
      <c r="AF198" s="438" t="s">
        <v>43</v>
      </c>
      <c r="AG198" s="757"/>
    </row>
    <row r="199" s="570" customFormat="1" ht="24.95" customHeight="1" spans="1:33">
      <c r="A199" s="705"/>
      <c r="B199" s="758" t="s">
        <v>64</v>
      </c>
      <c r="C199" s="146" t="s">
        <v>52</v>
      </c>
      <c r="D199" s="705" t="s">
        <v>150</v>
      </c>
      <c r="E199" s="92">
        <v>1</v>
      </c>
      <c r="F199" s="92" t="s">
        <v>64</v>
      </c>
      <c r="G199" s="92"/>
      <c r="H199" s="724">
        <v>1</v>
      </c>
      <c r="I199" s="724">
        <v>0</v>
      </c>
      <c r="J199" s="724">
        <v>1</v>
      </c>
      <c r="K199" s="724">
        <v>0</v>
      </c>
      <c r="L199" s="724">
        <v>0</v>
      </c>
      <c r="M199" s="724">
        <v>0</v>
      </c>
      <c r="N199" s="724">
        <v>10</v>
      </c>
      <c r="O199" s="724">
        <v>0</v>
      </c>
      <c r="P199" s="724">
        <v>10</v>
      </c>
      <c r="Q199" s="724">
        <v>0</v>
      </c>
      <c r="R199" s="724">
        <v>0</v>
      </c>
      <c r="S199" s="724">
        <v>10</v>
      </c>
      <c r="T199" s="724">
        <v>0</v>
      </c>
      <c r="U199" s="724">
        <v>0</v>
      </c>
      <c r="V199" s="724">
        <v>0</v>
      </c>
      <c r="W199" s="92">
        <v>0</v>
      </c>
      <c r="X199" s="92" t="s">
        <v>47</v>
      </c>
      <c r="Y199" s="738">
        <v>168</v>
      </c>
      <c r="Z199" s="738">
        <v>693</v>
      </c>
      <c r="AA199" s="738">
        <v>1</v>
      </c>
      <c r="AB199" s="757"/>
      <c r="AC199" s="757"/>
      <c r="AD199" s="146" t="s">
        <v>65</v>
      </c>
      <c r="AE199" s="146" t="s">
        <v>66</v>
      </c>
      <c r="AF199" s="438" t="s">
        <v>43</v>
      </c>
      <c r="AG199" s="757"/>
    </row>
    <row r="200" s="570" customFormat="1" ht="24.95" customHeight="1" spans="1:33">
      <c r="A200" s="705"/>
      <c r="B200" s="758" t="s">
        <v>231</v>
      </c>
      <c r="C200" s="146" t="s">
        <v>52</v>
      </c>
      <c r="D200" s="705" t="s">
        <v>150</v>
      </c>
      <c r="E200" s="92">
        <v>9</v>
      </c>
      <c r="F200" s="92">
        <v>0</v>
      </c>
      <c r="G200" s="92"/>
      <c r="H200" s="724">
        <v>9</v>
      </c>
      <c r="I200" s="724">
        <v>0</v>
      </c>
      <c r="J200" s="724">
        <v>9</v>
      </c>
      <c r="K200" s="724">
        <v>0</v>
      </c>
      <c r="L200" s="724">
        <v>0</v>
      </c>
      <c r="M200" s="724">
        <v>0</v>
      </c>
      <c r="N200" s="724">
        <v>49</v>
      </c>
      <c r="O200" s="724">
        <v>0</v>
      </c>
      <c r="P200" s="724">
        <v>49</v>
      </c>
      <c r="Q200" s="724">
        <v>0</v>
      </c>
      <c r="R200" s="724">
        <v>0</v>
      </c>
      <c r="S200" s="724">
        <v>49</v>
      </c>
      <c r="T200" s="724">
        <v>0</v>
      </c>
      <c r="U200" s="724">
        <v>0</v>
      </c>
      <c r="V200" s="724">
        <v>0</v>
      </c>
      <c r="W200" s="92">
        <v>0</v>
      </c>
      <c r="X200" s="92" t="s">
        <v>47</v>
      </c>
      <c r="Y200" s="738">
        <v>1061</v>
      </c>
      <c r="Z200" s="738">
        <v>4204</v>
      </c>
      <c r="AA200" s="738">
        <v>9</v>
      </c>
      <c r="AB200" s="757"/>
      <c r="AC200" s="757"/>
      <c r="AD200" s="146"/>
      <c r="AE200" s="146"/>
      <c r="AF200" s="146"/>
      <c r="AG200" s="757"/>
    </row>
    <row r="201" s="570" customFormat="1" ht="48" customHeight="1" spans="1:33">
      <c r="A201" s="705"/>
      <c r="B201" s="769" t="s">
        <v>91</v>
      </c>
      <c r="C201" s="146" t="s">
        <v>52</v>
      </c>
      <c r="D201" s="705" t="s">
        <v>150</v>
      </c>
      <c r="E201" s="92">
        <v>6</v>
      </c>
      <c r="F201" s="92" t="s">
        <v>91</v>
      </c>
      <c r="G201" s="92"/>
      <c r="H201" s="724">
        <v>6</v>
      </c>
      <c r="I201" s="724">
        <v>0</v>
      </c>
      <c r="J201" s="724">
        <v>6</v>
      </c>
      <c r="K201" s="724">
        <v>0</v>
      </c>
      <c r="L201" s="724">
        <v>0</v>
      </c>
      <c r="M201" s="724">
        <v>0</v>
      </c>
      <c r="N201" s="724">
        <v>27</v>
      </c>
      <c r="O201" s="724">
        <v>0</v>
      </c>
      <c r="P201" s="724">
        <v>27</v>
      </c>
      <c r="Q201" s="724">
        <v>0</v>
      </c>
      <c r="R201" s="724">
        <v>0</v>
      </c>
      <c r="S201" s="724">
        <v>27</v>
      </c>
      <c r="T201" s="724">
        <v>0</v>
      </c>
      <c r="U201" s="724">
        <v>0</v>
      </c>
      <c r="V201" s="724">
        <v>0</v>
      </c>
      <c r="W201" s="92">
        <v>0</v>
      </c>
      <c r="X201" s="92" t="s">
        <v>47</v>
      </c>
      <c r="Y201" s="738">
        <v>750</v>
      </c>
      <c r="Z201" s="738">
        <v>2850</v>
      </c>
      <c r="AA201" s="738">
        <v>6</v>
      </c>
      <c r="AB201" s="757"/>
      <c r="AC201" s="757"/>
      <c r="AD201" s="146" t="s">
        <v>82</v>
      </c>
      <c r="AE201" s="146" t="s">
        <v>83</v>
      </c>
      <c r="AF201" s="438" t="s">
        <v>43</v>
      </c>
      <c r="AG201" s="757"/>
    </row>
    <row r="202" s="570" customFormat="1" ht="24.95" customHeight="1" spans="1:33">
      <c r="A202" s="705"/>
      <c r="B202" s="758" t="s">
        <v>64</v>
      </c>
      <c r="C202" s="146" t="s">
        <v>52</v>
      </c>
      <c r="D202" s="705" t="s">
        <v>150</v>
      </c>
      <c r="E202" s="92">
        <v>2</v>
      </c>
      <c r="F202" s="92" t="s">
        <v>64</v>
      </c>
      <c r="G202" s="92"/>
      <c r="H202" s="724">
        <v>2</v>
      </c>
      <c r="I202" s="724">
        <v>0</v>
      </c>
      <c r="J202" s="724">
        <v>2</v>
      </c>
      <c r="K202" s="724">
        <v>0</v>
      </c>
      <c r="L202" s="724">
        <v>0</v>
      </c>
      <c r="M202" s="724">
        <v>0</v>
      </c>
      <c r="N202" s="724">
        <v>12</v>
      </c>
      <c r="O202" s="724">
        <v>0</v>
      </c>
      <c r="P202" s="724">
        <v>12</v>
      </c>
      <c r="Q202" s="724">
        <v>0</v>
      </c>
      <c r="R202" s="724">
        <v>0</v>
      </c>
      <c r="S202" s="724">
        <v>12</v>
      </c>
      <c r="T202" s="724">
        <v>0</v>
      </c>
      <c r="U202" s="724">
        <v>0</v>
      </c>
      <c r="V202" s="724">
        <v>0</v>
      </c>
      <c r="W202" s="92">
        <v>0</v>
      </c>
      <c r="X202" s="92" t="s">
        <v>47</v>
      </c>
      <c r="Y202" s="738">
        <v>242</v>
      </c>
      <c r="Z202" s="738">
        <v>1087</v>
      </c>
      <c r="AA202" s="738">
        <v>2</v>
      </c>
      <c r="AB202" s="757"/>
      <c r="AC202" s="757"/>
      <c r="AD202" s="146" t="s">
        <v>65</v>
      </c>
      <c r="AE202" s="146" t="s">
        <v>66</v>
      </c>
      <c r="AF202" s="438" t="s">
        <v>43</v>
      </c>
      <c r="AG202" s="757"/>
    </row>
    <row r="203" s="570" customFormat="1" ht="24.95" customHeight="1" spans="1:33">
      <c r="A203" s="705"/>
      <c r="B203" s="758" t="s">
        <v>55</v>
      </c>
      <c r="C203" s="146" t="s">
        <v>52</v>
      </c>
      <c r="D203" s="705" t="s">
        <v>150</v>
      </c>
      <c r="E203" s="92">
        <v>1</v>
      </c>
      <c r="F203" s="92" t="s">
        <v>55</v>
      </c>
      <c r="G203" s="92"/>
      <c r="H203" s="724">
        <v>1</v>
      </c>
      <c r="I203" s="724">
        <v>0</v>
      </c>
      <c r="J203" s="724">
        <v>1</v>
      </c>
      <c r="K203" s="724">
        <v>0</v>
      </c>
      <c r="L203" s="724">
        <v>0</v>
      </c>
      <c r="M203" s="724">
        <v>0</v>
      </c>
      <c r="N203" s="724">
        <v>10</v>
      </c>
      <c r="O203" s="724">
        <v>0</v>
      </c>
      <c r="P203" s="724">
        <v>10</v>
      </c>
      <c r="Q203" s="724">
        <v>0</v>
      </c>
      <c r="R203" s="724">
        <v>0</v>
      </c>
      <c r="S203" s="724">
        <v>10</v>
      </c>
      <c r="T203" s="724">
        <v>0</v>
      </c>
      <c r="U203" s="724">
        <v>0</v>
      </c>
      <c r="V203" s="724">
        <v>0</v>
      </c>
      <c r="W203" s="92">
        <v>0</v>
      </c>
      <c r="X203" s="92" t="s">
        <v>47</v>
      </c>
      <c r="Y203" s="738">
        <v>69</v>
      </c>
      <c r="Z203" s="738">
        <v>267</v>
      </c>
      <c r="AA203" s="738">
        <v>1</v>
      </c>
      <c r="AB203" s="757"/>
      <c r="AC203" s="757"/>
      <c r="AD203" s="141" t="s">
        <v>56</v>
      </c>
      <c r="AE203" s="146" t="s">
        <v>57</v>
      </c>
      <c r="AF203" s="438" t="s">
        <v>43</v>
      </c>
      <c r="AG203" s="757"/>
    </row>
    <row r="204" s="570" customFormat="1" ht="24.95" customHeight="1" spans="1:33">
      <c r="A204" s="705"/>
      <c r="B204" s="758" t="s">
        <v>232</v>
      </c>
      <c r="C204" s="146" t="s">
        <v>52</v>
      </c>
      <c r="D204" s="705" t="s">
        <v>150</v>
      </c>
      <c r="E204" s="92">
        <v>14</v>
      </c>
      <c r="F204" s="92">
        <v>0</v>
      </c>
      <c r="G204" s="92"/>
      <c r="H204" s="724">
        <v>14</v>
      </c>
      <c r="I204" s="724">
        <v>0</v>
      </c>
      <c r="J204" s="724">
        <v>14</v>
      </c>
      <c r="K204" s="724">
        <v>0</v>
      </c>
      <c r="L204" s="724">
        <v>0</v>
      </c>
      <c r="M204" s="724">
        <v>0</v>
      </c>
      <c r="N204" s="724">
        <v>200</v>
      </c>
      <c r="O204" s="724">
        <v>0</v>
      </c>
      <c r="P204" s="724">
        <v>200</v>
      </c>
      <c r="Q204" s="724">
        <v>0</v>
      </c>
      <c r="R204" s="724">
        <v>0</v>
      </c>
      <c r="S204" s="724">
        <v>200</v>
      </c>
      <c r="T204" s="724">
        <v>0</v>
      </c>
      <c r="U204" s="724">
        <v>0</v>
      </c>
      <c r="V204" s="724">
        <v>0</v>
      </c>
      <c r="W204" s="92">
        <v>0</v>
      </c>
      <c r="X204" s="92" t="s">
        <v>47</v>
      </c>
      <c r="Y204" s="738">
        <v>130</v>
      </c>
      <c r="Z204" s="738">
        <v>520</v>
      </c>
      <c r="AA204" s="738">
        <v>14</v>
      </c>
      <c r="AB204" s="757"/>
      <c r="AC204" s="757"/>
      <c r="AD204" s="146"/>
      <c r="AE204" s="146"/>
      <c r="AF204" s="146"/>
      <c r="AG204" s="757"/>
    </row>
    <row r="205" s="570" customFormat="1" ht="24.95" customHeight="1" spans="1:33">
      <c r="A205" s="705"/>
      <c r="B205" s="758" t="s">
        <v>69</v>
      </c>
      <c r="C205" s="146" t="s">
        <v>52</v>
      </c>
      <c r="D205" s="705" t="s">
        <v>150</v>
      </c>
      <c r="E205" s="92">
        <v>3</v>
      </c>
      <c r="F205" s="92" t="s">
        <v>69</v>
      </c>
      <c r="G205" s="92"/>
      <c r="H205" s="724">
        <v>3</v>
      </c>
      <c r="I205" s="724">
        <v>0</v>
      </c>
      <c r="J205" s="724">
        <v>3</v>
      </c>
      <c r="K205" s="724">
        <v>0</v>
      </c>
      <c r="L205" s="724">
        <v>0</v>
      </c>
      <c r="M205" s="724">
        <v>0</v>
      </c>
      <c r="N205" s="724">
        <v>67.1</v>
      </c>
      <c r="O205" s="724">
        <v>0</v>
      </c>
      <c r="P205" s="724">
        <v>67.1</v>
      </c>
      <c r="Q205" s="724">
        <v>0</v>
      </c>
      <c r="R205" s="724">
        <v>0</v>
      </c>
      <c r="S205" s="724">
        <v>67.1</v>
      </c>
      <c r="T205" s="724">
        <v>0</v>
      </c>
      <c r="U205" s="724">
        <v>0</v>
      </c>
      <c r="V205" s="724">
        <v>0</v>
      </c>
      <c r="W205" s="92">
        <v>0</v>
      </c>
      <c r="X205" s="92" t="s">
        <v>47</v>
      </c>
      <c r="Y205" s="738">
        <v>15</v>
      </c>
      <c r="Z205" s="738">
        <v>60</v>
      </c>
      <c r="AA205" s="738">
        <v>3</v>
      </c>
      <c r="AB205" s="757"/>
      <c r="AC205" s="757"/>
      <c r="AD205" s="141" t="s">
        <v>68</v>
      </c>
      <c r="AE205" s="146" t="s">
        <v>50</v>
      </c>
      <c r="AF205" s="438" t="s">
        <v>43</v>
      </c>
      <c r="AG205" s="757"/>
    </row>
    <row r="206" s="570" customFormat="1" ht="24.95" customHeight="1" spans="1:33">
      <c r="A206" s="705"/>
      <c r="B206" s="767" t="s">
        <v>51</v>
      </c>
      <c r="C206" s="146" t="s">
        <v>52</v>
      </c>
      <c r="D206" s="705" t="s">
        <v>150</v>
      </c>
      <c r="E206" s="92">
        <v>1</v>
      </c>
      <c r="F206" s="92" t="s">
        <v>51</v>
      </c>
      <c r="G206" s="92"/>
      <c r="H206" s="724">
        <v>1</v>
      </c>
      <c r="I206" s="724">
        <v>0</v>
      </c>
      <c r="J206" s="724">
        <v>1</v>
      </c>
      <c r="K206" s="724">
        <v>0</v>
      </c>
      <c r="L206" s="724">
        <v>0</v>
      </c>
      <c r="M206" s="724">
        <v>0</v>
      </c>
      <c r="N206" s="724">
        <v>22.8</v>
      </c>
      <c r="O206" s="724">
        <v>0</v>
      </c>
      <c r="P206" s="724">
        <v>22.8</v>
      </c>
      <c r="Q206" s="724">
        <v>0</v>
      </c>
      <c r="R206" s="724">
        <v>0</v>
      </c>
      <c r="S206" s="724">
        <v>22.8</v>
      </c>
      <c r="T206" s="724">
        <v>0</v>
      </c>
      <c r="U206" s="724">
        <v>0</v>
      </c>
      <c r="V206" s="724">
        <v>0</v>
      </c>
      <c r="W206" s="92">
        <v>0</v>
      </c>
      <c r="X206" s="92" t="s">
        <v>47</v>
      </c>
      <c r="Y206" s="738">
        <v>20</v>
      </c>
      <c r="Z206" s="738">
        <v>80</v>
      </c>
      <c r="AA206" s="738">
        <v>1</v>
      </c>
      <c r="AB206" s="757"/>
      <c r="AC206" s="757"/>
      <c r="AD206" s="743" t="s">
        <v>53</v>
      </c>
      <c r="AE206" s="146" t="s">
        <v>54</v>
      </c>
      <c r="AF206" s="438" t="s">
        <v>43</v>
      </c>
      <c r="AG206" s="757"/>
    </row>
    <row r="207" s="570" customFormat="1" ht="25" customHeight="1" spans="1:33">
      <c r="A207" s="705"/>
      <c r="B207" s="767" t="s">
        <v>72</v>
      </c>
      <c r="C207" s="146" t="s">
        <v>52</v>
      </c>
      <c r="D207" s="705" t="s">
        <v>150</v>
      </c>
      <c r="E207" s="92">
        <v>1</v>
      </c>
      <c r="F207" s="92" t="s">
        <v>72</v>
      </c>
      <c r="G207" s="92"/>
      <c r="H207" s="724">
        <v>1</v>
      </c>
      <c r="I207" s="724">
        <v>0</v>
      </c>
      <c r="J207" s="724">
        <v>1</v>
      </c>
      <c r="K207" s="724">
        <v>0</v>
      </c>
      <c r="L207" s="724">
        <v>0</v>
      </c>
      <c r="M207" s="724">
        <v>0</v>
      </c>
      <c r="N207" s="724">
        <v>11.4</v>
      </c>
      <c r="O207" s="724">
        <v>0</v>
      </c>
      <c r="P207" s="724">
        <v>11.4</v>
      </c>
      <c r="Q207" s="724">
        <v>0</v>
      </c>
      <c r="R207" s="724">
        <v>0</v>
      </c>
      <c r="S207" s="724">
        <v>11.4</v>
      </c>
      <c r="T207" s="724">
        <v>0</v>
      </c>
      <c r="U207" s="724">
        <v>0</v>
      </c>
      <c r="V207" s="724">
        <v>0</v>
      </c>
      <c r="W207" s="92">
        <v>0</v>
      </c>
      <c r="X207" s="92" t="s">
        <v>47</v>
      </c>
      <c r="Y207" s="738">
        <v>10</v>
      </c>
      <c r="Z207" s="738">
        <v>40</v>
      </c>
      <c r="AA207" s="738">
        <v>1</v>
      </c>
      <c r="AB207" s="757"/>
      <c r="AC207" s="757"/>
      <c r="AD207" s="146" t="s">
        <v>73</v>
      </c>
      <c r="AE207" s="438" t="s">
        <v>74</v>
      </c>
      <c r="AF207" s="438" t="s">
        <v>43</v>
      </c>
      <c r="AG207" s="757"/>
    </row>
    <row r="208" s="570" customFormat="1" ht="24.95" customHeight="1" spans="1:33">
      <c r="A208" s="705"/>
      <c r="B208" s="767" t="s">
        <v>91</v>
      </c>
      <c r="C208" s="146" t="s">
        <v>52</v>
      </c>
      <c r="D208" s="705" t="s">
        <v>150</v>
      </c>
      <c r="E208" s="92">
        <v>1</v>
      </c>
      <c r="F208" s="92" t="s">
        <v>91</v>
      </c>
      <c r="G208" s="92"/>
      <c r="H208" s="724">
        <v>1</v>
      </c>
      <c r="I208" s="724">
        <v>0</v>
      </c>
      <c r="J208" s="724">
        <v>1</v>
      </c>
      <c r="K208" s="724">
        <v>0</v>
      </c>
      <c r="L208" s="724">
        <v>0</v>
      </c>
      <c r="M208" s="724">
        <v>0</v>
      </c>
      <c r="N208" s="724">
        <v>11.4</v>
      </c>
      <c r="O208" s="724">
        <v>0</v>
      </c>
      <c r="P208" s="724">
        <v>11.4</v>
      </c>
      <c r="Q208" s="724">
        <v>0</v>
      </c>
      <c r="R208" s="724">
        <v>0</v>
      </c>
      <c r="S208" s="724">
        <v>11.4</v>
      </c>
      <c r="T208" s="724">
        <v>0</v>
      </c>
      <c r="U208" s="724">
        <v>0</v>
      </c>
      <c r="V208" s="724">
        <v>0</v>
      </c>
      <c r="W208" s="92">
        <v>0</v>
      </c>
      <c r="X208" s="92" t="s">
        <v>47</v>
      </c>
      <c r="Y208" s="738">
        <v>10</v>
      </c>
      <c r="Z208" s="738">
        <v>40</v>
      </c>
      <c r="AA208" s="738">
        <v>1</v>
      </c>
      <c r="AB208" s="757"/>
      <c r="AC208" s="757"/>
      <c r="AD208" s="146" t="s">
        <v>82</v>
      </c>
      <c r="AE208" s="146" t="s">
        <v>83</v>
      </c>
      <c r="AF208" s="438" t="s">
        <v>43</v>
      </c>
      <c r="AG208" s="757"/>
    </row>
    <row r="209" s="570" customFormat="1" ht="24.95" customHeight="1" spans="1:33">
      <c r="A209" s="705"/>
      <c r="B209" s="767" t="s">
        <v>55</v>
      </c>
      <c r="C209" s="146" t="s">
        <v>52</v>
      </c>
      <c r="D209" s="705" t="s">
        <v>150</v>
      </c>
      <c r="E209" s="92">
        <v>1</v>
      </c>
      <c r="F209" s="92" t="s">
        <v>55</v>
      </c>
      <c r="G209" s="92"/>
      <c r="H209" s="724">
        <v>1</v>
      </c>
      <c r="I209" s="724">
        <v>0</v>
      </c>
      <c r="J209" s="724">
        <v>1</v>
      </c>
      <c r="K209" s="724">
        <v>0</v>
      </c>
      <c r="L209" s="724">
        <v>0</v>
      </c>
      <c r="M209" s="724">
        <v>0</v>
      </c>
      <c r="N209" s="724">
        <v>11.4</v>
      </c>
      <c r="O209" s="724">
        <v>0</v>
      </c>
      <c r="P209" s="724">
        <v>11.4</v>
      </c>
      <c r="Q209" s="724">
        <v>0</v>
      </c>
      <c r="R209" s="724">
        <v>0</v>
      </c>
      <c r="S209" s="724">
        <v>11.4</v>
      </c>
      <c r="T209" s="724">
        <v>0</v>
      </c>
      <c r="U209" s="724">
        <v>0</v>
      </c>
      <c r="V209" s="724">
        <v>0</v>
      </c>
      <c r="W209" s="92">
        <v>0</v>
      </c>
      <c r="X209" s="92" t="s">
        <v>47</v>
      </c>
      <c r="Y209" s="738">
        <v>10</v>
      </c>
      <c r="Z209" s="738">
        <v>40</v>
      </c>
      <c r="AA209" s="738">
        <v>1</v>
      </c>
      <c r="AB209" s="757"/>
      <c r="AC209" s="757"/>
      <c r="AD209" s="141" t="s">
        <v>56</v>
      </c>
      <c r="AE209" s="146" t="s">
        <v>57</v>
      </c>
      <c r="AF209" s="438" t="s">
        <v>43</v>
      </c>
      <c r="AG209" s="757"/>
    </row>
    <row r="210" s="570" customFormat="1" ht="24.95" customHeight="1" spans="1:33">
      <c r="A210" s="705"/>
      <c r="B210" s="767" t="s">
        <v>75</v>
      </c>
      <c r="C210" s="146" t="s">
        <v>52</v>
      </c>
      <c r="D210" s="705" t="s">
        <v>150</v>
      </c>
      <c r="E210" s="92">
        <v>1</v>
      </c>
      <c r="F210" s="92" t="s">
        <v>75</v>
      </c>
      <c r="G210" s="92"/>
      <c r="H210" s="724">
        <v>1</v>
      </c>
      <c r="I210" s="724">
        <v>0</v>
      </c>
      <c r="J210" s="724">
        <v>1</v>
      </c>
      <c r="K210" s="724">
        <v>0</v>
      </c>
      <c r="L210" s="724">
        <v>0</v>
      </c>
      <c r="M210" s="724">
        <v>0</v>
      </c>
      <c r="N210" s="724">
        <v>11.4</v>
      </c>
      <c r="O210" s="724">
        <v>0</v>
      </c>
      <c r="P210" s="724">
        <v>11.4</v>
      </c>
      <c r="Q210" s="724">
        <v>0</v>
      </c>
      <c r="R210" s="724">
        <v>0</v>
      </c>
      <c r="S210" s="724">
        <v>11.4</v>
      </c>
      <c r="T210" s="724">
        <v>0</v>
      </c>
      <c r="U210" s="724">
        <v>0</v>
      </c>
      <c r="V210" s="724">
        <v>0</v>
      </c>
      <c r="W210" s="92">
        <v>0</v>
      </c>
      <c r="X210" s="92" t="s">
        <v>47</v>
      </c>
      <c r="Y210" s="738">
        <v>10</v>
      </c>
      <c r="Z210" s="738">
        <v>40</v>
      </c>
      <c r="AA210" s="738">
        <v>1</v>
      </c>
      <c r="AB210" s="757"/>
      <c r="AC210" s="757"/>
      <c r="AD210" s="146" t="s">
        <v>76</v>
      </c>
      <c r="AE210" s="146" t="s">
        <v>77</v>
      </c>
      <c r="AF210" s="438" t="s">
        <v>43</v>
      </c>
      <c r="AG210" s="757"/>
    </row>
    <row r="211" s="570" customFormat="1" ht="37" customHeight="1" spans="1:33">
      <c r="A211" s="705"/>
      <c r="B211" s="767" t="s">
        <v>58</v>
      </c>
      <c r="C211" s="146" t="s">
        <v>52</v>
      </c>
      <c r="D211" s="705" t="s">
        <v>150</v>
      </c>
      <c r="E211" s="92">
        <v>2</v>
      </c>
      <c r="F211" s="92" t="s">
        <v>58</v>
      </c>
      <c r="G211" s="92"/>
      <c r="H211" s="724">
        <v>2</v>
      </c>
      <c r="I211" s="724">
        <v>0</v>
      </c>
      <c r="J211" s="724">
        <v>2</v>
      </c>
      <c r="K211" s="724">
        <v>0</v>
      </c>
      <c r="L211" s="724">
        <v>0</v>
      </c>
      <c r="M211" s="724">
        <v>0</v>
      </c>
      <c r="N211" s="724">
        <v>23.4</v>
      </c>
      <c r="O211" s="724">
        <v>0</v>
      </c>
      <c r="P211" s="724">
        <v>23.4</v>
      </c>
      <c r="Q211" s="724">
        <v>0</v>
      </c>
      <c r="R211" s="724">
        <v>0</v>
      </c>
      <c r="S211" s="724">
        <v>23.4</v>
      </c>
      <c r="T211" s="724">
        <v>0</v>
      </c>
      <c r="U211" s="724">
        <v>0</v>
      </c>
      <c r="V211" s="724">
        <v>0</v>
      </c>
      <c r="W211" s="92">
        <v>0</v>
      </c>
      <c r="X211" s="92" t="s">
        <v>47</v>
      </c>
      <c r="Y211" s="738">
        <v>20</v>
      </c>
      <c r="Z211" s="738">
        <v>80</v>
      </c>
      <c r="AA211" s="738">
        <v>2</v>
      </c>
      <c r="AB211" s="757"/>
      <c r="AC211" s="757"/>
      <c r="AD211" s="744" t="s">
        <v>59</v>
      </c>
      <c r="AE211" s="744" t="s">
        <v>60</v>
      </c>
      <c r="AF211" s="438" t="s">
        <v>43</v>
      </c>
      <c r="AG211" s="757"/>
    </row>
    <row r="212" s="570" customFormat="1" ht="24.95" customHeight="1" spans="1:33">
      <c r="A212" s="705"/>
      <c r="B212" s="767" t="s">
        <v>61</v>
      </c>
      <c r="C212" s="146" t="s">
        <v>52</v>
      </c>
      <c r="D212" s="705" t="s">
        <v>150</v>
      </c>
      <c r="E212" s="92">
        <v>1</v>
      </c>
      <c r="F212" s="92" t="s">
        <v>61</v>
      </c>
      <c r="G212" s="92"/>
      <c r="H212" s="724">
        <v>1</v>
      </c>
      <c r="I212" s="724">
        <v>0</v>
      </c>
      <c r="J212" s="724">
        <v>1</v>
      </c>
      <c r="K212" s="724">
        <v>0</v>
      </c>
      <c r="L212" s="724">
        <v>0</v>
      </c>
      <c r="M212" s="724">
        <v>0</v>
      </c>
      <c r="N212" s="724">
        <v>12</v>
      </c>
      <c r="O212" s="724">
        <v>0</v>
      </c>
      <c r="P212" s="724">
        <v>12</v>
      </c>
      <c r="Q212" s="724">
        <v>0</v>
      </c>
      <c r="R212" s="724">
        <v>0</v>
      </c>
      <c r="S212" s="724">
        <v>12</v>
      </c>
      <c r="T212" s="724">
        <v>0</v>
      </c>
      <c r="U212" s="724">
        <v>0</v>
      </c>
      <c r="V212" s="724">
        <v>0</v>
      </c>
      <c r="W212" s="92">
        <v>0</v>
      </c>
      <c r="X212" s="92" t="s">
        <v>47</v>
      </c>
      <c r="Y212" s="738">
        <v>10</v>
      </c>
      <c r="Z212" s="738">
        <v>40</v>
      </c>
      <c r="AA212" s="738">
        <v>1</v>
      </c>
      <c r="AB212" s="757"/>
      <c r="AC212" s="757"/>
      <c r="AD212" s="146" t="s">
        <v>62</v>
      </c>
      <c r="AE212" s="146" t="s">
        <v>63</v>
      </c>
      <c r="AF212" s="438" t="s">
        <v>43</v>
      </c>
      <c r="AG212" s="757"/>
    </row>
    <row r="213" s="570" customFormat="1" ht="24.95" customHeight="1" spans="1:33">
      <c r="A213" s="705"/>
      <c r="B213" s="767" t="s">
        <v>78</v>
      </c>
      <c r="C213" s="146" t="s">
        <v>52</v>
      </c>
      <c r="D213" s="705" t="s">
        <v>150</v>
      </c>
      <c r="E213" s="92">
        <v>1</v>
      </c>
      <c r="F213" s="92" t="s">
        <v>78</v>
      </c>
      <c r="G213" s="92"/>
      <c r="H213" s="724">
        <v>1</v>
      </c>
      <c r="I213" s="724">
        <v>0</v>
      </c>
      <c r="J213" s="724">
        <v>1</v>
      </c>
      <c r="K213" s="724">
        <v>0</v>
      </c>
      <c r="L213" s="724">
        <v>0</v>
      </c>
      <c r="M213" s="724">
        <v>0</v>
      </c>
      <c r="N213" s="724">
        <v>11.4</v>
      </c>
      <c r="O213" s="724">
        <v>0</v>
      </c>
      <c r="P213" s="724">
        <v>11.4</v>
      </c>
      <c r="Q213" s="724">
        <v>0</v>
      </c>
      <c r="R213" s="724">
        <v>0</v>
      </c>
      <c r="S213" s="724">
        <v>11.4</v>
      </c>
      <c r="T213" s="724">
        <v>0</v>
      </c>
      <c r="U213" s="724">
        <v>0</v>
      </c>
      <c r="V213" s="724">
        <v>0</v>
      </c>
      <c r="W213" s="92">
        <v>0</v>
      </c>
      <c r="X213" s="92" t="s">
        <v>47</v>
      </c>
      <c r="Y213" s="738">
        <v>10</v>
      </c>
      <c r="Z213" s="738">
        <v>40</v>
      </c>
      <c r="AA213" s="738">
        <v>1</v>
      </c>
      <c r="AB213" s="757"/>
      <c r="AC213" s="757"/>
      <c r="AD213" s="146" t="s">
        <v>79</v>
      </c>
      <c r="AE213" s="146" t="s">
        <v>80</v>
      </c>
      <c r="AF213" s="438" t="s">
        <v>43</v>
      </c>
      <c r="AG213" s="757"/>
    </row>
    <row r="214" s="570" customFormat="1" ht="24.95" customHeight="1" spans="1:33">
      <c r="A214" s="705"/>
      <c r="B214" s="767" t="s">
        <v>64</v>
      </c>
      <c r="C214" s="146" t="s">
        <v>52</v>
      </c>
      <c r="D214" s="705" t="s">
        <v>150</v>
      </c>
      <c r="E214" s="92">
        <v>1</v>
      </c>
      <c r="F214" s="92" t="s">
        <v>64</v>
      </c>
      <c r="G214" s="92"/>
      <c r="H214" s="724">
        <v>1</v>
      </c>
      <c r="I214" s="724">
        <v>0</v>
      </c>
      <c r="J214" s="724">
        <v>1</v>
      </c>
      <c r="K214" s="724">
        <v>0</v>
      </c>
      <c r="L214" s="724">
        <v>0</v>
      </c>
      <c r="M214" s="724">
        <v>0</v>
      </c>
      <c r="N214" s="724">
        <v>5.7</v>
      </c>
      <c r="O214" s="724">
        <v>0</v>
      </c>
      <c r="P214" s="724">
        <v>5.7</v>
      </c>
      <c r="Q214" s="724">
        <v>0</v>
      </c>
      <c r="R214" s="724">
        <v>0</v>
      </c>
      <c r="S214" s="724">
        <v>5.7</v>
      </c>
      <c r="T214" s="724">
        <v>0</v>
      </c>
      <c r="U214" s="724">
        <v>0</v>
      </c>
      <c r="V214" s="724">
        <v>0</v>
      </c>
      <c r="W214" s="92">
        <v>0</v>
      </c>
      <c r="X214" s="92" t="s">
        <v>47</v>
      </c>
      <c r="Y214" s="738">
        <v>5</v>
      </c>
      <c r="Z214" s="738">
        <v>20</v>
      </c>
      <c r="AA214" s="738">
        <v>1</v>
      </c>
      <c r="AB214" s="757"/>
      <c r="AC214" s="757"/>
      <c r="AD214" s="146" t="s">
        <v>65</v>
      </c>
      <c r="AE214" s="146" t="s">
        <v>66</v>
      </c>
      <c r="AF214" s="438" t="s">
        <v>43</v>
      </c>
      <c r="AG214" s="757"/>
    </row>
    <row r="215" s="570" customFormat="1" ht="24.95" customHeight="1" spans="1:33">
      <c r="A215" s="705"/>
      <c r="B215" s="767" t="s">
        <v>92</v>
      </c>
      <c r="C215" s="146" t="s">
        <v>52</v>
      </c>
      <c r="D215" s="705" t="s">
        <v>150</v>
      </c>
      <c r="E215" s="92">
        <v>1</v>
      </c>
      <c r="F215" s="92" t="s">
        <v>92</v>
      </c>
      <c r="G215" s="92"/>
      <c r="H215" s="724">
        <v>1</v>
      </c>
      <c r="I215" s="724">
        <v>0</v>
      </c>
      <c r="J215" s="724">
        <v>1</v>
      </c>
      <c r="K215" s="724">
        <v>0</v>
      </c>
      <c r="L215" s="724">
        <v>0</v>
      </c>
      <c r="M215" s="724">
        <v>0</v>
      </c>
      <c r="N215" s="724">
        <v>12</v>
      </c>
      <c r="O215" s="724">
        <v>0</v>
      </c>
      <c r="P215" s="724">
        <v>12</v>
      </c>
      <c r="Q215" s="724">
        <v>0</v>
      </c>
      <c r="R215" s="724">
        <v>0</v>
      </c>
      <c r="S215" s="724">
        <v>12</v>
      </c>
      <c r="T215" s="724">
        <v>0</v>
      </c>
      <c r="U215" s="724">
        <v>0</v>
      </c>
      <c r="V215" s="724">
        <v>0</v>
      </c>
      <c r="W215" s="92">
        <v>0</v>
      </c>
      <c r="X215" s="92" t="s">
        <v>47</v>
      </c>
      <c r="Y215" s="738">
        <v>10</v>
      </c>
      <c r="Z215" s="738">
        <v>40</v>
      </c>
      <c r="AA215" s="738">
        <v>1</v>
      </c>
      <c r="AB215" s="757"/>
      <c r="AC215" s="757"/>
      <c r="AD215" s="146" t="s">
        <v>93</v>
      </c>
      <c r="AE215" s="146" t="s">
        <v>94</v>
      </c>
      <c r="AF215" s="748" t="s">
        <v>104</v>
      </c>
      <c r="AG215" s="757"/>
    </row>
    <row r="216" s="570" customFormat="1" ht="24.95" customHeight="1" spans="1:33">
      <c r="A216" s="705"/>
      <c r="B216" s="767" t="s">
        <v>233</v>
      </c>
      <c r="C216" s="146" t="s">
        <v>52</v>
      </c>
      <c r="D216" s="705" t="s">
        <v>150</v>
      </c>
      <c r="E216" s="92">
        <v>1</v>
      </c>
      <c r="F216" s="92">
        <v>0</v>
      </c>
      <c r="G216" s="92"/>
      <c r="H216" s="724">
        <v>1</v>
      </c>
      <c r="I216" s="724">
        <v>0</v>
      </c>
      <c r="J216" s="724">
        <v>1</v>
      </c>
      <c r="K216" s="724">
        <v>0</v>
      </c>
      <c r="L216" s="724">
        <v>0</v>
      </c>
      <c r="M216" s="724">
        <v>0</v>
      </c>
      <c r="N216" s="724">
        <v>60</v>
      </c>
      <c r="O216" s="724">
        <v>0</v>
      </c>
      <c r="P216" s="724">
        <v>60</v>
      </c>
      <c r="Q216" s="724">
        <v>0</v>
      </c>
      <c r="R216" s="724">
        <v>0</v>
      </c>
      <c r="S216" s="724">
        <v>60</v>
      </c>
      <c r="T216" s="724">
        <v>0</v>
      </c>
      <c r="U216" s="724">
        <v>0</v>
      </c>
      <c r="V216" s="724">
        <v>0</v>
      </c>
      <c r="W216" s="92">
        <v>0</v>
      </c>
      <c r="X216" s="92" t="s">
        <v>47</v>
      </c>
      <c r="Y216" s="738">
        <v>106</v>
      </c>
      <c r="Z216" s="738">
        <v>476</v>
      </c>
      <c r="AA216" s="738">
        <v>1</v>
      </c>
      <c r="AB216" s="757"/>
      <c r="AC216" s="757"/>
      <c r="AD216" s="146" t="s">
        <v>73</v>
      </c>
      <c r="AE216" s="438" t="s">
        <v>74</v>
      </c>
      <c r="AF216" s="438" t="s">
        <v>43</v>
      </c>
      <c r="AG216" s="757"/>
    </row>
    <row r="217" s="570" customFormat="1" ht="24.95" customHeight="1" spans="1:33">
      <c r="A217" s="705"/>
      <c r="B217" s="767" t="s">
        <v>234</v>
      </c>
      <c r="C217" s="146" t="s">
        <v>52</v>
      </c>
      <c r="D217" s="705" t="s">
        <v>150</v>
      </c>
      <c r="E217" s="92">
        <v>1</v>
      </c>
      <c r="F217" s="92">
        <v>0</v>
      </c>
      <c r="G217" s="92"/>
      <c r="H217" s="724">
        <v>1</v>
      </c>
      <c r="I217" s="724">
        <v>0</v>
      </c>
      <c r="J217" s="724">
        <v>1</v>
      </c>
      <c r="K217" s="724">
        <v>0</v>
      </c>
      <c r="L217" s="724">
        <v>0</v>
      </c>
      <c r="M217" s="724">
        <v>0</v>
      </c>
      <c r="N217" s="724">
        <v>40</v>
      </c>
      <c r="O217" s="724">
        <v>0</v>
      </c>
      <c r="P217" s="724">
        <v>40</v>
      </c>
      <c r="Q217" s="724">
        <v>0</v>
      </c>
      <c r="R217" s="724">
        <v>0</v>
      </c>
      <c r="S217" s="724">
        <v>40</v>
      </c>
      <c r="T217" s="724">
        <v>0</v>
      </c>
      <c r="U217" s="724">
        <v>0</v>
      </c>
      <c r="V217" s="724">
        <v>0</v>
      </c>
      <c r="W217" s="92">
        <v>0</v>
      </c>
      <c r="X217" s="92" t="s">
        <v>47</v>
      </c>
      <c r="Y217" s="738">
        <v>433</v>
      </c>
      <c r="Z217" s="738">
        <v>1798</v>
      </c>
      <c r="AA217" s="738">
        <v>1</v>
      </c>
      <c r="AB217" s="757"/>
      <c r="AC217" s="757"/>
      <c r="AD217" s="146" t="s">
        <v>70</v>
      </c>
      <c r="AE217" s="146" t="s">
        <v>71</v>
      </c>
      <c r="AF217" s="438" t="s">
        <v>43</v>
      </c>
      <c r="AG217" s="757"/>
    </row>
    <row r="218" s="570" customFormat="1" ht="40" customHeight="1" spans="1:33">
      <c r="A218" s="705"/>
      <c r="B218" s="768" t="s">
        <v>235</v>
      </c>
      <c r="C218" s="146" t="s">
        <v>52</v>
      </c>
      <c r="D218" s="705" t="s">
        <v>150</v>
      </c>
      <c r="E218" s="92">
        <v>22</v>
      </c>
      <c r="F218" s="92">
        <v>0</v>
      </c>
      <c r="G218" s="92"/>
      <c r="H218" s="724">
        <v>22</v>
      </c>
      <c r="I218" s="724">
        <v>0</v>
      </c>
      <c r="J218" s="724">
        <v>22</v>
      </c>
      <c r="K218" s="724">
        <v>0</v>
      </c>
      <c r="L218" s="724">
        <v>0</v>
      </c>
      <c r="M218" s="724">
        <v>0</v>
      </c>
      <c r="N218" s="724">
        <v>231</v>
      </c>
      <c r="O218" s="724">
        <v>0</v>
      </c>
      <c r="P218" s="724">
        <v>231</v>
      </c>
      <c r="Q218" s="724">
        <v>0</v>
      </c>
      <c r="R218" s="724">
        <v>0</v>
      </c>
      <c r="S218" s="724">
        <v>231</v>
      </c>
      <c r="T218" s="724">
        <v>0</v>
      </c>
      <c r="U218" s="724">
        <v>0</v>
      </c>
      <c r="V218" s="724">
        <v>0</v>
      </c>
      <c r="W218" s="92">
        <v>0</v>
      </c>
      <c r="X218" s="92" t="s">
        <v>47</v>
      </c>
      <c r="Y218" s="738">
        <v>1520</v>
      </c>
      <c r="Z218" s="738">
        <v>5770</v>
      </c>
      <c r="AA218" s="738">
        <v>22</v>
      </c>
      <c r="AB218" s="757"/>
      <c r="AC218" s="757"/>
      <c r="AD218" s="757"/>
      <c r="AE218" s="757"/>
      <c r="AF218" s="757"/>
      <c r="AG218" s="757"/>
    </row>
    <row r="219" s="570" customFormat="1" ht="24.95" customHeight="1" spans="1:33">
      <c r="A219" s="705"/>
      <c r="B219" s="758" t="s">
        <v>91</v>
      </c>
      <c r="C219" s="146" t="s">
        <v>52</v>
      </c>
      <c r="D219" s="705" t="s">
        <v>202</v>
      </c>
      <c r="E219" s="92">
        <v>3</v>
      </c>
      <c r="F219" s="92" t="s">
        <v>91</v>
      </c>
      <c r="G219" s="92"/>
      <c r="H219" s="724">
        <v>3</v>
      </c>
      <c r="I219" s="724">
        <v>0</v>
      </c>
      <c r="J219" s="724">
        <v>3</v>
      </c>
      <c r="K219" s="724">
        <v>0</v>
      </c>
      <c r="L219" s="724">
        <v>0</v>
      </c>
      <c r="M219" s="724">
        <v>0</v>
      </c>
      <c r="N219" s="724">
        <v>31.5</v>
      </c>
      <c r="O219" s="724">
        <v>0</v>
      </c>
      <c r="P219" s="724">
        <v>31.5</v>
      </c>
      <c r="Q219" s="724">
        <v>0</v>
      </c>
      <c r="R219" s="724">
        <v>0</v>
      </c>
      <c r="S219" s="724">
        <v>31.5</v>
      </c>
      <c r="T219" s="724">
        <v>0</v>
      </c>
      <c r="U219" s="724">
        <v>0</v>
      </c>
      <c r="V219" s="724">
        <v>0</v>
      </c>
      <c r="W219" s="92">
        <v>0</v>
      </c>
      <c r="X219" s="92" t="s">
        <v>47</v>
      </c>
      <c r="Y219" s="738">
        <v>350</v>
      </c>
      <c r="Z219" s="738">
        <v>1200</v>
      </c>
      <c r="AA219" s="738">
        <v>3</v>
      </c>
      <c r="AB219" s="757"/>
      <c r="AC219" s="757"/>
      <c r="AD219" s="146" t="s">
        <v>82</v>
      </c>
      <c r="AE219" s="146" t="s">
        <v>83</v>
      </c>
      <c r="AF219" s="438" t="s">
        <v>43</v>
      </c>
      <c r="AG219" s="757"/>
    </row>
    <row r="220" s="570" customFormat="1" ht="24.95" customHeight="1" spans="1:33">
      <c r="A220" s="705"/>
      <c r="B220" s="758" t="s">
        <v>51</v>
      </c>
      <c r="C220" s="146" t="s">
        <v>52</v>
      </c>
      <c r="D220" s="705" t="s">
        <v>202</v>
      </c>
      <c r="E220" s="92">
        <v>6</v>
      </c>
      <c r="F220" s="92" t="s">
        <v>51</v>
      </c>
      <c r="G220" s="92"/>
      <c r="H220" s="724">
        <v>6</v>
      </c>
      <c r="I220" s="724">
        <v>0</v>
      </c>
      <c r="J220" s="724">
        <v>6</v>
      </c>
      <c r="K220" s="724">
        <v>0</v>
      </c>
      <c r="L220" s="724">
        <v>0</v>
      </c>
      <c r="M220" s="724">
        <v>0</v>
      </c>
      <c r="N220" s="724">
        <v>63</v>
      </c>
      <c r="O220" s="724">
        <v>0</v>
      </c>
      <c r="P220" s="724">
        <v>63</v>
      </c>
      <c r="Q220" s="724">
        <v>0</v>
      </c>
      <c r="R220" s="724">
        <v>0</v>
      </c>
      <c r="S220" s="724">
        <v>63</v>
      </c>
      <c r="T220" s="724">
        <v>0</v>
      </c>
      <c r="U220" s="724">
        <v>0</v>
      </c>
      <c r="V220" s="724">
        <v>0</v>
      </c>
      <c r="W220" s="92">
        <v>0</v>
      </c>
      <c r="X220" s="92" t="s">
        <v>47</v>
      </c>
      <c r="Y220" s="738">
        <v>400</v>
      </c>
      <c r="Z220" s="738">
        <v>1500</v>
      </c>
      <c r="AA220" s="738">
        <v>6</v>
      </c>
      <c r="AB220" s="757"/>
      <c r="AC220" s="757"/>
      <c r="AD220" s="743" t="s">
        <v>53</v>
      </c>
      <c r="AE220" s="146" t="s">
        <v>54</v>
      </c>
      <c r="AF220" s="438" t="s">
        <v>43</v>
      </c>
      <c r="AG220" s="757"/>
    </row>
    <row r="221" s="570" customFormat="1" ht="24.95" customHeight="1" spans="1:33">
      <c r="A221" s="705"/>
      <c r="B221" s="758" t="s">
        <v>75</v>
      </c>
      <c r="C221" s="146" t="s">
        <v>52</v>
      </c>
      <c r="D221" s="705" t="s">
        <v>202</v>
      </c>
      <c r="E221" s="92">
        <v>2</v>
      </c>
      <c r="F221" s="92" t="s">
        <v>75</v>
      </c>
      <c r="G221" s="92"/>
      <c r="H221" s="724">
        <v>2</v>
      </c>
      <c r="I221" s="724">
        <v>0</v>
      </c>
      <c r="J221" s="724">
        <v>2</v>
      </c>
      <c r="K221" s="724">
        <v>0</v>
      </c>
      <c r="L221" s="724">
        <v>0</v>
      </c>
      <c r="M221" s="724">
        <v>0</v>
      </c>
      <c r="N221" s="724">
        <v>21</v>
      </c>
      <c r="O221" s="724">
        <v>0</v>
      </c>
      <c r="P221" s="724">
        <v>21</v>
      </c>
      <c r="Q221" s="724">
        <v>0</v>
      </c>
      <c r="R221" s="724">
        <v>0</v>
      </c>
      <c r="S221" s="724">
        <v>21</v>
      </c>
      <c r="T221" s="724">
        <v>0</v>
      </c>
      <c r="U221" s="724">
        <v>0</v>
      </c>
      <c r="V221" s="724">
        <v>0</v>
      </c>
      <c r="W221" s="92">
        <v>0</v>
      </c>
      <c r="X221" s="92" t="s">
        <v>47</v>
      </c>
      <c r="Y221" s="738">
        <v>100</v>
      </c>
      <c r="Z221" s="738">
        <v>350</v>
      </c>
      <c r="AA221" s="738">
        <v>2</v>
      </c>
      <c r="AB221" s="757"/>
      <c r="AC221" s="757"/>
      <c r="AD221" s="146" t="s">
        <v>76</v>
      </c>
      <c r="AE221" s="146" t="s">
        <v>77</v>
      </c>
      <c r="AF221" s="438" t="s">
        <v>43</v>
      </c>
      <c r="AG221" s="757"/>
    </row>
    <row r="222" s="570" customFormat="1" ht="24.95" customHeight="1" spans="1:33">
      <c r="A222" s="705"/>
      <c r="B222" s="758" t="s">
        <v>55</v>
      </c>
      <c r="C222" s="146" t="s">
        <v>52</v>
      </c>
      <c r="D222" s="705" t="s">
        <v>202</v>
      </c>
      <c r="E222" s="92">
        <v>9</v>
      </c>
      <c r="F222" s="92" t="s">
        <v>55</v>
      </c>
      <c r="G222" s="92"/>
      <c r="H222" s="724">
        <v>9</v>
      </c>
      <c r="I222" s="724">
        <v>0</v>
      </c>
      <c r="J222" s="724">
        <v>9</v>
      </c>
      <c r="K222" s="724">
        <v>0</v>
      </c>
      <c r="L222" s="724">
        <v>0</v>
      </c>
      <c r="M222" s="724">
        <v>0</v>
      </c>
      <c r="N222" s="724">
        <v>94.5</v>
      </c>
      <c r="O222" s="724">
        <v>0</v>
      </c>
      <c r="P222" s="724">
        <v>94.5</v>
      </c>
      <c r="Q222" s="724">
        <v>0</v>
      </c>
      <c r="R222" s="724">
        <v>0</v>
      </c>
      <c r="S222" s="724">
        <v>94.5</v>
      </c>
      <c r="T222" s="724">
        <v>0</v>
      </c>
      <c r="U222" s="724">
        <v>0</v>
      </c>
      <c r="V222" s="724">
        <v>0</v>
      </c>
      <c r="W222" s="92">
        <v>0</v>
      </c>
      <c r="X222" s="92" t="s">
        <v>47</v>
      </c>
      <c r="Y222" s="738">
        <v>520</v>
      </c>
      <c r="Z222" s="738">
        <v>2200</v>
      </c>
      <c r="AA222" s="738">
        <v>9</v>
      </c>
      <c r="AB222" s="757"/>
      <c r="AC222" s="757"/>
      <c r="AD222" s="141" t="s">
        <v>56</v>
      </c>
      <c r="AE222" s="146" t="s">
        <v>57</v>
      </c>
      <c r="AF222" s="438" t="s">
        <v>43</v>
      </c>
      <c r="AG222" s="757"/>
    </row>
    <row r="223" s="570" customFormat="1" ht="24.95" customHeight="1" spans="1:33">
      <c r="A223" s="705"/>
      <c r="B223" s="758" t="s">
        <v>69</v>
      </c>
      <c r="C223" s="146" t="s">
        <v>52</v>
      </c>
      <c r="D223" s="705" t="s">
        <v>202</v>
      </c>
      <c r="E223" s="92">
        <v>2</v>
      </c>
      <c r="F223" s="92" t="s">
        <v>69</v>
      </c>
      <c r="G223" s="92"/>
      <c r="H223" s="724">
        <v>2</v>
      </c>
      <c r="I223" s="724">
        <v>0</v>
      </c>
      <c r="J223" s="724">
        <v>2</v>
      </c>
      <c r="K223" s="724">
        <v>0</v>
      </c>
      <c r="L223" s="724">
        <v>0</v>
      </c>
      <c r="M223" s="724">
        <v>0</v>
      </c>
      <c r="N223" s="724">
        <v>21</v>
      </c>
      <c r="O223" s="724">
        <v>0</v>
      </c>
      <c r="P223" s="724">
        <v>21</v>
      </c>
      <c r="Q223" s="724">
        <v>0</v>
      </c>
      <c r="R223" s="724">
        <v>0</v>
      </c>
      <c r="S223" s="724">
        <v>21</v>
      </c>
      <c r="T223" s="724">
        <v>0</v>
      </c>
      <c r="U223" s="724">
        <v>0</v>
      </c>
      <c r="V223" s="724">
        <v>0</v>
      </c>
      <c r="W223" s="92">
        <v>0</v>
      </c>
      <c r="X223" s="92" t="s">
        <v>47</v>
      </c>
      <c r="Y223" s="738">
        <v>150</v>
      </c>
      <c r="Z223" s="738">
        <v>520</v>
      </c>
      <c r="AA223" s="738">
        <v>2</v>
      </c>
      <c r="AB223" s="757"/>
      <c r="AC223" s="757"/>
      <c r="AD223" s="146" t="s">
        <v>70</v>
      </c>
      <c r="AE223" s="146" t="s">
        <v>71</v>
      </c>
      <c r="AF223" s="438" t="s">
        <v>43</v>
      </c>
      <c r="AG223" s="757"/>
    </row>
    <row r="224" s="570" customFormat="1" ht="30" customHeight="1" spans="1:33">
      <c r="A224" s="705"/>
      <c r="B224" s="768" t="s">
        <v>236</v>
      </c>
      <c r="C224" s="146" t="s">
        <v>52</v>
      </c>
      <c r="D224" s="705"/>
      <c r="E224" s="92">
        <v>14</v>
      </c>
      <c r="F224" s="92">
        <v>0</v>
      </c>
      <c r="G224" s="92"/>
      <c r="H224" s="724">
        <v>5540</v>
      </c>
      <c r="I224" s="724">
        <v>0</v>
      </c>
      <c r="J224" s="724">
        <v>5540</v>
      </c>
      <c r="K224" s="724">
        <v>0</v>
      </c>
      <c r="L224" s="724">
        <v>0</v>
      </c>
      <c r="M224" s="724">
        <v>0</v>
      </c>
      <c r="N224" s="724">
        <v>100</v>
      </c>
      <c r="O224" s="724">
        <v>0</v>
      </c>
      <c r="P224" s="724">
        <v>100</v>
      </c>
      <c r="Q224" s="724">
        <v>0</v>
      </c>
      <c r="R224" s="724">
        <v>0</v>
      </c>
      <c r="S224" s="724">
        <v>100</v>
      </c>
      <c r="T224" s="724">
        <v>0</v>
      </c>
      <c r="U224" s="724">
        <v>0</v>
      </c>
      <c r="V224" s="724">
        <v>0</v>
      </c>
      <c r="W224" s="92">
        <v>0</v>
      </c>
      <c r="X224" s="92" t="s">
        <v>47</v>
      </c>
      <c r="Y224" s="738">
        <v>60</v>
      </c>
      <c r="Z224" s="738">
        <v>229</v>
      </c>
      <c r="AA224" s="738">
        <v>14</v>
      </c>
      <c r="AB224" s="757"/>
      <c r="AC224" s="757"/>
      <c r="AD224" s="757"/>
      <c r="AE224" s="757"/>
      <c r="AF224" s="757"/>
      <c r="AG224" s="757"/>
    </row>
    <row r="225" s="570" customFormat="1" ht="24.95" customHeight="1" spans="1:33">
      <c r="A225" s="705"/>
      <c r="B225" s="758" t="s">
        <v>69</v>
      </c>
      <c r="C225" s="146" t="s">
        <v>52</v>
      </c>
      <c r="D225" s="705" t="s">
        <v>45</v>
      </c>
      <c r="E225" s="92">
        <v>1</v>
      </c>
      <c r="F225" s="92" t="s">
        <v>69</v>
      </c>
      <c r="G225" s="92"/>
      <c r="H225" s="724">
        <v>330</v>
      </c>
      <c r="I225" s="724">
        <v>0</v>
      </c>
      <c r="J225" s="724">
        <v>330</v>
      </c>
      <c r="K225" s="724">
        <v>0</v>
      </c>
      <c r="L225" s="724">
        <v>0</v>
      </c>
      <c r="M225" s="724">
        <v>0</v>
      </c>
      <c r="N225" s="724">
        <v>6</v>
      </c>
      <c r="O225" s="724">
        <v>0</v>
      </c>
      <c r="P225" s="724">
        <v>6</v>
      </c>
      <c r="Q225" s="724">
        <v>0</v>
      </c>
      <c r="R225" s="724">
        <v>0</v>
      </c>
      <c r="S225" s="724">
        <v>6</v>
      </c>
      <c r="T225" s="724">
        <v>0</v>
      </c>
      <c r="U225" s="724">
        <v>0</v>
      </c>
      <c r="V225" s="724">
        <v>0</v>
      </c>
      <c r="W225" s="92">
        <v>0</v>
      </c>
      <c r="X225" s="92" t="s">
        <v>47</v>
      </c>
      <c r="Y225" s="738">
        <v>5</v>
      </c>
      <c r="Z225" s="738">
        <v>23</v>
      </c>
      <c r="AA225" s="738">
        <v>1</v>
      </c>
      <c r="AB225" s="757"/>
      <c r="AC225" s="757"/>
      <c r="AD225" s="146" t="s">
        <v>70</v>
      </c>
      <c r="AE225" s="146" t="s">
        <v>138</v>
      </c>
      <c r="AF225" s="146" t="s">
        <v>43</v>
      </c>
      <c r="AG225" s="757"/>
    </row>
    <row r="226" s="570" customFormat="1" ht="24.95" customHeight="1" spans="1:33">
      <c r="A226" s="705"/>
      <c r="B226" s="758" t="s">
        <v>51</v>
      </c>
      <c r="C226" s="146" t="s">
        <v>52</v>
      </c>
      <c r="D226" s="705" t="s">
        <v>45</v>
      </c>
      <c r="E226" s="92">
        <v>3</v>
      </c>
      <c r="F226" s="92" t="s">
        <v>51</v>
      </c>
      <c r="G226" s="92"/>
      <c r="H226" s="724">
        <v>1650</v>
      </c>
      <c r="I226" s="724">
        <v>0</v>
      </c>
      <c r="J226" s="724">
        <v>1650</v>
      </c>
      <c r="K226" s="724">
        <v>0</v>
      </c>
      <c r="L226" s="724">
        <v>0</v>
      </c>
      <c r="M226" s="724">
        <v>0</v>
      </c>
      <c r="N226" s="724">
        <v>30</v>
      </c>
      <c r="O226" s="724">
        <v>0</v>
      </c>
      <c r="P226" s="724">
        <v>30</v>
      </c>
      <c r="Q226" s="724">
        <v>0</v>
      </c>
      <c r="R226" s="724">
        <v>0</v>
      </c>
      <c r="S226" s="724">
        <v>30</v>
      </c>
      <c r="T226" s="724">
        <v>0</v>
      </c>
      <c r="U226" s="724">
        <v>0</v>
      </c>
      <c r="V226" s="724">
        <v>0</v>
      </c>
      <c r="W226" s="92">
        <v>0</v>
      </c>
      <c r="X226" s="92" t="s">
        <v>47</v>
      </c>
      <c r="Y226" s="738">
        <v>23</v>
      </c>
      <c r="Z226" s="738">
        <v>78</v>
      </c>
      <c r="AA226" s="738">
        <v>3</v>
      </c>
      <c r="AB226" s="757"/>
      <c r="AC226" s="757"/>
      <c r="AD226" s="743" t="s">
        <v>152</v>
      </c>
      <c r="AE226" s="146" t="s">
        <v>153</v>
      </c>
      <c r="AF226" s="146" t="s">
        <v>43</v>
      </c>
      <c r="AG226" s="757"/>
    </row>
    <row r="227" s="570" customFormat="1" ht="24.95" customHeight="1" spans="1:33">
      <c r="A227" s="705"/>
      <c r="B227" s="758" t="s">
        <v>91</v>
      </c>
      <c r="C227" s="146" t="s">
        <v>52</v>
      </c>
      <c r="D227" s="705" t="s">
        <v>45</v>
      </c>
      <c r="E227" s="92">
        <v>5</v>
      </c>
      <c r="F227" s="92" t="s">
        <v>91</v>
      </c>
      <c r="G227" s="92"/>
      <c r="H227" s="724">
        <v>1320</v>
      </c>
      <c r="I227" s="724">
        <v>0</v>
      </c>
      <c r="J227" s="724">
        <v>1320</v>
      </c>
      <c r="K227" s="724">
        <v>0</v>
      </c>
      <c r="L227" s="724">
        <v>0</v>
      </c>
      <c r="M227" s="724">
        <v>0</v>
      </c>
      <c r="N227" s="724">
        <v>25.6</v>
      </c>
      <c r="O227" s="724">
        <v>0</v>
      </c>
      <c r="P227" s="724">
        <v>25.6</v>
      </c>
      <c r="Q227" s="724">
        <v>0</v>
      </c>
      <c r="R227" s="724">
        <v>0</v>
      </c>
      <c r="S227" s="724">
        <v>25.6</v>
      </c>
      <c r="T227" s="724">
        <v>0</v>
      </c>
      <c r="U227" s="724">
        <v>0</v>
      </c>
      <c r="V227" s="724">
        <v>0</v>
      </c>
      <c r="W227" s="92">
        <v>0</v>
      </c>
      <c r="X227" s="92" t="s">
        <v>47</v>
      </c>
      <c r="Y227" s="738">
        <v>8</v>
      </c>
      <c r="Z227" s="738">
        <v>33</v>
      </c>
      <c r="AA227" s="738">
        <v>5</v>
      </c>
      <c r="AB227" s="757"/>
      <c r="AC227" s="757"/>
      <c r="AD227" s="146" t="s">
        <v>82</v>
      </c>
      <c r="AE227" s="146" t="s">
        <v>135</v>
      </c>
      <c r="AF227" s="146" t="s">
        <v>43</v>
      </c>
      <c r="AG227" s="757"/>
    </row>
    <row r="228" s="570" customFormat="1" ht="24.95" customHeight="1" spans="1:33">
      <c r="A228" s="705"/>
      <c r="B228" s="758" t="s">
        <v>75</v>
      </c>
      <c r="C228" s="146" t="s">
        <v>52</v>
      </c>
      <c r="D228" s="705" t="s">
        <v>45</v>
      </c>
      <c r="E228" s="92">
        <v>2</v>
      </c>
      <c r="F228" s="92" t="s">
        <v>75</v>
      </c>
      <c r="G228" s="92"/>
      <c r="H228" s="724">
        <v>600</v>
      </c>
      <c r="I228" s="724">
        <v>0</v>
      </c>
      <c r="J228" s="724">
        <v>600</v>
      </c>
      <c r="K228" s="724">
        <v>0</v>
      </c>
      <c r="L228" s="724">
        <v>0</v>
      </c>
      <c r="M228" s="724">
        <v>0</v>
      </c>
      <c r="N228" s="724">
        <v>10.8</v>
      </c>
      <c r="O228" s="724">
        <v>0</v>
      </c>
      <c r="P228" s="724">
        <v>10.8</v>
      </c>
      <c r="Q228" s="724">
        <v>0</v>
      </c>
      <c r="R228" s="724">
        <v>0</v>
      </c>
      <c r="S228" s="724">
        <v>10.8</v>
      </c>
      <c r="T228" s="724">
        <v>0</v>
      </c>
      <c r="U228" s="724">
        <v>0</v>
      </c>
      <c r="V228" s="724">
        <v>0</v>
      </c>
      <c r="W228" s="92">
        <v>0</v>
      </c>
      <c r="X228" s="92" t="s">
        <v>47</v>
      </c>
      <c r="Y228" s="738">
        <v>6</v>
      </c>
      <c r="Z228" s="738">
        <v>24</v>
      </c>
      <c r="AA228" s="738">
        <v>2</v>
      </c>
      <c r="AB228" s="757"/>
      <c r="AC228" s="757"/>
      <c r="AD228" s="146" t="s">
        <v>76</v>
      </c>
      <c r="AE228" s="753" t="s">
        <v>136</v>
      </c>
      <c r="AF228" s="146" t="s">
        <v>43</v>
      </c>
      <c r="AG228" s="757"/>
    </row>
    <row r="229" s="570" customFormat="1" ht="24.95" customHeight="1" spans="1:33">
      <c r="A229" s="705"/>
      <c r="B229" s="758" t="s">
        <v>58</v>
      </c>
      <c r="C229" s="146" t="s">
        <v>52</v>
      </c>
      <c r="D229" s="705" t="s">
        <v>45</v>
      </c>
      <c r="E229" s="92">
        <v>1</v>
      </c>
      <c r="F229" s="92" t="s">
        <v>58</v>
      </c>
      <c r="G229" s="92"/>
      <c r="H229" s="724">
        <v>1100</v>
      </c>
      <c r="I229" s="724">
        <v>0</v>
      </c>
      <c r="J229" s="724">
        <v>1100</v>
      </c>
      <c r="K229" s="724">
        <v>0</v>
      </c>
      <c r="L229" s="724">
        <v>0</v>
      </c>
      <c r="M229" s="724">
        <v>0</v>
      </c>
      <c r="N229" s="724">
        <v>18</v>
      </c>
      <c r="O229" s="724">
        <v>0</v>
      </c>
      <c r="P229" s="724">
        <v>18</v>
      </c>
      <c r="Q229" s="724">
        <v>0</v>
      </c>
      <c r="R229" s="724">
        <v>0</v>
      </c>
      <c r="S229" s="724">
        <v>18</v>
      </c>
      <c r="T229" s="724">
        <v>0</v>
      </c>
      <c r="U229" s="724">
        <v>0</v>
      </c>
      <c r="V229" s="724">
        <v>0</v>
      </c>
      <c r="W229" s="92">
        <v>0</v>
      </c>
      <c r="X229" s="92" t="s">
        <v>47</v>
      </c>
      <c r="Y229" s="738">
        <v>15</v>
      </c>
      <c r="Z229" s="738">
        <v>58</v>
      </c>
      <c r="AA229" s="738">
        <v>1</v>
      </c>
      <c r="AB229" s="757"/>
      <c r="AC229" s="757"/>
      <c r="AD229" s="146" t="s">
        <v>59</v>
      </c>
      <c r="AE229" s="146" t="s">
        <v>156</v>
      </c>
      <c r="AF229" s="146" t="s">
        <v>43</v>
      </c>
      <c r="AG229" s="757"/>
    </row>
    <row r="230" s="570" customFormat="1" ht="24.95" customHeight="1" spans="1:33">
      <c r="A230" s="705"/>
      <c r="B230" s="758" t="s">
        <v>114</v>
      </c>
      <c r="C230" s="146" t="s">
        <v>52</v>
      </c>
      <c r="D230" s="705" t="s">
        <v>45</v>
      </c>
      <c r="E230" s="92">
        <v>1</v>
      </c>
      <c r="F230" s="92" t="s">
        <v>114</v>
      </c>
      <c r="G230" s="92"/>
      <c r="H230" s="724">
        <v>270</v>
      </c>
      <c r="I230" s="724">
        <v>0</v>
      </c>
      <c r="J230" s="724">
        <v>270</v>
      </c>
      <c r="K230" s="724">
        <v>0</v>
      </c>
      <c r="L230" s="724">
        <v>0</v>
      </c>
      <c r="M230" s="724">
        <v>0</v>
      </c>
      <c r="N230" s="724">
        <v>4.8</v>
      </c>
      <c r="O230" s="724">
        <v>0</v>
      </c>
      <c r="P230" s="724">
        <v>4.8</v>
      </c>
      <c r="Q230" s="724">
        <v>0</v>
      </c>
      <c r="R230" s="724">
        <v>0</v>
      </c>
      <c r="S230" s="724">
        <v>4.8</v>
      </c>
      <c r="T230" s="724">
        <v>0</v>
      </c>
      <c r="U230" s="724">
        <v>0</v>
      </c>
      <c r="V230" s="724">
        <v>0</v>
      </c>
      <c r="W230" s="92">
        <v>0</v>
      </c>
      <c r="X230" s="92" t="s">
        <v>47</v>
      </c>
      <c r="Y230" s="738">
        <v>2</v>
      </c>
      <c r="Z230" s="738">
        <v>9</v>
      </c>
      <c r="AA230" s="738">
        <v>1</v>
      </c>
      <c r="AB230" s="757"/>
      <c r="AC230" s="757"/>
      <c r="AD230" s="146" t="s">
        <v>237</v>
      </c>
      <c r="AE230" s="146" t="s">
        <v>116</v>
      </c>
      <c r="AF230" s="146" t="s">
        <v>43</v>
      </c>
      <c r="AG230" s="757"/>
    </row>
    <row r="231" s="570" customFormat="1" ht="24.95" customHeight="1" spans="1:33">
      <c r="A231" s="705"/>
      <c r="B231" s="758" t="s">
        <v>78</v>
      </c>
      <c r="C231" s="146" t="s">
        <v>52</v>
      </c>
      <c r="D231" s="705" t="s">
        <v>45</v>
      </c>
      <c r="E231" s="92">
        <v>1</v>
      </c>
      <c r="F231" s="92" t="s">
        <v>78</v>
      </c>
      <c r="G231" s="92"/>
      <c r="H231" s="724">
        <v>270</v>
      </c>
      <c r="I231" s="724">
        <v>0</v>
      </c>
      <c r="J231" s="724">
        <v>270</v>
      </c>
      <c r="K231" s="724">
        <v>0</v>
      </c>
      <c r="L231" s="724">
        <v>0</v>
      </c>
      <c r="M231" s="724">
        <v>0</v>
      </c>
      <c r="N231" s="724">
        <v>4.8</v>
      </c>
      <c r="O231" s="724">
        <v>0</v>
      </c>
      <c r="P231" s="724">
        <v>4.8</v>
      </c>
      <c r="Q231" s="724">
        <v>0</v>
      </c>
      <c r="R231" s="724">
        <v>0</v>
      </c>
      <c r="S231" s="724">
        <v>4.8</v>
      </c>
      <c r="T231" s="724">
        <v>0</v>
      </c>
      <c r="U231" s="724">
        <v>0</v>
      </c>
      <c r="V231" s="724">
        <v>0</v>
      </c>
      <c r="W231" s="92">
        <v>0</v>
      </c>
      <c r="X231" s="92" t="s">
        <v>47</v>
      </c>
      <c r="Y231" s="738">
        <v>1</v>
      </c>
      <c r="Z231" s="738">
        <v>4</v>
      </c>
      <c r="AA231" s="738">
        <v>1</v>
      </c>
      <c r="AB231" s="757"/>
      <c r="AC231" s="757"/>
      <c r="AD231" s="146" t="s">
        <v>79</v>
      </c>
      <c r="AE231" s="146" t="s">
        <v>157</v>
      </c>
      <c r="AF231" s="146" t="s">
        <v>43</v>
      </c>
      <c r="AG231" s="757"/>
    </row>
    <row r="232" s="570" customFormat="1" ht="32.1" customHeight="1" spans="1:33">
      <c r="A232" s="705">
        <v>26</v>
      </c>
      <c r="B232" s="706" t="s">
        <v>238</v>
      </c>
      <c r="C232" s="706"/>
      <c r="D232" s="707" t="s">
        <v>147</v>
      </c>
      <c r="E232" s="92">
        <v>260</v>
      </c>
      <c r="F232" s="92">
        <v>0</v>
      </c>
      <c r="G232" s="92"/>
      <c r="H232" s="724">
        <v>173500</v>
      </c>
      <c r="I232" s="724">
        <v>46874</v>
      </c>
      <c r="J232" s="724">
        <v>63617</v>
      </c>
      <c r="K232" s="724">
        <v>63009</v>
      </c>
      <c r="L232" s="724">
        <v>0</v>
      </c>
      <c r="M232" s="724">
        <v>0</v>
      </c>
      <c r="N232" s="724">
        <v>8861.04</v>
      </c>
      <c r="O232" s="724">
        <v>1463.6</v>
      </c>
      <c r="P232" s="724">
        <v>3730.02</v>
      </c>
      <c r="Q232" s="724">
        <v>3667.42</v>
      </c>
      <c r="R232" s="724">
        <v>4764.5</v>
      </c>
      <c r="S232" s="724">
        <v>2416.54</v>
      </c>
      <c r="T232" s="724">
        <v>0</v>
      </c>
      <c r="U232" s="724">
        <v>1680</v>
      </c>
      <c r="V232" s="724">
        <v>0</v>
      </c>
      <c r="W232" s="92">
        <v>0</v>
      </c>
      <c r="X232" s="92" t="s">
        <v>47</v>
      </c>
      <c r="Y232" s="738">
        <v>116508</v>
      </c>
      <c r="Z232" s="738">
        <v>350280.4</v>
      </c>
      <c r="AA232" s="738">
        <v>260</v>
      </c>
      <c r="AB232" s="706"/>
      <c r="AC232" s="706"/>
      <c r="AD232" s="706"/>
      <c r="AE232" s="706"/>
      <c r="AF232" s="706"/>
      <c r="AG232" s="706" t="s">
        <v>41</v>
      </c>
    </row>
    <row r="233" s="570" customFormat="1" ht="24.95" customHeight="1" spans="1:33">
      <c r="A233" s="705">
        <v>27</v>
      </c>
      <c r="B233" s="708" t="s">
        <v>239</v>
      </c>
      <c r="C233" s="708"/>
      <c r="D233" s="709" t="s">
        <v>147</v>
      </c>
      <c r="E233" s="92">
        <v>108</v>
      </c>
      <c r="F233" s="92">
        <v>0</v>
      </c>
      <c r="G233" s="92"/>
      <c r="H233" s="724">
        <v>125995</v>
      </c>
      <c r="I233" s="724">
        <v>42059</v>
      </c>
      <c r="J233" s="724">
        <v>41968</v>
      </c>
      <c r="K233" s="724">
        <v>41968</v>
      </c>
      <c r="L233" s="724">
        <v>0</v>
      </c>
      <c r="M233" s="724">
        <v>0</v>
      </c>
      <c r="N233" s="724">
        <v>2416.54</v>
      </c>
      <c r="O233" s="724">
        <v>813.5</v>
      </c>
      <c r="P233" s="724">
        <v>801.52</v>
      </c>
      <c r="Q233" s="724">
        <v>801.52</v>
      </c>
      <c r="R233" s="724">
        <v>0</v>
      </c>
      <c r="S233" s="724">
        <v>2416.54</v>
      </c>
      <c r="T233" s="724">
        <v>0</v>
      </c>
      <c r="U233" s="724">
        <v>0</v>
      </c>
      <c r="V233" s="724">
        <v>0</v>
      </c>
      <c r="W233" s="92" t="s">
        <v>240</v>
      </c>
      <c r="X233" s="92" t="s">
        <v>47</v>
      </c>
      <c r="Y233" s="738">
        <v>86637</v>
      </c>
      <c r="Z233" s="738">
        <v>240708</v>
      </c>
      <c r="AA233" s="738">
        <v>108</v>
      </c>
      <c r="AB233" s="708"/>
      <c r="AC233" s="708"/>
      <c r="AD233" s="708"/>
      <c r="AE233" s="708"/>
      <c r="AF233" s="708"/>
      <c r="AG233" s="708" t="s">
        <v>41</v>
      </c>
    </row>
    <row r="234" s="570" customFormat="1" ht="24.95" customHeight="1" spans="1:33">
      <c r="A234" s="705">
        <v>28</v>
      </c>
      <c r="B234" s="770" t="s">
        <v>241</v>
      </c>
      <c r="C234" s="770" t="s">
        <v>52</v>
      </c>
      <c r="D234" s="771" t="s">
        <v>147</v>
      </c>
      <c r="E234" s="92">
        <v>36</v>
      </c>
      <c r="F234" s="92">
        <v>0</v>
      </c>
      <c r="G234" s="92"/>
      <c r="H234" s="724">
        <v>52610</v>
      </c>
      <c r="I234" s="724">
        <v>17328</v>
      </c>
      <c r="J234" s="724">
        <v>17641</v>
      </c>
      <c r="K234" s="724">
        <v>17641</v>
      </c>
      <c r="L234" s="724">
        <v>0</v>
      </c>
      <c r="M234" s="724">
        <v>0</v>
      </c>
      <c r="N234" s="724">
        <v>526.1</v>
      </c>
      <c r="O234" s="724">
        <v>173.28</v>
      </c>
      <c r="P234" s="724">
        <v>176.41</v>
      </c>
      <c r="Q234" s="724">
        <v>176.41</v>
      </c>
      <c r="R234" s="724">
        <v>0</v>
      </c>
      <c r="S234" s="724">
        <v>526.1</v>
      </c>
      <c r="T234" s="724">
        <v>0</v>
      </c>
      <c r="U234" s="724">
        <v>0</v>
      </c>
      <c r="V234" s="724">
        <v>0</v>
      </c>
      <c r="W234" s="92" t="s">
        <v>240</v>
      </c>
      <c r="X234" s="92" t="s">
        <v>47</v>
      </c>
      <c r="Y234" s="738">
        <v>34743</v>
      </c>
      <c r="Z234" s="738">
        <v>88830</v>
      </c>
      <c r="AA234" s="738">
        <v>36</v>
      </c>
      <c r="AB234" s="770"/>
      <c r="AC234" s="770"/>
      <c r="AD234" s="772" t="s">
        <v>242</v>
      </c>
      <c r="AE234" s="772" t="s">
        <v>243</v>
      </c>
      <c r="AF234" s="773" t="s">
        <v>195</v>
      </c>
      <c r="AG234" s="92" t="s">
        <v>41</v>
      </c>
    </row>
    <row r="235" s="570" customFormat="1" ht="24.95" customHeight="1" spans="1:33">
      <c r="A235" s="705"/>
      <c r="B235" s="92" t="s">
        <v>101</v>
      </c>
      <c r="C235" s="92" t="s">
        <v>52</v>
      </c>
      <c r="D235" s="76" t="s">
        <v>147</v>
      </c>
      <c r="E235" s="92">
        <v>3</v>
      </c>
      <c r="F235" s="92" t="s">
        <v>101</v>
      </c>
      <c r="G235" s="92"/>
      <c r="H235" s="724">
        <v>4500</v>
      </c>
      <c r="I235" s="724">
        <v>1500</v>
      </c>
      <c r="J235" s="724">
        <v>1500</v>
      </c>
      <c r="K235" s="724">
        <v>1500</v>
      </c>
      <c r="L235" s="724">
        <v>2018.01</v>
      </c>
      <c r="M235" s="724">
        <v>2020.12</v>
      </c>
      <c r="N235" s="724">
        <v>45</v>
      </c>
      <c r="O235" s="724">
        <v>15</v>
      </c>
      <c r="P235" s="724">
        <v>15</v>
      </c>
      <c r="Q235" s="724">
        <v>15</v>
      </c>
      <c r="R235" s="724">
        <v>0</v>
      </c>
      <c r="S235" s="724">
        <v>45</v>
      </c>
      <c r="T235" s="724">
        <v>0</v>
      </c>
      <c r="U235" s="724">
        <v>0</v>
      </c>
      <c r="V235" s="724">
        <v>0</v>
      </c>
      <c r="W235" s="92" t="s">
        <v>240</v>
      </c>
      <c r="X235" s="92" t="s">
        <v>47</v>
      </c>
      <c r="Y235" s="738">
        <v>4083</v>
      </c>
      <c r="Z235" s="738">
        <v>15570</v>
      </c>
      <c r="AA235" s="738">
        <v>3</v>
      </c>
      <c r="AB235" s="92"/>
      <c r="AC235" s="92"/>
      <c r="AD235" s="146" t="s">
        <v>244</v>
      </c>
      <c r="AE235" s="193" t="s">
        <v>245</v>
      </c>
      <c r="AF235" s="146" t="s">
        <v>195</v>
      </c>
      <c r="AG235" s="92"/>
    </row>
    <row r="236" s="570" customFormat="1" ht="24.95" customHeight="1" spans="1:33">
      <c r="A236" s="705"/>
      <c r="B236" s="92" t="s">
        <v>151</v>
      </c>
      <c r="C236" s="92" t="s">
        <v>52</v>
      </c>
      <c r="D236" s="76" t="s">
        <v>147</v>
      </c>
      <c r="E236" s="92">
        <v>3</v>
      </c>
      <c r="F236" s="92" t="s">
        <v>151</v>
      </c>
      <c r="G236" s="92"/>
      <c r="H236" s="724">
        <v>8220</v>
      </c>
      <c r="I236" s="724">
        <v>2740</v>
      </c>
      <c r="J236" s="724">
        <v>2740</v>
      </c>
      <c r="K236" s="724">
        <v>2740</v>
      </c>
      <c r="L236" s="724">
        <v>2018.01</v>
      </c>
      <c r="M236" s="724">
        <v>2020.12</v>
      </c>
      <c r="N236" s="724">
        <v>82.2</v>
      </c>
      <c r="O236" s="724">
        <v>27.4</v>
      </c>
      <c r="P236" s="724">
        <v>27.4</v>
      </c>
      <c r="Q236" s="724">
        <v>27.4</v>
      </c>
      <c r="R236" s="724">
        <v>0</v>
      </c>
      <c r="S236" s="724">
        <v>82.2</v>
      </c>
      <c r="T236" s="724">
        <v>0</v>
      </c>
      <c r="U236" s="724">
        <v>0</v>
      </c>
      <c r="V236" s="724">
        <v>0</v>
      </c>
      <c r="W236" s="92" t="s">
        <v>240</v>
      </c>
      <c r="X236" s="92" t="s">
        <v>47</v>
      </c>
      <c r="Y236" s="738">
        <v>8220</v>
      </c>
      <c r="Z236" s="738">
        <v>8220</v>
      </c>
      <c r="AA236" s="738">
        <v>3</v>
      </c>
      <c r="AB236" s="92"/>
      <c r="AC236" s="92"/>
      <c r="AD236" s="146" t="s">
        <v>169</v>
      </c>
      <c r="AE236" s="146" t="s">
        <v>246</v>
      </c>
      <c r="AF236" s="146" t="s">
        <v>195</v>
      </c>
      <c r="AG236" s="92"/>
    </row>
    <row r="237" s="570" customFormat="1" ht="24.95" customHeight="1" spans="1:33">
      <c r="A237" s="705"/>
      <c r="B237" s="92" t="s">
        <v>154</v>
      </c>
      <c r="C237" s="92" t="s">
        <v>52</v>
      </c>
      <c r="D237" s="76" t="s">
        <v>147</v>
      </c>
      <c r="E237" s="92">
        <v>3</v>
      </c>
      <c r="F237" s="92" t="s">
        <v>154</v>
      </c>
      <c r="G237" s="92"/>
      <c r="H237" s="724">
        <v>4800</v>
      </c>
      <c r="I237" s="724">
        <v>1600</v>
      </c>
      <c r="J237" s="724">
        <v>1600</v>
      </c>
      <c r="K237" s="724">
        <v>1600</v>
      </c>
      <c r="L237" s="724">
        <v>2018.01</v>
      </c>
      <c r="M237" s="724">
        <v>2020.12</v>
      </c>
      <c r="N237" s="724">
        <v>48</v>
      </c>
      <c r="O237" s="724">
        <v>16</v>
      </c>
      <c r="P237" s="724">
        <v>16</v>
      </c>
      <c r="Q237" s="724">
        <v>16</v>
      </c>
      <c r="R237" s="724">
        <v>0</v>
      </c>
      <c r="S237" s="724">
        <v>48</v>
      </c>
      <c r="T237" s="724">
        <v>0</v>
      </c>
      <c r="U237" s="724">
        <v>0</v>
      </c>
      <c r="V237" s="724">
        <v>0</v>
      </c>
      <c r="W237" s="92" t="s">
        <v>240</v>
      </c>
      <c r="X237" s="92" t="s">
        <v>47</v>
      </c>
      <c r="Y237" s="738">
        <v>2340</v>
      </c>
      <c r="Z237" s="738">
        <v>9900</v>
      </c>
      <c r="AA237" s="738">
        <v>3</v>
      </c>
      <c r="AB237" s="92"/>
      <c r="AC237" s="92"/>
      <c r="AD237" s="146" t="s">
        <v>247</v>
      </c>
      <c r="AE237" s="146" t="s">
        <v>248</v>
      </c>
      <c r="AF237" s="146" t="s">
        <v>195</v>
      </c>
      <c r="AG237" s="92"/>
    </row>
    <row r="238" s="570" customFormat="1" ht="24.95" customHeight="1" spans="1:33">
      <c r="A238" s="705"/>
      <c r="B238" s="92" t="s">
        <v>81</v>
      </c>
      <c r="C238" s="92" t="s">
        <v>52</v>
      </c>
      <c r="D238" s="76" t="s">
        <v>147</v>
      </c>
      <c r="E238" s="92">
        <v>3</v>
      </c>
      <c r="F238" s="92" t="s">
        <v>81</v>
      </c>
      <c r="G238" s="92"/>
      <c r="H238" s="724">
        <v>4800</v>
      </c>
      <c r="I238" s="724">
        <v>1600</v>
      </c>
      <c r="J238" s="724">
        <v>1600</v>
      </c>
      <c r="K238" s="724">
        <v>1600</v>
      </c>
      <c r="L238" s="724">
        <v>2018.01</v>
      </c>
      <c r="M238" s="724">
        <v>2020.12</v>
      </c>
      <c r="N238" s="724">
        <v>48</v>
      </c>
      <c r="O238" s="724">
        <v>16</v>
      </c>
      <c r="P238" s="724">
        <v>16</v>
      </c>
      <c r="Q238" s="724">
        <v>16</v>
      </c>
      <c r="R238" s="724">
        <v>0</v>
      </c>
      <c r="S238" s="724">
        <v>48</v>
      </c>
      <c r="T238" s="724">
        <v>0</v>
      </c>
      <c r="U238" s="724">
        <v>0</v>
      </c>
      <c r="V238" s="724">
        <v>0</v>
      </c>
      <c r="W238" s="92" t="s">
        <v>240</v>
      </c>
      <c r="X238" s="92" t="s">
        <v>47</v>
      </c>
      <c r="Y238" s="738">
        <v>2286</v>
      </c>
      <c r="Z238" s="738">
        <v>10050</v>
      </c>
      <c r="AA238" s="738">
        <v>3</v>
      </c>
      <c r="AB238" s="92"/>
      <c r="AC238" s="92"/>
      <c r="AD238" s="146" t="s">
        <v>249</v>
      </c>
      <c r="AE238" s="146" t="s">
        <v>250</v>
      </c>
      <c r="AF238" s="146" t="s">
        <v>195</v>
      </c>
      <c r="AG238" s="92"/>
    </row>
    <row r="239" s="570" customFormat="1" ht="24.95" customHeight="1" spans="1:33">
      <c r="A239" s="705"/>
      <c r="B239" s="92" t="s">
        <v>98</v>
      </c>
      <c r="C239" s="92" t="s">
        <v>52</v>
      </c>
      <c r="D239" s="76" t="s">
        <v>147</v>
      </c>
      <c r="E239" s="92">
        <v>3</v>
      </c>
      <c r="F239" s="92" t="s">
        <v>98</v>
      </c>
      <c r="G239" s="92"/>
      <c r="H239" s="724">
        <v>5582</v>
      </c>
      <c r="I239" s="724">
        <v>1782</v>
      </c>
      <c r="J239" s="724">
        <v>1900</v>
      </c>
      <c r="K239" s="724">
        <v>1900</v>
      </c>
      <c r="L239" s="724">
        <v>2018.01</v>
      </c>
      <c r="M239" s="724">
        <v>2020.12</v>
      </c>
      <c r="N239" s="724">
        <v>55.82</v>
      </c>
      <c r="O239" s="724">
        <v>17.82</v>
      </c>
      <c r="P239" s="724">
        <v>19</v>
      </c>
      <c r="Q239" s="724">
        <v>19</v>
      </c>
      <c r="R239" s="724">
        <v>0</v>
      </c>
      <c r="S239" s="724">
        <v>55.82</v>
      </c>
      <c r="T239" s="724">
        <v>0</v>
      </c>
      <c r="U239" s="724">
        <v>0</v>
      </c>
      <c r="V239" s="724">
        <v>0</v>
      </c>
      <c r="W239" s="92" t="s">
        <v>240</v>
      </c>
      <c r="X239" s="92" t="s">
        <v>47</v>
      </c>
      <c r="Y239" s="738">
        <v>3990</v>
      </c>
      <c r="Z239" s="738">
        <v>17805</v>
      </c>
      <c r="AA239" s="738">
        <v>3</v>
      </c>
      <c r="AB239" s="92"/>
      <c r="AC239" s="92"/>
      <c r="AD239" s="774" t="s">
        <v>209</v>
      </c>
      <c r="AE239" s="774" t="s">
        <v>251</v>
      </c>
      <c r="AF239" s="146" t="s">
        <v>195</v>
      </c>
      <c r="AG239" s="92"/>
    </row>
    <row r="240" s="570" customFormat="1" ht="24.95" customHeight="1" spans="1:33">
      <c r="A240" s="705"/>
      <c r="B240" s="92" t="s">
        <v>211</v>
      </c>
      <c r="C240" s="92" t="s">
        <v>52</v>
      </c>
      <c r="D240" s="76" t="s">
        <v>147</v>
      </c>
      <c r="E240" s="92">
        <v>3</v>
      </c>
      <c r="F240" s="92" t="s">
        <v>211</v>
      </c>
      <c r="G240" s="92"/>
      <c r="H240" s="724">
        <v>5400</v>
      </c>
      <c r="I240" s="724">
        <v>1800</v>
      </c>
      <c r="J240" s="724">
        <v>1800</v>
      </c>
      <c r="K240" s="724">
        <v>1800</v>
      </c>
      <c r="L240" s="724">
        <v>2018.01</v>
      </c>
      <c r="M240" s="724">
        <v>2020.12</v>
      </c>
      <c r="N240" s="724">
        <v>54</v>
      </c>
      <c r="O240" s="724">
        <v>18</v>
      </c>
      <c r="P240" s="724">
        <v>18</v>
      </c>
      <c r="Q240" s="724">
        <v>18</v>
      </c>
      <c r="R240" s="724">
        <v>0</v>
      </c>
      <c r="S240" s="724">
        <v>54</v>
      </c>
      <c r="T240" s="724">
        <v>0</v>
      </c>
      <c r="U240" s="724">
        <v>0</v>
      </c>
      <c r="V240" s="724">
        <v>0</v>
      </c>
      <c r="W240" s="92" t="s">
        <v>240</v>
      </c>
      <c r="X240" s="92" t="s">
        <v>47</v>
      </c>
      <c r="Y240" s="738">
        <v>1920</v>
      </c>
      <c r="Z240" s="738">
        <v>11550</v>
      </c>
      <c r="AA240" s="738">
        <v>3</v>
      </c>
      <c r="AB240" s="92"/>
      <c r="AC240" s="92"/>
      <c r="AD240" s="146" t="s">
        <v>76</v>
      </c>
      <c r="AE240" s="146" t="s">
        <v>252</v>
      </c>
      <c r="AF240" s="146" t="s">
        <v>195</v>
      </c>
      <c r="AG240" s="92"/>
    </row>
    <row r="241" s="570" customFormat="1" ht="24.95" customHeight="1" spans="1:33">
      <c r="A241" s="705"/>
      <c r="B241" s="92" t="s">
        <v>155</v>
      </c>
      <c r="C241" s="92" t="s">
        <v>52</v>
      </c>
      <c r="D241" s="76" t="s">
        <v>147</v>
      </c>
      <c r="E241" s="92">
        <v>3</v>
      </c>
      <c r="F241" s="92" t="s">
        <v>155</v>
      </c>
      <c r="G241" s="92"/>
      <c r="H241" s="724">
        <v>3300</v>
      </c>
      <c r="I241" s="724">
        <v>1100</v>
      </c>
      <c r="J241" s="724">
        <v>1100</v>
      </c>
      <c r="K241" s="724">
        <v>1100</v>
      </c>
      <c r="L241" s="724">
        <v>2018.01</v>
      </c>
      <c r="M241" s="724">
        <v>2020.12</v>
      </c>
      <c r="N241" s="724">
        <v>33</v>
      </c>
      <c r="O241" s="724">
        <v>11</v>
      </c>
      <c r="P241" s="724">
        <v>11</v>
      </c>
      <c r="Q241" s="724">
        <v>11</v>
      </c>
      <c r="R241" s="724">
        <v>0</v>
      </c>
      <c r="S241" s="724">
        <v>33</v>
      </c>
      <c r="T241" s="724">
        <v>0</v>
      </c>
      <c r="U241" s="724">
        <v>0</v>
      </c>
      <c r="V241" s="724">
        <v>0</v>
      </c>
      <c r="W241" s="92" t="s">
        <v>240</v>
      </c>
      <c r="X241" s="92" t="s">
        <v>47</v>
      </c>
      <c r="Y241" s="738">
        <v>930</v>
      </c>
      <c r="Z241" s="738">
        <v>1350</v>
      </c>
      <c r="AA241" s="738">
        <v>3</v>
      </c>
      <c r="AB241" s="92"/>
      <c r="AC241" s="92"/>
      <c r="AD241" s="146" t="s">
        <v>253</v>
      </c>
      <c r="AE241" s="146" t="s">
        <v>254</v>
      </c>
      <c r="AF241" s="146" t="s">
        <v>195</v>
      </c>
      <c r="AG241" s="92"/>
    </row>
    <row r="242" s="570" customFormat="1" ht="24.95" customHeight="1" spans="1:33">
      <c r="A242" s="705"/>
      <c r="B242" s="92" t="s">
        <v>102</v>
      </c>
      <c r="C242" s="92" t="s">
        <v>52</v>
      </c>
      <c r="D242" s="76" t="s">
        <v>147</v>
      </c>
      <c r="E242" s="92">
        <v>3</v>
      </c>
      <c r="F242" s="92" t="s">
        <v>102</v>
      </c>
      <c r="G242" s="92"/>
      <c r="H242" s="724">
        <v>6600</v>
      </c>
      <c r="I242" s="724">
        <v>2200</v>
      </c>
      <c r="J242" s="724">
        <v>2200</v>
      </c>
      <c r="K242" s="724">
        <v>2200</v>
      </c>
      <c r="L242" s="724">
        <v>2018.01</v>
      </c>
      <c r="M242" s="724">
        <v>2020.12</v>
      </c>
      <c r="N242" s="724">
        <v>66</v>
      </c>
      <c r="O242" s="724">
        <v>22</v>
      </c>
      <c r="P242" s="724">
        <v>22</v>
      </c>
      <c r="Q242" s="724">
        <v>22</v>
      </c>
      <c r="R242" s="724">
        <v>0</v>
      </c>
      <c r="S242" s="724">
        <v>66</v>
      </c>
      <c r="T242" s="724">
        <v>0</v>
      </c>
      <c r="U242" s="724">
        <v>0</v>
      </c>
      <c r="V242" s="724">
        <v>0</v>
      </c>
      <c r="W242" s="92" t="s">
        <v>240</v>
      </c>
      <c r="X242" s="92" t="s">
        <v>47</v>
      </c>
      <c r="Y242" s="738">
        <v>6600</v>
      </c>
      <c r="Z242" s="738">
        <v>6600</v>
      </c>
      <c r="AA242" s="738">
        <v>3</v>
      </c>
      <c r="AB242" s="92"/>
      <c r="AC242" s="92"/>
      <c r="AD242" s="146" t="s">
        <v>255</v>
      </c>
      <c r="AE242" s="146" t="s">
        <v>256</v>
      </c>
      <c r="AF242" s="146" t="s">
        <v>195</v>
      </c>
      <c r="AG242" s="92"/>
    </row>
    <row r="243" s="570" customFormat="1" ht="24.95" customHeight="1" spans="1:33">
      <c r="A243" s="705"/>
      <c r="B243" s="92" t="s">
        <v>100</v>
      </c>
      <c r="C243" s="92" t="s">
        <v>52</v>
      </c>
      <c r="D243" s="76" t="s">
        <v>147</v>
      </c>
      <c r="E243" s="92">
        <v>3</v>
      </c>
      <c r="F243" s="92" t="s">
        <v>100</v>
      </c>
      <c r="G243" s="92"/>
      <c r="H243" s="724">
        <v>1266</v>
      </c>
      <c r="I243" s="724">
        <v>422</v>
      </c>
      <c r="J243" s="724">
        <v>422</v>
      </c>
      <c r="K243" s="724">
        <v>422</v>
      </c>
      <c r="L243" s="724">
        <v>2018.01</v>
      </c>
      <c r="M243" s="724">
        <v>2020.12</v>
      </c>
      <c r="N243" s="724">
        <v>12.66</v>
      </c>
      <c r="O243" s="724">
        <v>4.22</v>
      </c>
      <c r="P243" s="724">
        <v>4.22</v>
      </c>
      <c r="Q243" s="724">
        <v>4.22</v>
      </c>
      <c r="R243" s="724">
        <v>0</v>
      </c>
      <c r="S243" s="724">
        <v>12.66</v>
      </c>
      <c r="T243" s="724">
        <v>0</v>
      </c>
      <c r="U243" s="724">
        <v>0</v>
      </c>
      <c r="V243" s="724">
        <v>0</v>
      </c>
      <c r="W243" s="92" t="s">
        <v>240</v>
      </c>
      <c r="X243" s="92" t="s">
        <v>47</v>
      </c>
      <c r="Y243" s="738">
        <v>1107</v>
      </c>
      <c r="Z243" s="738">
        <v>1266</v>
      </c>
      <c r="AA243" s="738">
        <v>3</v>
      </c>
      <c r="AB243" s="92"/>
      <c r="AC243" s="92"/>
      <c r="AD243" s="146" t="s">
        <v>79</v>
      </c>
      <c r="AE243" s="146" t="s">
        <v>257</v>
      </c>
      <c r="AF243" s="146" t="s">
        <v>195</v>
      </c>
      <c r="AG243" s="92"/>
    </row>
    <row r="244" s="570" customFormat="1" ht="24.95" customHeight="1" spans="1:33">
      <c r="A244" s="705"/>
      <c r="B244" s="92" t="s">
        <v>84</v>
      </c>
      <c r="C244" s="92" t="s">
        <v>52</v>
      </c>
      <c r="D244" s="76" t="s">
        <v>147</v>
      </c>
      <c r="E244" s="92">
        <v>3</v>
      </c>
      <c r="F244" s="92" t="s">
        <v>84</v>
      </c>
      <c r="G244" s="92"/>
      <c r="H244" s="724">
        <v>4800</v>
      </c>
      <c r="I244" s="724">
        <v>1600</v>
      </c>
      <c r="J244" s="724">
        <v>1600</v>
      </c>
      <c r="K244" s="724">
        <v>1600</v>
      </c>
      <c r="L244" s="724">
        <v>2018.01</v>
      </c>
      <c r="M244" s="724">
        <v>2020.12</v>
      </c>
      <c r="N244" s="724">
        <v>48</v>
      </c>
      <c r="O244" s="724">
        <v>16</v>
      </c>
      <c r="P244" s="724">
        <v>16</v>
      </c>
      <c r="Q244" s="724">
        <v>16</v>
      </c>
      <c r="R244" s="724">
        <v>0</v>
      </c>
      <c r="S244" s="724">
        <v>48</v>
      </c>
      <c r="T244" s="724">
        <v>0</v>
      </c>
      <c r="U244" s="724">
        <v>0</v>
      </c>
      <c r="V244" s="724">
        <v>0</v>
      </c>
      <c r="W244" s="92" t="s">
        <v>240</v>
      </c>
      <c r="X244" s="92" t="s">
        <v>47</v>
      </c>
      <c r="Y244" s="738">
        <v>1668</v>
      </c>
      <c r="Z244" s="738">
        <v>2142</v>
      </c>
      <c r="AA244" s="738">
        <v>3</v>
      </c>
      <c r="AB244" s="92"/>
      <c r="AC244" s="92"/>
      <c r="AD244" s="146" t="s">
        <v>185</v>
      </c>
      <c r="AE244" s="146" t="s">
        <v>258</v>
      </c>
      <c r="AF244" s="146" t="s">
        <v>195</v>
      </c>
      <c r="AG244" s="92"/>
    </row>
    <row r="245" s="570" customFormat="1" ht="24.95" customHeight="1" spans="1:33">
      <c r="A245" s="705"/>
      <c r="B245" s="92" t="s">
        <v>259</v>
      </c>
      <c r="C245" s="92" t="s">
        <v>52</v>
      </c>
      <c r="D245" s="76" t="s">
        <v>147</v>
      </c>
      <c r="E245" s="92">
        <v>3</v>
      </c>
      <c r="F245" s="92" t="s">
        <v>259</v>
      </c>
      <c r="G245" s="92"/>
      <c r="H245" s="724">
        <v>87</v>
      </c>
      <c r="I245" s="724">
        <v>29</v>
      </c>
      <c r="J245" s="724">
        <v>29</v>
      </c>
      <c r="K245" s="724">
        <v>29</v>
      </c>
      <c r="L245" s="724">
        <v>2018.01</v>
      </c>
      <c r="M245" s="724">
        <v>2020.12</v>
      </c>
      <c r="N245" s="724">
        <v>0.87</v>
      </c>
      <c r="O245" s="724">
        <v>0.29</v>
      </c>
      <c r="P245" s="724">
        <v>0.29</v>
      </c>
      <c r="Q245" s="724">
        <v>0.29</v>
      </c>
      <c r="R245" s="724">
        <v>0</v>
      </c>
      <c r="S245" s="724">
        <v>0.87</v>
      </c>
      <c r="T245" s="724">
        <v>0</v>
      </c>
      <c r="U245" s="724">
        <v>0</v>
      </c>
      <c r="V245" s="724">
        <v>0</v>
      </c>
      <c r="W245" s="92" t="s">
        <v>240</v>
      </c>
      <c r="X245" s="92" t="s">
        <v>47</v>
      </c>
      <c r="Y245" s="738">
        <v>69</v>
      </c>
      <c r="Z245" s="738">
        <v>87</v>
      </c>
      <c r="AA245" s="738">
        <v>3</v>
      </c>
      <c r="AB245" s="92"/>
      <c r="AC245" s="92"/>
      <c r="AD245" s="146" t="s">
        <v>260</v>
      </c>
      <c r="AE245" s="146" t="s">
        <v>261</v>
      </c>
      <c r="AF245" s="146" t="s">
        <v>195</v>
      </c>
      <c r="AG245" s="92"/>
    </row>
    <row r="246" s="570" customFormat="1" ht="24.95" customHeight="1" spans="1:33">
      <c r="A246" s="705"/>
      <c r="B246" s="92" t="s">
        <v>143</v>
      </c>
      <c r="C246" s="92" t="s">
        <v>52</v>
      </c>
      <c r="D246" s="76" t="s">
        <v>147</v>
      </c>
      <c r="E246" s="92">
        <v>3</v>
      </c>
      <c r="F246" s="92" t="s">
        <v>143</v>
      </c>
      <c r="G246" s="92"/>
      <c r="H246" s="724">
        <v>3255</v>
      </c>
      <c r="I246" s="724">
        <v>955</v>
      </c>
      <c r="J246" s="724">
        <v>1150</v>
      </c>
      <c r="K246" s="724">
        <v>1150</v>
      </c>
      <c r="L246" s="724">
        <v>2018.01</v>
      </c>
      <c r="M246" s="724">
        <v>2020.12</v>
      </c>
      <c r="N246" s="724">
        <v>32.55</v>
      </c>
      <c r="O246" s="724">
        <v>9.55</v>
      </c>
      <c r="P246" s="724">
        <v>11.5</v>
      </c>
      <c r="Q246" s="724">
        <v>11.5</v>
      </c>
      <c r="R246" s="724">
        <v>0</v>
      </c>
      <c r="S246" s="724">
        <v>32.55</v>
      </c>
      <c r="T246" s="724">
        <v>0</v>
      </c>
      <c r="U246" s="724">
        <v>0</v>
      </c>
      <c r="V246" s="724">
        <v>0</v>
      </c>
      <c r="W246" s="92" t="s">
        <v>240</v>
      </c>
      <c r="X246" s="92" t="s">
        <v>47</v>
      </c>
      <c r="Y246" s="738">
        <v>1530</v>
      </c>
      <c r="Z246" s="738">
        <v>4290</v>
      </c>
      <c r="AA246" s="738">
        <v>3</v>
      </c>
      <c r="AB246" s="92"/>
      <c r="AC246" s="92"/>
      <c r="AD246" s="775" t="s">
        <v>262</v>
      </c>
      <c r="AE246" s="775" t="s">
        <v>263</v>
      </c>
      <c r="AF246" s="146" t="s">
        <v>195</v>
      </c>
      <c r="AG246" s="92"/>
    </row>
    <row r="247" s="570" customFormat="1" ht="24.95" customHeight="1" spans="1:33">
      <c r="A247" s="705" t="s">
        <v>48</v>
      </c>
      <c r="B247" s="770" t="s">
        <v>264</v>
      </c>
      <c r="C247" s="770"/>
      <c r="D247" s="771" t="s">
        <v>147</v>
      </c>
      <c r="E247" s="92">
        <v>36</v>
      </c>
      <c r="F247" s="92">
        <v>0</v>
      </c>
      <c r="G247" s="92"/>
      <c r="H247" s="724">
        <v>31111</v>
      </c>
      <c r="I247" s="724">
        <v>10171</v>
      </c>
      <c r="J247" s="724">
        <v>10470</v>
      </c>
      <c r="K247" s="724">
        <v>10470</v>
      </c>
      <c r="L247" s="724">
        <v>0</v>
      </c>
      <c r="M247" s="724">
        <v>0</v>
      </c>
      <c r="N247" s="724">
        <v>622.22</v>
      </c>
      <c r="O247" s="724">
        <v>203.42</v>
      </c>
      <c r="P247" s="724">
        <v>209.4</v>
      </c>
      <c r="Q247" s="724">
        <v>209.4</v>
      </c>
      <c r="R247" s="724">
        <v>0</v>
      </c>
      <c r="S247" s="724">
        <v>622.22</v>
      </c>
      <c r="T247" s="724">
        <v>0</v>
      </c>
      <c r="U247" s="724">
        <v>0</v>
      </c>
      <c r="V247" s="724">
        <v>0</v>
      </c>
      <c r="W247" s="92" t="s">
        <v>240</v>
      </c>
      <c r="X247" s="92" t="s">
        <v>47</v>
      </c>
      <c r="Y247" s="738">
        <v>22401</v>
      </c>
      <c r="Z247" s="738">
        <v>62685</v>
      </c>
      <c r="AA247" s="738">
        <v>36</v>
      </c>
      <c r="AB247" s="770"/>
      <c r="AC247" s="770"/>
      <c r="AD247" s="772" t="s">
        <v>242</v>
      </c>
      <c r="AE247" s="772" t="s">
        <v>243</v>
      </c>
      <c r="AF247" s="773" t="s">
        <v>195</v>
      </c>
      <c r="AG247" s="92"/>
    </row>
    <row r="248" s="570" customFormat="1" ht="24.95" customHeight="1" spans="1:33">
      <c r="A248" s="705">
        <v>29</v>
      </c>
      <c r="B248" s="92" t="s">
        <v>101</v>
      </c>
      <c r="C248" s="92" t="s">
        <v>52</v>
      </c>
      <c r="D248" s="76" t="s">
        <v>147</v>
      </c>
      <c r="E248" s="92">
        <v>3</v>
      </c>
      <c r="F248" s="92" t="s">
        <v>101</v>
      </c>
      <c r="G248" s="92"/>
      <c r="H248" s="724">
        <v>3300</v>
      </c>
      <c r="I248" s="724">
        <v>1100</v>
      </c>
      <c r="J248" s="724">
        <v>1100</v>
      </c>
      <c r="K248" s="724">
        <v>1100</v>
      </c>
      <c r="L248" s="724">
        <v>2018.01</v>
      </c>
      <c r="M248" s="724">
        <v>2020.12</v>
      </c>
      <c r="N248" s="724">
        <v>66</v>
      </c>
      <c r="O248" s="724">
        <v>22</v>
      </c>
      <c r="P248" s="724">
        <v>22</v>
      </c>
      <c r="Q248" s="724">
        <v>22</v>
      </c>
      <c r="R248" s="724">
        <v>0</v>
      </c>
      <c r="S248" s="724">
        <v>66</v>
      </c>
      <c r="T248" s="724">
        <v>0</v>
      </c>
      <c r="U248" s="724">
        <v>0</v>
      </c>
      <c r="V248" s="724">
        <v>0</v>
      </c>
      <c r="W248" s="92" t="s">
        <v>240</v>
      </c>
      <c r="X248" s="92" t="s">
        <v>47</v>
      </c>
      <c r="Y248" s="738">
        <v>2592</v>
      </c>
      <c r="Z248" s="738">
        <v>9825</v>
      </c>
      <c r="AA248" s="738">
        <v>3</v>
      </c>
      <c r="AB248" s="92"/>
      <c r="AC248" s="92"/>
      <c r="AD248" s="146" t="s">
        <v>244</v>
      </c>
      <c r="AE248" s="193" t="s">
        <v>245</v>
      </c>
      <c r="AF248" s="146" t="s">
        <v>195</v>
      </c>
      <c r="AG248" s="92" t="s">
        <v>41</v>
      </c>
    </row>
    <row r="249" s="570" customFormat="1" ht="24.95" customHeight="1" spans="1:33">
      <c r="A249" s="705"/>
      <c r="B249" s="92" t="s">
        <v>151</v>
      </c>
      <c r="C249" s="92" t="s">
        <v>52</v>
      </c>
      <c r="D249" s="76" t="s">
        <v>147</v>
      </c>
      <c r="E249" s="92">
        <v>3</v>
      </c>
      <c r="F249" s="92" t="s">
        <v>151</v>
      </c>
      <c r="G249" s="92"/>
      <c r="H249" s="724">
        <v>2310</v>
      </c>
      <c r="I249" s="724">
        <v>770</v>
      </c>
      <c r="J249" s="724">
        <v>770</v>
      </c>
      <c r="K249" s="724">
        <v>770</v>
      </c>
      <c r="L249" s="724">
        <v>2018.01</v>
      </c>
      <c r="M249" s="724">
        <v>2020.12</v>
      </c>
      <c r="N249" s="724">
        <v>46.2</v>
      </c>
      <c r="O249" s="724">
        <v>15.4</v>
      </c>
      <c r="P249" s="724">
        <v>15.4</v>
      </c>
      <c r="Q249" s="724">
        <v>15.4</v>
      </c>
      <c r="R249" s="724">
        <v>0</v>
      </c>
      <c r="S249" s="724">
        <v>46.2</v>
      </c>
      <c r="T249" s="724">
        <v>0</v>
      </c>
      <c r="U249" s="724">
        <v>0</v>
      </c>
      <c r="V249" s="724">
        <v>0</v>
      </c>
      <c r="W249" s="92" t="s">
        <v>240</v>
      </c>
      <c r="X249" s="92" t="s">
        <v>47</v>
      </c>
      <c r="Y249" s="738">
        <v>2310</v>
      </c>
      <c r="Z249" s="738">
        <v>2310</v>
      </c>
      <c r="AA249" s="738">
        <v>3</v>
      </c>
      <c r="AB249" s="92"/>
      <c r="AC249" s="92"/>
      <c r="AD249" s="146" t="s">
        <v>169</v>
      </c>
      <c r="AE249" s="146" t="s">
        <v>246</v>
      </c>
      <c r="AF249" s="146" t="s">
        <v>195</v>
      </c>
      <c r="AG249" s="92"/>
    </row>
    <row r="250" s="570" customFormat="1" ht="24.95" customHeight="1" spans="1:33">
      <c r="A250" s="705"/>
      <c r="B250" s="92" t="s">
        <v>154</v>
      </c>
      <c r="C250" s="92" t="s">
        <v>52</v>
      </c>
      <c r="D250" s="76" t="s">
        <v>147</v>
      </c>
      <c r="E250" s="92">
        <v>3</v>
      </c>
      <c r="F250" s="92" t="s">
        <v>154</v>
      </c>
      <c r="G250" s="92"/>
      <c r="H250" s="724">
        <v>3000</v>
      </c>
      <c r="I250" s="724">
        <v>1000</v>
      </c>
      <c r="J250" s="724">
        <v>1000</v>
      </c>
      <c r="K250" s="724">
        <v>1000</v>
      </c>
      <c r="L250" s="724">
        <v>2018.01</v>
      </c>
      <c r="M250" s="724">
        <v>2020.12</v>
      </c>
      <c r="N250" s="724">
        <v>60</v>
      </c>
      <c r="O250" s="724">
        <v>20</v>
      </c>
      <c r="P250" s="724">
        <v>20</v>
      </c>
      <c r="Q250" s="724">
        <v>20</v>
      </c>
      <c r="R250" s="724">
        <v>0</v>
      </c>
      <c r="S250" s="724">
        <v>60</v>
      </c>
      <c r="T250" s="724">
        <v>0</v>
      </c>
      <c r="U250" s="724">
        <v>0</v>
      </c>
      <c r="V250" s="724">
        <v>0</v>
      </c>
      <c r="W250" s="92" t="s">
        <v>240</v>
      </c>
      <c r="X250" s="92" t="s">
        <v>47</v>
      </c>
      <c r="Y250" s="738">
        <v>2265</v>
      </c>
      <c r="Z250" s="738">
        <v>9000</v>
      </c>
      <c r="AA250" s="738">
        <v>3</v>
      </c>
      <c r="AB250" s="92"/>
      <c r="AC250" s="92"/>
      <c r="AD250" s="146" t="s">
        <v>247</v>
      </c>
      <c r="AE250" s="146" t="s">
        <v>248</v>
      </c>
      <c r="AF250" s="146" t="s">
        <v>195</v>
      </c>
      <c r="AG250" s="92"/>
    </row>
    <row r="251" s="570" customFormat="1" ht="24.95" customHeight="1" spans="1:33">
      <c r="A251" s="705"/>
      <c r="B251" s="92" t="s">
        <v>81</v>
      </c>
      <c r="C251" s="92" t="s">
        <v>52</v>
      </c>
      <c r="D251" s="76" t="s">
        <v>147</v>
      </c>
      <c r="E251" s="92">
        <v>3</v>
      </c>
      <c r="F251" s="92" t="s">
        <v>81</v>
      </c>
      <c r="G251" s="92"/>
      <c r="H251" s="724">
        <v>2550</v>
      </c>
      <c r="I251" s="724">
        <v>850</v>
      </c>
      <c r="J251" s="724">
        <v>850</v>
      </c>
      <c r="K251" s="724">
        <v>850</v>
      </c>
      <c r="L251" s="724">
        <v>2018.01</v>
      </c>
      <c r="M251" s="724">
        <v>2020.12</v>
      </c>
      <c r="N251" s="724">
        <v>51</v>
      </c>
      <c r="O251" s="724">
        <v>17</v>
      </c>
      <c r="P251" s="724">
        <v>17</v>
      </c>
      <c r="Q251" s="724">
        <v>17</v>
      </c>
      <c r="R251" s="724">
        <v>0</v>
      </c>
      <c r="S251" s="724">
        <v>51</v>
      </c>
      <c r="T251" s="724">
        <v>0</v>
      </c>
      <c r="U251" s="724">
        <v>0</v>
      </c>
      <c r="V251" s="724">
        <v>0</v>
      </c>
      <c r="W251" s="92" t="s">
        <v>240</v>
      </c>
      <c r="X251" s="92" t="s">
        <v>47</v>
      </c>
      <c r="Y251" s="738">
        <v>1386</v>
      </c>
      <c r="Z251" s="738">
        <v>7500</v>
      </c>
      <c r="AA251" s="738">
        <v>3</v>
      </c>
      <c r="AB251" s="92"/>
      <c r="AC251" s="92"/>
      <c r="AD251" s="146" t="s">
        <v>249</v>
      </c>
      <c r="AE251" s="146" t="s">
        <v>250</v>
      </c>
      <c r="AF251" s="146" t="s">
        <v>195</v>
      </c>
      <c r="AG251" s="92"/>
    </row>
    <row r="252" s="570" customFormat="1" ht="24.95" customHeight="1" spans="1:33">
      <c r="A252" s="705"/>
      <c r="B252" s="92" t="s">
        <v>98</v>
      </c>
      <c r="C252" s="92" t="s">
        <v>52</v>
      </c>
      <c r="D252" s="76" t="s">
        <v>147</v>
      </c>
      <c r="E252" s="92">
        <v>3</v>
      </c>
      <c r="F252" s="92" t="s">
        <v>98</v>
      </c>
      <c r="G252" s="92"/>
      <c r="H252" s="724">
        <v>4775</v>
      </c>
      <c r="I252" s="724">
        <v>1575</v>
      </c>
      <c r="J252" s="724">
        <v>1600</v>
      </c>
      <c r="K252" s="724">
        <v>1600</v>
      </c>
      <c r="L252" s="724">
        <v>2018.01</v>
      </c>
      <c r="M252" s="724">
        <v>2020.12</v>
      </c>
      <c r="N252" s="724">
        <v>95.5</v>
      </c>
      <c r="O252" s="724">
        <v>31.5</v>
      </c>
      <c r="P252" s="724">
        <v>32</v>
      </c>
      <c r="Q252" s="724">
        <v>32</v>
      </c>
      <c r="R252" s="724">
        <v>0</v>
      </c>
      <c r="S252" s="724">
        <v>95.5</v>
      </c>
      <c r="T252" s="724">
        <v>0</v>
      </c>
      <c r="U252" s="724">
        <v>0</v>
      </c>
      <c r="V252" s="724">
        <v>0</v>
      </c>
      <c r="W252" s="92" t="s">
        <v>240</v>
      </c>
      <c r="X252" s="92" t="s">
        <v>47</v>
      </c>
      <c r="Y252" s="738">
        <v>3288</v>
      </c>
      <c r="Z252" s="738">
        <v>14289</v>
      </c>
      <c r="AA252" s="738">
        <v>3</v>
      </c>
      <c r="AB252" s="92"/>
      <c r="AC252" s="92"/>
      <c r="AD252" s="774" t="s">
        <v>209</v>
      </c>
      <c r="AE252" s="774" t="s">
        <v>251</v>
      </c>
      <c r="AF252" s="146" t="s">
        <v>195</v>
      </c>
      <c r="AG252" s="92"/>
    </row>
    <row r="253" s="570" customFormat="1" ht="24.95" customHeight="1" spans="1:33">
      <c r="A253" s="705"/>
      <c r="B253" s="92" t="s">
        <v>211</v>
      </c>
      <c r="C253" s="92" t="s">
        <v>52</v>
      </c>
      <c r="D253" s="76" t="s">
        <v>147</v>
      </c>
      <c r="E253" s="92">
        <v>3</v>
      </c>
      <c r="F253" s="92" t="s">
        <v>211</v>
      </c>
      <c r="G253" s="92"/>
      <c r="H253" s="724">
        <v>2850</v>
      </c>
      <c r="I253" s="724">
        <v>950</v>
      </c>
      <c r="J253" s="724">
        <v>950</v>
      </c>
      <c r="K253" s="724">
        <v>950</v>
      </c>
      <c r="L253" s="724">
        <v>2018.01</v>
      </c>
      <c r="M253" s="724">
        <v>2020.12</v>
      </c>
      <c r="N253" s="724">
        <v>57</v>
      </c>
      <c r="O253" s="724">
        <v>19</v>
      </c>
      <c r="P253" s="724">
        <v>19</v>
      </c>
      <c r="Q253" s="724">
        <v>19</v>
      </c>
      <c r="R253" s="724">
        <v>0</v>
      </c>
      <c r="S253" s="724">
        <v>57</v>
      </c>
      <c r="T253" s="724">
        <v>0</v>
      </c>
      <c r="U253" s="724">
        <v>0</v>
      </c>
      <c r="V253" s="724">
        <v>0</v>
      </c>
      <c r="W253" s="92" t="s">
        <v>240</v>
      </c>
      <c r="X253" s="92" t="s">
        <v>47</v>
      </c>
      <c r="Y253" s="738">
        <v>2046</v>
      </c>
      <c r="Z253" s="738">
        <v>8550</v>
      </c>
      <c r="AA253" s="738">
        <v>3</v>
      </c>
      <c r="AB253" s="92"/>
      <c r="AC253" s="92"/>
      <c r="AD253" s="146" t="s">
        <v>76</v>
      </c>
      <c r="AE253" s="146" t="s">
        <v>252</v>
      </c>
      <c r="AF253" s="146" t="s">
        <v>195</v>
      </c>
      <c r="AG253" s="92"/>
    </row>
    <row r="254" s="570" customFormat="1" ht="24.95" customHeight="1" spans="1:33">
      <c r="A254" s="705"/>
      <c r="B254" s="92" t="s">
        <v>155</v>
      </c>
      <c r="C254" s="92" t="s">
        <v>52</v>
      </c>
      <c r="D254" s="76" t="s">
        <v>147</v>
      </c>
      <c r="E254" s="92">
        <v>3</v>
      </c>
      <c r="F254" s="92" t="s">
        <v>155</v>
      </c>
      <c r="G254" s="92"/>
      <c r="H254" s="724">
        <v>1950</v>
      </c>
      <c r="I254" s="724">
        <v>650</v>
      </c>
      <c r="J254" s="724">
        <v>650</v>
      </c>
      <c r="K254" s="724">
        <v>650</v>
      </c>
      <c r="L254" s="724">
        <v>2018.01</v>
      </c>
      <c r="M254" s="724">
        <v>2020.12</v>
      </c>
      <c r="N254" s="724">
        <v>39</v>
      </c>
      <c r="O254" s="724">
        <v>13</v>
      </c>
      <c r="P254" s="724">
        <v>13</v>
      </c>
      <c r="Q254" s="724">
        <v>13</v>
      </c>
      <c r="R254" s="724">
        <v>0</v>
      </c>
      <c r="S254" s="724">
        <v>39</v>
      </c>
      <c r="T254" s="724">
        <v>0</v>
      </c>
      <c r="U254" s="724">
        <v>0</v>
      </c>
      <c r="V254" s="724">
        <v>0</v>
      </c>
      <c r="W254" s="92" t="s">
        <v>240</v>
      </c>
      <c r="X254" s="92" t="s">
        <v>47</v>
      </c>
      <c r="Y254" s="738">
        <v>513</v>
      </c>
      <c r="Z254" s="738">
        <v>762</v>
      </c>
      <c r="AA254" s="738">
        <v>3</v>
      </c>
      <c r="AB254" s="92"/>
      <c r="AC254" s="92"/>
      <c r="AD254" s="146" t="s">
        <v>253</v>
      </c>
      <c r="AE254" s="146" t="s">
        <v>254</v>
      </c>
      <c r="AF254" s="146" t="s">
        <v>195</v>
      </c>
      <c r="AG254" s="92"/>
    </row>
    <row r="255" s="570" customFormat="1" ht="24.95" customHeight="1" spans="1:33">
      <c r="A255" s="705"/>
      <c r="B255" s="92" t="s">
        <v>102</v>
      </c>
      <c r="C255" s="92" t="s">
        <v>52</v>
      </c>
      <c r="D255" s="76" t="s">
        <v>147</v>
      </c>
      <c r="E255" s="92">
        <v>3</v>
      </c>
      <c r="F255" s="92" t="s">
        <v>102</v>
      </c>
      <c r="G255" s="92"/>
      <c r="H255" s="724">
        <v>5400</v>
      </c>
      <c r="I255" s="724">
        <v>1800</v>
      </c>
      <c r="J255" s="724">
        <v>1800</v>
      </c>
      <c r="K255" s="724">
        <v>1800</v>
      </c>
      <c r="L255" s="724">
        <v>2018.01</v>
      </c>
      <c r="M255" s="724">
        <v>2020.12</v>
      </c>
      <c r="N255" s="724">
        <v>108</v>
      </c>
      <c r="O255" s="724">
        <v>36</v>
      </c>
      <c r="P255" s="724">
        <v>36</v>
      </c>
      <c r="Q255" s="724">
        <v>36</v>
      </c>
      <c r="R255" s="724">
        <v>0</v>
      </c>
      <c r="S255" s="724">
        <v>108</v>
      </c>
      <c r="T255" s="724">
        <v>0</v>
      </c>
      <c r="U255" s="724">
        <v>0</v>
      </c>
      <c r="V255" s="724">
        <v>0</v>
      </c>
      <c r="W255" s="92" t="s">
        <v>240</v>
      </c>
      <c r="X255" s="92" t="s">
        <v>47</v>
      </c>
      <c r="Y255" s="738">
        <v>5400</v>
      </c>
      <c r="Z255" s="738">
        <v>5400</v>
      </c>
      <c r="AA255" s="738">
        <v>3</v>
      </c>
      <c r="AB255" s="92"/>
      <c r="AC255" s="92"/>
      <c r="AD255" s="146" t="s">
        <v>255</v>
      </c>
      <c r="AE255" s="146" t="s">
        <v>256</v>
      </c>
      <c r="AF255" s="146" t="s">
        <v>195</v>
      </c>
      <c r="AG255" s="92"/>
    </row>
    <row r="256" s="570" customFormat="1" ht="24.95" customHeight="1" spans="1:33">
      <c r="A256" s="705"/>
      <c r="B256" s="92" t="s">
        <v>100</v>
      </c>
      <c r="C256" s="92" t="s">
        <v>52</v>
      </c>
      <c r="D256" s="76" t="s">
        <v>147</v>
      </c>
      <c r="E256" s="92">
        <v>3</v>
      </c>
      <c r="F256" s="92" t="s">
        <v>100</v>
      </c>
      <c r="G256" s="92"/>
      <c r="H256" s="724">
        <v>1041</v>
      </c>
      <c r="I256" s="724">
        <v>347</v>
      </c>
      <c r="J256" s="724">
        <v>347</v>
      </c>
      <c r="K256" s="724">
        <v>347</v>
      </c>
      <c r="L256" s="724">
        <v>2018.01</v>
      </c>
      <c r="M256" s="724">
        <v>2020.12</v>
      </c>
      <c r="N256" s="724">
        <v>20.82</v>
      </c>
      <c r="O256" s="724">
        <v>6.94</v>
      </c>
      <c r="P256" s="724">
        <v>6.94</v>
      </c>
      <c r="Q256" s="724">
        <v>6.94</v>
      </c>
      <c r="R256" s="724">
        <v>0</v>
      </c>
      <c r="S256" s="724">
        <v>20.82</v>
      </c>
      <c r="T256" s="724">
        <v>0</v>
      </c>
      <c r="U256" s="724">
        <v>0</v>
      </c>
      <c r="V256" s="724">
        <v>0</v>
      </c>
      <c r="W256" s="92" t="s">
        <v>240</v>
      </c>
      <c r="X256" s="92" t="s">
        <v>47</v>
      </c>
      <c r="Y256" s="738">
        <v>903</v>
      </c>
      <c r="Z256" s="738">
        <v>1041</v>
      </c>
      <c r="AA256" s="738">
        <v>3</v>
      </c>
      <c r="AB256" s="92"/>
      <c r="AC256" s="92"/>
      <c r="AD256" s="146" t="s">
        <v>79</v>
      </c>
      <c r="AE256" s="146" t="s">
        <v>257</v>
      </c>
      <c r="AF256" s="146" t="s">
        <v>195</v>
      </c>
      <c r="AG256" s="92"/>
    </row>
    <row r="257" s="570" customFormat="1" ht="24.95" customHeight="1" spans="1:33">
      <c r="A257" s="705"/>
      <c r="B257" s="92" t="s">
        <v>84</v>
      </c>
      <c r="C257" s="92" t="s">
        <v>52</v>
      </c>
      <c r="D257" s="76" t="s">
        <v>147</v>
      </c>
      <c r="E257" s="92">
        <v>3</v>
      </c>
      <c r="F257" s="92" t="s">
        <v>84</v>
      </c>
      <c r="G257" s="92"/>
      <c r="H257" s="724">
        <v>1950</v>
      </c>
      <c r="I257" s="724">
        <v>650</v>
      </c>
      <c r="J257" s="724">
        <v>650</v>
      </c>
      <c r="K257" s="724">
        <v>650</v>
      </c>
      <c r="L257" s="724">
        <v>2018.01</v>
      </c>
      <c r="M257" s="724">
        <v>2020.12</v>
      </c>
      <c r="N257" s="724">
        <v>39</v>
      </c>
      <c r="O257" s="724">
        <v>13</v>
      </c>
      <c r="P257" s="724">
        <v>13</v>
      </c>
      <c r="Q257" s="724">
        <v>13</v>
      </c>
      <c r="R257" s="724">
        <v>0</v>
      </c>
      <c r="S257" s="724">
        <v>39</v>
      </c>
      <c r="T257" s="724">
        <v>0</v>
      </c>
      <c r="U257" s="724">
        <v>0</v>
      </c>
      <c r="V257" s="724">
        <v>0</v>
      </c>
      <c r="W257" s="92" t="s">
        <v>240</v>
      </c>
      <c r="X257" s="92" t="s">
        <v>47</v>
      </c>
      <c r="Y257" s="738">
        <v>972</v>
      </c>
      <c r="Z257" s="738">
        <v>1293</v>
      </c>
      <c r="AA257" s="738">
        <v>3</v>
      </c>
      <c r="AB257" s="92"/>
      <c r="AC257" s="92"/>
      <c r="AD257" s="146" t="s">
        <v>185</v>
      </c>
      <c r="AE257" s="146" t="s">
        <v>258</v>
      </c>
      <c r="AF257" s="146" t="s">
        <v>195</v>
      </c>
      <c r="AG257" s="92"/>
    </row>
    <row r="258" s="570" customFormat="1" ht="24.95" customHeight="1" spans="1:33">
      <c r="A258" s="705"/>
      <c r="B258" s="92" t="s">
        <v>259</v>
      </c>
      <c r="C258" s="92" t="s">
        <v>52</v>
      </c>
      <c r="D258" s="76" t="s">
        <v>147</v>
      </c>
      <c r="E258" s="92">
        <v>3</v>
      </c>
      <c r="F258" s="92" t="s">
        <v>259</v>
      </c>
      <c r="G258" s="92"/>
      <c r="H258" s="724">
        <v>159</v>
      </c>
      <c r="I258" s="724">
        <v>53</v>
      </c>
      <c r="J258" s="724">
        <v>53</v>
      </c>
      <c r="K258" s="724">
        <v>53</v>
      </c>
      <c r="L258" s="724">
        <v>2018.01</v>
      </c>
      <c r="M258" s="724">
        <v>2020.12</v>
      </c>
      <c r="N258" s="724">
        <v>3.18</v>
      </c>
      <c r="O258" s="724">
        <v>1.06</v>
      </c>
      <c r="P258" s="724">
        <v>1.06</v>
      </c>
      <c r="Q258" s="724">
        <v>1.06</v>
      </c>
      <c r="R258" s="724">
        <v>0</v>
      </c>
      <c r="S258" s="724">
        <v>3.18</v>
      </c>
      <c r="T258" s="724">
        <v>0</v>
      </c>
      <c r="U258" s="724">
        <v>0</v>
      </c>
      <c r="V258" s="724">
        <v>0</v>
      </c>
      <c r="W258" s="92" t="s">
        <v>240</v>
      </c>
      <c r="X258" s="92" t="s">
        <v>47</v>
      </c>
      <c r="Y258" s="738">
        <v>114</v>
      </c>
      <c r="Z258" s="738">
        <v>159</v>
      </c>
      <c r="AA258" s="738">
        <v>3</v>
      </c>
      <c r="AB258" s="92"/>
      <c r="AC258" s="92"/>
      <c r="AD258" s="146" t="s">
        <v>260</v>
      </c>
      <c r="AE258" s="146" t="s">
        <v>261</v>
      </c>
      <c r="AF258" s="146" t="s">
        <v>195</v>
      </c>
      <c r="AG258" s="92"/>
    </row>
    <row r="259" s="570" customFormat="1" ht="24.95" customHeight="1" spans="1:33">
      <c r="A259" s="705"/>
      <c r="B259" s="92" t="s">
        <v>143</v>
      </c>
      <c r="C259" s="92" t="s">
        <v>52</v>
      </c>
      <c r="D259" s="76" t="s">
        <v>147</v>
      </c>
      <c r="E259" s="92">
        <v>3</v>
      </c>
      <c r="F259" s="92" t="s">
        <v>143</v>
      </c>
      <c r="G259" s="92"/>
      <c r="H259" s="724">
        <v>1826</v>
      </c>
      <c r="I259" s="724">
        <v>426</v>
      </c>
      <c r="J259" s="724">
        <v>700</v>
      </c>
      <c r="K259" s="724">
        <v>700</v>
      </c>
      <c r="L259" s="724">
        <v>2018.01</v>
      </c>
      <c r="M259" s="724">
        <v>2020.12</v>
      </c>
      <c r="N259" s="724">
        <v>36.52</v>
      </c>
      <c r="O259" s="724">
        <v>8.52</v>
      </c>
      <c r="P259" s="724">
        <v>14</v>
      </c>
      <c r="Q259" s="724">
        <v>14</v>
      </c>
      <c r="R259" s="724">
        <v>0</v>
      </c>
      <c r="S259" s="724">
        <v>36.52</v>
      </c>
      <c r="T259" s="724">
        <v>0</v>
      </c>
      <c r="U259" s="724">
        <v>0</v>
      </c>
      <c r="V259" s="724">
        <v>0</v>
      </c>
      <c r="W259" s="92" t="s">
        <v>240</v>
      </c>
      <c r="X259" s="92" t="s">
        <v>47</v>
      </c>
      <c r="Y259" s="738">
        <v>612</v>
      </c>
      <c r="Z259" s="738">
        <v>2556</v>
      </c>
      <c r="AA259" s="738">
        <v>3</v>
      </c>
      <c r="AB259" s="92"/>
      <c r="AC259" s="92"/>
      <c r="AD259" s="775" t="s">
        <v>262</v>
      </c>
      <c r="AE259" s="775" t="s">
        <v>263</v>
      </c>
      <c r="AF259" s="146" t="s">
        <v>195</v>
      </c>
      <c r="AG259" s="92"/>
    </row>
    <row r="260" s="570" customFormat="1" ht="24.95" customHeight="1" spans="1:33">
      <c r="A260" s="705"/>
      <c r="B260" s="770" t="s">
        <v>265</v>
      </c>
      <c r="C260" s="770"/>
      <c r="D260" s="771" t="s">
        <v>147</v>
      </c>
      <c r="E260" s="92">
        <v>36</v>
      </c>
      <c r="F260" s="92">
        <v>0</v>
      </c>
      <c r="G260" s="92"/>
      <c r="H260" s="724">
        <v>42274</v>
      </c>
      <c r="I260" s="724">
        <v>14560</v>
      </c>
      <c r="J260" s="724">
        <v>13857</v>
      </c>
      <c r="K260" s="724">
        <v>13857</v>
      </c>
      <c r="L260" s="724">
        <v>0</v>
      </c>
      <c r="M260" s="724">
        <v>0</v>
      </c>
      <c r="N260" s="724">
        <v>1268.22</v>
      </c>
      <c r="O260" s="724">
        <v>436.8</v>
      </c>
      <c r="P260" s="724">
        <v>415.71</v>
      </c>
      <c r="Q260" s="724">
        <v>415.71</v>
      </c>
      <c r="R260" s="724">
        <v>0</v>
      </c>
      <c r="S260" s="724">
        <v>1268.22</v>
      </c>
      <c r="T260" s="724">
        <v>0</v>
      </c>
      <c r="U260" s="724">
        <v>0</v>
      </c>
      <c r="V260" s="724">
        <v>0</v>
      </c>
      <c r="W260" s="92" t="s">
        <v>240</v>
      </c>
      <c r="X260" s="92" t="s">
        <v>47</v>
      </c>
      <c r="Y260" s="738">
        <v>29493</v>
      </c>
      <c r="Z260" s="738">
        <v>89193</v>
      </c>
      <c r="AA260" s="738">
        <v>36</v>
      </c>
      <c r="AB260" s="770"/>
      <c r="AC260" s="770"/>
      <c r="AD260" s="772" t="s">
        <v>242</v>
      </c>
      <c r="AE260" s="772" t="s">
        <v>243</v>
      </c>
      <c r="AF260" s="773" t="s">
        <v>195</v>
      </c>
      <c r="AG260" s="92"/>
    </row>
    <row r="261" s="570" customFormat="1" ht="24.95" customHeight="1" spans="1:33">
      <c r="A261" s="705" t="s">
        <v>48</v>
      </c>
      <c r="B261" s="92" t="s">
        <v>101</v>
      </c>
      <c r="C261" s="92" t="s">
        <v>52</v>
      </c>
      <c r="D261" s="76" t="s">
        <v>147</v>
      </c>
      <c r="E261" s="92">
        <v>3</v>
      </c>
      <c r="F261" s="92" t="s">
        <v>101</v>
      </c>
      <c r="G261" s="92"/>
      <c r="H261" s="724">
        <v>3000</v>
      </c>
      <c r="I261" s="724">
        <v>1000</v>
      </c>
      <c r="J261" s="724">
        <v>1000</v>
      </c>
      <c r="K261" s="724">
        <v>1000</v>
      </c>
      <c r="L261" s="724">
        <v>2018.01</v>
      </c>
      <c r="M261" s="724">
        <v>2020.12</v>
      </c>
      <c r="N261" s="724">
        <v>90</v>
      </c>
      <c r="O261" s="724">
        <v>30</v>
      </c>
      <c r="P261" s="724">
        <v>30</v>
      </c>
      <c r="Q261" s="724">
        <v>30</v>
      </c>
      <c r="R261" s="724">
        <v>0</v>
      </c>
      <c r="S261" s="724">
        <v>90</v>
      </c>
      <c r="T261" s="724">
        <v>0</v>
      </c>
      <c r="U261" s="724">
        <v>0</v>
      </c>
      <c r="V261" s="724">
        <v>0</v>
      </c>
      <c r="W261" s="92" t="s">
        <v>240</v>
      </c>
      <c r="X261" s="92" t="s">
        <v>47</v>
      </c>
      <c r="Y261" s="738">
        <v>2223</v>
      </c>
      <c r="Z261" s="738">
        <v>8484</v>
      </c>
      <c r="AA261" s="738">
        <v>3</v>
      </c>
      <c r="AB261" s="92"/>
      <c r="AC261" s="92"/>
      <c r="AD261" s="146" t="s">
        <v>244</v>
      </c>
      <c r="AE261" s="193" t="s">
        <v>245</v>
      </c>
      <c r="AF261" s="146" t="s">
        <v>195</v>
      </c>
      <c r="AG261" s="92"/>
    </row>
    <row r="262" s="570" customFormat="1" ht="24.95" customHeight="1" spans="1:33">
      <c r="A262" s="705">
        <v>30</v>
      </c>
      <c r="B262" s="92" t="s">
        <v>151</v>
      </c>
      <c r="C262" s="92" t="s">
        <v>52</v>
      </c>
      <c r="D262" s="76" t="s">
        <v>147</v>
      </c>
      <c r="E262" s="92">
        <v>3</v>
      </c>
      <c r="F262" s="92" t="s">
        <v>151</v>
      </c>
      <c r="G262" s="92"/>
      <c r="H262" s="724">
        <v>1440</v>
      </c>
      <c r="I262" s="724">
        <v>480</v>
      </c>
      <c r="J262" s="724">
        <v>480</v>
      </c>
      <c r="K262" s="724">
        <v>480</v>
      </c>
      <c r="L262" s="724">
        <v>2018.01</v>
      </c>
      <c r="M262" s="724">
        <v>2020.12</v>
      </c>
      <c r="N262" s="724">
        <v>43.2</v>
      </c>
      <c r="O262" s="724">
        <v>14.4</v>
      </c>
      <c r="P262" s="724">
        <v>14.4</v>
      </c>
      <c r="Q262" s="724">
        <v>14.4</v>
      </c>
      <c r="R262" s="724">
        <v>0</v>
      </c>
      <c r="S262" s="724">
        <v>43.2</v>
      </c>
      <c r="T262" s="724">
        <v>0</v>
      </c>
      <c r="U262" s="724">
        <v>0</v>
      </c>
      <c r="V262" s="724">
        <v>0</v>
      </c>
      <c r="W262" s="92" t="s">
        <v>240</v>
      </c>
      <c r="X262" s="92" t="s">
        <v>47</v>
      </c>
      <c r="Y262" s="738">
        <v>1440</v>
      </c>
      <c r="Z262" s="738">
        <v>6480</v>
      </c>
      <c r="AA262" s="738">
        <v>3</v>
      </c>
      <c r="AB262" s="92"/>
      <c r="AC262" s="92"/>
      <c r="AD262" s="146" t="s">
        <v>169</v>
      </c>
      <c r="AE262" s="146" t="s">
        <v>246</v>
      </c>
      <c r="AF262" s="146" t="s">
        <v>195</v>
      </c>
      <c r="AG262" s="92" t="s">
        <v>41</v>
      </c>
    </row>
    <row r="263" s="570" customFormat="1" ht="24.95" customHeight="1" spans="1:33">
      <c r="A263" s="705"/>
      <c r="B263" s="92" t="s">
        <v>154</v>
      </c>
      <c r="C263" s="92" t="s">
        <v>52</v>
      </c>
      <c r="D263" s="76" t="s">
        <v>147</v>
      </c>
      <c r="E263" s="92">
        <v>3</v>
      </c>
      <c r="F263" s="92" t="s">
        <v>154</v>
      </c>
      <c r="G263" s="92"/>
      <c r="H263" s="724">
        <v>3000</v>
      </c>
      <c r="I263" s="724">
        <v>1000</v>
      </c>
      <c r="J263" s="724">
        <v>1000</v>
      </c>
      <c r="K263" s="724">
        <v>1000</v>
      </c>
      <c r="L263" s="724">
        <v>2018.01</v>
      </c>
      <c r="M263" s="724">
        <v>2020.12</v>
      </c>
      <c r="N263" s="724">
        <v>90</v>
      </c>
      <c r="O263" s="724">
        <v>30</v>
      </c>
      <c r="P263" s="724">
        <v>30</v>
      </c>
      <c r="Q263" s="724">
        <v>30</v>
      </c>
      <c r="R263" s="724">
        <v>0</v>
      </c>
      <c r="S263" s="724">
        <v>90</v>
      </c>
      <c r="T263" s="724">
        <v>0</v>
      </c>
      <c r="U263" s="724">
        <v>0</v>
      </c>
      <c r="V263" s="724">
        <v>0</v>
      </c>
      <c r="W263" s="92" t="s">
        <v>240</v>
      </c>
      <c r="X263" s="92" t="s">
        <v>47</v>
      </c>
      <c r="Y263" s="738">
        <v>2580</v>
      </c>
      <c r="Z263" s="738">
        <v>9000</v>
      </c>
      <c r="AA263" s="738">
        <v>3</v>
      </c>
      <c r="AB263" s="92"/>
      <c r="AC263" s="92"/>
      <c r="AD263" s="146" t="s">
        <v>247</v>
      </c>
      <c r="AE263" s="146" t="s">
        <v>248</v>
      </c>
      <c r="AF263" s="146" t="s">
        <v>195</v>
      </c>
      <c r="AG263" s="92"/>
    </row>
    <row r="264" s="570" customFormat="1" ht="24.95" customHeight="1" spans="1:33">
      <c r="A264" s="705"/>
      <c r="B264" s="92" t="s">
        <v>81</v>
      </c>
      <c r="C264" s="92" t="s">
        <v>52</v>
      </c>
      <c r="D264" s="76" t="s">
        <v>147</v>
      </c>
      <c r="E264" s="92">
        <v>3</v>
      </c>
      <c r="F264" s="92" t="s">
        <v>81</v>
      </c>
      <c r="G264" s="92"/>
      <c r="H264" s="724">
        <v>3000</v>
      </c>
      <c r="I264" s="724">
        <v>1000</v>
      </c>
      <c r="J264" s="724">
        <v>1000</v>
      </c>
      <c r="K264" s="724">
        <v>1000</v>
      </c>
      <c r="L264" s="724">
        <v>2018.01</v>
      </c>
      <c r="M264" s="724">
        <v>2020.12</v>
      </c>
      <c r="N264" s="724">
        <v>90</v>
      </c>
      <c r="O264" s="724">
        <v>30</v>
      </c>
      <c r="P264" s="724">
        <v>30</v>
      </c>
      <c r="Q264" s="724">
        <v>30</v>
      </c>
      <c r="R264" s="724">
        <v>0</v>
      </c>
      <c r="S264" s="724">
        <v>90</v>
      </c>
      <c r="T264" s="724">
        <v>0</v>
      </c>
      <c r="U264" s="724">
        <v>0</v>
      </c>
      <c r="V264" s="724">
        <v>0</v>
      </c>
      <c r="W264" s="92" t="s">
        <v>240</v>
      </c>
      <c r="X264" s="92" t="s">
        <v>47</v>
      </c>
      <c r="Y264" s="738">
        <v>2100</v>
      </c>
      <c r="Z264" s="738">
        <v>9750</v>
      </c>
      <c r="AA264" s="738">
        <v>3</v>
      </c>
      <c r="AB264" s="92"/>
      <c r="AC264" s="92"/>
      <c r="AD264" s="146" t="s">
        <v>249</v>
      </c>
      <c r="AE264" s="146" t="s">
        <v>250</v>
      </c>
      <c r="AF264" s="146" t="s">
        <v>195</v>
      </c>
      <c r="AG264" s="92"/>
    </row>
    <row r="265" s="570" customFormat="1" ht="24.95" customHeight="1" spans="1:33">
      <c r="A265" s="705"/>
      <c r="B265" s="92" t="s">
        <v>98</v>
      </c>
      <c r="C265" s="92" t="s">
        <v>52</v>
      </c>
      <c r="D265" s="76" t="s">
        <v>147</v>
      </c>
      <c r="E265" s="92">
        <v>3</v>
      </c>
      <c r="F265" s="92" t="s">
        <v>98</v>
      </c>
      <c r="G265" s="92"/>
      <c r="H265" s="724">
        <v>4943</v>
      </c>
      <c r="I265" s="724">
        <v>1743</v>
      </c>
      <c r="J265" s="724">
        <v>1600</v>
      </c>
      <c r="K265" s="724">
        <v>1600</v>
      </c>
      <c r="L265" s="724">
        <v>2018.01</v>
      </c>
      <c r="M265" s="724">
        <v>2020.12</v>
      </c>
      <c r="N265" s="724">
        <v>148.29</v>
      </c>
      <c r="O265" s="724">
        <v>52.29</v>
      </c>
      <c r="P265" s="724">
        <v>48</v>
      </c>
      <c r="Q265" s="724">
        <v>48</v>
      </c>
      <c r="R265" s="724">
        <v>0</v>
      </c>
      <c r="S265" s="724">
        <v>148.29</v>
      </c>
      <c r="T265" s="724">
        <v>0</v>
      </c>
      <c r="U265" s="724">
        <v>0</v>
      </c>
      <c r="V265" s="724">
        <v>0</v>
      </c>
      <c r="W265" s="92" t="s">
        <v>240</v>
      </c>
      <c r="X265" s="92" t="s">
        <v>47</v>
      </c>
      <c r="Y265" s="738">
        <v>3459</v>
      </c>
      <c r="Z265" s="738">
        <v>15312</v>
      </c>
      <c r="AA265" s="738">
        <v>3</v>
      </c>
      <c r="AB265" s="92"/>
      <c r="AC265" s="92"/>
      <c r="AD265" s="774" t="s">
        <v>209</v>
      </c>
      <c r="AE265" s="774" t="s">
        <v>251</v>
      </c>
      <c r="AF265" s="146" t="s">
        <v>195</v>
      </c>
      <c r="AG265" s="92"/>
    </row>
    <row r="266" s="570" customFormat="1" ht="24.95" customHeight="1" spans="1:33">
      <c r="A266" s="705"/>
      <c r="B266" s="92" t="s">
        <v>211</v>
      </c>
      <c r="C266" s="92" t="s">
        <v>52</v>
      </c>
      <c r="D266" s="76" t="s">
        <v>147</v>
      </c>
      <c r="E266" s="92">
        <v>3</v>
      </c>
      <c r="F266" s="92" t="s">
        <v>211</v>
      </c>
      <c r="G266" s="92"/>
      <c r="H266" s="724">
        <v>3000</v>
      </c>
      <c r="I266" s="724">
        <v>1000</v>
      </c>
      <c r="J266" s="724">
        <v>1000</v>
      </c>
      <c r="K266" s="724">
        <v>1000</v>
      </c>
      <c r="L266" s="724">
        <v>2018.01</v>
      </c>
      <c r="M266" s="724">
        <v>2020.12</v>
      </c>
      <c r="N266" s="724">
        <v>90</v>
      </c>
      <c r="O266" s="724">
        <v>30</v>
      </c>
      <c r="P266" s="724">
        <v>30</v>
      </c>
      <c r="Q266" s="724">
        <v>30</v>
      </c>
      <c r="R266" s="724">
        <v>0</v>
      </c>
      <c r="S266" s="724">
        <v>90</v>
      </c>
      <c r="T266" s="724">
        <v>0</v>
      </c>
      <c r="U266" s="724">
        <v>0</v>
      </c>
      <c r="V266" s="724">
        <v>0</v>
      </c>
      <c r="W266" s="92" t="s">
        <v>240</v>
      </c>
      <c r="X266" s="92" t="s">
        <v>47</v>
      </c>
      <c r="Y266" s="738">
        <v>2559</v>
      </c>
      <c r="Z266" s="738">
        <v>10050</v>
      </c>
      <c r="AA266" s="738">
        <v>3</v>
      </c>
      <c r="AB266" s="92"/>
      <c r="AC266" s="92"/>
      <c r="AD266" s="146" t="s">
        <v>76</v>
      </c>
      <c r="AE266" s="146" t="s">
        <v>252</v>
      </c>
      <c r="AF266" s="146" t="s">
        <v>195</v>
      </c>
      <c r="AG266" s="92"/>
    </row>
    <row r="267" s="570" customFormat="1" ht="24.95" customHeight="1" spans="1:33">
      <c r="A267" s="705"/>
      <c r="B267" s="92" t="s">
        <v>155</v>
      </c>
      <c r="C267" s="92" t="s">
        <v>52</v>
      </c>
      <c r="D267" s="76" t="s">
        <v>147</v>
      </c>
      <c r="E267" s="92">
        <v>3</v>
      </c>
      <c r="F267" s="92" t="s">
        <v>155</v>
      </c>
      <c r="G267" s="92"/>
      <c r="H267" s="724">
        <v>1800</v>
      </c>
      <c r="I267" s="724">
        <v>600</v>
      </c>
      <c r="J267" s="724">
        <v>600</v>
      </c>
      <c r="K267" s="724">
        <v>600</v>
      </c>
      <c r="L267" s="724">
        <v>2018.01</v>
      </c>
      <c r="M267" s="724">
        <v>2020.12</v>
      </c>
      <c r="N267" s="724">
        <v>54</v>
      </c>
      <c r="O267" s="724">
        <v>18</v>
      </c>
      <c r="P267" s="724">
        <v>18</v>
      </c>
      <c r="Q267" s="724">
        <v>18</v>
      </c>
      <c r="R267" s="724">
        <v>0</v>
      </c>
      <c r="S267" s="724">
        <v>54</v>
      </c>
      <c r="T267" s="724">
        <v>0</v>
      </c>
      <c r="U267" s="724">
        <v>0</v>
      </c>
      <c r="V267" s="724">
        <v>0</v>
      </c>
      <c r="W267" s="92" t="s">
        <v>240</v>
      </c>
      <c r="X267" s="92" t="s">
        <v>47</v>
      </c>
      <c r="Y267" s="738">
        <v>957</v>
      </c>
      <c r="Z267" s="738">
        <v>1686</v>
      </c>
      <c r="AA267" s="738">
        <v>3</v>
      </c>
      <c r="AB267" s="92"/>
      <c r="AC267" s="92"/>
      <c r="AD267" s="146" t="s">
        <v>253</v>
      </c>
      <c r="AE267" s="146" t="s">
        <v>254</v>
      </c>
      <c r="AF267" s="146" t="s">
        <v>195</v>
      </c>
      <c r="AG267" s="92"/>
    </row>
    <row r="268" s="570" customFormat="1" ht="24.95" customHeight="1" spans="1:33">
      <c r="A268" s="705"/>
      <c r="B268" s="92" t="s">
        <v>102</v>
      </c>
      <c r="C268" s="92" t="s">
        <v>52</v>
      </c>
      <c r="D268" s="76" t="s">
        <v>147</v>
      </c>
      <c r="E268" s="92">
        <v>3</v>
      </c>
      <c r="F268" s="92" t="s">
        <v>102</v>
      </c>
      <c r="G268" s="92"/>
      <c r="H268" s="724">
        <v>5400</v>
      </c>
      <c r="I268" s="724">
        <v>1800</v>
      </c>
      <c r="J268" s="724">
        <v>1800</v>
      </c>
      <c r="K268" s="724">
        <v>1800</v>
      </c>
      <c r="L268" s="724">
        <v>2018.01</v>
      </c>
      <c r="M268" s="724">
        <v>2020.12</v>
      </c>
      <c r="N268" s="724">
        <v>162</v>
      </c>
      <c r="O268" s="724">
        <v>54</v>
      </c>
      <c r="P268" s="724">
        <v>54</v>
      </c>
      <c r="Q268" s="724">
        <v>54</v>
      </c>
      <c r="R268" s="724">
        <v>0</v>
      </c>
      <c r="S268" s="724">
        <v>162</v>
      </c>
      <c r="T268" s="724">
        <v>0</v>
      </c>
      <c r="U268" s="724">
        <v>0</v>
      </c>
      <c r="V268" s="724">
        <v>0</v>
      </c>
      <c r="W268" s="92" t="s">
        <v>240</v>
      </c>
      <c r="X268" s="92" t="s">
        <v>47</v>
      </c>
      <c r="Y268" s="738">
        <v>5400</v>
      </c>
      <c r="Z268" s="738">
        <v>5400</v>
      </c>
      <c r="AA268" s="738">
        <v>3</v>
      </c>
      <c r="AB268" s="92"/>
      <c r="AC268" s="92"/>
      <c r="AD268" s="146" t="s">
        <v>255</v>
      </c>
      <c r="AE268" s="146" t="s">
        <v>256</v>
      </c>
      <c r="AF268" s="146" t="s">
        <v>195</v>
      </c>
      <c r="AG268" s="92"/>
    </row>
    <row r="269" s="570" customFormat="1" ht="24.95" customHeight="1" spans="1:33">
      <c r="A269" s="705"/>
      <c r="B269" s="92" t="s">
        <v>100</v>
      </c>
      <c r="C269" s="92" t="s">
        <v>52</v>
      </c>
      <c r="D269" s="76" t="s">
        <v>147</v>
      </c>
      <c r="E269" s="92">
        <v>3</v>
      </c>
      <c r="F269" s="92" t="s">
        <v>100</v>
      </c>
      <c r="G269" s="92"/>
      <c r="H269" s="724">
        <v>7752</v>
      </c>
      <c r="I269" s="724">
        <v>2584</v>
      </c>
      <c r="J269" s="724">
        <v>2584</v>
      </c>
      <c r="K269" s="724">
        <v>2584</v>
      </c>
      <c r="L269" s="724">
        <v>2018.01</v>
      </c>
      <c r="M269" s="724">
        <v>2020.12</v>
      </c>
      <c r="N269" s="724">
        <v>232.56</v>
      </c>
      <c r="O269" s="724">
        <v>77.52</v>
      </c>
      <c r="P269" s="724">
        <v>77.52</v>
      </c>
      <c r="Q269" s="724">
        <v>77.52</v>
      </c>
      <c r="R269" s="724">
        <v>0</v>
      </c>
      <c r="S269" s="724">
        <v>232.56</v>
      </c>
      <c r="T269" s="724">
        <v>0</v>
      </c>
      <c r="U269" s="724">
        <v>0</v>
      </c>
      <c r="V269" s="724">
        <v>0</v>
      </c>
      <c r="W269" s="92" t="s">
        <v>240</v>
      </c>
      <c r="X269" s="92" t="s">
        <v>47</v>
      </c>
      <c r="Y269" s="738">
        <v>3585</v>
      </c>
      <c r="Z269" s="738">
        <v>7752</v>
      </c>
      <c r="AA269" s="738">
        <v>3</v>
      </c>
      <c r="AB269" s="92"/>
      <c r="AC269" s="92"/>
      <c r="AD269" s="146" t="s">
        <v>79</v>
      </c>
      <c r="AE269" s="146" t="s">
        <v>257</v>
      </c>
      <c r="AF269" s="146" t="s">
        <v>195</v>
      </c>
      <c r="AG269" s="92"/>
    </row>
    <row r="270" s="570" customFormat="1" ht="24.95" customHeight="1" spans="1:33">
      <c r="A270" s="705"/>
      <c r="B270" s="92" t="s">
        <v>84</v>
      </c>
      <c r="C270" s="92" t="s">
        <v>52</v>
      </c>
      <c r="D270" s="76" t="s">
        <v>147</v>
      </c>
      <c r="E270" s="92">
        <v>3</v>
      </c>
      <c r="F270" s="92" t="s">
        <v>84</v>
      </c>
      <c r="G270" s="92"/>
      <c r="H270" s="724">
        <v>5142</v>
      </c>
      <c r="I270" s="724">
        <v>1714</v>
      </c>
      <c r="J270" s="724">
        <v>1714</v>
      </c>
      <c r="K270" s="724">
        <v>1714</v>
      </c>
      <c r="L270" s="724">
        <v>2018.01</v>
      </c>
      <c r="M270" s="724">
        <v>2020.12</v>
      </c>
      <c r="N270" s="724">
        <v>154.26</v>
      </c>
      <c r="O270" s="724">
        <v>51.42</v>
      </c>
      <c r="P270" s="724">
        <v>51.42</v>
      </c>
      <c r="Q270" s="724">
        <v>51.42</v>
      </c>
      <c r="R270" s="724">
        <v>0</v>
      </c>
      <c r="S270" s="724">
        <v>154.26</v>
      </c>
      <c r="T270" s="724">
        <v>0</v>
      </c>
      <c r="U270" s="724">
        <v>0</v>
      </c>
      <c r="V270" s="724">
        <v>0</v>
      </c>
      <c r="W270" s="92" t="s">
        <v>240</v>
      </c>
      <c r="X270" s="92" t="s">
        <v>47</v>
      </c>
      <c r="Y270" s="738">
        <v>3192</v>
      </c>
      <c r="Z270" s="738">
        <v>5142</v>
      </c>
      <c r="AA270" s="738">
        <v>3</v>
      </c>
      <c r="AB270" s="92"/>
      <c r="AC270" s="92"/>
      <c r="AD270" s="146" t="s">
        <v>185</v>
      </c>
      <c r="AE270" s="146" t="s">
        <v>258</v>
      </c>
      <c r="AF270" s="146" t="s">
        <v>195</v>
      </c>
      <c r="AG270" s="92"/>
    </row>
    <row r="271" s="570" customFormat="1" ht="24.95" customHeight="1" spans="1:33">
      <c r="A271" s="705"/>
      <c r="B271" s="92" t="s">
        <v>259</v>
      </c>
      <c r="C271" s="92" t="s">
        <v>52</v>
      </c>
      <c r="D271" s="76" t="s">
        <v>147</v>
      </c>
      <c r="E271" s="92">
        <v>3</v>
      </c>
      <c r="F271" s="92" t="s">
        <v>259</v>
      </c>
      <c r="G271" s="92"/>
      <c r="H271" s="724">
        <v>1437</v>
      </c>
      <c r="I271" s="724">
        <v>479</v>
      </c>
      <c r="J271" s="724">
        <v>479</v>
      </c>
      <c r="K271" s="724">
        <v>479</v>
      </c>
      <c r="L271" s="724">
        <v>2018.01</v>
      </c>
      <c r="M271" s="724">
        <v>2020.12</v>
      </c>
      <c r="N271" s="724">
        <v>43.11</v>
      </c>
      <c r="O271" s="724">
        <v>14.37</v>
      </c>
      <c r="P271" s="724">
        <v>14.37</v>
      </c>
      <c r="Q271" s="724">
        <v>14.37</v>
      </c>
      <c r="R271" s="724">
        <v>0</v>
      </c>
      <c r="S271" s="724">
        <v>43.11</v>
      </c>
      <c r="T271" s="724">
        <v>0</v>
      </c>
      <c r="U271" s="724">
        <v>0</v>
      </c>
      <c r="V271" s="724">
        <v>0</v>
      </c>
      <c r="W271" s="92" t="s">
        <v>240</v>
      </c>
      <c r="X271" s="92" t="s">
        <v>47</v>
      </c>
      <c r="Y271" s="738">
        <v>834</v>
      </c>
      <c r="Z271" s="738">
        <v>1437</v>
      </c>
      <c r="AA271" s="738">
        <v>3</v>
      </c>
      <c r="AB271" s="92"/>
      <c r="AC271" s="92"/>
      <c r="AD271" s="146" t="s">
        <v>260</v>
      </c>
      <c r="AE271" s="146" t="s">
        <v>261</v>
      </c>
      <c r="AF271" s="146" t="s">
        <v>195</v>
      </c>
      <c r="AG271" s="92"/>
    </row>
    <row r="272" s="570" customFormat="1" ht="24.95" customHeight="1" spans="1:33">
      <c r="A272" s="705"/>
      <c r="B272" s="92" t="s">
        <v>143</v>
      </c>
      <c r="C272" s="92" t="s">
        <v>52</v>
      </c>
      <c r="D272" s="76" t="s">
        <v>147</v>
      </c>
      <c r="E272" s="92">
        <v>3</v>
      </c>
      <c r="F272" s="92" t="s">
        <v>143</v>
      </c>
      <c r="G272" s="92"/>
      <c r="H272" s="724">
        <v>2360</v>
      </c>
      <c r="I272" s="724">
        <v>1160</v>
      </c>
      <c r="J272" s="724">
        <v>600</v>
      </c>
      <c r="K272" s="724">
        <v>600</v>
      </c>
      <c r="L272" s="724">
        <v>2018.01</v>
      </c>
      <c r="M272" s="724">
        <v>2020.12</v>
      </c>
      <c r="N272" s="724">
        <v>70.8</v>
      </c>
      <c r="O272" s="724">
        <v>34.8</v>
      </c>
      <c r="P272" s="724">
        <v>18</v>
      </c>
      <c r="Q272" s="724">
        <v>18</v>
      </c>
      <c r="R272" s="724">
        <v>0</v>
      </c>
      <c r="S272" s="724">
        <v>70.8</v>
      </c>
      <c r="T272" s="724">
        <v>0</v>
      </c>
      <c r="U272" s="724">
        <v>0</v>
      </c>
      <c r="V272" s="724">
        <v>0</v>
      </c>
      <c r="W272" s="92" t="s">
        <v>240</v>
      </c>
      <c r="X272" s="92" t="s">
        <v>47</v>
      </c>
      <c r="Y272" s="738">
        <v>1164</v>
      </c>
      <c r="Z272" s="738">
        <v>8700</v>
      </c>
      <c r="AA272" s="738">
        <v>3</v>
      </c>
      <c r="AB272" s="92"/>
      <c r="AC272" s="92"/>
      <c r="AD272" s="775" t="s">
        <v>262</v>
      </c>
      <c r="AE272" s="775" t="s">
        <v>263</v>
      </c>
      <c r="AF272" s="146" t="s">
        <v>195</v>
      </c>
      <c r="AG272" s="92"/>
    </row>
    <row r="273" s="570" customFormat="1" ht="24.95" customHeight="1" spans="1:33">
      <c r="A273" s="705">
        <v>31</v>
      </c>
      <c r="B273" s="92" t="s">
        <v>266</v>
      </c>
      <c r="C273" s="92"/>
      <c r="D273" s="76" t="s">
        <v>147</v>
      </c>
      <c r="E273" s="92">
        <v>0</v>
      </c>
      <c r="F273" s="92">
        <v>0</v>
      </c>
      <c r="G273" s="92"/>
      <c r="H273" s="724">
        <v>0</v>
      </c>
      <c r="I273" s="724">
        <v>0</v>
      </c>
      <c r="J273" s="724">
        <v>0</v>
      </c>
      <c r="K273" s="724">
        <v>0</v>
      </c>
      <c r="L273" s="724">
        <v>0</v>
      </c>
      <c r="M273" s="724">
        <v>0</v>
      </c>
      <c r="N273" s="724">
        <v>0</v>
      </c>
      <c r="O273" s="724">
        <v>0</v>
      </c>
      <c r="P273" s="724">
        <v>0</v>
      </c>
      <c r="Q273" s="724">
        <v>0</v>
      </c>
      <c r="R273" s="724">
        <v>0</v>
      </c>
      <c r="S273" s="724">
        <v>0</v>
      </c>
      <c r="T273" s="724">
        <v>0</v>
      </c>
      <c r="U273" s="724">
        <v>0</v>
      </c>
      <c r="V273" s="724">
        <v>0</v>
      </c>
      <c r="W273" s="92" t="s">
        <v>240</v>
      </c>
      <c r="X273" s="92" t="s">
        <v>47</v>
      </c>
      <c r="Y273" s="738">
        <v>0</v>
      </c>
      <c r="Z273" s="738">
        <v>0</v>
      </c>
      <c r="AA273" s="738">
        <v>0</v>
      </c>
      <c r="AB273" s="92"/>
      <c r="AC273" s="92"/>
      <c r="AD273" s="92"/>
      <c r="AE273" s="92"/>
      <c r="AF273" s="92" t="s">
        <v>195</v>
      </c>
      <c r="AG273" s="92" t="s">
        <v>41</v>
      </c>
    </row>
    <row r="274" s="570" customFormat="1" ht="24.95" customHeight="1" spans="1:33">
      <c r="A274" s="705" t="s">
        <v>48</v>
      </c>
      <c r="B274" s="92" t="s">
        <v>148</v>
      </c>
      <c r="C274" s="92"/>
      <c r="D274" s="76"/>
      <c r="E274" s="92">
        <v>0</v>
      </c>
      <c r="F274" s="92">
        <v>0</v>
      </c>
      <c r="G274" s="92"/>
      <c r="H274" s="724">
        <v>0</v>
      </c>
      <c r="I274" s="724">
        <v>0</v>
      </c>
      <c r="J274" s="724">
        <v>0</v>
      </c>
      <c r="K274" s="724">
        <v>0</v>
      </c>
      <c r="L274" s="724">
        <v>0</v>
      </c>
      <c r="M274" s="724">
        <v>0</v>
      </c>
      <c r="N274" s="724">
        <v>0</v>
      </c>
      <c r="O274" s="724">
        <v>0</v>
      </c>
      <c r="P274" s="724">
        <v>0</v>
      </c>
      <c r="Q274" s="724">
        <v>0</v>
      </c>
      <c r="R274" s="724">
        <v>0</v>
      </c>
      <c r="S274" s="724">
        <v>0</v>
      </c>
      <c r="T274" s="724">
        <v>0</v>
      </c>
      <c r="U274" s="724">
        <v>0</v>
      </c>
      <c r="V274" s="724">
        <v>0</v>
      </c>
      <c r="W274" s="92" t="s">
        <v>240</v>
      </c>
      <c r="X274" s="92" t="s">
        <v>47</v>
      </c>
      <c r="Y274" s="738">
        <v>0</v>
      </c>
      <c r="Z274" s="738">
        <v>0</v>
      </c>
      <c r="AA274" s="738">
        <v>0</v>
      </c>
      <c r="AB274" s="92"/>
      <c r="AC274" s="92"/>
      <c r="AD274" s="92"/>
      <c r="AE274" s="92"/>
      <c r="AF274" s="92"/>
      <c r="AG274" s="92"/>
    </row>
    <row r="275" s="570" customFormat="1" ht="24.95" customHeight="1" spans="1:33">
      <c r="A275" s="705">
        <v>32</v>
      </c>
      <c r="B275" s="708" t="s">
        <v>267</v>
      </c>
      <c r="C275" s="708"/>
      <c r="D275" s="709" t="s">
        <v>194</v>
      </c>
      <c r="E275" s="92">
        <v>36</v>
      </c>
      <c r="F275" s="92">
        <v>0</v>
      </c>
      <c r="G275" s="92"/>
      <c r="H275" s="724">
        <v>4500</v>
      </c>
      <c r="I275" s="724">
        <v>1500</v>
      </c>
      <c r="J275" s="724">
        <v>1500</v>
      </c>
      <c r="K275" s="724">
        <v>1500</v>
      </c>
      <c r="L275" s="724">
        <v>0</v>
      </c>
      <c r="M275" s="724">
        <v>0</v>
      </c>
      <c r="N275" s="724">
        <v>180</v>
      </c>
      <c r="O275" s="724">
        <v>180</v>
      </c>
      <c r="P275" s="724">
        <v>0</v>
      </c>
      <c r="Q275" s="724">
        <v>0</v>
      </c>
      <c r="R275" s="724">
        <v>0</v>
      </c>
      <c r="S275" s="724">
        <v>0</v>
      </c>
      <c r="T275" s="724">
        <v>0</v>
      </c>
      <c r="U275" s="724">
        <v>180</v>
      </c>
      <c r="V275" s="724">
        <v>0</v>
      </c>
      <c r="W275" s="92" t="s">
        <v>240</v>
      </c>
      <c r="X275" s="92" t="s">
        <v>47</v>
      </c>
      <c r="Y275" s="738">
        <v>4500</v>
      </c>
      <c r="Z275" s="738">
        <v>13486</v>
      </c>
      <c r="AA275" s="738">
        <v>36</v>
      </c>
      <c r="AB275" s="708"/>
      <c r="AC275" s="708"/>
      <c r="AD275" s="193" t="s">
        <v>242</v>
      </c>
      <c r="AE275" s="193" t="s">
        <v>243</v>
      </c>
      <c r="AF275" s="146" t="s">
        <v>195</v>
      </c>
      <c r="AG275" s="708" t="s">
        <v>41</v>
      </c>
    </row>
    <row r="276" s="570" customFormat="1" ht="24.95" customHeight="1" spans="1:33">
      <c r="A276" s="705"/>
      <c r="B276" s="708" t="s">
        <v>101</v>
      </c>
      <c r="C276" s="708" t="s">
        <v>52</v>
      </c>
      <c r="D276" s="709" t="s">
        <v>147</v>
      </c>
      <c r="E276" s="92">
        <v>3</v>
      </c>
      <c r="F276" s="92" t="s">
        <v>101</v>
      </c>
      <c r="G276" s="92"/>
      <c r="H276" s="724">
        <v>480</v>
      </c>
      <c r="I276" s="724">
        <v>160</v>
      </c>
      <c r="J276" s="724">
        <v>160</v>
      </c>
      <c r="K276" s="724">
        <v>160</v>
      </c>
      <c r="L276" s="724">
        <v>2018.01</v>
      </c>
      <c r="M276" s="724">
        <v>2020.12</v>
      </c>
      <c r="N276" s="724">
        <v>19.2</v>
      </c>
      <c r="O276" s="724">
        <v>19.2</v>
      </c>
      <c r="P276" s="724">
        <v>0</v>
      </c>
      <c r="Q276" s="724">
        <v>0</v>
      </c>
      <c r="R276" s="724">
        <v>0</v>
      </c>
      <c r="S276" s="724">
        <v>0</v>
      </c>
      <c r="T276" s="724">
        <v>0</v>
      </c>
      <c r="U276" s="724">
        <v>19.2</v>
      </c>
      <c r="V276" s="724">
        <v>0</v>
      </c>
      <c r="W276" s="92" t="s">
        <v>240</v>
      </c>
      <c r="X276" s="92" t="s">
        <v>47</v>
      </c>
      <c r="Y276" s="738">
        <v>480</v>
      </c>
      <c r="Z276" s="738">
        <v>1008</v>
      </c>
      <c r="AA276" s="738">
        <v>3</v>
      </c>
      <c r="AB276" s="708"/>
      <c r="AC276" s="708"/>
      <c r="AD276" s="438" t="s">
        <v>244</v>
      </c>
      <c r="AE276" s="146" t="s">
        <v>245</v>
      </c>
      <c r="AF276" s="146" t="s">
        <v>195</v>
      </c>
      <c r="AG276" s="708"/>
    </row>
    <row r="277" s="570" customFormat="1" ht="24.95" customHeight="1" spans="1:33">
      <c r="A277" s="705"/>
      <c r="B277" s="708" t="s">
        <v>151</v>
      </c>
      <c r="C277" s="708" t="s">
        <v>52</v>
      </c>
      <c r="D277" s="709" t="s">
        <v>147</v>
      </c>
      <c r="E277" s="92">
        <v>3</v>
      </c>
      <c r="F277" s="92" t="s">
        <v>151</v>
      </c>
      <c r="G277" s="92"/>
      <c r="H277" s="724">
        <v>480</v>
      </c>
      <c r="I277" s="724">
        <v>160</v>
      </c>
      <c r="J277" s="724">
        <v>160</v>
      </c>
      <c r="K277" s="724">
        <v>160</v>
      </c>
      <c r="L277" s="724">
        <v>2018.01</v>
      </c>
      <c r="M277" s="724">
        <v>2020.12</v>
      </c>
      <c r="N277" s="724">
        <v>19.2</v>
      </c>
      <c r="O277" s="724">
        <v>19.2</v>
      </c>
      <c r="P277" s="724">
        <v>0</v>
      </c>
      <c r="Q277" s="724">
        <v>0</v>
      </c>
      <c r="R277" s="724">
        <v>0</v>
      </c>
      <c r="S277" s="724">
        <v>0</v>
      </c>
      <c r="T277" s="724">
        <v>0</v>
      </c>
      <c r="U277" s="724">
        <v>19.2</v>
      </c>
      <c r="V277" s="724">
        <v>0</v>
      </c>
      <c r="W277" s="92" t="s">
        <v>240</v>
      </c>
      <c r="X277" s="92" t="s">
        <v>47</v>
      </c>
      <c r="Y277" s="738">
        <v>480</v>
      </c>
      <c r="Z277" s="738">
        <v>988</v>
      </c>
      <c r="AA277" s="738">
        <v>3</v>
      </c>
      <c r="AB277" s="708"/>
      <c r="AC277" s="708"/>
      <c r="AD277" s="438" t="s">
        <v>169</v>
      </c>
      <c r="AE277" s="146" t="s">
        <v>246</v>
      </c>
      <c r="AF277" s="146" t="s">
        <v>195</v>
      </c>
      <c r="AG277" s="708"/>
    </row>
    <row r="278" s="570" customFormat="1" ht="24.95" customHeight="1" spans="1:33">
      <c r="A278" s="705"/>
      <c r="B278" s="708" t="s">
        <v>154</v>
      </c>
      <c r="C278" s="708" t="s">
        <v>52</v>
      </c>
      <c r="D278" s="709" t="s">
        <v>147</v>
      </c>
      <c r="E278" s="92">
        <v>3</v>
      </c>
      <c r="F278" s="92" t="s">
        <v>154</v>
      </c>
      <c r="G278" s="92"/>
      <c r="H278" s="724">
        <v>450</v>
      </c>
      <c r="I278" s="724">
        <v>150</v>
      </c>
      <c r="J278" s="724">
        <v>150</v>
      </c>
      <c r="K278" s="724">
        <v>150</v>
      </c>
      <c r="L278" s="724">
        <v>2018.01</v>
      </c>
      <c r="M278" s="724">
        <v>2020.12</v>
      </c>
      <c r="N278" s="724">
        <v>18</v>
      </c>
      <c r="O278" s="724">
        <v>18</v>
      </c>
      <c r="P278" s="724">
        <v>0</v>
      </c>
      <c r="Q278" s="724">
        <v>0</v>
      </c>
      <c r="R278" s="724">
        <v>0</v>
      </c>
      <c r="S278" s="724">
        <v>0</v>
      </c>
      <c r="T278" s="724">
        <v>0</v>
      </c>
      <c r="U278" s="724">
        <v>18</v>
      </c>
      <c r="V278" s="724">
        <v>0</v>
      </c>
      <c r="W278" s="92" t="s">
        <v>240</v>
      </c>
      <c r="X278" s="92" t="s">
        <v>47</v>
      </c>
      <c r="Y278" s="738">
        <v>450</v>
      </c>
      <c r="Z278" s="738">
        <v>945</v>
      </c>
      <c r="AA278" s="738">
        <v>3</v>
      </c>
      <c r="AB278" s="708"/>
      <c r="AC278" s="708"/>
      <c r="AD278" s="438" t="s">
        <v>247</v>
      </c>
      <c r="AE278" s="146" t="s">
        <v>248</v>
      </c>
      <c r="AF278" s="146" t="s">
        <v>195</v>
      </c>
      <c r="AG278" s="708"/>
    </row>
    <row r="279" s="570" customFormat="1" ht="24.95" customHeight="1" spans="1:33">
      <c r="A279" s="705"/>
      <c r="B279" s="708" t="s">
        <v>81</v>
      </c>
      <c r="C279" s="708" t="s">
        <v>52</v>
      </c>
      <c r="D279" s="709" t="s">
        <v>147</v>
      </c>
      <c r="E279" s="92">
        <v>3</v>
      </c>
      <c r="F279" s="92" t="s">
        <v>81</v>
      </c>
      <c r="G279" s="92"/>
      <c r="H279" s="724">
        <v>450</v>
      </c>
      <c r="I279" s="724">
        <v>150</v>
      </c>
      <c r="J279" s="724">
        <v>150</v>
      </c>
      <c r="K279" s="724">
        <v>150</v>
      </c>
      <c r="L279" s="724">
        <v>2018.01</v>
      </c>
      <c r="M279" s="724">
        <v>2020.12</v>
      </c>
      <c r="N279" s="724">
        <v>18</v>
      </c>
      <c r="O279" s="724">
        <v>18</v>
      </c>
      <c r="P279" s="724">
        <v>0</v>
      </c>
      <c r="Q279" s="724">
        <v>0</v>
      </c>
      <c r="R279" s="724">
        <v>0</v>
      </c>
      <c r="S279" s="724">
        <v>0</v>
      </c>
      <c r="T279" s="724">
        <v>0</v>
      </c>
      <c r="U279" s="724">
        <v>18</v>
      </c>
      <c r="V279" s="724">
        <v>0</v>
      </c>
      <c r="W279" s="92" t="s">
        <v>240</v>
      </c>
      <c r="X279" s="92" t="s">
        <v>47</v>
      </c>
      <c r="Y279" s="738">
        <v>450</v>
      </c>
      <c r="Z279" s="738">
        <v>1585</v>
      </c>
      <c r="AA279" s="738">
        <v>3</v>
      </c>
      <c r="AB279" s="708"/>
      <c r="AC279" s="708"/>
      <c r="AD279" s="438" t="s">
        <v>249</v>
      </c>
      <c r="AE279" s="146" t="s">
        <v>250</v>
      </c>
      <c r="AF279" s="146" t="s">
        <v>195</v>
      </c>
      <c r="AG279" s="708"/>
    </row>
    <row r="280" s="570" customFormat="1" ht="24.95" customHeight="1" spans="1:33">
      <c r="A280" s="705"/>
      <c r="B280" s="708" t="s">
        <v>98</v>
      </c>
      <c r="C280" s="708" t="s">
        <v>52</v>
      </c>
      <c r="D280" s="709" t="s">
        <v>147</v>
      </c>
      <c r="E280" s="92">
        <v>3</v>
      </c>
      <c r="F280" s="92" t="s">
        <v>98</v>
      </c>
      <c r="G280" s="92"/>
      <c r="H280" s="724">
        <v>480</v>
      </c>
      <c r="I280" s="724">
        <v>160</v>
      </c>
      <c r="J280" s="724">
        <v>160</v>
      </c>
      <c r="K280" s="724">
        <v>160</v>
      </c>
      <c r="L280" s="724">
        <v>2018.01</v>
      </c>
      <c r="M280" s="724">
        <v>2020.12</v>
      </c>
      <c r="N280" s="724">
        <v>19.2</v>
      </c>
      <c r="O280" s="724">
        <v>19.2</v>
      </c>
      <c r="P280" s="724">
        <v>0</v>
      </c>
      <c r="Q280" s="724">
        <v>0</v>
      </c>
      <c r="R280" s="724">
        <v>0</v>
      </c>
      <c r="S280" s="724">
        <v>0</v>
      </c>
      <c r="T280" s="724">
        <v>0</v>
      </c>
      <c r="U280" s="724">
        <v>19.2</v>
      </c>
      <c r="V280" s="724">
        <v>0</v>
      </c>
      <c r="W280" s="92" t="s">
        <v>240</v>
      </c>
      <c r="X280" s="92" t="s">
        <v>47</v>
      </c>
      <c r="Y280" s="738">
        <v>480</v>
      </c>
      <c r="Z280" s="738">
        <v>1670</v>
      </c>
      <c r="AA280" s="738">
        <v>3</v>
      </c>
      <c r="AB280" s="708"/>
      <c r="AC280" s="708"/>
      <c r="AD280" s="438" t="s">
        <v>209</v>
      </c>
      <c r="AE280" s="146" t="s">
        <v>251</v>
      </c>
      <c r="AF280" s="146" t="s">
        <v>195</v>
      </c>
      <c r="AG280" s="708"/>
    </row>
    <row r="281" s="570" customFormat="1" ht="24.95" customHeight="1" spans="1:33">
      <c r="A281" s="705"/>
      <c r="B281" s="708" t="s">
        <v>211</v>
      </c>
      <c r="C281" s="708" t="s">
        <v>52</v>
      </c>
      <c r="D281" s="709" t="s">
        <v>147</v>
      </c>
      <c r="E281" s="92">
        <v>3</v>
      </c>
      <c r="F281" s="92" t="s">
        <v>211</v>
      </c>
      <c r="G281" s="92"/>
      <c r="H281" s="724">
        <v>450</v>
      </c>
      <c r="I281" s="724">
        <v>150</v>
      </c>
      <c r="J281" s="724">
        <v>150</v>
      </c>
      <c r="K281" s="724">
        <v>150</v>
      </c>
      <c r="L281" s="724">
        <v>2018.01</v>
      </c>
      <c r="M281" s="724">
        <v>2020.12</v>
      </c>
      <c r="N281" s="724">
        <v>18</v>
      </c>
      <c r="O281" s="724">
        <v>18</v>
      </c>
      <c r="P281" s="724">
        <v>0</v>
      </c>
      <c r="Q281" s="724">
        <v>0</v>
      </c>
      <c r="R281" s="724">
        <v>0</v>
      </c>
      <c r="S281" s="724">
        <v>0</v>
      </c>
      <c r="T281" s="724">
        <v>0</v>
      </c>
      <c r="U281" s="724">
        <v>18</v>
      </c>
      <c r="V281" s="724">
        <v>0</v>
      </c>
      <c r="W281" s="92" t="s">
        <v>240</v>
      </c>
      <c r="X281" s="92" t="s">
        <v>47</v>
      </c>
      <c r="Y281" s="738">
        <v>450</v>
      </c>
      <c r="Z281" s="738">
        <v>3775</v>
      </c>
      <c r="AA281" s="738">
        <v>3</v>
      </c>
      <c r="AB281" s="708"/>
      <c r="AC281" s="708"/>
      <c r="AD281" s="438" t="s">
        <v>76</v>
      </c>
      <c r="AE281" s="146" t="s">
        <v>252</v>
      </c>
      <c r="AF281" s="146" t="s">
        <v>195</v>
      </c>
      <c r="AG281" s="708"/>
    </row>
    <row r="282" s="570" customFormat="1" ht="24.95" customHeight="1" spans="1:33">
      <c r="A282" s="705"/>
      <c r="B282" s="708" t="s">
        <v>155</v>
      </c>
      <c r="C282" s="708" t="s">
        <v>52</v>
      </c>
      <c r="D282" s="709" t="s">
        <v>147</v>
      </c>
      <c r="E282" s="92">
        <v>3</v>
      </c>
      <c r="F282" s="92" t="s">
        <v>155</v>
      </c>
      <c r="G282" s="92"/>
      <c r="H282" s="724">
        <v>300</v>
      </c>
      <c r="I282" s="724">
        <v>100</v>
      </c>
      <c r="J282" s="724">
        <v>100</v>
      </c>
      <c r="K282" s="724">
        <v>100</v>
      </c>
      <c r="L282" s="724">
        <v>2018.01</v>
      </c>
      <c r="M282" s="724">
        <v>2020.12</v>
      </c>
      <c r="N282" s="724">
        <v>12</v>
      </c>
      <c r="O282" s="724">
        <v>12</v>
      </c>
      <c r="P282" s="724">
        <v>0</v>
      </c>
      <c r="Q282" s="724">
        <v>0</v>
      </c>
      <c r="R282" s="724">
        <v>0</v>
      </c>
      <c r="S282" s="724">
        <v>0</v>
      </c>
      <c r="T282" s="724">
        <v>0</v>
      </c>
      <c r="U282" s="724">
        <v>12</v>
      </c>
      <c r="V282" s="724">
        <v>0</v>
      </c>
      <c r="W282" s="92" t="s">
        <v>240</v>
      </c>
      <c r="X282" s="92" t="s">
        <v>47</v>
      </c>
      <c r="Y282" s="738">
        <v>300</v>
      </c>
      <c r="Z282" s="738">
        <v>554</v>
      </c>
      <c r="AA282" s="738">
        <v>3</v>
      </c>
      <c r="AB282" s="708"/>
      <c r="AC282" s="708"/>
      <c r="AD282" s="438" t="s">
        <v>253</v>
      </c>
      <c r="AE282" s="146" t="s">
        <v>254</v>
      </c>
      <c r="AF282" s="146" t="s">
        <v>195</v>
      </c>
      <c r="AG282" s="708"/>
    </row>
    <row r="283" s="570" customFormat="1" ht="24.95" customHeight="1" spans="1:33">
      <c r="A283" s="705"/>
      <c r="B283" s="708" t="s">
        <v>102</v>
      </c>
      <c r="C283" s="708" t="s">
        <v>52</v>
      </c>
      <c r="D283" s="709" t="s">
        <v>147</v>
      </c>
      <c r="E283" s="92">
        <v>3</v>
      </c>
      <c r="F283" s="92" t="s">
        <v>102</v>
      </c>
      <c r="G283" s="92"/>
      <c r="H283" s="724">
        <v>450</v>
      </c>
      <c r="I283" s="724">
        <v>150</v>
      </c>
      <c r="J283" s="724">
        <v>150</v>
      </c>
      <c r="K283" s="724">
        <v>150</v>
      </c>
      <c r="L283" s="724">
        <v>2018.01</v>
      </c>
      <c r="M283" s="724">
        <v>2020.12</v>
      </c>
      <c r="N283" s="724">
        <v>18</v>
      </c>
      <c r="O283" s="724">
        <v>18</v>
      </c>
      <c r="P283" s="724">
        <v>0</v>
      </c>
      <c r="Q283" s="724">
        <v>0</v>
      </c>
      <c r="R283" s="724">
        <v>0</v>
      </c>
      <c r="S283" s="724">
        <v>0</v>
      </c>
      <c r="T283" s="724">
        <v>0</v>
      </c>
      <c r="U283" s="724">
        <v>18</v>
      </c>
      <c r="V283" s="724">
        <v>0</v>
      </c>
      <c r="W283" s="92" t="s">
        <v>240</v>
      </c>
      <c r="X283" s="92" t="s">
        <v>47</v>
      </c>
      <c r="Y283" s="738">
        <v>450</v>
      </c>
      <c r="Z283" s="738">
        <v>945</v>
      </c>
      <c r="AA283" s="738">
        <v>3</v>
      </c>
      <c r="AB283" s="708"/>
      <c r="AC283" s="708"/>
      <c r="AD283" s="146" t="s">
        <v>255</v>
      </c>
      <c r="AE283" s="146" t="s">
        <v>256</v>
      </c>
      <c r="AF283" s="146" t="s">
        <v>195</v>
      </c>
      <c r="AG283" s="708"/>
    </row>
    <row r="284" s="570" customFormat="1" ht="24.95" customHeight="1" spans="1:33">
      <c r="A284" s="705"/>
      <c r="B284" s="708" t="s">
        <v>100</v>
      </c>
      <c r="C284" s="708" t="s">
        <v>52</v>
      </c>
      <c r="D284" s="709" t="s">
        <v>147</v>
      </c>
      <c r="E284" s="92">
        <v>3</v>
      </c>
      <c r="F284" s="92" t="s">
        <v>100</v>
      </c>
      <c r="G284" s="92"/>
      <c r="H284" s="724">
        <v>240</v>
      </c>
      <c r="I284" s="724">
        <v>80</v>
      </c>
      <c r="J284" s="724">
        <v>80</v>
      </c>
      <c r="K284" s="724">
        <v>80</v>
      </c>
      <c r="L284" s="724">
        <v>2018.01</v>
      </c>
      <c r="M284" s="724">
        <v>2020.12</v>
      </c>
      <c r="N284" s="724">
        <v>9.6</v>
      </c>
      <c r="O284" s="724">
        <v>9.6</v>
      </c>
      <c r="P284" s="724">
        <v>0</v>
      </c>
      <c r="Q284" s="724">
        <v>0</v>
      </c>
      <c r="R284" s="724">
        <v>0</v>
      </c>
      <c r="S284" s="724">
        <v>0</v>
      </c>
      <c r="T284" s="724">
        <v>0</v>
      </c>
      <c r="U284" s="724">
        <v>9.6</v>
      </c>
      <c r="V284" s="724">
        <v>0</v>
      </c>
      <c r="W284" s="92" t="s">
        <v>240</v>
      </c>
      <c r="X284" s="92" t="s">
        <v>47</v>
      </c>
      <c r="Y284" s="738">
        <v>240</v>
      </c>
      <c r="Z284" s="738">
        <v>504</v>
      </c>
      <c r="AA284" s="738">
        <v>3</v>
      </c>
      <c r="AB284" s="708"/>
      <c r="AC284" s="708"/>
      <c r="AD284" s="438" t="s">
        <v>79</v>
      </c>
      <c r="AE284" s="146" t="s">
        <v>257</v>
      </c>
      <c r="AF284" s="146" t="s">
        <v>195</v>
      </c>
      <c r="AG284" s="708"/>
    </row>
    <row r="285" s="570" customFormat="1" ht="24.95" customHeight="1" spans="1:33">
      <c r="A285" s="705"/>
      <c r="B285" s="708" t="s">
        <v>84</v>
      </c>
      <c r="C285" s="708" t="s">
        <v>52</v>
      </c>
      <c r="D285" s="709" t="s">
        <v>147</v>
      </c>
      <c r="E285" s="92">
        <v>3</v>
      </c>
      <c r="F285" s="92" t="s">
        <v>84</v>
      </c>
      <c r="G285" s="92"/>
      <c r="H285" s="724">
        <v>300</v>
      </c>
      <c r="I285" s="724">
        <v>100</v>
      </c>
      <c r="J285" s="724">
        <v>100</v>
      </c>
      <c r="K285" s="724">
        <v>100</v>
      </c>
      <c r="L285" s="724">
        <v>2018.01</v>
      </c>
      <c r="M285" s="724">
        <v>2020.12</v>
      </c>
      <c r="N285" s="724">
        <v>12</v>
      </c>
      <c r="O285" s="724">
        <v>12</v>
      </c>
      <c r="P285" s="724">
        <v>0</v>
      </c>
      <c r="Q285" s="724">
        <v>0</v>
      </c>
      <c r="R285" s="724">
        <v>0</v>
      </c>
      <c r="S285" s="724">
        <v>0</v>
      </c>
      <c r="T285" s="724">
        <v>0</v>
      </c>
      <c r="U285" s="724">
        <v>12</v>
      </c>
      <c r="V285" s="724">
        <v>0</v>
      </c>
      <c r="W285" s="92" t="s">
        <v>240</v>
      </c>
      <c r="X285" s="92" t="s">
        <v>47</v>
      </c>
      <c r="Y285" s="738">
        <v>300</v>
      </c>
      <c r="Z285" s="738">
        <v>630</v>
      </c>
      <c r="AA285" s="738">
        <v>3</v>
      </c>
      <c r="AB285" s="708"/>
      <c r="AC285" s="708"/>
      <c r="AD285" s="438" t="s">
        <v>185</v>
      </c>
      <c r="AE285" s="146" t="s">
        <v>258</v>
      </c>
      <c r="AF285" s="146" t="s">
        <v>195</v>
      </c>
      <c r="AG285" s="708"/>
    </row>
    <row r="286" s="570" customFormat="1" ht="24.95" customHeight="1" spans="1:33">
      <c r="A286" s="705"/>
      <c r="B286" s="708" t="s">
        <v>259</v>
      </c>
      <c r="C286" s="708" t="s">
        <v>52</v>
      </c>
      <c r="D286" s="709" t="s">
        <v>147</v>
      </c>
      <c r="E286" s="92">
        <v>3</v>
      </c>
      <c r="F286" s="92" t="s">
        <v>259</v>
      </c>
      <c r="G286" s="92"/>
      <c r="H286" s="724">
        <v>120</v>
      </c>
      <c r="I286" s="724">
        <v>40</v>
      </c>
      <c r="J286" s="724">
        <v>40</v>
      </c>
      <c r="K286" s="724">
        <v>40</v>
      </c>
      <c r="L286" s="724">
        <v>2018.01</v>
      </c>
      <c r="M286" s="724">
        <v>2020.12</v>
      </c>
      <c r="N286" s="724">
        <v>4.8</v>
      </c>
      <c r="O286" s="724">
        <v>4.8</v>
      </c>
      <c r="P286" s="724">
        <v>0</v>
      </c>
      <c r="Q286" s="724">
        <v>0</v>
      </c>
      <c r="R286" s="724">
        <v>0</v>
      </c>
      <c r="S286" s="724">
        <v>0</v>
      </c>
      <c r="T286" s="724">
        <v>0</v>
      </c>
      <c r="U286" s="724">
        <v>4.8</v>
      </c>
      <c r="V286" s="724">
        <v>0</v>
      </c>
      <c r="W286" s="92" t="s">
        <v>240</v>
      </c>
      <c r="X286" s="92" t="s">
        <v>47</v>
      </c>
      <c r="Y286" s="738">
        <v>120</v>
      </c>
      <c r="Z286" s="738">
        <v>252</v>
      </c>
      <c r="AA286" s="738">
        <v>3</v>
      </c>
      <c r="AB286" s="708"/>
      <c r="AC286" s="708"/>
      <c r="AD286" s="438" t="s">
        <v>260</v>
      </c>
      <c r="AE286" s="146" t="s">
        <v>261</v>
      </c>
      <c r="AF286" s="146" t="s">
        <v>195</v>
      </c>
      <c r="AG286" s="708"/>
    </row>
    <row r="287" s="570" customFormat="1" ht="24.95" customHeight="1" spans="1:33">
      <c r="A287" s="705"/>
      <c r="B287" s="708" t="s">
        <v>143</v>
      </c>
      <c r="C287" s="708" t="s">
        <v>52</v>
      </c>
      <c r="D287" s="709" t="s">
        <v>147</v>
      </c>
      <c r="E287" s="92">
        <v>3</v>
      </c>
      <c r="F287" s="92" t="s">
        <v>143</v>
      </c>
      <c r="G287" s="92"/>
      <c r="H287" s="724">
        <v>300</v>
      </c>
      <c r="I287" s="724">
        <v>100</v>
      </c>
      <c r="J287" s="724">
        <v>100</v>
      </c>
      <c r="K287" s="724">
        <v>100</v>
      </c>
      <c r="L287" s="724">
        <v>2018.01</v>
      </c>
      <c r="M287" s="724">
        <v>2020.12</v>
      </c>
      <c r="N287" s="724">
        <v>12</v>
      </c>
      <c r="O287" s="724">
        <v>12</v>
      </c>
      <c r="P287" s="724">
        <v>0</v>
      </c>
      <c r="Q287" s="724">
        <v>0</v>
      </c>
      <c r="R287" s="724">
        <v>0</v>
      </c>
      <c r="S287" s="724">
        <v>0</v>
      </c>
      <c r="T287" s="724">
        <v>0</v>
      </c>
      <c r="U287" s="724">
        <v>12</v>
      </c>
      <c r="V287" s="724">
        <v>0</v>
      </c>
      <c r="W287" s="92" t="s">
        <v>240</v>
      </c>
      <c r="X287" s="92" t="s">
        <v>47</v>
      </c>
      <c r="Y287" s="738">
        <v>300</v>
      </c>
      <c r="Z287" s="738">
        <v>630</v>
      </c>
      <c r="AA287" s="738">
        <v>3</v>
      </c>
      <c r="AB287" s="708"/>
      <c r="AC287" s="708"/>
      <c r="AD287" s="777" t="s">
        <v>262</v>
      </c>
      <c r="AE287" s="777" t="s">
        <v>263</v>
      </c>
      <c r="AF287" s="146" t="s">
        <v>195</v>
      </c>
      <c r="AG287" s="708"/>
    </row>
    <row r="288" s="570" customFormat="1" ht="24.95" customHeight="1" spans="1:33">
      <c r="A288" s="705">
        <v>33</v>
      </c>
      <c r="B288" s="708" t="s">
        <v>268</v>
      </c>
      <c r="C288" s="708"/>
      <c r="D288" s="709" t="s">
        <v>147</v>
      </c>
      <c r="E288" s="92">
        <v>62</v>
      </c>
      <c r="F288" s="92">
        <v>0</v>
      </c>
      <c r="G288" s="92"/>
      <c r="H288" s="724">
        <v>10845</v>
      </c>
      <c r="I288" s="724">
        <v>3315</v>
      </c>
      <c r="J288" s="724">
        <v>3765</v>
      </c>
      <c r="K288" s="724">
        <v>3765</v>
      </c>
      <c r="L288" s="724">
        <v>0</v>
      </c>
      <c r="M288" s="724">
        <v>0</v>
      </c>
      <c r="N288" s="724">
        <v>2739.3</v>
      </c>
      <c r="O288" s="724">
        <v>470.1</v>
      </c>
      <c r="P288" s="724">
        <v>1134.6</v>
      </c>
      <c r="Q288" s="724">
        <v>1134.6</v>
      </c>
      <c r="R288" s="724">
        <v>1239.3</v>
      </c>
      <c r="S288" s="724">
        <v>0</v>
      </c>
      <c r="T288" s="724">
        <v>0</v>
      </c>
      <c r="U288" s="724">
        <v>1500</v>
      </c>
      <c r="V288" s="724">
        <v>0</v>
      </c>
      <c r="W288" s="92" t="s">
        <v>240</v>
      </c>
      <c r="X288" s="92" t="s">
        <v>47</v>
      </c>
      <c r="Y288" s="738">
        <v>9975</v>
      </c>
      <c r="Z288" s="738">
        <v>40839</v>
      </c>
      <c r="AA288" s="738">
        <v>62</v>
      </c>
      <c r="AB288" s="708"/>
      <c r="AC288" s="708"/>
      <c r="AD288" s="708"/>
      <c r="AE288" s="708"/>
      <c r="AF288" s="708"/>
      <c r="AG288" s="708" t="s">
        <v>41</v>
      </c>
    </row>
    <row r="289" s="570" customFormat="1" ht="24.95" customHeight="1" spans="1:33">
      <c r="A289" s="705">
        <v>34</v>
      </c>
      <c r="B289" s="92" t="s">
        <v>269</v>
      </c>
      <c r="C289" s="92"/>
      <c r="D289" s="76" t="s">
        <v>147</v>
      </c>
      <c r="E289" s="92">
        <v>0</v>
      </c>
      <c r="F289" s="92">
        <v>0</v>
      </c>
      <c r="G289" s="92"/>
      <c r="H289" s="724">
        <v>0</v>
      </c>
      <c r="I289" s="724">
        <v>0</v>
      </c>
      <c r="J289" s="724">
        <v>0</v>
      </c>
      <c r="K289" s="724">
        <v>0</v>
      </c>
      <c r="L289" s="724">
        <v>0</v>
      </c>
      <c r="M289" s="724">
        <v>0</v>
      </c>
      <c r="N289" s="724">
        <v>0</v>
      </c>
      <c r="O289" s="724">
        <v>0</v>
      </c>
      <c r="P289" s="724">
        <v>0</v>
      </c>
      <c r="Q289" s="724">
        <v>0</v>
      </c>
      <c r="R289" s="724">
        <v>0</v>
      </c>
      <c r="S289" s="724">
        <v>0</v>
      </c>
      <c r="T289" s="724">
        <v>0</v>
      </c>
      <c r="U289" s="724">
        <v>0</v>
      </c>
      <c r="V289" s="724">
        <v>0</v>
      </c>
      <c r="W289" s="92">
        <v>0</v>
      </c>
      <c r="X289" s="92">
        <v>0</v>
      </c>
      <c r="Y289" s="738">
        <v>0</v>
      </c>
      <c r="Z289" s="738">
        <v>0</v>
      </c>
      <c r="AA289" s="738">
        <v>0</v>
      </c>
      <c r="AB289" s="92"/>
      <c r="AC289" s="92"/>
      <c r="AD289" s="92"/>
      <c r="AE289" s="92"/>
      <c r="AF289" s="92" t="s">
        <v>201</v>
      </c>
      <c r="AG289" s="92" t="s">
        <v>41</v>
      </c>
    </row>
    <row r="290" s="570" customFormat="1" ht="24.95" customHeight="1" spans="1:33">
      <c r="A290" s="705" t="s">
        <v>48</v>
      </c>
      <c r="B290" s="92" t="s">
        <v>148</v>
      </c>
      <c r="C290" s="92"/>
      <c r="D290" s="76"/>
      <c r="E290" s="92">
        <v>0</v>
      </c>
      <c r="F290" s="92">
        <v>0</v>
      </c>
      <c r="G290" s="92"/>
      <c r="H290" s="724">
        <v>0</v>
      </c>
      <c r="I290" s="724">
        <v>0</v>
      </c>
      <c r="J290" s="724">
        <v>0</v>
      </c>
      <c r="K290" s="724">
        <v>0</v>
      </c>
      <c r="L290" s="724">
        <v>0</v>
      </c>
      <c r="M290" s="724">
        <v>0</v>
      </c>
      <c r="N290" s="724">
        <v>0</v>
      </c>
      <c r="O290" s="724">
        <v>0</v>
      </c>
      <c r="P290" s="724">
        <v>0</v>
      </c>
      <c r="Q290" s="724">
        <v>0</v>
      </c>
      <c r="R290" s="724">
        <v>0</v>
      </c>
      <c r="S290" s="724">
        <v>0</v>
      </c>
      <c r="T290" s="724">
        <v>0</v>
      </c>
      <c r="U290" s="724">
        <v>0</v>
      </c>
      <c r="V290" s="724">
        <v>0</v>
      </c>
      <c r="W290" s="92">
        <v>0</v>
      </c>
      <c r="X290" s="92">
        <v>0</v>
      </c>
      <c r="Y290" s="738">
        <v>0</v>
      </c>
      <c r="Z290" s="738">
        <v>0</v>
      </c>
      <c r="AA290" s="738">
        <v>0</v>
      </c>
      <c r="AB290" s="92"/>
      <c r="AC290" s="92"/>
      <c r="AD290" s="92"/>
      <c r="AE290" s="92"/>
      <c r="AF290" s="92"/>
      <c r="AG290" s="92"/>
    </row>
    <row r="291" s="570" customFormat="1" ht="24.95" customHeight="1" spans="1:33">
      <c r="A291" s="705">
        <v>35</v>
      </c>
      <c r="B291" s="92" t="s">
        <v>270</v>
      </c>
      <c r="C291" s="92"/>
      <c r="D291" s="76" t="s">
        <v>147</v>
      </c>
      <c r="E291" s="92">
        <v>0</v>
      </c>
      <c r="F291" s="92">
        <v>0</v>
      </c>
      <c r="G291" s="92"/>
      <c r="H291" s="724">
        <v>0</v>
      </c>
      <c r="I291" s="724">
        <v>0</v>
      </c>
      <c r="J291" s="724">
        <v>0</v>
      </c>
      <c r="K291" s="724">
        <v>0</v>
      </c>
      <c r="L291" s="724">
        <v>0</v>
      </c>
      <c r="M291" s="724">
        <v>0</v>
      </c>
      <c r="N291" s="724">
        <v>0</v>
      </c>
      <c r="O291" s="724">
        <v>0</v>
      </c>
      <c r="P291" s="724">
        <v>0</v>
      </c>
      <c r="Q291" s="724">
        <v>0</v>
      </c>
      <c r="R291" s="724">
        <v>0</v>
      </c>
      <c r="S291" s="724">
        <v>0</v>
      </c>
      <c r="T291" s="724">
        <v>0</v>
      </c>
      <c r="U291" s="724">
        <v>0</v>
      </c>
      <c r="V291" s="724">
        <v>0</v>
      </c>
      <c r="W291" s="92">
        <v>0</v>
      </c>
      <c r="X291" s="92">
        <v>0</v>
      </c>
      <c r="Y291" s="738">
        <v>0</v>
      </c>
      <c r="Z291" s="738">
        <v>0</v>
      </c>
      <c r="AA291" s="738">
        <v>0</v>
      </c>
      <c r="AB291" s="92"/>
      <c r="AC291" s="92"/>
      <c r="AD291" s="92"/>
      <c r="AE291" s="92"/>
      <c r="AF291" s="92" t="s">
        <v>271</v>
      </c>
      <c r="AG291" s="92" t="s">
        <v>41</v>
      </c>
    </row>
    <row r="292" s="570" customFormat="1" ht="24.95" customHeight="1" spans="1:33">
      <c r="A292" s="705" t="s">
        <v>48</v>
      </c>
      <c r="B292" s="92" t="s">
        <v>148</v>
      </c>
      <c r="C292" s="92"/>
      <c r="D292" s="76"/>
      <c r="E292" s="92">
        <v>0</v>
      </c>
      <c r="F292" s="92">
        <v>0</v>
      </c>
      <c r="G292" s="92"/>
      <c r="H292" s="724">
        <v>0</v>
      </c>
      <c r="I292" s="724">
        <v>0</v>
      </c>
      <c r="J292" s="724">
        <v>0</v>
      </c>
      <c r="K292" s="724">
        <v>0</v>
      </c>
      <c r="L292" s="724">
        <v>0</v>
      </c>
      <c r="M292" s="724">
        <v>0</v>
      </c>
      <c r="N292" s="724">
        <v>0</v>
      </c>
      <c r="O292" s="724">
        <v>0</v>
      </c>
      <c r="P292" s="724">
        <v>0</v>
      </c>
      <c r="Q292" s="724">
        <v>0</v>
      </c>
      <c r="R292" s="724">
        <v>0</v>
      </c>
      <c r="S292" s="724">
        <v>0</v>
      </c>
      <c r="T292" s="724">
        <v>0</v>
      </c>
      <c r="U292" s="724">
        <v>0</v>
      </c>
      <c r="V292" s="724">
        <v>0</v>
      </c>
      <c r="W292" s="92">
        <v>0</v>
      </c>
      <c r="X292" s="92">
        <v>0</v>
      </c>
      <c r="Y292" s="738">
        <v>0</v>
      </c>
      <c r="Z292" s="738">
        <v>0</v>
      </c>
      <c r="AA292" s="738">
        <v>0</v>
      </c>
      <c r="AB292" s="92"/>
      <c r="AC292" s="92"/>
      <c r="AD292" s="92"/>
      <c r="AE292" s="92"/>
      <c r="AF292" s="92"/>
      <c r="AG292" s="92"/>
    </row>
    <row r="293" s="570" customFormat="1" ht="24.95" customHeight="1" spans="1:33">
      <c r="A293" s="705">
        <v>36</v>
      </c>
      <c r="B293" s="92" t="s">
        <v>272</v>
      </c>
      <c r="C293" s="92"/>
      <c r="D293" s="76" t="s">
        <v>147</v>
      </c>
      <c r="E293" s="92">
        <v>0</v>
      </c>
      <c r="F293" s="92">
        <v>0</v>
      </c>
      <c r="G293" s="92"/>
      <c r="H293" s="724">
        <v>0</v>
      </c>
      <c r="I293" s="724">
        <v>0</v>
      </c>
      <c r="J293" s="724">
        <v>0</v>
      </c>
      <c r="K293" s="724">
        <v>0</v>
      </c>
      <c r="L293" s="724">
        <v>0</v>
      </c>
      <c r="M293" s="724">
        <v>0</v>
      </c>
      <c r="N293" s="724">
        <v>0</v>
      </c>
      <c r="O293" s="724">
        <v>0</v>
      </c>
      <c r="P293" s="724">
        <v>0</v>
      </c>
      <c r="Q293" s="724">
        <v>0</v>
      </c>
      <c r="R293" s="724">
        <v>0</v>
      </c>
      <c r="S293" s="724">
        <v>0</v>
      </c>
      <c r="T293" s="724">
        <v>0</v>
      </c>
      <c r="U293" s="724">
        <v>0</v>
      </c>
      <c r="V293" s="724">
        <v>0</v>
      </c>
      <c r="W293" s="92">
        <v>0</v>
      </c>
      <c r="X293" s="92">
        <v>0</v>
      </c>
      <c r="Y293" s="738">
        <v>0</v>
      </c>
      <c r="Z293" s="738">
        <v>0</v>
      </c>
      <c r="AA293" s="738">
        <v>0</v>
      </c>
      <c r="AB293" s="92"/>
      <c r="AC293" s="92"/>
      <c r="AD293" s="92"/>
      <c r="AE293" s="92"/>
      <c r="AF293" s="92" t="s">
        <v>273</v>
      </c>
      <c r="AG293" s="92" t="s">
        <v>41</v>
      </c>
    </row>
    <row r="294" s="570" customFormat="1" ht="24.95" customHeight="1" spans="1:33">
      <c r="A294" s="705" t="s">
        <v>48</v>
      </c>
      <c r="B294" s="92" t="s">
        <v>148</v>
      </c>
      <c r="C294" s="92"/>
      <c r="D294" s="76"/>
      <c r="E294" s="92">
        <v>0</v>
      </c>
      <c r="F294" s="92">
        <v>0</v>
      </c>
      <c r="G294" s="92"/>
      <c r="H294" s="724">
        <v>0</v>
      </c>
      <c r="I294" s="724">
        <v>0</v>
      </c>
      <c r="J294" s="724">
        <v>0</v>
      </c>
      <c r="K294" s="724">
        <v>0</v>
      </c>
      <c r="L294" s="724">
        <v>0</v>
      </c>
      <c r="M294" s="724">
        <v>0</v>
      </c>
      <c r="N294" s="724">
        <v>0</v>
      </c>
      <c r="O294" s="724">
        <v>0</v>
      </c>
      <c r="P294" s="724">
        <v>0</v>
      </c>
      <c r="Q294" s="724">
        <v>0</v>
      </c>
      <c r="R294" s="724">
        <v>0</v>
      </c>
      <c r="S294" s="724">
        <v>0</v>
      </c>
      <c r="T294" s="724">
        <v>0</v>
      </c>
      <c r="U294" s="724">
        <v>0</v>
      </c>
      <c r="V294" s="724">
        <v>0</v>
      </c>
      <c r="W294" s="92">
        <v>0</v>
      </c>
      <c r="X294" s="92">
        <v>0</v>
      </c>
      <c r="Y294" s="738">
        <v>0</v>
      </c>
      <c r="Z294" s="738">
        <v>0</v>
      </c>
      <c r="AA294" s="738">
        <v>0</v>
      </c>
      <c r="AB294" s="92"/>
      <c r="AC294" s="92"/>
      <c r="AD294" s="92"/>
      <c r="AE294" s="92"/>
      <c r="AF294" s="92"/>
      <c r="AG294" s="92"/>
    </row>
    <row r="295" s="570" customFormat="1" ht="24.95" customHeight="1" spans="1:33">
      <c r="A295" s="705">
        <v>37</v>
      </c>
      <c r="B295" s="92" t="s">
        <v>274</v>
      </c>
      <c r="C295" s="92"/>
      <c r="D295" s="76" t="s">
        <v>147</v>
      </c>
      <c r="E295" s="92">
        <v>0</v>
      </c>
      <c r="F295" s="92">
        <v>0</v>
      </c>
      <c r="G295" s="92"/>
      <c r="H295" s="724">
        <v>0</v>
      </c>
      <c r="I295" s="724">
        <v>0</v>
      </c>
      <c r="J295" s="724">
        <v>0</v>
      </c>
      <c r="K295" s="724">
        <v>0</v>
      </c>
      <c r="L295" s="724">
        <v>0</v>
      </c>
      <c r="M295" s="724">
        <v>0</v>
      </c>
      <c r="N295" s="724">
        <v>0</v>
      </c>
      <c r="O295" s="724">
        <v>0</v>
      </c>
      <c r="P295" s="724">
        <v>0</v>
      </c>
      <c r="Q295" s="724">
        <v>0</v>
      </c>
      <c r="R295" s="724">
        <v>0</v>
      </c>
      <c r="S295" s="724">
        <v>0</v>
      </c>
      <c r="T295" s="724">
        <v>0</v>
      </c>
      <c r="U295" s="724">
        <v>0</v>
      </c>
      <c r="V295" s="724">
        <v>0</v>
      </c>
      <c r="W295" s="92">
        <v>0</v>
      </c>
      <c r="X295" s="92">
        <v>0</v>
      </c>
      <c r="Y295" s="738">
        <v>0</v>
      </c>
      <c r="Z295" s="738">
        <v>0</v>
      </c>
      <c r="AA295" s="738">
        <v>0</v>
      </c>
      <c r="AB295" s="92"/>
      <c r="AC295" s="92"/>
      <c r="AD295" s="92"/>
      <c r="AE295" s="92"/>
      <c r="AF295" s="92" t="s">
        <v>275</v>
      </c>
      <c r="AG295" s="92" t="s">
        <v>41</v>
      </c>
    </row>
    <row r="296" s="570" customFormat="1" ht="24.95" customHeight="1" spans="1:33">
      <c r="A296" s="705" t="s">
        <v>48</v>
      </c>
      <c r="B296" s="92" t="s">
        <v>148</v>
      </c>
      <c r="C296" s="92"/>
      <c r="D296" s="76"/>
      <c r="E296" s="92">
        <v>0</v>
      </c>
      <c r="F296" s="92">
        <v>0</v>
      </c>
      <c r="G296" s="92"/>
      <c r="H296" s="724">
        <v>0</v>
      </c>
      <c r="I296" s="724">
        <v>0</v>
      </c>
      <c r="J296" s="724">
        <v>0</v>
      </c>
      <c r="K296" s="724">
        <v>0</v>
      </c>
      <c r="L296" s="724">
        <v>0</v>
      </c>
      <c r="M296" s="724">
        <v>0</v>
      </c>
      <c r="N296" s="724">
        <v>0</v>
      </c>
      <c r="O296" s="724">
        <v>0</v>
      </c>
      <c r="P296" s="724">
        <v>0</v>
      </c>
      <c r="Q296" s="724">
        <v>0</v>
      </c>
      <c r="R296" s="724">
        <v>0</v>
      </c>
      <c r="S296" s="724">
        <v>0</v>
      </c>
      <c r="T296" s="724">
        <v>0</v>
      </c>
      <c r="U296" s="724">
        <v>0</v>
      </c>
      <c r="V296" s="724">
        <v>0</v>
      </c>
      <c r="W296" s="92">
        <v>0</v>
      </c>
      <c r="X296" s="92">
        <v>0</v>
      </c>
      <c r="Y296" s="738">
        <v>0</v>
      </c>
      <c r="Z296" s="738">
        <v>0</v>
      </c>
      <c r="AA296" s="738">
        <v>0</v>
      </c>
      <c r="AB296" s="92"/>
      <c r="AC296" s="92"/>
      <c r="AD296" s="92"/>
      <c r="AE296" s="92"/>
      <c r="AF296" s="92"/>
      <c r="AG296" s="92"/>
    </row>
    <row r="297" s="570" customFormat="1" ht="24.95" customHeight="1" spans="1:33">
      <c r="A297" s="705">
        <v>38</v>
      </c>
      <c r="B297" s="92" t="s">
        <v>276</v>
      </c>
      <c r="C297" s="92"/>
      <c r="D297" s="76" t="s">
        <v>147</v>
      </c>
      <c r="E297" s="92">
        <v>0</v>
      </c>
      <c r="F297" s="92">
        <v>0</v>
      </c>
      <c r="G297" s="92"/>
      <c r="H297" s="724">
        <v>0</v>
      </c>
      <c r="I297" s="724">
        <v>0</v>
      </c>
      <c r="J297" s="724">
        <v>0</v>
      </c>
      <c r="K297" s="724">
        <v>0</v>
      </c>
      <c r="L297" s="724">
        <v>0</v>
      </c>
      <c r="M297" s="724">
        <v>0</v>
      </c>
      <c r="N297" s="724">
        <v>0</v>
      </c>
      <c r="O297" s="724">
        <v>0</v>
      </c>
      <c r="P297" s="724">
        <v>0</v>
      </c>
      <c r="Q297" s="724">
        <v>0</v>
      </c>
      <c r="R297" s="724">
        <v>0</v>
      </c>
      <c r="S297" s="724">
        <v>0</v>
      </c>
      <c r="T297" s="724">
        <v>0</v>
      </c>
      <c r="U297" s="724">
        <v>0</v>
      </c>
      <c r="V297" s="724">
        <v>0</v>
      </c>
      <c r="W297" s="92">
        <v>0</v>
      </c>
      <c r="X297" s="92">
        <v>0</v>
      </c>
      <c r="Y297" s="738">
        <v>0</v>
      </c>
      <c r="Z297" s="738">
        <v>0</v>
      </c>
      <c r="AA297" s="738">
        <v>0</v>
      </c>
      <c r="AB297" s="92"/>
      <c r="AC297" s="92"/>
      <c r="AD297" s="92"/>
      <c r="AE297" s="92"/>
      <c r="AF297" s="92" t="s">
        <v>277</v>
      </c>
      <c r="AG297" s="92" t="s">
        <v>41</v>
      </c>
    </row>
    <row r="298" s="570" customFormat="1" ht="24.95" customHeight="1" spans="1:33">
      <c r="A298" s="705" t="s">
        <v>48</v>
      </c>
      <c r="B298" s="92" t="s">
        <v>148</v>
      </c>
      <c r="C298" s="92"/>
      <c r="D298" s="76"/>
      <c r="E298" s="92">
        <v>0</v>
      </c>
      <c r="F298" s="92">
        <v>0</v>
      </c>
      <c r="G298" s="92"/>
      <c r="H298" s="724">
        <v>0</v>
      </c>
      <c r="I298" s="724">
        <v>0</v>
      </c>
      <c r="J298" s="724">
        <v>0</v>
      </c>
      <c r="K298" s="724">
        <v>0</v>
      </c>
      <c r="L298" s="724">
        <v>0</v>
      </c>
      <c r="M298" s="724">
        <v>0</v>
      </c>
      <c r="N298" s="724">
        <v>0</v>
      </c>
      <c r="O298" s="724">
        <v>0</v>
      </c>
      <c r="P298" s="724">
        <v>0</v>
      </c>
      <c r="Q298" s="724">
        <v>0</v>
      </c>
      <c r="R298" s="724">
        <v>0</v>
      </c>
      <c r="S298" s="724">
        <v>0</v>
      </c>
      <c r="T298" s="724">
        <v>0</v>
      </c>
      <c r="U298" s="724">
        <v>0</v>
      </c>
      <c r="V298" s="724">
        <v>0</v>
      </c>
      <c r="W298" s="92">
        <v>0</v>
      </c>
      <c r="X298" s="92">
        <v>0</v>
      </c>
      <c r="Y298" s="738">
        <v>0</v>
      </c>
      <c r="Z298" s="738">
        <v>0</v>
      </c>
      <c r="AA298" s="738">
        <v>0</v>
      </c>
      <c r="AB298" s="92"/>
      <c r="AC298" s="92"/>
      <c r="AD298" s="92"/>
      <c r="AE298" s="92"/>
      <c r="AF298" s="92"/>
      <c r="AG298" s="92"/>
    </row>
    <row r="299" s="570" customFormat="1" ht="24.95" customHeight="1" spans="1:33">
      <c r="A299" s="705">
        <v>39</v>
      </c>
      <c r="B299" s="92" t="s">
        <v>278</v>
      </c>
      <c r="C299" s="92"/>
      <c r="D299" s="76" t="s">
        <v>147</v>
      </c>
      <c r="E299" s="92">
        <v>0</v>
      </c>
      <c r="F299" s="92">
        <v>0</v>
      </c>
      <c r="G299" s="92"/>
      <c r="H299" s="724">
        <v>0</v>
      </c>
      <c r="I299" s="724">
        <v>0</v>
      </c>
      <c r="J299" s="724">
        <v>0</v>
      </c>
      <c r="K299" s="724">
        <v>0</v>
      </c>
      <c r="L299" s="724">
        <v>0</v>
      </c>
      <c r="M299" s="724">
        <v>0</v>
      </c>
      <c r="N299" s="724">
        <v>0</v>
      </c>
      <c r="O299" s="724">
        <v>0</v>
      </c>
      <c r="P299" s="724">
        <v>0</v>
      </c>
      <c r="Q299" s="724">
        <v>0</v>
      </c>
      <c r="R299" s="724">
        <v>0</v>
      </c>
      <c r="S299" s="724">
        <v>0</v>
      </c>
      <c r="T299" s="724">
        <v>0</v>
      </c>
      <c r="U299" s="724">
        <v>0</v>
      </c>
      <c r="V299" s="724">
        <v>0</v>
      </c>
      <c r="W299" s="92">
        <v>0</v>
      </c>
      <c r="X299" s="92">
        <v>0</v>
      </c>
      <c r="Y299" s="738">
        <v>0</v>
      </c>
      <c r="Z299" s="738">
        <v>0</v>
      </c>
      <c r="AA299" s="738">
        <v>0</v>
      </c>
      <c r="AB299" s="92"/>
      <c r="AC299" s="92"/>
      <c r="AD299" s="92"/>
      <c r="AE299" s="92"/>
      <c r="AF299" s="92" t="s">
        <v>195</v>
      </c>
      <c r="AG299" s="92"/>
    </row>
    <row r="300" s="570" customFormat="1" ht="24.95" customHeight="1" spans="1:33">
      <c r="A300" s="705" t="s">
        <v>48</v>
      </c>
      <c r="B300" s="92" t="s">
        <v>148</v>
      </c>
      <c r="C300" s="92"/>
      <c r="D300" s="76"/>
      <c r="E300" s="92">
        <v>0</v>
      </c>
      <c r="F300" s="92">
        <v>0</v>
      </c>
      <c r="G300" s="92"/>
      <c r="H300" s="724">
        <v>0</v>
      </c>
      <c r="I300" s="724">
        <v>0</v>
      </c>
      <c r="J300" s="724">
        <v>0</v>
      </c>
      <c r="K300" s="724">
        <v>0</v>
      </c>
      <c r="L300" s="724">
        <v>0</v>
      </c>
      <c r="M300" s="724">
        <v>0</v>
      </c>
      <c r="N300" s="724">
        <v>0</v>
      </c>
      <c r="O300" s="724">
        <v>0</v>
      </c>
      <c r="P300" s="724">
        <v>0</v>
      </c>
      <c r="Q300" s="724">
        <v>0</v>
      </c>
      <c r="R300" s="724">
        <v>0</v>
      </c>
      <c r="S300" s="724">
        <v>0</v>
      </c>
      <c r="T300" s="724">
        <v>0</v>
      </c>
      <c r="U300" s="724">
        <v>0</v>
      </c>
      <c r="V300" s="724">
        <v>0</v>
      </c>
      <c r="W300" s="92">
        <v>0</v>
      </c>
      <c r="X300" s="92">
        <v>0</v>
      </c>
      <c r="Y300" s="738">
        <v>0</v>
      </c>
      <c r="Z300" s="738">
        <v>0</v>
      </c>
      <c r="AA300" s="738">
        <v>0</v>
      </c>
      <c r="AB300" s="92"/>
      <c r="AC300" s="92"/>
      <c r="AD300" s="92"/>
      <c r="AE300" s="92"/>
      <c r="AF300" s="92"/>
      <c r="AG300" s="92"/>
    </row>
    <row r="301" s="570" customFormat="1" ht="44.25" customHeight="1" spans="1:33">
      <c r="A301" s="705">
        <v>40</v>
      </c>
      <c r="B301" s="92" t="s">
        <v>279</v>
      </c>
      <c r="C301" s="92"/>
      <c r="D301" s="76" t="s">
        <v>147</v>
      </c>
      <c r="E301" s="92">
        <v>0</v>
      </c>
      <c r="F301" s="92">
        <v>0</v>
      </c>
      <c r="G301" s="92"/>
      <c r="H301" s="724">
        <v>0</v>
      </c>
      <c r="I301" s="724">
        <v>0</v>
      </c>
      <c r="J301" s="724">
        <v>0</v>
      </c>
      <c r="K301" s="724">
        <v>0</v>
      </c>
      <c r="L301" s="724">
        <v>0</v>
      </c>
      <c r="M301" s="724">
        <v>0</v>
      </c>
      <c r="N301" s="724">
        <v>0</v>
      </c>
      <c r="O301" s="724">
        <v>0</v>
      </c>
      <c r="P301" s="724">
        <v>0</v>
      </c>
      <c r="Q301" s="724">
        <v>0</v>
      </c>
      <c r="R301" s="724">
        <v>0</v>
      </c>
      <c r="S301" s="724">
        <v>0</v>
      </c>
      <c r="T301" s="724">
        <v>0</v>
      </c>
      <c r="U301" s="724">
        <v>0</v>
      </c>
      <c r="V301" s="724">
        <v>0</v>
      </c>
      <c r="W301" s="92">
        <v>0</v>
      </c>
      <c r="X301" s="92">
        <v>0</v>
      </c>
      <c r="Y301" s="738">
        <v>0</v>
      </c>
      <c r="Z301" s="738">
        <v>0</v>
      </c>
      <c r="AA301" s="738">
        <v>0</v>
      </c>
      <c r="AB301" s="92"/>
      <c r="AC301" s="92"/>
      <c r="AD301" s="92"/>
      <c r="AE301" s="92"/>
      <c r="AF301" s="92" t="s">
        <v>195</v>
      </c>
      <c r="AG301" s="92"/>
    </row>
    <row r="302" s="570" customFormat="1" ht="24.95" customHeight="1" spans="1:33">
      <c r="A302" s="705" t="s">
        <v>48</v>
      </c>
      <c r="B302" s="92" t="s">
        <v>148</v>
      </c>
      <c r="C302" s="92"/>
      <c r="D302" s="76"/>
      <c r="E302" s="92">
        <v>0</v>
      </c>
      <c r="F302" s="92">
        <v>0</v>
      </c>
      <c r="G302" s="92"/>
      <c r="H302" s="724">
        <v>0</v>
      </c>
      <c r="I302" s="724">
        <v>0</v>
      </c>
      <c r="J302" s="724">
        <v>0</v>
      </c>
      <c r="K302" s="724">
        <v>0</v>
      </c>
      <c r="L302" s="724">
        <v>0</v>
      </c>
      <c r="M302" s="724">
        <v>0</v>
      </c>
      <c r="N302" s="724">
        <v>0</v>
      </c>
      <c r="O302" s="724">
        <v>0</v>
      </c>
      <c r="P302" s="724">
        <v>0</v>
      </c>
      <c r="Q302" s="724">
        <v>0</v>
      </c>
      <c r="R302" s="724">
        <v>0</v>
      </c>
      <c r="S302" s="724">
        <v>0</v>
      </c>
      <c r="T302" s="724">
        <v>0</v>
      </c>
      <c r="U302" s="724">
        <v>0</v>
      </c>
      <c r="V302" s="724">
        <v>0</v>
      </c>
      <c r="W302" s="92">
        <v>0</v>
      </c>
      <c r="X302" s="92">
        <v>0</v>
      </c>
      <c r="Y302" s="738">
        <v>0</v>
      </c>
      <c r="Z302" s="738">
        <v>0</v>
      </c>
      <c r="AA302" s="738">
        <v>0</v>
      </c>
      <c r="AB302" s="92"/>
      <c r="AC302" s="92"/>
      <c r="AD302" s="92"/>
      <c r="AE302" s="92"/>
      <c r="AF302" s="92"/>
      <c r="AG302" s="92"/>
    </row>
    <row r="303" s="570" customFormat="1" ht="24.95" customHeight="1" spans="1:33">
      <c r="A303" s="705">
        <v>41</v>
      </c>
      <c r="B303" s="92" t="s">
        <v>280</v>
      </c>
      <c r="C303" s="92"/>
      <c r="D303" s="76" t="s">
        <v>147</v>
      </c>
      <c r="E303" s="92">
        <v>0</v>
      </c>
      <c r="F303" s="92">
        <v>0</v>
      </c>
      <c r="G303" s="92"/>
      <c r="H303" s="724">
        <v>0</v>
      </c>
      <c r="I303" s="724">
        <v>0</v>
      </c>
      <c r="J303" s="724">
        <v>0</v>
      </c>
      <c r="K303" s="724">
        <v>0</v>
      </c>
      <c r="L303" s="724">
        <v>0</v>
      </c>
      <c r="M303" s="724">
        <v>0</v>
      </c>
      <c r="N303" s="724">
        <v>0</v>
      </c>
      <c r="O303" s="724">
        <v>0</v>
      </c>
      <c r="P303" s="724">
        <v>0</v>
      </c>
      <c r="Q303" s="724">
        <v>0</v>
      </c>
      <c r="R303" s="724">
        <v>0</v>
      </c>
      <c r="S303" s="724">
        <v>0</v>
      </c>
      <c r="T303" s="724">
        <v>0</v>
      </c>
      <c r="U303" s="724">
        <v>0</v>
      </c>
      <c r="V303" s="724">
        <v>0</v>
      </c>
      <c r="W303" s="92">
        <v>0</v>
      </c>
      <c r="X303" s="92">
        <v>0</v>
      </c>
      <c r="Y303" s="738">
        <v>0</v>
      </c>
      <c r="Z303" s="738">
        <v>0</v>
      </c>
      <c r="AA303" s="738">
        <v>0</v>
      </c>
      <c r="AB303" s="92"/>
      <c r="AC303" s="92"/>
      <c r="AD303" s="92"/>
      <c r="AE303" s="92"/>
      <c r="AF303" s="92" t="s">
        <v>195</v>
      </c>
      <c r="AG303" s="92"/>
    </row>
    <row r="304" s="570" customFormat="1" ht="24.95" customHeight="1" spans="1:33">
      <c r="A304" s="705" t="s">
        <v>48</v>
      </c>
      <c r="B304" s="92" t="s">
        <v>148</v>
      </c>
      <c r="C304" s="92"/>
      <c r="D304" s="76"/>
      <c r="E304" s="92">
        <v>0</v>
      </c>
      <c r="F304" s="92">
        <v>0</v>
      </c>
      <c r="G304" s="92"/>
      <c r="H304" s="724">
        <v>0</v>
      </c>
      <c r="I304" s="724">
        <v>0</v>
      </c>
      <c r="J304" s="724">
        <v>0</v>
      </c>
      <c r="K304" s="724">
        <v>0</v>
      </c>
      <c r="L304" s="724">
        <v>0</v>
      </c>
      <c r="M304" s="724">
        <v>0</v>
      </c>
      <c r="N304" s="724">
        <v>0</v>
      </c>
      <c r="O304" s="724">
        <v>0</v>
      </c>
      <c r="P304" s="724">
        <v>0</v>
      </c>
      <c r="Q304" s="724">
        <v>0</v>
      </c>
      <c r="R304" s="724">
        <v>0</v>
      </c>
      <c r="S304" s="724">
        <v>0</v>
      </c>
      <c r="T304" s="724">
        <v>0</v>
      </c>
      <c r="U304" s="724">
        <v>0</v>
      </c>
      <c r="V304" s="724">
        <v>0</v>
      </c>
      <c r="W304" s="92">
        <v>0</v>
      </c>
      <c r="X304" s="92">
        <v>0</v>
      </c>
      <c r="Y304" s="738">
        <v>0</v>
      </c>
      <c r="Z304" s="738">
        <v>0</v>
      </c>
      <c r="AA304" s="738">
        <v>0</v>
      </c>
      <c r="AB304" s="92"/>
      <c r="AC304" s="92"/>
      <c r="AD304" s="92"/>
      <c r="AE304" s="92"/>
      <c r="AF304" s="92"/>
      <c r="AG304" s="92"/>
    </row>
    <row r="305" s="570" customFormat="1" ht="24.95" customHeight="1" spans="1:33">
      <c r="A305" s="705">
        <v>42</v>
      </c>
      <c r="B305" s="92" t="s">
        <v>281</v>
      </c>
      <c r="C305" s="92"/>
      <c r="D305" s="76" t="s">
        <v>147</v>
      </c>
      <c r="E305" s="92">
        <v>0</v>
      </c>
      <c r="F305" s="92">
        <v>0</v>
      </c>
      <c r="G305" s="92"/>
      <c r="H305" s="724">
        <v>0</v>
      </c>
      <c r="I305" s="724">
        <v>0</v>
      </c>
      <c r="J305" s="724">
        <v>0</v>
      </c>
      <c r="K305" s="724">
        <v>0</v>
      </c>
      <c r="L305" s="724">
        <v>0</v>
      </c>
      <c r="M305" s="724">
        <v>0</v>
      </c>
      <c r="N305" s="724">
        <v>0</v>
      </c>
      <c r="O305" s="724">
        <v>0</v>
      </c>
      <c r="P305" s="724">
        <v>0</v>
      </c>
      <c r="Q305" s="724">
        <v>0</v>
      </c>
      <c r="R305" s="724">
        <v>0</v>
      </c>
      <c r="S305" s="724">
        <v>0</v>
      </c>
      <c r="T305" s="724">
        <v>0</v>
      </c>
      <c r="U305" s="724">
        <v>0</v>
      </c>
      <c r="V305" s="724">
        <v>0</v>
      </c>
      <c r="W305" s="92">
        <v>0</v>
      </c>
      <c r="X305" s="92">
        <v>0</v>
      </c>
      <c r="Y305" s="738">
        <v>0</v>
      </c>
      <c r="Z305" s="738">
        <v>0</v>
      </c>
      <c r="AA305" s="738">
        <v>0</v>
      </c>
      <c r="AB305" s="92"/>
      <c r="AC305" s="92"/>
      <c r="AD305" s="92"/>
      <c r="AE305" s="92"/>
      <c r="AF305" s="92" t="s">
        <v>195</v>
      </c>
      <c r="AG305" s="92"/>
    </row>
    <row r="306" s="570" customFormat="1" ht="24.95" customHeight="1" spans="1:33">
      <c r="A306" s="705" t="s">
        <v>48</v>
      </c>
      <c r="B306" s="92" t="s">
        <v>148</v>
      </c>
      <c r="C306" s="92"/>
      <c r="D306" s="76"/>
      <c r="E306" s="92">
        <v>0</v>
      </c>
      <c r="F306" s="92">
        <v>0</v>
      </c>
      <c r="G306" s="92"/>
      <c r="H306" s="724">
        <v>0</v>
      </c>
      <c r="I306" s="724">
        <v>0</v>
      </c>
      <c r="J306" s="724">
        <v>0</v>
      </c>
      <c r="K306" s="724">
        <v>0</v>
      </c>
      <c r="L306" s="724">
        <v>0</v>
      </c>
      <c r="M306" s="724">
        <v>0</v>
      </c>
      <c r="N306" s="724">
        <v>0</v>
      </c>
      <c r="O306" s="724">
        <v>0</v>
      </c>
      <c r="P306" s="724">
        <v>0</v>
      </c>
      <c r="Q306" s="724">
        <v>0</v>
      </c>
      <c r="R306" s="724">
        <v>0</v>
      </c>
      <c r="S306" s="724">
        <v>0</v>
      </c>
      <c r="T306" s="724">
        <v>0</v>
      </c>
      <c r="U306" s="724">
        <v>0</v>
      </c>
      <c r="V306" s="724">
        <v>0</v>
      </c>
      <c r="W306" s="92">
        <v>0</v>
      </c>
      <c r="X306" s="92">
        <v>0</v>
      </c>
      <c r="Y306" s="738">
        <v>0</v>
      </c>
      <c r="Z306" s="738">
        <v>0</v>
      </c>
      <c r="AA306" s="738">
        <v>0</v>
      </c>
      <c r="AB306" s="92"/>
      <c r="AC306" s="92"/>
      <c r="AD306" s="92"/>
      <c r="AE306" s="92"/>
      <c r="AF306" s="92"/>
      <c r="AG306" s="92"/>
    </row>
    <row r="307" s="570" customFormat="1" ht="24.95" customHeight="1" spans="1:33">
      <c r="A307" s="705">
        <v>43</v>
      </c>
      <c r="B307" s="92" t="s">
        <v>282</v>
      </c>
      <c r="C307" s="92"/>
      <c r="D307" s="76" t="s">
        <v>147</v>
      </c>
      <c r="E307" s="92">
        <v>0</v>
      </c>
      <c r="F307" s="92">
        <v>0</v>
      </c>
      <c r="G307" s="92"/>
      <c r="H307" s="724">
        <v>0</v>
      </c>
      <c r="I307" s="724">
        <v>0</v>
      </c>
      <c r="J307" s="724">
        <v>0</v>
      </c>
      <c r="K307" s="724">
        <v>0</v>
      </c>
      <c r="L307" s="724">
        <v>0</v>
      </c>
      <c r="M307" s="724">
        <v>0</v>
      </c>
      <c r="N307" s="724">
        <v>0</v>
      </c>
      <c r="O307" s="724">
        <v>0</v>
      </c>
      <c r="P307" s="724">
        <v>0</v>
      </c>
      <c r="Q307" s="724">
        <v>0</v>
      </c>
      <c r="R307" s="724">
        <v>0</v>
      </c>
      <c r="S307" s="724">
        <v>0</v>
      </c>
      <c r="T307" s="724">
        <v>0</v>
      </c>
      <c r="U307" s="724">
        <v>0</v>
      </c>
      <c r="V307" s="724">
        <v>0</v>
      </c>
      <c r="W307" s="92">
        <v>0</v>
      </c>
      <c r="X307" s="92">
        <v>0</v>
      </c>
      <c r="Y307" s="738">
        <v>0</v>
      </c>
      <c r="Z307" s="738">
        <v>0</v>
      </c>
      <c r="AA307" s="738">
        <v>0</v>
      </c>
      <c r="AB307" s="92"/>
      <c r="AC307" s="92"/>
      <c r="AD307" s="92"/>
      <c r="AE307" s="92"/>
      <c r="AF307" s="92" t="s">
        <v>195</v>
      </c>
      <c r="AG307" s="92"/>
    </row>
    <row r="308" s="570" customFormat="1" ht="24.95" customHeight="1" spans="1:33">
      <c r="A308" s="705" t="s">
        <v>48</v>
      </c>
      <c r="B308" s="92" t="s">
        <v>148</v>
      </c>
      <c r="C308" s="92"/>
      <c r="D308" s="76"/>
      <c r="E308" s="92">
        <v>0</v>
      </c>
      <c r="F308" s="92">
        <v>0</v>
      </c>
      <c r="G308" s="92"/>
      <c r="H308" s="724">
        <v>0</v>
      </c>
      <c r="I308" s="724">
        <v>0</v>
      </c>
      <c r="J308" s="724">
        <v>0</v>
      </c>
      <c r="K308" s="724">
        <v>0</v>
      </c>
      <c r="L308" s="724">
        <v>0</v>
      </c>
      <c r="M308" s="724">
        <v>0</v>
      </c>
      <c r="N308" s="724">
        <v>0</v>
      </c>
      <c r="O308" s="724">
        <v>0</v>
      </c>
      <c r="P308" s="724">
        <v>0</v>
      </c>
      <c r="Q308" s="724">
        <v>0</v>
      </c>
      <c r="R308" s="724">
        <v>0</v>
      </c>
      <c r="S308" s="724">
        <v>0</v>
      </c>
      <c r="T308" s="724">
        <v>0</v>
      </c>
      <c r="U308" s="724">
        <v>0</v>
      </c>
      <c r="V308" s="724">
        <v>0</v>
      </c>
      <c r="W308" s="92">
        <v>0</v>
      </c>
      <c r="X308" s="92">
        <v>0</v>
      </c>
      <c r="Y308" s="738">
        <v>0</v>
      </c>
      <c r="Z308" s="738">
        <v>0</v>
      </c>
      <c r="AA308" s="738">
        <v>0</v>
      </c>
      <c r="AB308" s="92"/>
      <c r="AC308" s="92"/>
      <c r="AD308" s="92"/>
      <c r="AE308" s="92"/>
      <c r="AF308" s="92"/>
      <c r="AG308" s="92"/>
    </row>
    <row r="309" s="570" customFormat="1" ht="24.95" customHeight="1" spans="1:33">
      <c r="A309" s="705">
        <v>44</v>
      </c>
      <c r="B309" s="92" t="s">
        <v>283</v>
      </c>
      <c r="C309" s="92"/>
      <c r="D309" s="76"/>
      <c r="E309" s="92">
        <v>0</v>
      </c>
      <c r="F309" s="92">
        <v>0</v>
      </c>
      <c r="G309" s="92"/>
      <c r="H309" s="724">
        <v>0</v>
      </c>
      <c r="I309" s="724">
        <v>0</v>
      </c>
      <c r="J309" s="724">
        <v>0</v>
      </c>
      <c r="K309" s="724">
        <v>0</v>
      </c>
      <c r="L309" s="724">
        <v>0</v>
      </c>
      <c r="M309" s="724">
        <v>0</v>
      </c>
      <c r="N309" s="724">
        <v>0</v>
      </c>
      <c r="O309" s="724">
        <v>0</v>
      </c>
      <c r="P309" s="724">
        <v>0</v>
      </c>
      <c r="Q309" s="724">
        <v>0</v>
      </c>
      <c r="R309" s="724">
        <v>0</v>
      </c>
      <c r="S309" s="724">
        <v>0</v>
      </c>
      <c r="T309" s="724">
        <v>0</v>
      </c>
      <c r="U309" s="724">
        <v>0</v>
      </c>
      <c r="V309" s="724">
        <v>0</v>
      </c>
      <c r="W309" s="92">
        <v>0</v>
      </c>
      <c r="X309" s="92">
        <v>0</v>
      </c>
      <c r="Y309" s="738">
        <v>0</v>
      </c>
      <c r="Z309" s="738">
        <v>0</v>
      </c>
      <c r="AA309" s="738">
        <v>0</v>
      </c>
      <c r="AB309" s="92"/>
      <c r="AC309" s="92"/>
      <c r="AD309" s="92"/>
      <c r="AE309" s="92"/>
      <c r="AF309" s="92" t="s">
        <v>195</v>
      </c>
      <c r="AG309" s="92"/>
    </row>
    <row r="310" s="570" customFormat="1" ht="24.95" customHeight="1" spans="1:33">
      <c r="A310" s="705" t="s">
        <v>48</v>
      </c>
      <c r="B310" s="92" t="s">
        <v>148</v>
      </c>
      <c r="C310" s="73"/>
      <c r="D310" s="71"/>
      <c r="E310" s="92">
        <v>0</v>
      </c>
      <c r="F310" s="92">
        <v>0</v>
      </c>
      <c r="G310" s="92"/>
      <c r="H310" s="724">
        <v>0</v>
      </c>
      <c r="I310" s="724">
        <v>0</v>
      </c>
      <c r="J310" s="724">
        <v>0</v>
      </c>
      <c r="K310" s="724">
        <v>0</v>
      </c>
      <c r="L310" s="724">
        <v>0</v>
      </c>
      <c r="M310" s="724">
        <v>0</v>
      </c>
      <c r="N310" s="724">
        <v>0</v>
      </c>
      <c r="O310" s="724">
        <v>0</v>
      </c>
      <c r="P310" s="724">
        <v>0</v>
      </c>
      <c r="Q310" s="724">
        <v>0</v>
      </c>
      <c r="R310" s="724">
        <v>0</v>
      </c>
      <c r="S310" s="724">
        <v>0</v>
      </c>
      <c r="T310" s="724">
        <v>0</v>
      </c>
      <c r="U310" s="724">
        <v>0</v>
      </c>
      <c r="V310" s="724">
        <v>0</v>
      </c>
      <c r="W310" s="92">
        <v>0</v>
      </c>
      <c r="X310" s="92">
        <v>0</v>
      </c>
      <c r="Y310" s="738">
        <v>0</v>
      </c>
      <c r="Z310" s="738">
        <v>0</v>
      </c>
      <c r="AA310" s="738">
        <v>0</v>
      </c>
      <c r="AB310" s="73"/>
      <c r="AC310" s="73"/>
      <c r="AD310" s="92"/>
      <c r="AE310" s="92"/>
      <c r="AF310" s="92"/>
      <c r="AG310" s="92"/>
    </row>
    <row r="311" s="570" customFormat="1" ht="53.25" customHeight="1" spans="1:33">
      <c r="A311" s="705">
        <v>45</v>
      </c>
      <c r="B311" s="92" t="s">
        <v>284</v>
      </c>
      <c r="C311" s="92"/>
      <c r="D311" s="76"/>
      <c r="E311" s="92">
        <v>0</v>
      </c>
      <c r="F311" s="92">
        <v>0</v>
      </c>
      <c r="G311" s="92"/>
      <c r="H311" s="724">
        <v>0</v>
      </c>
      <c r="I311" s="724">
        <v>0</v>
      </c>
      <c r="J311" s="724">
        <v>0</v>
      </c>
      <c r="K311" s="724">
        <v>0</v>
      </c>
      <c r="L311" s="724">
        <v>0</v>
      </c>
      <c r="M311" s="724">
        <v>0</v>
      </c>
      <c r="N311" s="724">
        <v>0</v>
      </c>
      <c r="O311" s="724">
        <v>0</v>
      </c>
      <c r="P311" s="724">
        <v>0</v>
      </c>
      <c r="Q311" s="724">
        <v>0</v>
      </c>
      <c r="R311" s="724">
        <v>0</v>
      </c>
      <c r="S311" s="724">
        <v>0</v>
      </c>
      <c r="T311" s="724">
        <v>0</v>
      </c>
      <c r="U311" s="724">
        <v>0</v>
      </c>
      <c r="V311" s="724">
        <v>0</v>
      </c>
      <c r="W311" s="92">
        <v>0</v>
      </c>
      <c r="X311" s="92">
        <v>0</v>
      </c>
      <c r="Y311" s="738">
        <v>0</v>
      </c>
      <c r="Z311" s="738">
        <v>0</v>
      </c>
      <c r="AA311" s="738">
        <v>0</v>
      </c>
      <c r="AB311" s="92"/>
      <c r="AC311" s="92"/>
      <c r="AD311" s="92"/>
      <c r="AE311" s="92"/>
      <c r="AF311" s="92" t="s">
        <v>195</v>
      </c>
      <c r="AG311" s="92"/>
    </row>
    <row r="312" s="570" customFormat="1" ht="37.5" customHeight="1" spans="1:33">
      <c r="A312" s="705" t="s">
        <v>48</v>
      </c>
      <c r="B312" s="92" t="s">
        <v>148</v>
      </c>
      <c r="C312" s="73"/>
      <c r="D312" s="71"/>
      <c r="E312" s="92">
        <v>0</v>
      </c>
      <c r="F312" s="92">
        <v>0</v>
      </c>
      <c r="G312" s="92"/>
      <c r="H312" s="724">
        <v>0</v>
      </c>
      <c r="I312" s="724">
        <v>0</v>
      </c>
      <c r="J312" s="724">
        <v>0</v>
      </c>
      <c r="K312" s="724">
        <v>0</v>
      </c>
      <c r="L312" s="724">
        <v>0</v>
      </c>
      <c r="M312" s="724">
        <v>0</v>
      </c>
      <c r="N312" s="724">
        <v>0</v>
      </c>
      <c r="O312" s="724">
        <v>0</v>
      </c>
      <c r="P312" s="724">
        <v>0</v>
      </c>
      <c r="Q312" s="724">
        <v>0</v>
      </c>
      <c r="R312" s="724">
        <v>0</v>
      </c>
      <c r="S312" s="724">
        <v>0</v>
      </c>
      <c r="T312" s="724">
        <v>0</v>
      </c>
      <c r="U312" s="724">
        <v>0</v>
      </c>
      <c r="V312" s="724">
        <v>0</v>
      </c>
      <c r="W312" s="92">
        <v>0</v>
      </c>
      <c r="X312" s="92">
        <v>0</v>
      </c>
      <c r="Y312" s="738">
        <v>0</v>
      </c>
      <c r="Z312" s="738">
        <v>0</v>
      </c>
      <c r="AA312" s="738">
        <v>0</v>
      </c>
      <c r="AB312" s="73"/>
      <c r="AC312" s="73"/>
      <c r="AD312" s="92"/>
      <c r="AE312" s="92"/>
      <c r="AF312" s="92"/>
      <c r="AG312" s="92"/>
    </row>
    <row r="313" s="570" customFormat="1" ht="24.95" customHeight="1" spans="1:33">
      <c r="A313" s="705"/>
      <c r="B313" s="750" t="s">
        <v>285</v>
      </c>
      <c r="C313" s="146" t="s">
        <v>52</v>
      </c>
      <c r="D313" s="152" t="s">
        <v>147</v>
      </c>
      <c r="E313" s="92">
        <v>36</v>
      </c>
      <c r="F313" s="92">
        <v>0</v>
      </c>
      <c r="G313" s="92"/>
      <c r="H313" s="724">
        <v>9000</v>
      </c>
      <c r="I313" s="724">
        <v>3000</v>
      </c>
      <c r="J313" s="724">
        <v>3000</v>
      </c>
      <c r="K313" s="724">
        <v>3000</v>
      </c>
      <c r="L313" s="724">
        <v>0</v>
      </c>
      <c r="M313" s="724">
        <v>0</v>
      </c>
      <c r="N313" s="724">
        <v>1500</v>
      </c>
      <c r="O313" s="724">
        <v>300</v>
      </c>
      <c r="P313" s="724">
        <v>600</v>
      </c>
      <c r="Q313" s="724">
        <v>600</v>
      </c>
      <c r="R313" s="724">
        <v>0</v>
      </c>
      <c r="S313" s="724">
        <v>0</v>
      </c>
      <c r="T313" s="724">
        <v>0</v>
      </c>
      <c r="U313" s="724">
        <v>1500</v>
      </c>
      <c r="V313" s="724">
        <v>0</v>
      </c>
      <c r="W313" s="92" t="s">
        <v>240</v>
      </c>
      <c r="X313" s="92" t="s">
        <v>47</v>
      </c>
      <c r="Y313" s="738">
        <v>9000</v>
      </c>
      <c r="Z313" s="738">
        <v>38700</v>
      </c>
      <c r="AA313" s="738">
        <v>36</v>
      </c>
      <c r="AB313" s="708"/>
      <c r="AC313" s="708"/>
      <c r="AD313" s="193" t="s">
        <v>242</v>
      </c>
      <c r="AE313" s="193" t="s">
        <v>243</v>
      </c>
      <c r="AF313" s="146" t="s">
        <v>195</v>
      </c>
      <c r="AG313" s="708"/>
    </row>
    <row r="314" s="570" customFormat="1" ht="24.95" customHeight="1" spans="1:33">
      <c r="A314" s="705"/>
      <c r="B314" s="714" t="s">
        <v>101</v>
      </c>
      <c r="C314" s="146" t="s">
        <v>52</v>
      </c>
      <c r="D314" s="152" t="s">
        <v>147</v>
      </c>
      <c r="E314" s="92">
        <v>3</v>
      </c>
      <c r="F314" s="92" t="s">
        <v>101</v>
      </c>
      <c r="G314" s="92"/>
      <c r="H314" s="724">
        <v>531</v>
      </c>
      <c r="I314" s="724">
        <v>177</v>
      </c>
      <c r="J314" s="724">
        <v>177</v>
      </c>
      <c r="K314" s="724">
        <v>177</v>
      </c>
      <c r="L314" s="724">
        <v>2018.01</v>
      </c>
      <c r="M314" s="724">
        <v>2020.12</v>
      </c>
      <c r="N314" s="724">
        <v>88.5</v>
      </c>
      <c r="O314" s="724">
        <v>17.7</v>
      </c>
      <c r="P314" s="724">
        <v>35.4</v>
      </c>
      <c r="Q314" s="724">
        <v>35.4</v>
      </c>
      <c r="R314" s="724">
        <v>0</v>
      </c>
      <c r="S314" s="724">
        <v>0</v>
      </c>
      <c r="T314" s="724">
        <v>0</v>
      </c>
      <c r="U314" s="724">
        <v>88.5</v>
      </c>
      <c r="V314" s="724">
        <v>0</v>
      </c>
      <c r="W314" s="92" t="s">
        <v>240</v>
      </c>
      <c r="X314" s="92" t="s">
        <v>47</v>
      </c>
      <c r="Y314" s="738">
        <v>531</v>
      </c>
      <c r="Z314" s="738">
        <v>2283.3</v>
      </c>
      <c r="AA314" s="738">
        <v>3</v>
      </c>
      <c r="AB314" s="708"/>
      <c r="AC314" s="708"/>
      <c r="AD314" s="438" t="s">
        <v>244</v>
      </c>
      <c r="AE314" s="146" t="s">
        <v>245</v>
      </c>
      <c r="AF314" s="146" t="s">
        <v>195</v>
      </c>
      <c r="AG314" s="708"/>
    </row>
    <row r="315" s="570" customFormat="1" ht="24.95" customHeight="1" spans="1:33">
      <c r="A315" s="705"/>
      <c r="B315" s="714" t="s">
        <v>151</v>
      </c>
      <c r="C315" s="146" t="s">
        <v>52</v>
      </c>
      <c r="D315" s="152" t="s">
        <v>147</v>
      </c>
      <c r="E315" s="92">
        <v>3</v>
      </c>
      <c r="F315" s="92" t="s">
        <v>151</v>
      </c>
      <c r="G315" s="92"/>
      <c r="H315" s="724">
        <v>315</v>
      </c>
      <c r="I315" s="724">
        <v>105</v>
      </c>
      <c r="J315" s="724">
        <v>105</v>
      </c>
      <c r="K315" s="724">
        <v>105</v>
      </c>
      <c r="L315" s="724">
        <v>2018.01</v>
      </c>
      <c r="M315" s="724">
        <v>2020.12</v>
      </c>
      <c r="N315" s="724">
        <v>52.5</v>
      </c>
      <c r="O315" s="724">
        <v>10.5</v>
      </c>
      <c r="P315" s="724">
        <v>21</v>
      </c>
      <c r="Q315" s="724">
        <v>21</v>
      </c>
      <c r="R315" s="724">
        <v>0</v>
      </c>
      <c r="S315" s="724">
        <v>0</v>
      </c>
      <c r="T315" s="724">
        <v>0</v>
      </c>
      <c r="U315" s="724">
        <v>52.5</v>
      </c>
      <c r="V315" s="724">
        <v>0</v>
      </c>
      <c r="W315" s="92" t="s">
        <v>240</v>
      </c>
      <c r="X315" s="92" t="s">
        <v>47</v>
      </c>
      <c r="Y315" s="738">
        <v>315</v>
      </c>
      <c r="Z315" s="738">
        <v>1354.5</v>
      </c>
      <c r="AA315" s="738">
        <v>3</v>
      </c>
      <c r="AB315" s="708"/>
      <c r="AC315" s="708"/>
      <c r="AD315" s="438" t="s">
        <v>169</v>
      </c>
      <c r="AE315" s="146" t="s">
        <v>246</v>
      </c>
      <c r="AF315" s="146" t="s">
        <v>195</v>
      </c>
      <c r="AG315" s="708"/>
    </row>
    <row r="316" s="570" customFormat="1" ht="24.95" customHeight="1" spans="1:33">
      <c r="A316" s="705"/>
      <c r="B316" s="714" t="s">
        <v>154</v>
      </c>
      <c r="C316" s="146" t="s">
        <v>52</v>
      </c>
      <c r="D316" s="152" t="s">
        <v>147</v>
      </c>
      <c r="E316" s="92">
        <v>3</v>
      </c>
      <c r="F316" s="92" t="s">
        <v>154</v>
      </c>
      <c r="G316" s="92"/>
      <c r="H316" s="724">
        <v>774</v>
      </c>
      <c r="I316" s="724">
        <v>258</v>
      </c>
      <c r="J316" s="724">
        <v>258</v>
      </c>
      <c r="K316" s="724">
        <v>258</v>
      </c>
      <c r="L316" s="724">
        <v>2018.01</v>
      </c>
      <c r="M316" s="724">
        <v>2020.12</v>
      </c>
      <c r="N316" s="724">
        <v>129</v>
      </c>
      <c r="O316" s="724">
        <v>25.8</v>
      </c>
      <c r="P316" s="724">
        <v>51.6</v>
      </c>
      <c r="Q316" s="724">
        <v>51.6</v>
      </c>
      <c r="R316" s="724">
        <v>0</v>
      </c>
      <c r="S316" s="724">
        <v>0</v>
      </c>
      <c r="T316" s="724">
        <v>0</v>
      </c>
      <c r="U316" s="724">
        <v>129</v>
      </c>
      <c r="V316" s="724">
        <v>0</v>
      </c>
      <c r="W316" s="92" t="s">
        <v>240</v>
      </c>
      <c r="X316" s="92" t="s">
        <v>47</v>
      </c>
      <c r="Y316" s="738">
        <v>774</v>
      </c>
      <c r="Z316" s="738">
        <v>3328.2</v>
      </c>
      <c r="AA316" s="738">
        <v>3</v>
      </c>
      <c r="AB316" s="708"/>
      <c r="AC316" s="708"/>
      <c r="AD316" s="438" t="s">
        <v>247</v>
      </c>
      <c r="AE316" s="146" t="s">
        <v>248</v>
      </c>
      <c r="AF316" s="146" t="s">
        <v>195</v>
      </c>
      <c r="AG316" s="708"/>
    </row>
    <row r="317" s="570" customFormat="1" ht="24.95" customHeight="1" spans="1:33">
      <c r="A317" s="705"/>
      <c r="B317" s="714" t="s">
        <v>81</v>
      </c>
      <c r="C317" s="146" t="s">
        <v>52</v>
      </c>
      <c r="D317" s="152" t="s">
        <v>147</v>
      </c>
      <c r="E317" s="92">
        <v>3</v>
      </c>
      <c r="F317" s="92" t="s">
        <v>81</v>
      </c>
      <c r="G317" s="92"/>
      <c r="H317" s="724">
        <v>765</v>
      </c>
      <c r="I317" s="724">
        <v>255</v>
      </c>
      <c r="J317" s="724">
        <v>255</v>
      </c>
      <c r="K317" s="724">
        <v>255</v>
      </c>
      <c r="L317" s="724">
        <v>2018.01</v>
      </c>
      <c r="M317" s="724">
        <v>2020.12</v>
      </c>
      <c r="N317" s="724">
        <v>127.5</v>
      </c>
      <c r="O317" s="724">
        <v>25.5</v>
      </c>
      <c r="P317" s="724">
        <v>51</v>
      </c>
      <c r="Q317" s="724">
        <v>51</v>
      </c>
      <c r="R317" s="724">
        <v>0</v>
      </c>
      <c r="S317" s="724">
        <v>0</v>
      </c>
      <c r="T317" s="724">
        <v>0</v>
      </c>
      <c r="U317" s="724">
        <v>127.5</v>
      </c>
      <c r="V317" s="724">
        <v>0</v>
      </c>
      <c r="W317" s="92" t="s">
        <v>240</v>
      </c>
      <c r="X317" s="92" t="s">
        <v>47</v>
      </c>
      <c r="Y317" s="738">
        <v>765</v>
      </c>
      <c r="Z317" s="738">
        <v>3289.5</v>
      </c>
      <c r="AA317" s="738">
        <v>3</v>
      </c>
      <c r="AB317" s="708"/>
      <c r="AC317" s="708"/>
      <c r="AD317" s="438" t="s">
        <v>249</v>
      </c>
      <c r="AE317" s="146" t="s">
        <v>250</v>
      </c>
      <c r="AF317" s="146" t="s">
        <v>195</v>
      </c>
      <c r="AG317" s="708"/>
    </row>
    <row r="318" s="570" customFormat="1" ht="24.95" customHeight="1" spans="1:33">
      <c r="A318" s="705"/>
      <c r="B318" s="714" t="s">
        <v>98</v>
      </c>
      <c r="C318" s="146" t="s">
        <v>52</v>
      </c>
      <c r="D318" s="152" t="s">
        <v>147</v>
      </c>
      <c r="E318" s="92">
        <v>3</v>
      </c>
      <c r="F318" s="92" t="s">
        <v>98</v>
      </c>
      <c r="G318" s="92"/>
      <c r="H318" s="724">
        <v>1152</v>
      </c>
      <c r="I318" s="724">
        <v>384</v>
      </c>
      <c r="J318" s="724">
        <v>384</v>
      </c>
      <c r="K318" s="724">
        <v>384</v>
      </c>
      <c r="L318" s="724">
        <v>2018.01</v>
      </c>
      <c r="M318" s="724">
        <v>2020.12</v>
      </c>
      <c r="N318" s="724">
        <v>192</v>
      </c>
      <c r="O318" s="724">
        <v>38.4</v>
      </c>
      <c r="P318" s="724">
        <v>76.8</v>
      </c>
      <c r="Q318" s="724">
        <v>76.8</v>
      </c>
      <c r="R318" s="724">
        <v>0</v>
      </c>
      <c r="S318" s="724">
        <v>0</v>
      </c>
      <c r="T318" s="724">
        <v>0</v>
      </c>
      <c r="U318" s="724">
        <v>192</v>
      </c>
      <c r="V318" s="724">
        <v>0</v>
      </c>
      <c r="W318" s="92" t="s">
        <v>240</v>
      </c>
      <c r="X318" s="92" t="s">
        <v>47</v>
      </c>
      <c r="Y318" s="738">
        <v>1152</v>
      </c>
      <c r="Z318" s="738">
        <v>4953.6</v>
      </c>
      <c r="AA318" s="738">
        <v>3</v>
      </c>
      <c r="AB318" s="708"/>
      <c r="AC318" s="708"/>
      <c r="AD318" s="438" t="s">
        <v>209</v>
      </c>
      <c r="AE318" s="146" t="s">
        <v>251</v>
      </c>
      <c r="AF318" s="146" t="s">
        <v>195</v>
      </c>
      <c r="AG318" s="708"/>
    </row>
    <row r="319" s="570" customFormat="1" ht="24.95" customHeight="1" spans="1:33">
      <c r="A319" s="705"/>
      <c r="B319" s="714" t="s">
        <v>211</v>
      </c>
      <c r="C319" s="146" t="s">
        <v>52</v>
      </c>
      <c r="D319" s="152" t="s">
        <v>147</v>
      </c>
      <c r="E319" s="92">
        <v>3</v>
      </c>
      <c r="F319" s="92" t="s">
        <v>211</v>
      </c>
      <c r="G319" s="92"/>
      <c r="H319" s="724">
        <v>873</v>
      </c>
      <c r="I319" s="724">
        <v>291</v>
      </c>
      <c r="J319" s="724">
        <v>291</v>
      </c>
      <c r="K319" s="724">
        <v>291</v>
      </c>
      <c r="L319" s="724">
        <v>2018.01</v>
      </c>
      <c r="M319" s="724">
        <v>2020.12</v>
      </c>
      <c r="N319" s="724">
        <v>145.5</v>
      </c>
      <c r="O319" s="724">
        <v>29.1</v>
      </c>
      <c r="P319" s="724">
        <v>58.2</v>
      </c>
      <c r="Q319" s="724">
        <v>58.2</v>
      </c>
      <c r="R319" s="724">
        <v>0</v>
      </c>
      <c r="S319" s="724">
        <v>0</v>
      </c>
      <c r="T319" s="724">
        <v>0</v>
      </c>
      <c r="U319" s="724">
        <v>145.5</v>
      </c>
      <c r="V319" s="724">
        <v>0</v>
      </c>
      <c r="W319" s="92" t="s">
        <v>240</v>
      </c>
      <c r="X319" s="92" t="s">
        <v>47</v>
      </c>
      <c r="Y319" s="738">
        <v>873</v>
      </c>
      <c r="Z319" s="738">
        <v>3753.9</v>
      </c>
      <c r="AA319" s="738">
        <v>3</v>
      </c>
      <c r="AB319" s="708"/>
      <c r="AC319" s="708"/>
      <c r="AD319" s="438" t="s">
        <v>76</v>
      </c>
      <c r="AE319" s="146" t="s">
        <v>252</v>
      </c>
      <c r="AF319" s="146" t="s">
        <v>195</v>
      </c>
      <c r="AG319" s="708"/>
    </row>
    <row r="320" s="570" customFormat="1" ht="24.95" customHeight="1" spans="1:33">
      <c r="A320" s="705"/>
      <c r="B320" s="714" t="s">
        <v>155</v>
      </c>
      <c r="C320" s="146" t="s">
        <v>52</v>
      </c>
      <c r="D320" s="152" t="s">
        <v>147</v>
      </c>
      <c r="E320" s="92">
        <v>3</v>
      </c>
      <c r="F320" s="92" t="s">
        <v>155</v>
      </c>
      <c r="G320" s="92"/>
      <c r="H320" s="724">
        <v>603</v>
      </c>
      <c r="I320" s="724">
        <v>201</v>
      </c>
      <c r="J320" s="724">
        <v>201</v>
      </c>
      <c r="K320" s="724">
        <v>201</v>
      </c>
      <c r="L320" s="724">
        <v>2018.01</v>
      </c>
      <c r="M320" s="724">
        <v>2020.12</v>
      </c>
      <c r="N320" s="724">
        <v>100.5</v>
      </c>
      <c r="O320" s="724">
        <v>20.1</v>
      </c>
      <c r="P320" s="724">
        <v>40.2</v>
      </c>
      <c r="Q320" s="724">
        <v>40.2</v>
      </c>
      <c r="R320" s="724">
        <v>0</v>
      </c>
      <c r="S320" s="724">
        <v>0</v>
      </c>
      <c r="T320" s="724">
        <v>0</v>
      </c>
      <c r="U320" s="724">
        <v>100.5</v>
      </c>
      <c r="V320" s="724">
        <v>0</v>
      </c>
      <c r="W320" s="92" t="s">
        <v>240</v>
      </c>
      <c r="X320" s="92" t="s">
        <v>47</v>
      </c>
      <c r="Y320" s="738">
        <v>603</v>
      </c>
      <c r="Z320" s="738">
        <v>2592.9</v>
      </c>
      <c r="AA320" s="738">
        <v>3</v>
      </c>
      <c r="AB320" s="708"/>
      <c r="AC320" s="708"/>
      <c r="AD320" s="438" t="s">
        <v>253</v>
      </c>
      <c r="AE320" s="146" t="s">
        <v>254</v>
      </c>
      <c r="AF320" s="146" t="s">
        <v>195</v>
      </c>
      <c r="AG320" s="708"/>
    </row>
    <row r="321" s="570" customFormat="1" ht="24.95" customHeight="1" spans="1:33">
      <c r="A321" s="705"/>
      <c r="B321" s="714" t="s">
        <v>102</v>
      </c>
      <c r="C321" s="146" t="s">
        <v>52</v>
      </c>
      <c r="D321" s="152" t="s">
        <v>147</v>
      </c>
      <c r="E321" s="92">
        <v>3</v>
      </c>
      <c r="F321" s="92" t="s">
        <v>102</v>
      </c>
      <c r="G321" s="92"/>
      <c r="H321" s="724">
        <v>1476</v>
      </c>
      <c r="I321" s="724">
        <v>492</v>
      </c>
      <c r="J321" s="724">
        <v>492</v>
      </c>
      <c r="K321" s="724">
        <v>492</v>
      </c>
      <c r="L321" s="724">
        <v>2018.01</v>
      </c>
      <c r="M321" s="724">
        <v>2020.12</v>
      </c>
      <c r="N321" s="724">
        <v>246</v>
      </c>
      <c r="O321" s="724">
        <v>49.2</v>
      </c>
      <c r="P321" s="724">
        <v>98.4</v>
      </c>
      <c r="Q321" s="724">
        <v>98.4</v>
      </c>
      <c r="R321" s="724">
        <v>0</v>
      </c>
      <c r="S321" s="724">
        <v>0</v>
      </c>
      <c r="T321" s="724">
        <v>0</v>
      </c>
      <c r="U321" s="724">
        <v>246</v>
      </c>
      <c r="V321" s="724">
        <v>0</v>
      </c>
      <c r="W321" s="92" t="s">
        <v>240</v>
      </c>
      <c r="X321" s="92" t="s">
        <v>47</v>
      </c>
      <c r="Y321" s="738">
        <v>1476</v>
      </c>
      <c r="Z321" s="738">
        <v>6346.8</v>
      </c>
      <c r="AA321" s="738">
        <v>3</v>
      </c>
      <c r="AB321" s="708"/>
      <c r="AC321" s="708"/>
      <c r="AD321" s="146" t="s">
        <v>255</v>
      </c>
      <c r="AE321" s="146" t="s">
        <v>256</v>
      </c>
      <c r="AF321" s="146" t="s">
        <v>195</v>
      </c>
      <c r="AG321" s="708"/>
    </row>
    <row r="322" s="570" customFormat="1" ht="24.95" customHeight="1" spans="1:33">
      <c r="A322" s="705"/>
      <c r="B322" s="714" t="s">
        <v>100</v>
      </c>
      <c r="C322" s="146" t="s">
        <v>52</v>
      </c>
      <c r="D322" s="152" t="s">
        <v>147</v>
      </c>
      <c r="E322" s="92">
        <v>3</v>
      </c>
      <c r="F322" s="92" t="s">
        <v>100</v>
      </c>
      <c r="G322" s="92"/>
      <c r="H322" s="724">
        <v>720</v>
      </c>
      <c r="I322" s="724">
        <v>240</v>
      </c>
      <c r="J322" s="724">
        <v>240</v>
      </c>
      <c r="K322" s="724">
        <v>240</v>
      </c>
      <c r="L322" s="724">
        <v>2018.01</v>
      </c>
      <c r="M322" s="724">
        <v>2020.12</v>
      </c>
      <c r="N322" s="724">
        <v>120</v>
      </c>
      <c r="O322" s="724">
        <v>24</v>
      </c>
      <c r="P322" s="724">
        <v>48</v>
      </c>
      <c r="Q322" s="724">
        <v>48</v>
      </c>
      <c r="R322" s="724">
        <v>0</v>
      </c>
      <c r="S322" s="724">
        <v>0</v>
      </c>
      <c r="T322" s="724">
        <v>0</v>
      </c>
      <c r="U322" s="724">
        <v>120</v>
      </c>
      <c r="V322" s="724">
        <v>0</v>
      </c>
      <c r="W322" s="92" t="s">
        <v>240</v>
      </c>
      <c r="X322" s="92" t="s">
        <v>47</v>
      </c>
      <c r="Y322" s="738">
        <v>720</v>
      </c>
      <c r="Z322" s="738">
        <v>3096</v>
      </c>
      <c r="AA322" s="738">
        <v>3</v>
      </c>
      <c r="AB322" s="708"/>
      <c r="AC322" s="708"/>
      <c r="AD322" s="438" t="s">
        <v>79</v>
      </c>
      <c r="AE322" s="146" t="s">
        <v>257</v>
      </c>
      <c r="AF322" s="146" t="s">
        <v>195</v>
      </c>
      <c r="AG322" s="708"/>
    </row>
    <row r="323" s="570" customFormat="1" ht="24.95" customHeight="1" spans="1:33">
      <c r="A323" s="705"/>
      <c r="B323" s="714" t="s">
        <v>84</v>
      </c>
      <c r="C323" s="146" t="s">
        <v>52</v>
      </c>
      <c r="D323" s="152" t="s">
        <v>147</v>
      </c>
      <c r="E323" s="92">
        <v>3</v>
      </c>
      <c r="F323" s="92" t="s">
        <v>84</v>
      </c>
      <c r="G323" s="92"/>
      <c r="H323" s="724">
        <v>990</v>
      </c>
      <c r="I323" s="724">
        <v>330</v>
      </c>
      <c r="J323" s="724">
        <v>330</v>
      </c>
      <c r="K323" s="724">
        <v>330</v>
      </c>
      <c r="L323" s="724">
        <v>2018.01</v>
      </c>
      <c r="M323" s="724">
        <v>2020.12</v>
      </c>
      <c r="N323" s="724">
        <v>165</v>
      </c>
      <c r="O323" s="724">
        <v>33</v>
      </c>
      <c r="P323" s="724">
        <v>66</v>
      </c>
      <c r="Q323" s="724">
        <v>66</v>
      </c>
      <c r="R323" s="724">
        <v>0</v>
      </c>
      <c r="S323" s="724">
        <v>0</v>
      </c>
      <c r="T323" s="724">
        <v>0</v>
      </c>
      <c r="U323" s="724">
        <v>165</v>
      </c>
      <c r="V323" s="724">
        <v>0</v>
      </c>
      <c r="W323" s="92" t="s">
        <v>240</v>
      </c>
      <c r="X323" s="92" t="s">
        <v>47</v>
      </c>
      <c r="Y323" s="738">
        <v>990</v>
      </c>
      <c r="Z323" s="738">
        <v>4257</v>
      </c>
      <c r="AA323" s="738">
        <v>3</v>
      </c>
      <c r="AB323" s="708"/>
      <c r="AC323" s="708"/>
      <c r="AD323" s="438" t="s">
        <v>185</v>
      </c>
      <c r="AE323" s="146" t="s">
        <v>258</v>
      </c>
      <c r="AF323" s="146" t="s">
        <v>195</v>
      </c>
      <c r="AG323" s="708"/>
    </row>
    <row r="324" s="570" customFormat="1" ht="24.95" customHeight="1" spans="1:33">
      <c r="A324" s="705"/>
      <c r="B324" s="714" t="s">
        <v>259</v>
      </c>
      <c r="C324" s="146" t="s">
        <v>52</v>
      </c>
      <c r="D324" s="152" t="s">
        <v>147</v>
      </c>
      <c r="E324" s="92">
        <v>3</v>
      </c>
      <c r="F324" s="92" t="s">
        <v>259</v>
      </c>
      <c r="G324" s="92"/>
      <c r="H324" s="724">
        <v>207</v>
      </c>
      <c r="I324" s="724">
        <v>69</v>
      </c>
      <c r="J324" s="724">
        <v>69</v>
      </c>
      <c r="K324" s="724">
        <v>69</v>
      </c>
      <c r="L324" s="724">
        <v>2018.01</v>
      </c>
      <c r="M324" s="724">
        <v>2020.12</v>
      </c>
      <c r="N324" s="724">
        <v>34.5</v>
      </c>
      <c r="O324" s="724">
        <v>6.9</v>
      </c>
      <c r="P324" s="724">
        <v>13.8</v>
      </c>
      <c r="Q324" s="724">
        <v>13.8</v>
      </c>
      <c r="R324" s="724">
        <v>0</v>
      </c>
      <c r="S324" s="724">
        <v>0</v>
      </c>
      <c r="T324" s="724">
        <v>0</v>
      </c>
      <c r="U324" s="724">
        <v>34.5</v>
      </c>
      <c r="V324" s="724">
        <v>0</v>
      </c>
      <c r="W324" s="92" t="s">
        <v>240</v>
      </c>
      <c r="X324" s="92" t="s">
        <v>47</v>
      </c>
      <c r="Y324" s="738">
        <v>207</v>
      </c>
      <c r="Z324" s="738">
        <v>890.1</v>
      </c>
      <c r="AA324" s="738">
        <v>3</v>
      </c>
      <c r="AB324" s="708"/>
      <c r="AC324" s="708"/>
      <c r="AD324" s="438" t="s">
        <v>260</v>
      </c>
      <c r="AE324" s="146" t="s">
        <v>261</v>
      </c>
      <c r="AF324" s="146" t="s">
        <v>195</v>
      </c>
      <c r="AG324" s="708"/>
    </row>
    <row r="325" s="570" customFormat="1" ht="24.95" customHeight="1" spans="1:33">
      <c r="A325" s="705"/>
      <c r="B325" s="714" t="s">
        <v>143</v>
      </c>
      <c r="C325" s="146" t="s">
        <v>52</v>
      </c>
      <c r="D325" s="152" t="s">
        <v>147</v>
      </c>
      <c r="E325" s="92">
        <v>3</v>
      </c>
      <c r="F325" s="92" t="s">
        <v>143</v>
      </c>
      <c r="G325" s="92"/>
      <c r="H325" s="724">
        <v>594</v>
      </c>
      <c r="I325" s="724">
        <v>198</v>
      </c>
      <c r="J325" s="724">
        <v>198</v>
      </c>
      <c r="K325" s="724">
        <v>198</v>
      </c>
      <c r="L325" s="724">
        <v>2018.01</v>
      </c>
      <c r="M325" s="724">
        <v>2020.12</v>
      </c>
      <c r="N325" s="724">
        <v>99</v>
      </c>
      <c r="O325" s="724">
        <v>19.8</v>
      </c>
      <c r="P325" s="724">
        <v>39.6</v>
      </c>
      <c r="Q325" s="724">
        <v>39.6</v>
      </c>
      <c r="R325" s="724">
        <v>0</v>
      </c>
      <c r="S325" s="724">
        <v>0</v>
      </c>
      <c r="T325" s="724">
        <v>0</v>
      </c>
      <c r="U325" s="724">
        <v>99</v>
      </c>
      <c r="V325" s="724">
        <v>0</v>
      </c>
      <c r="W325" s="92" t="s">
        <v>240</v>
      </c>
      <c r="X325" s="92" t="s">
        <v>47</v>
      </c>
      <c r="Y325" s="738">
        <v>594</v>
      </c>
      <c r="Z325" s="738">
        <v>2554.2</v>
      </c>
      <c r="AA325" s="738">
        <v>3</v>
      </c>
      <c r="AB325" s="708"/>
      <c r="AC325" s="708"/>
      <c r="AD325" s="777" t="s">
        <v>262</v>
      </c>
      <c r="AE325" s="777" t="s">
        <v>263</v>
      </c>
      <c r="AF325" s="146" t="s">
        <v>195</v>
      </c>
      <c r="AG325" s="708"/>
    </row>
    <row r="326" s="570" customFormat="1" ht="24.95" customHeight="1" spans="1:33">
      <c r="A326" s="705"/>
      <c r="B326" s="750" t="s">
        <v>286</v>
      </c>
      <c r="C326" s="146" t="s">
        <v>52</v>
      </c>
      <c r="D326" s="152" t="s">
        <v>147</v>
      </c>
      <c r="E326" s="92">
        <v>26</v>
      </c>
      <c r="F326" s="92">
        <v>0</v>
      </c>
      <c r="G326" s="92"/>
      <c r="H326" s="724">
        <v>1845</v>
      </c>
      <c r="I326" s="724">
        <v>315</v>
      </c>
      <c r="J326" s="724">
        <v>765</v>
      </c>
      <c r="K326" s="724">
        <v>765</v>
      </c>
      <c r="L326" s="724">
        <v>0</v>
      </c>
      <c r="M326" s="724">
        <v>0</v>
      </c>
      <c r="N326" s="724">
        <v>1239.3</v>
      </c>
      <c r="O326" s="724">
        <v>170.1</v>
      </c>
      <c r="P326" s="724">
        <v>534.6</v>
      </c>
      <c r="Q326" s="724">
        <v>534.6</v>
      </c>
      <c r="R326" s="724">
        <v>1239.3</v>
      </c>
      <c r="S326" s="724">
        <v>0</v>
      </c>
      <c r="T326" s="724">
        <v>0</v>
      </c>
      <c r="U326" s="724">
        <v>0</v>
      </c>
      <c r="V326" s="724">
        <v>0</v>
      </c>
      <c r="W326" s="92" t="s">
        <v>240</v>
      </c>
      <c r="X326" s="92" t="s">
        <v>47</v>
      </c>
      <c r="Y326" s="738">
        <v>975</v>
      </c>
      <c r="Z326" s="738">
        <v>2139</v>
      </c>
      <c r="AA326" s="738">
        <v>26</v>
      </c>
      <c r="AB326" s="708"/>
      <c r="AC326" s="708"/>
      <c r="AD326" s="193" t="s">
        <v>242</v>
      </c>
      <c r="AE326" s="193" t="s">
        <v>243</v>
      </c>
      <c r="AF326" s="146" t="s">
        <v>195</v>
      </c>
      <c r="AG326" s="708"/>
    </row>
    <row r="327" s="570" customFormat="1" ht="24.95" customHeight="1" spans="1:33">
      <c r="A327" s="705"/>
      <c r="B327" s="714" t="s">
        <v>101</v>
      </c>
      <c r="C327" s="146" t="s">
        <v>52</v>
      </c>
      <c r="D327" s="152" t="s">
        <v>147</v>
      </c>
      <c r="E327" s="92">
        <v>3</v>
      </c>
      <c r="F327" s="92" t="s">
        <v>101</v>
      </c>
      <c r="G327" s="92"/>
      <c r="H327" s="724">
        <v>450</v>
      </c>
      <c r="I327" s="724">
        <v>150</v>
      </c>
      <c r="J327" s="724">
        <v>150</v>
      </c>
      <c r="K327" s="724">
        <v>150</v>
      </c>
      <c r="L327" s="724">
        <v>2018.01</v>
      </c>
      <c r="M327" s="724">
        <v>2020.12</v>
      </c>
      <c r="N327" s="724">
        <v>243</v>
      </c>
      <c r="O327" s="724">
        <v>81</v>
      </c>
      <c r="P327" s="724">
        <v>81</v>
      </c>
      <c r="Q327" s="724">
        <v>81</v>
      </c>
      <c r="R327" s="724">
        <v>243</v>
      </c>
      <c r="S327" s="724">
        <v>0</v>
      </c>
      <c r="T327" s="724">
        <v>0</v>
      </c>
      <c r="U327" s="724">
        <v>0</v>
      </c>
      <c r="V327" s="724">
        <v>0</v>
      </c>
      <c r="W327" s="92" t="s">
        <v>240</v>
      </c>
      <c r="X327" s="92" t="s">
        <v>47</v>
      </c>
      <c r="Y327" s="738">
        <v>250</v>
      </c>
      <c r="Z327" s="738">
        <v>480</v>
      </c>
      <c r="AA327" s="738">
        <v>3</v>
      </c>
      <c r="AB327" s="708"/>
      <c r="AC327" s="708"/>
      <c r="AD327" s="146" t="s">
        <v>244</v>
      </c>
      <c r="AE327" s="146" t="s">
        <v>245</v>
      </c>
      <c r="AF327" s="146" t="s">
        <v>195</v>
      </c>
      <c r="AG327" s="708"/>
    </row>
    <row r="328" s="570" customFormat="1" ht="24.95" customHeight="1" spans="1:33">
      <c r="A328" s="705"/>
      <c r="B328" s="714" t="s">
        <v>151</v>
      </c>
      <c r="C328" s="146" t="s">
        <v>52</v>
      </c>
      <c r="D328" s="152" t="s">
        <v>147</v>
      </c>
      <c r="E328" s="92">
        <v>3</v>
      </c>
      <c r="F328" s="92" t="s">
        <v>151</v>
      </c>
      <c r="G328" s="92"/>
      <c r="H328" s="724">
        <v>495</v>
      </c>
      <c r="I328" s="724">
        <v>165</v>
      </c>
      <c r="J328" s="724">
        <v>165</v>
      </c>
      <c r="K328" s="724">
        <v>165</v>
      </c>
      <c r="L328" s="724">
        <v>2018.01</v>
      </c>
      <c r="M328" s="724">
        <v>2020.12</v>
      </c>
      <c r="N328" s="724">
        <v>267.3</v>
      </c>
      <c r="O328" s="724">
        <v>89.1</v>
      </c>
      <c r="P328" s="724">
        <v>89.1</v>
      </c>
      <c r="Q328" s="724">
        <v>89.1</v>
      </c>
      <c r="R328" s="724">
        <v>267.3</v>
      </c>
      <c r="S328" s="724">
        <v>0</v>
      </c>
      <c r="T328" s="724">
        <v>0</v>
      </c>
      <c r="U328" s="724">
        <v>0</v>
      </c>
      <c r="V328" s="724">
        <v>0</v>
      </c>
      <c r="W328" s="92" t="s">
        <v>240</v>
      </c>
      <c r="X328" s="92" t="s">
        <v>47</v>
      </c>
      <c r="Y328" s="738">
        <v>275</v>
      </c>
      <c r="Z328" s="738">
        <v>165</v>
      </c>
      <c r="AA328" s="738">
        <v>3</v>
      </c>
      <c r="AB328" s="708"/>
      <c r="AC328" s="708"/>
      <c r="AD328" s="146" t="s">
        <v>169</v>
      </c>
      <c r="AE328" s="146" t="s">
        <v>246</v>
      </c>
      <c r="AF328" s="146" t="s">
        <v>195</v>
      </c>
      <c r="AG328" s="708"/>
    </row>
    <row r="329" s="570" customFormat="1" ht="24.95" customHeight="1" spans="1:33">
      <c r="A329" s="705"/>
      <c r="B329" s="714" t="s">
        <v>154</v>
      </c>
      <c r="C329" s="146" t="s">
        <v>52</v>
      </c>
      <c r="D329" s="152" t="s">
        <v>147</v>
      </c>
      <c r="E329" s="92">
        <v>2</v>
      </c>
      <c r="F329" s="92" t="s">
        <v>154</v>
      </c>
      <c r="G329" s="92"/>
      <c r="H329" s="724">
        <v>100</v>
      </c>
      <c r="I329" s="724">
        <v>0</v>
      </c>
      <c r="J329" s="724">
        <v>50</v>
      </c>
      <c r="K329" s="724">
        <v>50</v>
      </c>
      <c r="L329" s="724">
        <v>0</v>
      </c>
      <c r="M329" s="724">
        <v>2020.12</v>
      </c>
      <c r="N329" s="724">
        <v>81</v>
      </c>
      <c r="O329" s="724">
        <v>0</v>
      </c>
      <c r="P329" s="724">
        <v>40.5</v>
      </c>
      <c r="Q329" s="724">
        <v>40.5</v>
      </c>
      <c r="R329" s="724">
        <v>81</v>
      </c>
      <c r="S329" s="724">
        <v>0</v>
      </c>
      <c r="T329" s="724">
        <v>0</v>
      </c>
      <c r="U329" s="724">
        <v>0</v>
      </c>
      <c r="V329" s="724">
        <v>0</v>
      </c>
      <c r="W329" s="92" t="s">
        <v>240</v>
      </c>
      <c r="X329" s="92" t="s">
        <v>47</v>
      </c>
      <c r="Y329" s="738">
        <v>50</v>
      </c>
      <c r="Z329" s="738">
        <v>160</v>
      </c>
      <c r="AA329" s="738">
        <v>2</v>
      </c>
      <c r="AB329" s="708"/>
      <c r="AC329" s="708"/>
      <c r="AD329" s="146" t="s">
        <v>247</v>
      </c>
      <c r="AE329" s="146" t="s">
        <v>248</v>
      </c>
      <c r="AF329" s="146" t="s">
        <v>195</v>
      </c>
      <c r="AG329" s="708"/>
    </row>
    <row r="330" s="570" customFormat="1" ht="24.95" customHeight="1" spans="1:33">
      <c r="A330" s="705"/>
      <c r="B330" s="714" t="s">
        <v>81</v>
      </c>
      <c r="C330" s="146" t="s">
        <v>52</v>
      </c>
      <c r="D330" s="152" t="s">
        <v>147</v>
      </c>
      <c r="E330" s="92">
        <v>2</v>
      </c>
      <c r="F330" s="92" t="s">
        <v>81</v>
      </c>
      <c r="G330" s="92"/>
      <c r="H330" s="724">
        <v>100</v>
      </c>
      <c r="I330" s="724">
        <v>0</v>
      </c>
      <c r="J330" s="724">
        <v>50</v>
      </c>
      <c r="K330" s="724">
        <v>50</v>
      </c>
      <c r="L330" s="724">
        <v>0</v>
      </c>
      <c r="M330" s="724">
        <v>2020.12</v>
      </c>
      <c r="N330" s="724">
        <v>81</v>
      </c>
      <c r="O330" s="724">
        <v>0</v>
      </c>
      <c r="P330" s="724">
        <v>40.5</v>
      </c>
      <c r="Q330" s="724">
        <v>40.5</v>
      </c>
      <c r="R330" s="724">
        <v>81</v>
      </c>
      <c r="S330" s="724">
        <v>0</v>
      </c>
      <c r="T330" s="724">
        <v>0</v>
      </c>
      <c r="U330" s="724">
        <v>0</v>
      </c>
      <c r="V330" s="724">
        <v>0</v>
      </c>
      <c r="W330" s="92" t="s">
        <v>240</v>
      </c>
      <c r="X330" s="92" t="s">
        <v>47</v>
      </c>
      <c r="Y330" s="738">
        <v>50</v>
      </c>
      <c r="Z330" s="738">
        <v>160</v>
      </c>
      <c r="AA330" s="738">
        <v>2</v>
      </c>
      <c r="AB330" s="708"/>
      <c r="AC330" s="708"/>
      <c r="AD330" s="146" t="s">
        <v>249</v>
      </c>
      <c r="AE330" s="146" t="s">
        <v>250</v>
      </c>
      <c r="AF330" s="146" t="s">
        <v>195</v>
      </c>
      <c r="AG330" s="708"/>
    </row>
    <row r="331" s="570" customFormat="1" ht="24.95" customHeight="1" spans="1:33">
      <c r="A331" s="705"/>
      <c r="B331" s="714" t="s">
        <v>98</v>
      </c>
      <c r="C331" s="146" t="s">
        <v>52</v>
      </c>
      <c r="D331" s="152" t="s">
        <v>147</v>
      </c>
      <c r="E331" s="92">
        <v>2</v>
      </c>
      <c r="F331" s="92" t="s">
        <v>98</v>
      </c>
      <c r="G331" s="92"/>
      <c r="H331" s="724">
        <v>100</v>
      </c>
      <c r="I331" s="724">
        <v>0</v>
      </c>
      <c r="J331" s="724">
        <v>50</v>
      </c>
      <c r="K331" s="724">
        <v>50</v>
      </c>
      <c r="L331" s="724">
        <v>0</v>
      </c>
      <c r="M331" s="724">
        <v>2020.12</v>
      </c>
      <c r="N331" s="724">
        <v>81</v>
      </c>
      <c r="O331" s="724">
        <v>0</v>
      </c>
      <c r="P331" s="724">
        <v>40.5</v>
      </c>
      <c r="Q331" s="724">
        <v>40.5</v>
      </c>
      <c r="R331" s="724">
        <v>81</v>
      </c>
      <c r="S331" s="724">
        <v>0</v>
      </c>
      <c r="T331" s="724">
        <v>0</v>
      </c>
      <c r="U331" s="724">
        <v>0</v>
      </c>
      <c r="V331" s="724">
        <v>0</v>
      </c>
      <c r="W331" s="92" t="s">
        <v>240</v>
      </c>
      <c r="X331" s="92" t="s">
        <v>47</v>
      </c>
      <c r="Y331" s="738">
        <v>50</v>
      </c>
      <c r="Z331" s="738">
        <v>150</v>
      </c>
      <c r="AA331" s="738">
        <v>2</v>
      </c>
      <c r="AB331" s="708"/>
      <c r="AC331" s="708"/>
      <c r="AD331" s="146" t="s">
        <v>209</v>
      </c>
      <c r="AE331" s="146" t="s">
        <v>251</v>
      </c>
      <c r="AF331" s="146" t="s">
        <v>195</v>
      </c>
      <c r="AG331" s="708"/>
    </row>
    <row r="332" s="570" customFormat="1" ht="24.95" customHeight="1" spans="1:33">
      <c r="A332" s="705"/>
      <c r="B332" s="714" t="s">
        <v>211</v>
      </c>
      <c r="C332" s="146" t="s">
        <v>52</v>
      </c>
      <c r="D332" s="152" t="s">
        <v>147</v>
      </c>
      <c r="E332" s="92">
        <v>2</v>
      </c>
      <c r="F332" s="92" t="s">
        <v>211</v>
      </c>
      <c r="G332" s="92"/>
      <c r="H332" s="724">
        <v>100</v>
      </c>
      <c r="I332" s="724">
        <v>0</v>
      </c>
      <c r="J332" s="724">
        <v>50</v>
      </c>
      <c r="K332" s="724">
        <v>50</v>
      </c>
      <c r="L332" s="724">
        <v>0</v>
      </c>
      <c r="M332" s="724">
        <v>2020.12</v>
      </c>
      <c r="N332" s="724">
        <v>81</v>
      </c>
      <c r="O332" s="724">
        <v>0</v>
      </c>
      <c r="P332" s="724">
        <v>40.5</v>
      </c>
      <c r="Q332" s="724">
        <v>40.5</v>
      </c>
      <c r="R332" s="724">
        <v>81</v>
      </c>
      <c r="S332" s="724">
        <v>0</v>
      </c>
      <c r="T332" s="724">
        <v>0</v>
      </c>
      <c r="U332" s="724">
        <v>0</v>
      </c>
      <c r="V332" s="724">
        <v>0</v>
      </c>
      <c r="W332" s="92" t="s">
        <v>240</v>
      </c>
      <c r="X332" s="92" t="s">
        <v>47</v>
      </c>
      <c r="Y332" s="738">
        <v>50</v>
      </c>
      <c r="Z332" s="738">
        <v>160</v>
      </c>
      <c r="AA332" s="738">
        <v>2</v>
      </c>
      <c r="AB332" s="708"/>
      <c r="AC332" s="708"/>
      <c r="AD332" s="146" t="s">
        <v>76</v>
      </c>
      <c r="AE332" s="146" t="s">
        <v>252</v>
      </c>
      <c r="AF332" s="146" t="s">
        <v>195</v>
      </c>
      <c r="AG332" s="708"/>
    </row>
    <row r="333" s="570" customFormat="1" ht="24.95" customHeight="1" spans="1:33">
      <c r="A333" s="705"/>
      <c r="B333" s="714" t="s">
        <v>155</v>
      </c>
      <c r="C333" s="146" t="s">
        <v>52</v>
      </c>
      <c r="D333" s="152" t="s">
        <v>147</v>
      </c>
      <c r="E333" s="92">
        <v>2</v>
      </c>
      <c r="F333" s="92" t="s">
        <v>155</v>
      </c>
      <c r="G333" s="92"/>
      <c r="H333" s="724">
        <v>60</v>
      </c>
      <c r="I333" s="724">
        <v>0</v>
      </c>
      <c r="J333" s="724">
        <v>30</v>
      </c>
      <c r="K333" s="724">
        <v>30</v>
      </c>
      <c r="L333" s="724">
        <v>0</v>
      </c>
      <c r="M333" s="724">
        <v>2020.12</v>
      </c>
      <c r="N333" s="724">
        <v>48.6</v>
      </c>
      <c r="O333" s="724">
        <v>0</v>
      </c>
      <c r="P333" s="724">
        <v>24.3</v>
      </c>
      <c r="Q333" s="724">
        <v>24.3</v>
      </c>
      <c r="R333" s="724">
        <v>48.6</v>
      </c>
      <c r="S333" s="724">
        <v>0</v>
      </c>
      <c r="T333" s="724">
        <v>0</v>
      </c>
      <c r="U333" s="724">
        <v>0</v>
      </c>
      <c r="V333" s="724">
        <v>0</v>
      </c>
      <c r="W333" s="92" t="s">
        <v>240</v>
      </c>
      <c r="X333" s="92" t="s">
        <v>47</v>
      </c>
      <c r="Y333" s="738">
        <v>30</v>
      </c>
      <c r="Z333" s="738">
        <v>80</v>
      </c>
      <c r="AA333" s="738">
        <v>2</v>
      </c>
      <c r="AB333" s="708"/>
      <c r="AC333" s="708"/>
      <c r="AD333" s="146" t="s">
        <v>253</v>
      </c>
      <c r="AE333" s="146" t="s">
        <v>254</v>
      </c>
      <c r="AF333" s="146" t="s">
        <v>195</v>
      </c>
      <c r="AG333" s="708"/>
    </row>
    <row r="334" s="570" customFormat="1" ht="24.95" customHeight="1" spans="1:33">
      <c r="A334" s="705"/>
      <c r="B334" s="714" t="s">
        <v>102</v>
      </c>
      <c r="C334" s="146" t="s">
        <v>52</v>
      </c>
      <c r="D334" s="152" t="s">
        <v>147</v>
      </c>
      <c r="E334" s="92">
        <v>2</v>
      </c>
      <c r="F334" s="92" t="s">
        <v>102</v>
      </c>
      <c r="G334" s="92"/>
      <c r="H334" s="724">
        <v>120</v>
      </c>
      <c r="I334" s="724">
        <v>0</v>
      </c>
      <c r="J334" s="724">
        <v>60</v>
      </c>
      <c r="K334" s="724">
        <v>60</v>
      </c>
      <c r="L334" s="724">
        <v>0</v>
      </c>
      <c r="M334" s="724">
        <v>2020.12</v>
      </c>
      <c r="N334" s="724">
        <v>97.2</v>
      </c>
      <c r="O334" s="724">
        <v>0</v>
      </c>
      <c r="P334" s="724">
        <v>48.6</v>
      </c>
      <c r="Q334" s="724">
        <v>48.6</v>
      </c>
      <c r="R334" s="724">
        <v>97.2</v>
      </c>
      <c r="S334" s="724">
        <v>0</v>
      </c>
      <c r="T334" s="724">
        <v>0</v>
      </c>
      <c r="U334" s="724">
        <v>0</v>
      </c>
      <c r="V334" s="724">
        <v>0</v>
      </c>
      <c r="W334" s="92" t="s">
        <v>240</v>
      </c>
      <c r="X334" s="92" t="s">
        <v>47</v>
      </c>
      <c r="Y334" s="738">
        <v>60</v>
      </c>
      <c r="Z334" s="738">
        <v>270</v>
      </c>
      <c r="AA334" s="738">
        <v>2</v>
      </c>
      <c r="AB334" s="708"/>
      <c r="AC334" s="708"/>
      <c r="AD334" s="146" t="s">
        <v>255</v>
      </c>
      <c r="AE334" s="146" t="s">
        <v>256</v>
      </c>
      <c r="AF334" s="146" t="s">
        <v>195</v>
      </c>
      <c r="AG334" s="708"/>
    </row>
    <row r="335" s="570" customFormat="1" ht="24.95" customHeight="1" spans="1:33">
      <c r="A335" s="705"/>
      <c r="B335" s="714" t="s">
        <v>100</v>
      </c>
      <c r="C335" s="146" t="s">
        <v>52</v>
      </c>
      <c r="D335" s="152" t="s">
        <v>147</v>
      </c>
      <c r="E335" s="92">
        <v>2</v>
      </c>
      <c r="F335" s="92" t="s">
        <v>100</v>
      </c>
      <c r="G335" s="92"/>
      <c r="H335" s="724">
        <v>100</v>
      </c>
      <c r="I335" s="724">
        <v>0</v>
      </c>
      <c r="J335" s="724">
        <v>50</v>
      </c>
      <c r="K335" s="724">
        <v>50</v>
      </c>
      <c r="L335" s="724">
        <v>0</v>
      </c>
      <c r="M335" s="724">
        <v>2020.12</v>
      </c>
      <c r="N335" s="724">
        <v>81</v>
      </c>
      <c r="O335" s="724">
        <v>0</v>
      </c>
      <c r="P335" s="724">
        <v>40.5</v>
      </c>
      <c r="Q335" s="724">
        <v>40.5</v>
      </c>
      <c r="R335" s="724">
        <v>81</v>
      </c>
      <c r="S335" s="724">
        <v>0</v>
      </c>
      <c r="T335" s="724">
        <v>0</v>
      </c>
      <c r="U335" s="724">
        <v>0</v>
      </c>
      <c r="V335" s="724">
        <v>0</v>
      </c>
      <c r="W335" s="92" t="s">
        <v>240</v>
      </c>
      <c r="X335" s="92" t="s">
        <v>47</v>
      </c>
      <c r="Y335" s="738">
        <v>50</v>
      </c>
      <c r="Z335" s="738">
        <v>80</v>
      </c>
      <c r="AA335" s="738">
        <v>2</v>
      </c>
      <c r="AB335" s="708"/>
      <c r="AC335" s="708"/>
      <c r="AD335" s="146" t="s">
        <v>79</v>
      </c>
      <c r="AE335" s="146" t="s">
        <v>257</v>
      </c>
      <c r="AF335" s="146" t="s">
        <v>195</v>
      </c>
      <c r="AG335" s="708"/>
    </row>
    <row r="336" s="570" customFormat="1" ht="24.95" customHeight="1" spans="1:33">
      <c r="A336" s="705"/>
      <c r="B336" s="714" t="s">
        <v>84</v>
      </c>
      <c r="C336" s="146" t="s">
        <v>52</v>
      </c>
      <c r="D336" s="152" t="s">
        <v>147</v>
      </c>
      <c r="E336" s="92">
        <v>2</v>
      </c>
      <c r="F336" s="92" t="s">
        <v>84</v>
      </c>
      <c r="G336" s="92"/>
      <c r="H336" s="724">
        <v>100</v>
      </c>
      <c r="I336" s="724">
        <v>0</v>
      </c>
      <c r="J336" s="724">
        <v>50</v>
      </c>
      <c r="K336" s="724">
        <v>50</v>
      </c>
      <c r="L336" s="724">
        <v>0</v>
      </c>
      <c r="M336" s="724">
        <v>2020.12</v>
      </c>
      <c r="N336" s="724">
        <v>81</v>
      </c>
      <c r="O336" s="724">
        <v>0</v>
      </c>
      <c r="P336" s="724">
        <v>40.5</v>
      </c>
      <c r="Q336" s="724">
        <v>40.5</v>
      </c>
      <c r="R336" s="724">
        <v>81</v>
      </c>
      <c r="S336" s="724">
        <v>0</v>
      </c>
      <c r="T336" s="724">
        <v>0</v>
      </c>
      <c r="U336" s="724">
        <v>0</v>
      </c>
      <c r="V336" s="724">
        <v>0</v>
      </c>
      <c r="W336" s="92" t="s">
        <v>240</v>
      </c>
      <c r="X336" s="92" t="s">
        <v>47</v>
      </c>
      <c r="Y336" s="738">
        <v>50</v>
      </c>
      <c r="Z336" s="738">
        <v>230</v>
      </c>
      <c r="AA336" s="738">
        <v>2</v>
      </c>
      <c r="AB336" s="708"/>
      <c r="AC336" s="708"/>
      <c r="AD336" s="146" t="s">
        <v>185</v>
      </c>
      <c r="AE336" s="146" t="s">
        <v>258</v>
      </c>
      <c r="AF336" s="146" t="s">
        <v>195</v>
      </c>
      <c r="AG336" s="708"/>
    </row>
    <row r="337" s="570" customFormat="1" ht="24.95" customHeight="1" spans="1:33">
      <c r="A337" s="705"/>
      <c r="B337" s="714" t="s">
        <v>259</v>
      </c>
      <c r="C337" s="146" t="s">
        <v>52</v>
      </c>
      <c r="D337" s="152" t="s">
        <v>147</v>
      </c>
      <c r="E337" s="92">
        <v>2</v>
      </c>
      <c r="F337" s="92" t="s">
        <v>259</v>
      </c>
      <c r="G337" s="92"/>
      <c r="H337" s="724">
        <v>40</v>
      </c>
      <c r="I337" s="724">
        <v>0</v>
      </c>
      <c r="J337" s="724">
        <v>20</v>
      </c>
      <c r="K337" s="724">
        <v>20</v>
      </c>
      <c r="L337" s="724">
        <v>0</v>
      </c>
      <c r="M337" s="724">
        <v>2020.12</v>
      </c>
      <c r="N337" s="724">
        <v>32.4</v>
      </c>
      <c r="O337" s="724">
        <v>0</v>
      </c>
      <c r="P337" s="724">
        <v>16.2</v>
      </c>
      <c r="Q337" s="724">
        <v>16.2</v>
      </c>
      <c r="R337" s="724">
        <v>32.4</v>
      </c>
      <c r="S337" s="724">
        <v>0</v>
      </c>
      <c r="T337" s="724">
        <v>0</v>
      </c>
      <c r="U337" s="724">
        <v>0</v>
      </c>
      <c r="V337" s="724">
        <v>0</v>
      </c>
      <c r="W337" s="92" t="s">
        <v>240</v>
      </c>
      <c r="X337" s="92" t="s">
        <v>47</v>
      </c>
      <c r="Y337" s="738">
        <v>20</v>
      </c>
      <c r="Z337" s="738">
        <v>40</v>
      </c>
      <c r="AA337" s="738">
        <v>2</v>
      </c>
      <c r="AB337" s="708"/>
      <c r="AC337" s="708"/>
      <c r="AD337" s="146" t="s">
        <v>260</v>
      </c>
      <c r="AE337" s="146" t="s">
        <v>261</v>
      </c>
      <c r="AF337" s="146" t="s">
        <v>195</v>
      </c>
      <c r="AG337" s="708"/>
    </row>
    <row r="338" s="570" customFormat="1" ht="24.95" customHeight="1" spans="1:33">
      <c r="A338" s="705"/>
      <c r="B338" s="714" t="s">
        <v>143</v>
      </c>
      <c r="C338" s="146" t="s">
        <v>52</v>
      </c>
      <c r="D338" s="152" t="s">
        <v>147</v>
      </c>
      <c r="E338" s="92">
        <v>2</v>
      </c>
      <c r="F338" s="92" t="s">
        <v>143</v>
      </c>
      <c r="G338" s="92"/>
      <c r="H338" s="724">
        <v>80</v>
      </c>
      <c r="I338" s="724">
        <v>0</v>
      </c>
      <c r="J338" s="724">
        <v>40</v>
      </c>
      <c r="K338" s="724">
        <v>40</v>
      </c>
      <c r="L338" s="724">
        <v>0</v>
      </c>
      <c r="M338" s="724">
        <v>2020.12</v>
      </c>
      <c r="N338" s="724">
        <v>64.8</v>
      </c>
      <c r="O338" s="724">
        <v>0</v>
      </c>
      <c r="P338" s="724">
        <v>32.4</v>
      </c>
      <c r="Q338" s="724">
        <v>32.4</v>
      </c>
      <c r="R338" s="724">
        <v>64.8</v>
      </c>
      <c r="S338" s="724">
        <v>0</v>
      </c>
      <c r="T338" s="724">
        <v>0</v>
      </c>
      <c r="U338" s="724">
        <v>0</v>
      </c>
      <c r="V338" s="724">
        <v>0</v>
      </c>
      <c r="W338" s="92" t="s">
        <v>240</v>
      </c>
      <c r="X338" s="92" t="s">
        <v>47</v>
      </c>
      <c r="Y338" s="738">
        <v>40</v>
      </c>
      <c r="Z338" s="738">
        <v>164</v>
      </c>
      <c r="AA338" s="738">
        <v>2</v>
      </c>
      <c r="AB338" s="708"/>
      <c r="AC338" s="708"/>
      <c r="AD338" s="775" t="s">
        <v>262</v>
      </c>
      <c r="AE338" s="775" t="s">
        <v>263</v>
      </c>
      <c r="AF338" s="146" t="s">
        <v>195</v>
      </c>
      <c r="AG338" s="708"/>
    </row>
    <row r="339" s="570" customFormat="1" ht="24.95" customHeight="1" spans="1:33">
      <c r="A339" s="705"/>
      <c r="B339" s="711" t="s">
        <v>287</v>
      </c>
      <c r="C339" s="146" t="s">
        <v>52</v>
      </c>
      <c r="D339" s="152" t="s">
        <v>147</v>
      </c>
      <c r="E339" s="92">
        <v>54</v>
      </c>
      <c r="F339" s="92">
        <v>0</v>
      </c>
      <c r="G339" s="92"/>
      <c r="H339" s="724">
        <v>32160</v>
      </c>
      <c r="I339" s="724">
        <v>0</v>
      </c>
      <c r="J339" s="724">
        <v>16384</v>
      </c>
      <c r="K339" s="724">
        <v>15776</v>
      </c>
      <c r="L339" s="724">
        <v>0</v>
      </c>
      <c r="M339" s="724">
        <v>0</v>
      </c>
      <c r="N339" s="724">
        <v>3525.2</v>
      </c>
      <c r="O339" s="724">
        <v>0</v>
      </c>
      <c r="P339" s="724">
        <v>1793.9</v>
      </c>
      <c r="Q339" s="724">
        <v>1731.3</v>
      </c>
      <c r="R339" s="724">
        <v>3525.2</v>
      </c>
      <c r="S339" s="724">
        <v>0</v>
      </c>
      <c r="T339" s="724">
        <v>0</v>
      </c>
      <c r="U339" s="724">
        <v>0</v>
      </c>
      <c r="V339" s="724">
        <v>0</v>
      </c>
      <c r="W339" s="92" t="s">
        <v>240</v>
      </c>
      <c r="X339" s="92" t="s">
        <v>47</v>
      </c>
      <c r="Y339" s="738">
        <v>15396</v>
      </c>
      <c r="Z339" s="738">
        <v>55247.4</v>
      </c>
      <c r="AA339" s="738">
        <v>54</v>
      </c>
      <c r="AB339" s="92"/>
      <c r="AC339" s="92"/>
      <c r="AD339" s="193" t="s">
        <v>242</v>
      </c>
      <c r="AE339" s="193" t="s">
        <v>243</v>
      </c>
      <c r="AF339" s="146" t="s">
        <v>195</v>
      </c>
      <c r="AG339" s="92"/>
    </row>
    <row r="340" s="570" customFormat="1" ht="24.95" customHeight="1" spans="1:33">
      <c r="A340" s="705"/>
      <c r="B340" s="711" t="s">
        <v>288</v>
      </c>
      <c r="C340" s="146" t="s">
        <v>52</v>
      </c>
      <c r="D340" s="141"/>
      <c r="E340" s="92">
        <v>18</v>
      </c>
      <c r="F340" s="92">
        <v>0</v>
      </c>
      <c r="G340" s="92"/>
      <c r="H340" s="724">
        <v>11604</v>
      </c>
      <c r="I340" s="724">
        <v>0</v>
      </c>
      <c r="J340" s="724">
        <v>5954</v>
      </c>
      <c r="K340" s="724">
        <v>5650</v>
      </c>
      <c r="L340" s="724">
        <v>0</v>
      </c>
      <c r="M340" s="724">
        <v>0</v>
      </c>
      <c r="N340" s="724">
        <v>745.8</v>
      </c>
      <c r="O340" s="724">
        <v>0</v>
      </c>
      <c r="P340" s="724">
        <v>389</v>
      </c>
      <c r="Q340" s="724">
        <v>356.8</v>
      </c>
      <c r="R340" s="724">
        <v>745.8</v>
      </c>
      <c r="S340" s="724">
        <v>0</v>
      </c>
      <c r="T340" s="724">
        <v>0</v>
      </c>
      <c r="U340" s="724">
        <v>0</v>
      </c>
      <c r="V340" s="724">
        <v>0</v>
      </c>
      <c r="W340" s="92" t="s">
        <v>240</v>
      </c>
      <c r="X340" s="92" t="s">
        <v>47</v>
      </c>
      <c r="Y340" s="738">
        <v>5698</v>
      </c>
      <c r="Z340" s="738">
        <v>23355.4</v>
      </c>
      <c r="AA340" s="738">
        <v>18</v>
      </c>
      <c r="AB340" s="92"/>
      <c r="AC340" s="92"/>
      <c r="AD340" s="193" t="s">
        <v>242</v>
      </c>
      <c r="AE340" s="193" t="s">
        <v>243</v>
      </c>
      <c r="AF340" s="146" t="s">
        <v>195</v>
      </c>
      <c r="AG340" s="92"/>
    </row>
    <row r="341" s="570" customFormat="1" ht="24.95" customHeight="1" spans="1:33">
      <c r="A341" s="705"/>
      <c r="B341" s="778" t="s">
        <v>51</v>
      </c>
      <c r="C341" s="146" t="s">
        <v>52</v>
      </c>
      <c r="D341" s="753" t="s">
        <v>147</v>
      </c>
      <c r="E341" s="92">
        <v>2</v>
      </c>
      <c r="F341" s="92" t="s">
        <v>51</v>
      </c>
      <c r="G341" s="92"/>
      <c r="H341" s="724">
        <v>876</v>
      </c>
      <c r="I341" s="724">
        <v>0</v>
      </c>
      <c r="J341" s="724">
        <v>438</v>
      </c>
      <c r="K341" s="724">
        <v>438</v>
      </c>
      <c r="L341" s="724">
        <v>0</v>
      </c>
      <c r="M341" s="724">
        <v>2020.12</v>
      </c>
      <c r="N341" s="724">
        <v>55.8</v>
      </c>
      <c r="O341" s="724">
        <v>0</v>
      </c>
      <c r="P341" s="724">
        <v>27.9</v>
      </c>
      <c r="Q341" s="724">
        <v>27.9</v>
      </c>
      <c r="R341" s="724">
        <v>55.8</v>
      </c>
      <c r="S341" s="724">
        <v>0</v>
      </c>
      <c r="T341" s="724">
        <v>0</v>
      </c>
      <c r="U341" s="724">
        <v>0</v>
      </c>
      <c r="V341" s="724">
        <v>0</v>
      </c>
      <c r="W341" s="92" t="s">
        <v>240</v>
      </c>
      <c r="X341" s="92" t="s">
        <v>47</v>
      </c>
      <c r="Y341" s="738">
        <v>438</v>
      </c>
      <c r="Z341" s="738">
        <v>1445.4</v>
      </c>
      <c r="AA341" s="738">
        <v>2</v>
      </c>
      <c r="AB341" s="92"/>
      <c r="AC341" s="92"/>
      <c r="AD341" s="712" t="s">
        <v>169</v>
      </c>
      <c r="AE341" s="56" t="s">
        <v>246</v>
      </c>
      <c r="AF341" s="146" t="s">
        <v>195</v>
      </c>
      <c r="AG341" s="92"/>
    </row>
    <row r="342" s="570" customFormat="1" ht="24.95" customHeight="1" spans="1:33">
      <c r="A342" s="705"/>
      <c r="B342" s="778" t="s">
        <v>72</v>
      </c>
      <c r="C342" s="146" t="s">
        <v>52</v>
      </c>
      <c r="D342" s="753" t="s">
        <v>147</v>
      </c>
      <c r="E342" s="92">
        <v>2</v>
      </c>
      <c r="F342" s="92" t="s">
        <v>72</v>
      </c>
      <c r="G342" s="92"/>
      <c r="H342" s="724">
        <v>1132</v>
      </c>
      <c r="I342" s="724">
        <v>0</v>
      </c>
      <c r="J342" s="724">
        <v>566</v>
      </c>
      <c r="K342" s="724">
        <v>566</v>
      </c>
      <c r="L342" s="724">
        <v>0</v>
      </c>
      <c r="M342" s="724">
        <v>2020.12</v>
      </c>
      <c r="N342" s="724">
        <v>56.6</v>
      </c>
      <c r="O342" s="724">
        <v>0</v>
      </c>
      <c r="P342" s="724">
        <v>28.3</v>
      </c>
      <c r="Q342" s="724">
        <v>28.3</v>
      </c>
      <c r="R342" s="724">
        <v>56.6</v>
      </c>
      <c r="S342" s="724">
        <v>0</v>
      </c>
      <c r="T342" s="724">
        <v>0</v>
      </c>
      <c r="U342" s="724">
        <v>0</v>
      </c>
      <c r="V342" s="724">
        <v>0</v>
      </c>
      <c r="W342" s="92" t="s">
        <v>240</v>
      </c>
      <c r="X342" s="92" t="s">
        <v>47</v>
      </c>
      <c r="Y342" s="738">
        <v>516</v>
      </c>
      <c r="Z342" s="738">
        <v>2218</v>
      </c>
      <c r="AA342" s="738">
        <v>2</v>
      </c>
      <c r="AB342" s="92"/>
      <c r="AC342" s="92"/>
      <c r="AD342" s="712" t="s">
        <v>247</v>
      </c>
      <c r="AE342" s="56" t="s">
        <v>248</v>
      </c>
      <c r="AF342" s="146" t="s">
        <v>195</v>
      </c>
      <c r="AG342" s="92"/>
    </row>
    <row r="343" s="570" customFormat="1" ht="24.95" customHeight="1" spans="1:33">
      <c r="A343" s="705"/>
      <c r="B343" s="778" t="s">
        <v>91</v>
      </c>
      <c r="C343" s="146" t="s">
        <v>52</v>
      </c>
      <c r="D343" s="753" t="s">
        <v>147</v>
      </c>
      <c r="E343" s="92">
        <v>2</v>
      </c>
      <c r="F343" s="92" t="s">
        <v>91</v>
      </c>
      <c r="G343" s="92"/>
      <c r="H343" s="724">
        <v>800</v>
      </c>
      <c r="I343" s="724">
        <v>0</v>
      </c>
      <c r="J343" s="724">
        <v>400</v>
      </c>
      <c r="K343" s="724">
        <v>400</v>
      </c>
      <c r="L343" s="724">
        <v>0</v>
      </c>
      <c r="M343" s="724">
        <v>2020.12</v>
      </c>
      <c r="N343" s="724">
        <v>80</v>
      </c>
      <c r="O343" s="724">
        <v>0</v>
      </c>
      <c r="P343" s="724">
        <v>40</v>
      </c>
      <c r="Q343" s="724">
        <v>40</v>
      </c>
      <c r="R343" s="724">
        <v>80</v>
      </c>
      <c r="S343" s="724">
        <v>0</v>
      </c>
      <c r="T343" s="724">
        <v>0</v>
      </c>
      <c r="U343" s="724">
        <v>0</v>
      </c>
      <c r="V343" s="724">
        <v>0</v>
      </c>
      <c r="W343" s="92" t="s">
        <v>240</v>
      </c>
      <c r="X343" s="92" t="s">
        <v>47</v>
      </c>
      <c r="Y343" s="738">
        <v>400</v>
      </c>
      <c r="Z343" s="738">
        <v>1520</v>
      </c>
      <c r="AA343" s="738">
        <v>2</v>
      </c>
      <c r="AB343" s="92"/>
      <c r="AC343" s="92"/>
      <c r="AD343" s="712" t="s">
        <v>249</v>
      </c>
      <c r="AE343" s="56" t="s">
        <v>250</v>
      </c>
      <c r="AF343" s="146" t="s">
        <v>195</v>
      </c>
      <c r="AG343" s="92"/>
    </row>
    <row r="344" s="570" customFormat="1" ht="24.95" customHeight="1" spans="1:33">
      <c r="A344" s="705"/>
      <c r="B344" s="778" t="s">
        <v>55</v>
      </c>
      <c r="C344" s="146" t="s">
        <v>52</v>
      </c>
      <c r="D344" s="753" t="s">
        <v>147</v>
      </c>
      <c r="E344" s="92">
        <v>2</v>
      </c>
      <c r="F344" s="92" t="s">
        <v>55</v>
      </c>
      <c r="G344" s="92"/>
      <c r="H344" s="724">
        <v>1960</v>
      </c>
      <c r="I344" s="724">
        <v>0</v>
      </c>
      <c r="J344" s="724">
        <v>980</v>
      </c>
      <c r="K344" s="724">
        <v>980</v>
      </c>
      <c r="L344" s="724">
        <v>0</v>
      </c>
      <c r="M344" s="724">
        <v>2020.12</v>
      </c>
      <c r="N344" s="724">
        <v>179.4</v>
      </c>
      <c r="O344" s="724">
        <v>0</v>
      </c>
      <c r="P344" s="724">
        <v>89.7</v>
      </c>
      <c r="Q344" s="724">
        <v>89.7</v>
      </c>
      <c r="R344" s="724">
        <v>179.4</v>
      </c>
      <c r="S344" s="724">
        <v>0</v>
      </c>
      <c r="T344" s="724">
        <v>0</v>
      </c>
      <c r="U344" s="724">
        <v>0</v>
      </c>
      <c r="V344" s="724">
        <v>0</v>
      </c>
      <c r="W344" s="92" t="s">
        <v>240</v>
      </c>
      <c r="X344" s="92" t="s">
        <v>47</v>
      </c>
      <c r="Y344" s="738">
        <v>926</v>
      </c>
      <c r="Z344" s="738">
        <v>4054</v>
      </c>
      <c r="AA344" s="738">
        <v>2</v>
      </c>
      <c r="AB344" s="92"/>
      <c r="AC344" s="92"/>
      <c r="AD344" s="712" t="s">
        <v>209</v>
      </c>
      <c r="AE344" s="56" t="s">
        <v>251</v>
      </c>
      <c r="AF344" s="146" t="s">
        <v>195</v>
      </c>
      <c r="AG344" s="92"/>
    </row>
    <row r="345" s="570" customFormat="1" ht="24.95" customHeight="1" spans="1:33">
      <c r="A345" s="705"/>
      <c r="B345" s="778" t="s">
        <v>75</v>
      </c>
      <c r="C345" s="146" t="s">
        <v>52</v>
      </c>
      <c r="D345" s="753" t="s">
        <v>147</v>
      </c>
      <c r="E345" s="92">
        <v>2</v>
      </c>
      <c r="F345" s="92" t="s">
        <v>75</v>
      </c>
      <c r="G345" s="92"/>
      <c r="H345" s="724">
        <v>1280</v>
      </c>
      <c r="I345" s="724">
        <v>0</v>
      </c>
      <c r="J345" s="724">
        <v>640</v>
      </c>
      <c r="K345" s="724">
        <v>640</v>
      </c>
      <c r="L345" s="724">
        <v>0</v>
      </c>
      <c r="M345" s="724">
        <v>2020.12</v>
      </c>
      <c r="N345" s="724">
        <v>64</v>
      </c>
      <c r="O345" s="724">
        <v>0</v>
      </c>
      <c r="P345" s="724">
        <v>32</v>
      </c>
      <c r="Q345" s="724">
        <v>32</v>
      </c>
      <c r="R345" s="724">
        <v>64</v>
      </c>
      <c r="S345" s="724">
        <v>0</v>
      </c>
      <c r="T345" s="724">
        <v>0</v>
      </c>
      <c r="U345" s="724">
        <v>0</v>
      </c>
      <c r="V345" s="724">
        <v>0</v>
      </c>
      <c r="W345" s="92" t="s">
        <v>240</v>
      </c>
      <c r="X345" s="92" t="s">
        <v>47</v>
      </c>
      <c r="Y345" s="738">
        <v>640</v>
      </c>
      <c r="Z345" s="738">
        <v>2692</v>
      </c>
      <c r="AA345" s="738">
        <v>2</v>
      </c>
      <c r="AB345" s="92"/>
      <c r="AC345" s="92"/>
      <c r="AD345" s="712" t="s">
        <v>76</v>
      </c>
      <c r="AE345" s="712" t="s">
        <v>252</v>
      </c>
      <c r="AF345" s="146" t="s">
        <v>195</v>
      </c>
      <c r="AG345" s="92"/>
    </row>
    <row r="346" s="570" customFormat="1" ht="24.95" customHeight="1" spans="1:33">
      <c r="A346" s="705"/>
      <c r="B346" s="778" t="s">
        <v>58</v>
      </c>
      <c r="C346" s="146" t="s">
        <v>52</v>
      </c>
      <c r="D346" s="753" t="s">
        <v>147</v>
      </c>
      <c r="E346" s="92">
        <v>1</v>
      </c>
      <c r="F346" s="92" t="s">
        <v>58</v>
      </c>
      <c r="G346" s="92"/>
      <c r="H346" s="724">
        <v>258</v>
      </c>
      <c r="I346" s="724">
        <v>0</v>
      </c>
      <c r="J346" s="724">
        <v>258</v>
      </c>
      <c r="K346" s="724">
        <v>0</v>
      </c>
      <c r="L346" s="724">
        <v>0</v>
      </c>
      <c r="M346" s="724">
        <v>0</v>
      </c>
      <c r="N346" s="724">
        <v>25.8</v>
      </c>
      <c r="O346" s="724">
        <v>0</v>
      </c>
      <c r="P346" s="724">
        <v>25.8</v>
      </c>
      <c r="Q346" s="724">
        <v>0</v>
      </c>
      <c r="R346" s="724">
        <v>25.8</v>
      </c>
      <c r="S346" s="724">
        <v>0</v>
      </c>
      <c r="T346" s="724">
        <v>0</v>
      </c>
      <c r="U346" s="724">
        <v>0</v>
      </c>
      <c r="V346" s="724">
        <v>0</v>
      </c>
      <c r="W346" s="92" t="s">
        <v>240</v>
      </c>
      <c r="X346" s="92" t="s">
        <v>47</v>
      </c>
      <c r="Y346" s="738">
        <v>129</v>
      </c>
      <c r="Z346" s="738">
        <v>555</v>
      </c>
      <c r="AA346" s="738">
        <v>1</v>
      </c>
      <c r="AB346" s="92"/>
      <c r="AC346" s="92"/>
      <c r="AD346" s="712" t="s">
        <v>253</v>
      </c>
      <c r="AE346" s="56" t="s">
        <v>254</v>
      </c>
      <c r="AF346" s="146" t="s">
        <v>195</v>
      </c>
      <c r="AG346" s="92"/>
    </row>
    <row r="347" s="570" customFormat="1" ht="24.95" customHeight="1" spans="1:33">
      <c r="A347" s="705"/>
      <c r="B347" s="778" t="s">
        <v>61</v>
      </c>
      <c r="C347" s="146" t="s">
        <v>52</v>
      </c>
      <c r="D347" s="753" t="s">
        <v>147</v>
      </c>
      <c r="E347" s="92">
        <v>2</v>
      </c>
      <c r="F347" s="92" t="s">
        <v>61</v>
      </c>
      <c r="G347" s="92"/>
      <c r="H347" s="724">
        <v>3652</v>
      </c>
      <c r="I347" s="724">
        <v>0</v>
      </c>
      <c r="J347" s="724">
        <v>1826</v>
      </c>
      <c r="K347" s="724">
        <v>1826</v>
      </c>
      <c r="L347" s="724">
        <v>0</v>
      </c>
      <c r="M347" s="724">
        <v>2020.12</v>
      </c>
      <c r="N347" s="724">
        <v>182.6</v>
      </c>
      <c r="O347" s="724">
        <v>0</v>
      </c>
      <c r="P347" s="724">
        <v>91.3</v>
      </c>
      <c r="Q347" s="724">
        <v>91.3</v>
      </c>
      <c r="R347" s="724">
        <v>182.6</v>
      </c>
      <c r="S347" s="724">
        <v>0</v>
      </c>
      <c r="T347" s="724">
        <v>0</v>
      </c>
      <c r="U347" s="724">
        <v>0</v>
      </c>
      <c r="V347" s="724">
        <v>0</v>
      </c>
      <c r="W347" s="92" t="s">
        <v>240</v>
      </c>
      <c r="X347" s="92" t="s">
        <v>47</v>
      </c>
      <c r="Y347" s="738">
        <v>1826</v>
      </c>
      <c r="Z347" s="738">
        <v>7852</v>
      </c>
      <c r="AA347" s="738">
        <v>2</v>
      </c>
      <c r="AB347" s="92"/>
      <c r="AC347" s="92"/>
      <c r="AD347" s="712" t="s">
        <v>255</v>
      </c>
      <c r="AE347" s="56" t="s">
        <v>256</v>
      </c>
      <c r="AF347" s="146" t="s">
        <v>195</v>
      </c>
      <c r="AG347" s="92"/>
    </row>
    <row r="348" s="570" customFormat="1" ht="24.95" customHeight="1" spans="1:33">
      <c r="A348" s="705"/>
      <c r="B348" s="778" t="s">
        <v>114</v>
      </c>
      <c r="C348" s="146" t="s">
        <v>52</v>
      </c>
      <c r="D348" s="753" t="s">
        <v>147</v>
      </c>
      <c r="E348" s="92">
        <v>1</v>
      </c>
      <c r="F348" s="92" t="s">
        <v>114</v>
      </c>
      <c r="G348" s="92"/>
      <c r="H348" s="724">
        <v>46</v>
      </c>
      <c r="I348" s="724">
        <v>0</v>
      </c>
      <c r="J348" s="724">
        <v>46</v>
      </c>
      <c r="K348" s="724">
        <v>0</v>
      </c>
      <c r="L348" s="724">
        <v>0</v>
      </c>
      <c r="M348" s="724">
        <v>0</v>
      </c>
      <c r="N348" s="724">
        <v>4.2</v>
      </c>
      <c r="O348" s="724">
        <v>0</v>
      </c>
      <c r="P348" s="724">
        <v>4.2</v>
      </c>
      <c r="Q348" s="724">
        <v>0</v>
      </c>
      <c r="R348" s="724">
        <v>4.2</v>
      </c>
      <c r="S348" s="724">
        <v>0</v>
      </c>
      <c r="T348" s="724">
        <v>0</v>
      </c>
      <c r="U348" s="724">
        <v>0</v>
      </c>
      <c r="V348" s="724">
        <v>0</v>
      </c>
      <c r="W348" s="92" t="s">
        <v>240</v>
      </c>
      <c r="X348" s="92" t="s">
        <v>47</v>
      </c>
      <c r="Y348" s="738">
        <v>23</v>
      </c>
      <c r="Z348" s="738">
        <v>99</v>
      </c>
      <c r="AA348" s="738">
        <v>1</v>
      </c>
      <c r="AB348" s="92"/>
      <c r="AC348" s="92"/>
      <c r="AD348" s="712" t="s">
        <v>260</v>
      </c>
      <c r="AE348" s="56" t="s">
        <v>261</v>
      </c>
      <c r="AF348" s="146" t="s">
        <v>195</v>
      </c>
      <c r="AG348" s="92"/>
    </row>
    <row r="349" s="570" customFormat="1" ht="24.95" customHeight="1" spans="1:33">
      <c r="A349" s="705"/>
      <c r="B349" s="778" t="s">
        <v>64</v>
      </c>
      <c r="C349" s="146" t="s">
        <v>52</v>
      </c>
      <c r="D349" s="753" t="s">
        <v>147</v>
      </c>
      <c r="E349" s="92">
        <v>2</v>
      </c>
      <c r="F349" s="92" t="s">
        <v>64</v>
      </c>
      <c r="G349" s="92"/>
      <c r="H349" s="724">
        <v>880</v>
      </c>
      <c r="I349" s="724">
        <v>0</v>
      </c>
      <c r="J349" s="724">
        <v>440</v>
      </c>
      <c r="K349" s="724">
        <v>440</v>
      </c>
      <c r="L349" s="724">
        <v>0</v>
      </c>
      <c r="M349" s="724">
        <v>2020.12</v>
      </c>
      <c r="N349" s="724">
        <v>88</v>
      </c>
      <c r="O349" s="724">
        <v>0</v>
      </c>
      <c r="P349" s="724">
        <v>44</v>
      </c>
      <c r="Q349" s="724">
        <v>44</v>
      </c>
      <c r="R349" s="724">
        <v>88</v>
      </c>
      <c r="S349" s="724">
        <v>0</v>
      </c>
      <c r="T349" s="724">
        <v>0</v>
      </c>
      <c r="U349" s="724">
        <v>0</v>
      </c>
      <c r="V349" s="724">
        <v>0</v>
      </c>
      <c r="W349" s="92" t="s">
        <v>240</v>
      </c>
      <c r="X349" s="92" t="s">
        <v>47</v>
      </c>
      <c r="Y349" s="738">
        <v>440</v>
      </c>
      <c r="Z349" s="738">
        <v>1760</v>
      </c>
      <c r="AA349" s="738">
        <v>2</v>
      </c>
      <c r="AB349" s="92"/>
      <c r="AC349" s="92"/>
      <c r="AD349" s="712" t="s">
        <v>185</v>
      </c>
      <c r="AE349" s="56" t="s">
        <v>258</v>
      </c>
      <c r="AF349" s="146" t="s">
        <v>195</v>
      </c>
      <c r="AG349" s="92"/>
    </row>
    <row r="350" s="570" customFormat="1" ht="24.95" customHeight="1" spans="1:33">
      <c r="A350" s="705"/>
      <c r="B350" s="778" t="s">
        <v>92</v>
      </c>
      <c r="C350" s="146" t="s">
        <v>52</v>
      </c>
      <c r="D350" s="753" t="s">
        <v>147</v>
      </c>
      <c r="E350" s="92">
        <v>2</v>
      </c>
      <c r="F350" s="92" t="s">
        <v>92</v>
      </c>
      <c r="G350" s="92"/>
      <c r="H350" s="724">
        <v>720</v>
      </c>
      <c r="I350" s="724">
        <v>0</v>
      </c>
      <c r="J350" s="724">
        <v>360</v>
      </c>
      <c r="K350" s="724">
        <v>360</v>
      </c>
      <c r="L350" s="724">
        <v>0</v>
      </c>
      <c r="M350" s="724">
        <v>2020.12</v>
      </c>
      <c r="N350" s="724">
        <v>9.4</v>
      </c>
      <c r="O350" s="724">
        <v>0</v>
      </c>
      <c r="P350" s="724">
        <v>5.8</v>
      </c>
      <c r="Q350" s="724">
        <v>3.6</v>
      </c>
      <c r="R350" s="724">
        <v>9.4</v>
      </c>
      <c r="S350" s="724">
        <v>0</v>
      </c>
      <c r="T350" s="724">
        <v>0</v>
      </c>
      <c r="U350" s="724">
        <v>0</v>
      </c>
      <c r="V350" s="724">
        <v>0</v>
      </c>
      <c r="W350" s="92" t="s">
        <v>240</v>
      </c>
      <c r="X350" s="92" t="s">
        <v>47</v>
      </c>
      <c r="Y350" s="738">
        <v>360</v>
      </c>
      <c r="Z350" s="738">
        <v>1160</v>
      </c>
      <c r="AA350" s="738">
        <v>2</v>
      </c>
      <c r="AB350" s="92"/>
      <c r="AC350" s="92"/>
      <c r="AD350" s="712" t="s">
        <v>262</v>
      </c>
      <c r="AE350" s="56" t="s">
        <v>263</v>
      </c>
      <c r="AF350" s="146" t="s">
        <v>195</v>
      </c>
      <c r="AG350" s="92"/>
    </row>
    <row r="351" s="570" customFormat="1" ht="24.95" customHeight="1" spans="1:33">
      <c r="A351" s="705"/>
      <c r="B351" s="779" t="s">
        <v>289</v>
      </c>
      <c r="C351" s="146" t="s">
        <v>52</v>
      </c>
      <c r="D351" s="780" t="s">
        <v>147</v>
      </c>
      <c r="E351" s="92">
        <v>20</v>
      </c>
      <c r="F351" s="92">
        <v>0</v>
      </c>
      <c r="G351" s="92"/>
      <c r="H351" s="724">
        <v>12016</v>
      </c>
      <c r="I351" s="724">
        <v>0</v>
      </c>
      <c r="J351" s="724">
        <v>6160</v>
      </c>
      <c r="K351" s="724">
        <v>5856</v>
      </c>
      <c r="L351" s="724">
        <v>0</v>
      </c>
      <c r="M351" s="724">
        <v>0</v>
      </c>
      <c r="N351" s="724">
        <v>1960.8</v>
      </c>
      <c r="O351" s="724">
        <v>0</v>
      </c>
      <c r="P351" s="724">
        <v>995.6</v>
      </c>
      <c r="Q351" s="724">
        <v>965.2</v>
      </c>
      <c r="R351" s="724">
        <v>1960.8</v>
      </c>
      <c r="S351" s="724">
        <v>0</v>
      </c>
      <c r="T351" s="724">
        <v>0</v>
      </c>
      <c r="U351" s="724">
        <v>0</v>
      </c>
      <c r="V351" s="724">
        <v>0</v>
      </c>
      <c r="W351" s="92" t="s">
        <v>240</v>
      </c>
      <c r="X351" s="92" t="s">
        <v>47</v>
      </c>
      <c r="Y351" s="738">
        <v>5498</v>
      </c>
      <c r="Z351" s="738">
        <v>15714</v>
      </c>
      <c r="AA351" s="738">
        <v>20</v>
      </c>
      <c r="AB351" s="92"/>
      <c r="AC351" s="92"/>
      <c r="AD351" s="193" t="s">
        <v>242</v>
      </c>
      <c r="AE351" s="193" t="s">
        <v>243</v>
      </c>
      <c r="AF351" s="146" t="s">
        <v>195</v>
      </c>
      <c r="AG351" s="92"/>
    </row>
    <row r="352" s="570" customFormat="1" ht="24.95" customHeight="1" spans="1:33">
      <c r="A352" s="705"/>
      <c r="B352" s="781" t="s">
        <v>101</v>
      </c>
      <c r="C352" s="146" t="s">
        <v>52</v>
      </c>
      <c r="D352" s="780" t="s">
        <v>147</v>
      </c>
      <c r="E352" s="92">
        <v>2</v>
      </c>
      <c r="F352" s="92" t="s">
        <v>101</v>
      </c>
      <c r="G352" s="92"/>
      <c r="H352" s="724">
        <v>280</v>
      </c>
      <c r="I352" s="724">
        <v>0</v>
      </c>
      <c r="J352" s="724">
        <v>140</v>
      </c>
      <c r="K352" s="724">
        <v>140</v>
      </c>
      <c r="L352" s="724">
        <v>0</v>
      </c>
      <c r="M352" s="724">
        <v>2020.12</v>
      </c>
      <c r="N352" s="724">
        <v>796.1</v>
      </c>
      <c r="O352" s="724">
        <v>0</v>
      </c>
      <c r="P352" s="724">
        <v>404.5</v>
      </c>
      <c r="Q352" s="724">
        <v>391.6</v>
      </c>
      <c r="R352" s="724">
        <v>796.1</v>
      </c>
      <c r="S352" s="724">
        <v>0</v>
      </c>
      <c r="T352" s="724">
        <v>0</v>
      </c>
      <c r="U352" s="724">
        <v>0</v>
      </c>
      <c r="V352" s="724">
        <v>0</v>
      </c>
      <c r="W352" s="92" t="s">
        <v>240</v>
      </c>
      <c r="X352" s="92" t="s">
        <v>47</v>
      </c>
      <c r="Y352" s="738">
        <v>140</v>
      </c>
      <c r="Z352" s="738">
        <v>602</v>
      </c>
      <c r="AA352" s="738">
        <v>2</v>
      </c>
      <c r="AB352" s="92"/>
      <c r="AC352" s="92"/>
      <c r="AD352" s="193" t="s">
        <v>244</v>
      </c>
      <c r="AE352" s="193" t="s">
        <v>245</v>
      </c>
      <c r="AF352" s="146" t="s">
        <v>195</v>
      </c>
      <c r="AG352" s="92"/>
    </row>
    <row r="353" s="570" customFormat="1" ht="24.95" customHeight="1" spans="1:33">
      <c r="A353" s="705"/>
      <c r="B353" s="778" t="s">
        <v>51</v>
      </c>
      <c r="C353" s="146" t="s">
        <v>52</v>
      </c>
      <c r="D353" s="780" t="s">
        <v>147</v>
      </c>
      <c r="E353" s="92">
        <v>2</v>
      </c>
      <c r="F353" s="92" t="s">
        <v>51</v>
      </c>
      <c r="G353" s="92"/>
      <c r="H353" s="724">
        <v>876</v>
      </c>
      <c r="I353" s="724">
        <v>0</v>
      </c>
      <c r="J353" s="724">
        <v>438</v>
      </c>
      <c r="K353" s="724">
        <v>438</v>
      </c>
      <c r="L353" s="724">
        <v>0</v>
      </c>
      <c r="M353" s="724">
        <v>2020.12</v>
      </c>
      <c r="N353" s="724">
        <v>87.6</v>
      </c>
      <c r="O353" s="724">
        <v>0</v>
      </c>
      <c r="P353" s="724">
        <v>43.8</v>
      </c>
      <c r="Q353" s="724">
        <v>43.8</v>
      </c>
      <c r="R353" s="724">
        <v>87.6</v>
      </c>
      <c r="S353" s="724">
        <v>0</v>
      </c>
      <c r="T353" s="724">
        <v>0</v>
      </c>
      <c r="U353" s="724">
        <v>0</v>
      </c>
      <c r="V353" s="724">
        <v>0</v>
      </c>
      <c r="W353" s="92" t="s">
        <v>240</v>
      </c>
      <c r="X353" s="92" t="s">
        <v>47</v>
      </c>
      <c r="Y353" s="738">
        <v>438</v>
      </c>
      <c r="Z353" s="738">
        <v>1790</v>
      </c>
      <c r="AA353" s="738">
        <v>2</v>
      </c>
      <c r="AB353" s="92"/>
      <c r="AC353" s="92"/>
      <c r="AD353" s="712" t="s">
        <v>169</v>
      </c>
      <c r="AE353" s="56" t="s">
        <v>246</v>
      </c>
      <c r="AF353" s="146" t="s">
        <v>195</v>
      </c>
      <c r="AG353" s="92"/>
    </row>
    <row r="354" s="570" customFormat="1" ht="24.95" customHeight="1" spans="1:33">
      <c r="A354" s="705"/>
      <c r="B354" s="778" t="s">
        <v>72</v>
      </c>
      <c r="C354" s="146" t="s">
        <v>52</v>
      </c>
      <c r="D354" s="780" t="s">
        <v>147</v>
      </c>
      <c r="E354" s="92">
        <v>2</v>
      </c>
      <c r="F354" s="92" t="s">
        <v>72</v>
      </c>
      <c r="G354" s="92"/>
      <c r="H354" s="724">
        <v>1132</v>
      </c>
      <c r="I354" s="724">
        <v>0</v>
      </c>
      <c r="J354" s="724">
        <v>566</v>
      </c>
      <c r="K354" s="724">
        <v>566</v>
      </c>
      <c r="L354" s="724">
        <v>0</v>
      </c>
      <c r="M354" s="724">
        <v>2020.12</v>
      </c>
      <c r="N354" s="724">
        <v>113.2</v>
      </c>
      <c r="O354" s="724">
        <v>0</v>
      </c>
      <c r="P354" s="724">
        <v>56.6</v>
      </c>
      <c r="Q354" s="724">
        <v>56.6</v>
      </c>
      <c r="R354" s="724">
        <v>113.2</v>
      </c>
      <c r="S354" s="724">
        <v>0</v>
      </c>
      <c r="T354" s="724">
        <v>0</v>
      </c>
      <c r="U354" s="724">
        <v>0</v>
      </c>
      <c r="V354" s="724">
        <v>0</v>
      </c>
      <c r="W354" s="92" t="s">
        <v>240</v>
      </c>
      <c r="X354" s="92" t="s">
        <v>47</v>
      </c>
      <c r="Y354" s="738">
        <v>496</v>
      </c>
      <c r="Z354" s="738">
        <v>992</v>
      </c>
      <c r="AA354" s="738">
        <v>2</v>
      </c>
      <c r="AB354" s="92"/>
      <c r="AC354" s="92"/>
      <c r="AD354" s="712" t="s">
        <v>247</v>
      </c>
      <c r="AE354" s="56" t="s">
        <v>248</v>
      </c>
      <c r="AF354" s="146" t="s">
        <v>195</v>
      </c>
      <c r="AG354" s="92"/>
    </row>
    <row r="355" s="570" customFormat="1" ht="24.95" customHeight="1" spans="1:33">
      <c r="A355" s="705"/>
      <c r="B355" s="778" t="s">
        <v>55</v>
      </c>
      <c r="C355" s="146" t="s">
        <v>52</v>
      </c>
      <c r="D355" s="780" t="s">
        <v>147</v>
      </c>
      <c r="E355" s="92">
        <v>2</v>
      </c>
      <c r="F355" s="92" t="s">
        <v>55</v>
      </c>
      <c r="G355" s="92"/>
      <c r="H355" s="724">
        <v>892</v>
      </c>
      <c r="I355" s="724">
        <v>0</v>
      </c>
      <c r="J355" s="724">
        <v>446</v>
      </c>
      <c r="K355" s="724">
        <v>446</v>
      </c>
      <c r="L355" s="724">
        <v>0</v>
      </c>
      <c r="M355" s="724">
        <v>2020.12</v>
      </c>
      <c r="N355" s="724">
        <v>89.2</v>
      </c>
      <c r="O355" s="724">
        <v>0</v>
      </c>
      <c r="P355" s="724">
        <v>44.6</v>
      </c>
      <c r="Q355" s="724">
        <v>44.6</v>
      </c>
      <c r="R355" s="724">
        <v>89.2</v>
      </c>
      <c r="S355" s="724">
        <v>0</v>
      </c>
      <c r="T355" s="724">
        <v>0</v>
      </c>
      <c r="U355" s="724">
        <v>0</v>
      </c>
      <c r="V355" s="724">
        <v>0</v>
      </c>
      <c r="W355" s="92" t="s">
        <v>240</v>
      </c>
      <c r="X355" s="92" t="s">
        <v>47</v>
      </c>
      <c r="Y355" s="738">
        <v>446</v>
      </c>
      <c r="Z355" s="738">
        <v>1956</v>
      </c>
      <c r="AA355" s="738">
        <v>2</v>
      </c>
      <c r="AB355" s="92"/>
      <c r="AC355" s="92"/>
      <c r="AD355" s="712" t="s">
        <v>209</v>
      </c>
      <c r="AE355" s="56" t="s">
        <v>251</v>
      </c>
      <c r="AF355" s="146" t="s">
        <v>195</v>
      </c>
      <c r="AG355" s="92"/>
    </row>
    <row r="356" s="570" customFormat="1" ht="24.95" customHeight="1" spans="1:33">
      <c r="A356" s="705"/>
      <c r="B356" s="778" t="s">
        <v>75</v>
      </c>
      <c r="C356" s="146" t="s">
        <v>52</v>
      </c>
      <c r="D356" s="780" t="s">
        <v>147</v>
      </c>
      <c r="E356" s="92">
        <v>2</v>
      </c>
      <c r="F356" s="92" t="s">
        <v>75</v>
      </c>
      <c r="G356" s="92"/>
      <c r="H356" s="724">
        <v>1280</v>
      </c>
      <c r="I356" s="724">
        <v>0</v>
      </c>
      <c r="J356" s="724">
        <v>640</v>
      </c>
      <c r="K356" s="724">
        <v>640</v>
      </c>
      <c r="L356" s="724">
        <v>0</v>
      </c>
      <c r="M356" s="724">
        <v>2020.12</v>
      </c>
      <c r="N356" s="724">
        <v>128</v>
      </c>
      <c r="O356" s="724">
        <v>0</v>
      </c>
      <c r="P356" s="724">
        <v>64</v>
      </c>
      <c r="Q356" s="724">
        <v>64</v>
      </c>
      <c r="R356" s="724">
        <v>128</v>
      </c>
      <c r="S356" s="724">
        <v>0</v>
      </c>
      <c r="T356" s="724">
        <v>0</v>
      </c>
      <c r="U356" s="724">
        <v>0</v>
      </c>
      <c r="V356" s="724">
        <v>0</v>
      </c>
      <c r="W356" s="92" t="s">
        <v>240</v>
      </c>
      <c r="X356" s="92" t="s">
        <v>47</v>
      </c>
      <c r="Y356" s="738">
        <v>640</v>
      </c>
      <c r="Z356" s="738">
        <v>2692</v>
      </c>
      <c r="AA356" s="738">
        <v>2</v>
      </c>
      <c r="AB356" s="92"/>
      <c r="AC356" s="92"/>
      <c r="AD356" s="712" t="s">
        <v>76</v>
      </c>
      <c r="AE356" s="712" t="s">
        <v>252</v>
      </c>
      <c r="AF356" s="146" t="s">
        <v>195</v>
      </c>
      <c r="AG356" s="92"/>
    </row>
    <row r="357" s="570" customFormat="1" ht="24.95" customHeight="1" spans="1:33">
      <c r="A357" s="705"/>
      <c r="B357" s="778" t="s">
        <v>58</v>
      </c>
      <c r="C357" s="146" t="s">
        <v>52</v>
      </c>
      <c r="D357" s="780" t="s">
        <v>147</v>
      </c>
      <c r="E357" s="92">
        <v>1</v>
      </c>
      <c r="F357" s="92" t="s">
        <v>58</v>
      </c>
      <c r="G357" s="92"/>
      <c r="H357" s="724">
        <v>258</v>
      </c>
      <c r="I357" s="724">
        <v>0</v>
      </c>
      <c r="J357" s="724">
        <v>258</v>
      </c>
      <c r="K357" s="724">
        <v>0</v>
      </c>
      <c r="L357" s="724">
        <v>0</v>
      </c>
      <c r="M357" s="724">
        <v>0</v>
      </c>
      <c r="N357" s="724">
        <v>12.9</v>
      </c>
      <c r="O357" s="724">
        <v>0</v>
      </c>
      <c r="P357" s="724">
        <v>12.9</v>
      </c>
      <c r="Q357" s="724">
        <v>0</v>
      </c>
      <c r="R357" s="724">
        <v>12.9</v>
      </c>
      <c r="S357" s="724">
        <v>0</v>
      </c>
      <c r="T357" s="724">
        <v>0</v>
      </c>
      <c r="U357" s="724">
        <v>0</v>
      </c>
      <c r="V357" s="724">
        <v>0</v>
      </c>
      <c r="W357" s="92" t="s">
        <v>240</v>
      </c>
      <c r="X357" s="92" t="s">
        <v>47</v>
      </c>
      <c r="Y357" s="738">
        <v>129</v>
      </c>
      <c r="Z357" s="738">
        <v>555</v>
      </c>
      <c r="AA357" s="738">
        <v>1</v>
      </c>
      <c r="AB357" s="92"/>
      <c r="AC357" s="92"/>
      <c r="AD357" s="712" t="s">
        <v>253</v>
      </c>
      <c r="AE357" s="56" t="s">
        <v>254</v>
      </c>
      <c r="AF357" s="146" t="s">
        <v>195</v>
      </c>
      <c r="AG357" s="92"/>
    </row>
    <row r="358" s="570" customFormat="1" ht="24.95" customHeight="1" spans="1:33">
      <c r="A358" s="705"/>
      <c r="B358" s="778" t="s">
        <v>61</v>
      </c>
      <c r="C358" s="146" t="s">
        <v>52</v>
      </c>
      <c r="D358" s="780" t="s">
        <v>147</v>
      </c>
      <c r="E358" s="92">
        <v>2</v>
      </c>
      <c r="F358" s="92" t="s">
        <v>61</v>
      </c>
      <c r="G358" s="92"/>
      <c r="H358" s="724">
        <v>3652</v>
      </c>
      <c r="I358" s="724">
        <v>0</v>
      </c>
      <c r="J358" s="724">
        <v>1826</v>
      </c>
      <c r="K358" s="724">
        <v>1826</v>
      </c>
      <c r="L358" s="724">
        <v>0</v>
      </c>
      <c r="M358" s="724">
        <v>2020.12</v>
      </c>
      <c r="N358" s="724">
        <v>365.2</v>
      </c>
      <c r="O358" s="724">
        <v>0</v>
      </c>
      <c r="P358" s="724">
        <v>182.6</v>
      </c>
      <c r="Q358" s="724">
        <v>182.6</v>
      </c>
      <c r="R358" s="724">
        <v>365.2</v>
      </c>
      <c r="S358" s="724">
        <v>0</v>
      </c>
      <c r="T358" s="724">
        <v>0</v>
      </c>
      <c r="U358" s="724">
        <v>0</v>
      </c>
      <c r="V358" s="724">
        <v>0</v>
      </c>
      <c r="W358" s="92" t="s">
        <v>240</v>
      </c>
      <c r="X358" s="92" t="s">
        <v>47</v>
      </c>
      <c r="Y358" s="738">
        <v>1826</v>
      </c>
      <c r="Z358" s="738">
        <v>1826</v>
      </c>
      <c r="AA358" s="738">
        <v>2</v>
      </c>
      <c r="AB358" s="92"/>
      <c r="AC358" s="92"/>
      <c r="AD358" s="712" t="s">
        <v>255</v>
      </c>
      <c r="AE358" s="56" t="s">
        <v>256</v>
      </c>
      <c r="AF358" s="146" t="s">
        <v>195</v>
      </c>
      <c r="AG358" s="92"/>
    </row>
    <row r="359" s="570" customFormat="1" ht="24.95" customHeight="1" spans="1:33">
      <c r="A359" s="705"/>
      <c r="B359" s="781" t="s">
        <v>100</v>
      </c>
      <c r="C359" s="146" t="s">
        <v>52</v>
      </c>
      <c r="D359" s="780" t="s">
        <v>147</v>
      </c>
      <c r="E359" s="92">
        <v>2</v>
      </c>
      <c r="F359" s="92" t="s">
        <v>100</v>
      </c>
      <c r="G359" s="92"/>
      <c r="H359" s="724">
        <v>2000</v>
      </c>
      <c r="I359" s="724">
        <v>0</v>
      </c>
      <c r="J359" s="724">
        <v>1000</v>
      </c>
      <c r="K359" s="724">
        <v>1000</v>
      </c>
      <c r="L359" s="724">
        <v>0</v>
      </c>
      <c r="M359" s="724">
        <v>2020.12</v>
      </c>
      <c r="N359" s="724">
        <v>200</v>
      </c>
      <c r="O359" s="724">
        <v>0</v>
      </c>
      <c r="P359" s="724">
        <v>100</v>
      </c>
      <c r="Q359" s="724">
        <v>100</v>
      </c>
      <c r="R359" s="724">
        <v>200</v>
      </c>
      <c r="S359" s="724">
        <v>0</v>
      </c>
      <c r="T359" s="724">
        <v>0</v>
      </c>
      <c r="U359" s="724">
        <v>0</v>
      </c>
      <c r="V359" s="724">
        <v>0</v>
      </c>
      <c r="W359" s="92" t="s">
        <v>240</v>
      </c>
      <c r="X359" s="92" t="s">
        <v>47</v>
      </c>
      <c r="Y359" s="738">
        <v>200</v>
      </c>
      <c r="Z359" s="738">
        <v>842</v>
      </c>
      <c r="AA359" s="738">
        <v>2</v>
      </c>
      <c r="AB359" s="92"/>
      <c r="AC359" s="92"/>
      <c r="AD359" s="743" t="s">
        <v>79</v>
      </c>
      <c r="AE359" s="743" t="s">
        <v>257</v>
      </c>
      <c r="AF359" s="146" t="s">
        <v>195</v>
      </c>
      <c r="AG359" s="92"/>
    </row>
    <row r="360" s="570" customFormat="1" ht="24.95" customHeight="1" spans="1:33">
      <c r="A360" s="705"/>
      <c r="B360" s="778" t="s">
        <v>114</v>
      </c>
      <c r="C360" s="146" t="s">
        <v>52</v>
      </c>
      <c r="D360" s="780" t="s">
        <v>147</v>
      </c>
      <c r="E360" s="92">
        <v>1</v>
      </c>
      <c r="F360" s="92" t="s">
        <v>114</v>
      </c>
      <c r="G360" s="92"/>
      <c r="H360" s="724">
        <v>46</v>
      </c>
      <c r="I360" s="724">
        <v>0</v>
      </c>
      <c r="J360" s="724">
        <v>46</v>
      </c>
      <c r="K360" s="724">
        <v>0</v>
      </c>
      <c r="L360" s="724">
        <v>0</v>
      </c>
      <c r="M360" s="724">
        <v>0</v>
      </c>
      <c r="N360" s="724">
        <v>4.6</v>
      </c>
      <c r="O360" s="724">
        <v>0</v>
      </c>
      <c r="P360" s="724">
        <v>4.6</v>
      </c>
      <c r="Q360" s="724">
        <v>0</v>
      </c>
      <c r="R360" s="724">
        <v>4.6</v>
      </c>
      <c r="S360" s="724">
        <v>0</v>
      </c>
      <c r="T360" s="724">
        <v>0</v>
      </c>
      <c r="U360" s="724">
        <v>0</v>
      </c>
      <c r="V360" s="724">
        <v>0</v>
      </c>
      <c r="W360" s="92" t="s">
        <v>240</v>
      </c>
      <c r="X360" s="92" t="s">
        <v>47</v>
      </c>
      <c r="Y360" s="738">
        <v>23</v>
      </c>
      <c r="Z360" s="738">
        <v>99</v>
      </c>
      <c r="AA360" s="738">
        <v>1</v>
      </c>
      <c r="AB360" s="92"/>
      <c r="AC360" s="92"/>
      <c r="AD360" s="712" t="s">
        <v>260</v>
      </c>
      <c r="AE360" s="56" t="s">
        <v>261</v>
      </c>
      <c r="AF360" s="146" t="s">
        <v>195</v>
      </c>
      <c r="AG360" s="92"/>
    </row>
    <row r="361" s="570" customFormat="1" ht="24.95" customHeight="1" spans="1:33">
      <c r="A361" s="705"/>
      <c r="B361" s="778" t="s">
        <v>64</v>
      </c>
      <c r="C361" s="146" t="s">
        <v>52</v>
      </c>
      <c r="D361" s="780" t="s">
        <v>147</v>
      </c>
      <c r="E361" s="92">
        <v>2</v>
      </c>
      <c r="F361" s="92" t="s">
        <v>64</v>
      </c>
      <c r="G361" s="92"/>
      <c r="H361" s="724">
        <v>880</v>
      </c>
      <c r="I361" s="724">
        <v>0</v>
      </c>
      <c r="J361" s="724">
        <v>440</v>
      </c>
      <c r="K361" s="724">
        <v>440</v>
      </c>
      <c r="L361" s="724">
        <v>0</v>
      </c>
      <c r="M361" s="724">
        <v>2020.12</v>
      </c>
      <c r="N361" s="724">
        <v>88</v>
      </c>
      <c r="O361" s="724">
        <v>0</v>
      </c>
      <c r="P361" s="724">
        <v>44</v>
      </c>
      <c r="Q361" s="724">
        <v>44</v>
      </c>
      <c r="R361" s="724">
        <v>88</v>
      </c>
      <c r="S361" s="724">
        <v>0</v>
      </c>
      <c r="T361" s="724">
        <v>0</v>
      </c>
      <c r="U361" s="724">
        <v>0</v>
      </c>
      <c r="V361" s="724">
        <v>0</v>
      </c>
      <c r="W361" s="92" t="s">
        <v>240</v>
      </c>
      <c r="X361" s="92" t="s">
        <v>47</v>
      </c>
      <c r="Y361" s="738">
        <v>800</v>
      </c>
      <c r="Z361" s="738">
        <v>3200</v>
      </c>
      <c r="AA361" s="738">
        <v>2</v>
      </c>
      <c r="AB361" s="92"/>
      <c r="AC361" s="92"/>
      <c r="AD361" s="712" t="s">
        <v>185</v>
      </c>
      <c r="AE361" s="56" t="s">
        <v>258</v>
      </c>
      <c r="AF361" s="146" t="s">
        <v>195</v>
      </c>
      <c r="AG361" s="92"/>
    </row>
    <row r="362" s="570" customFormat="1" ht="24.95" customHeight="1" spans="1:33">
      <c r="A362" s="705"/>
      <c r="B362" s="778" t="s">
        <v>92</v>
      </c>
      <c r="C362" s="146" t="s">
        <v>52</v>
      </c>
      <c r="D362" s="780" t="s">
        <v>147</v>
      </c>
      <c r="E362" s="92">
        <v>2</v>
      </c>
      <c r="F362" s="92" t="s">
        <v>92</v>
      </c>
      <c r="G362" s="92"/>
      <c r="H362" s="724">
        <v>720</v>
      </c>
      <c r="I362" s="724">
        <v>0</v>
      </c>
      <c r="J362" s="724">
        <v>360</v>
      </c>
      <c r="K362" s="724">
        <v>360</v>
      </c>
      <c r="L362" s="724">
        <v>0</v>
      </c>
      <c r="M362" s="724">
        <v>2020.12</v>
      </c>
      <c r="N362" s="724">
        <v>76</v>
      </c>
      <c r="O362" s="724">
        <v>0</v>
      </c>
      <c r="P362" s="724">
        <v>38</v>
      </c>
      <c r="Q362" s="724">
        <v>38</v>
      </c>
      <c r="R362" s="724">
        <v>76</v>
      </c>
      <c r="S362" s="724">
        <v>0</v>
      </c>
      <c r="T362" s="724">
        <v>0</v>
      </c>
      <c r="U362" s="724">
        <v>0</v>
      </c>
      <c r="V362" s="724">
        <v>0</v>
      </c>
      <c r="W362" s="92" t="s">
        <v>240</v>
      </c>
      <c r="X362" s="92" t="s">
        <v>47</v>
      </c>
      <c r="Y362" s="738">
        <v>360</v>
      </c>
      <c r="Z362" s="738">
        <v>1160</v>
      </c>
      <c r="AA362" s="738">
        <v>2</v>
      </c>
      <c r="AB362" s="92"/>
      <c r="AC362" s="92"/>
      <c r="AD362" s="712" t="s">
        <v>262</v>
      </c>
      <c r="AE362" s="56" t="s">
        <v>263</v>
      </c>
      <c r="AF362" s="146" t="s">
        <v>195</v>
      </c>
      <c r="AG362" s="92"/>
    </row>
    <row r="363" s="570" customFormat="1" ht="24.95" customHeight="1" spans="1:33">
      <c r="A363" s="705"/>
      <c r="B363" s="711" t="s">
        <v>290</v>
      </c>
      <c r="C363" s="146" t="s">
        <v>52</v>
      </c>
      <c r="D363" s="780"/>
      <c r="E363" s="92">
        <v>16</v>
      </c>
      <c r="F363" s="92">
        <v>0</v>
      </c>
      <c r="G363" s="92"/>
      <c r="H363" s="724">
        <v>8540</v>
      </c>
      <c r="I363" s="724">
        <v>0</v>
      </c>
      <c r="J363" s="724">
        <v>4270</v>
      </c>
      <c r="K363" s="724">
        <v>4270</v>
      </c>
      <c r="L363" s="724">
        <v>0</v>
      </c>
      <c r="M363" s="724">
        <v>0</v>
      </c>
      <c r="N363" s="724">
        <v>818.6</v>
      </c>
      <c r="O363" s="724">
        <v>0</v>
      </c>
      <c r="P363" s="724">
        <v>409.3</v>
      </c>
      <c r="Q363" s="724">
        <v>409.3</v>
      </c>
      <c r="R363" s="724">
        <v>818.6</v>
      </c>
      <c r="S363" s="724">
        <v>0</v>
      </c>
      <c r="T363" s="724">
        <v>0</v>
      </c>
      <c r="U363" s="724">
        <v>0</v>
      </c>
      <c r="V363" s="724">
        <v>0</v>
      </c>
      <c r="W363" s="92" t="s">
        <v>240</v>
      </c>
      <c r="X363" s="92" t="s">
        <v>47</v>
      </c>
      <c r="Y363" s="738">
        <v>4200</v>
      </c>
      <c r="Z363" s="738">
        <v>16178</v>
      </c>
      <c r="AA363" s="738">
        <v>16</v>
      </c>
      <c r="AB363" s="92"/>
      <c r="AC363" s="92"/>
      <c r="AD363" s="193" t="s">
        <v>242</v>
      </c>
      <c r="AE363" s="193" t="s">
        <v>243</v>
      </c>
      <c r="AF363" s="146" t="s">
        <v>195</v>
      </c>
      <c r="AG363" s="92"/>
    </row>
    <row r="364" s="570" customFormat="1" ht="24.95" customHeight="1" spans="1:33">
      <c r="A364" s="705"/>
      <c r="B364" s="782" t="s">
        <v>51</v>
      </c>
      <c r="C364" s="146" t="s">
        <v>52</v>
      </c>
      <c r="D364" s="753" t="s">
        <v>147</v>
      </c>
      <c r="E364" s="92">
        <v>2</v>
      </c>
      <c r="F364" s="92" t="s">
        <v>51</v>
      </c>
      <c r="G364" s="92"/>
      <c r="H364" s="724">
        <v>980</v>
      </c>
      <c r="I364" s="724">
        <v>0</v>
      </c>
      <c r="J364" s="724">
        <v>490</v>
      </c>
      <c r="K364" s="724">
        <v>490</v>
      </c>
      <c r="L364" s="724">
        <v>0</v>
      </c>
      <c r="M364" s="724">
        <v>2020.12</v>
      </c>
      <c r="N364" s="724">
        <v>117.8</v>
      </c>
      <c r="O364" s="724">
        <v>0</v>
      </c>
      <c r="P364" s="724">
        <v>58.9</v>
      </c>
      <c r="Q364" s="724">
        <v>58.9</v>
      </c>
      <c r="R364" s="724">
        <v>117.8</v>
      </c>
      <c r="S364" s="724">
        <v>0</v>
      </c>
      <c r="T364" s="724">
        <v>0</v>
      </c>
      <c r="U364" s="724">
        <v>0</v>
      </c>
      <c r="V364" s="724">
        <v>0</v>
      </c>
      <c r="W364" s="92" t="s">
        <v>240</v>
      </c>
      <c r="X364" s="92" t="s">
        <v>47</v>
      </c>
      <c r="Y364" s="738">
        <v>490</v>
      </c>
      <c r="Z364" s="738">
        <v>1662</v>
      </c>
      <c r="AA364" s="738">
        <v>2</v>
      </c>
      <c r="AB364" s="92"/>
      <c r="AC364" s="92"/>
      <c r="AD364" s="712" t="s">
        <v>169</v>
      </c>
      <c r="AE364" s="56" t="s">
        <v>246</v>
      </c>
      <c r="AF364" s="146" t="s">
        <v>195</v>
      </c>
      <c r="AG364" s="92"/>
    </row>
    <row r="365" s="570" customFormat="1" ht="24.95" customHeight="1" spans="1:33">
      <c r="A365" s="705"/>
      <c r="B365" s="782" t="s">
        <v>72</v>
      </c>
      <c r="C365" s="146" t="s">
        <v>52</v>
      </c>
      <c r="D365" s="753" t="s">
        <v>147</v>
      </c>
      <c r="E365" s="92">
        <v>2</v>
      </c>
      <c r="F365" s="92" t="s">
        <v>72</v>
      </c>
      <c r="G365" s="92"/>
      <c r="H365" s="724">
        <v>1132</v>
      </c>
      <c r="I365" s="724">
        <v>0</v>
      </c>
      <c r="J365" s="724">
        <v>566</v>
      </c>
      <c r="K365" s="724">
        <v>566</v>
      </c>
      <c r="L365" s="724">
        <v>0</v>
      </c>
      <c r="M365" s="724">
        <v>2020.12</v>
      </c>
      <c r="N365" s="724">
        <v>56.6</v>
      </c>
      <c r="O365" s="724">
        <v>0</v>
      </c>
      <c r="P365" s="724">
        <v>28.3</v>
      </c>
      <c r="Q365" s="724">
        <v>28.3</v>
      </c>
      <c r="R365" s="724">
        <v>56.6</v>
      </c>
      <c r="S365" s="724">
        <v>0</v>
      </c>
      <c r="T365" s="724">
        <v>0</v>
      </c>
      <c r="U365" s="724">
        <v>0</v>
      </c>
      <c r="V365" s="724">
        <v>0</v>
      </c>
      <c r="W365" s="92" t="s">
        <v>240</v>
      </c>
      <c r="X365" s="92" t="s">
        <v>47</v>
      </c>
      <c r="Y365" s="738">
        <v>496</v>
      </c>
      <c r="Z365" s="738">
        <v>2132</v>
      </c>
      <c r="AA365" s="738">
        <v>2</v>
      </c>
      <c r="AB365" s="92"/>
      <c r="AC365" s="92"/>
      <c r="AD365" s="712" t="s">
        <v>247</v>
      </c>
      <c r="AE365" s="56" t="s">
        <v>248</v>
      </c>
      <c r="AF365" s="146" t="s">
        <v>195</v>
      </c>
      <c r="AG365" s="92"/>
    </row>
    <row r="366" s="570" customFormat="1" ht="24.95" customHeight="1" spans="1:33">
      <c r="A366" s="705"/>
      <c r="B366" s="782" t="s">
        <v>55</v>
      </c>
      <c r="C366" s="146" t="s">
        <v>52</v>
      </c>
      <c r="D366" s="753" t="s">
        <v>147</v>
      </c>
      <c r="E366" s="92">
        <v>2</v>
      </c>
      <c r="F366" s="92" t="s">
        <v>55</v>
      </c>
      <c r="G366" s="92"/>
      <c r="H366" s="724">
        <v>1788</v>
      </c>
      <c r="I366" s="724">
        <v>0</v>
      </c>
      <c r="J366" s="724">
        <v>894</v>
      </c>
      <c r="K366" s="724">
        <v>894</v>
      </c>
      <c r="L366" s="724">
        <v>0</v>
      </c>
      <c r="M366" s="724">
        <v>2020.12</v>
      </c>
      <c r="N366" s="724">
        <v>268.2</v>
      </c>
      <c r="O366" s="724">
        <v>0</v>
      </c>
      <c r="P366" s="724">
        <v>134.1</v>
      </c>
      <c r="Q366" s="724">
        <v>134.1</v>
      </c>
      <c r="R366" s="724">
        <v>268.2</v>
      </c>
      <c r="S366" s="724">
        <v>0</v>
      </c>
      <c r="T366" s="724">
        <v>0</v>
      </c>
      <c r="U366" s="724">
        <v>0</v>
      </c>
      <c r="V366" s="724">
        <v>0</v>
      </c>
      <c r="W366" s="92" t="s">
        <v>240</v>
      </c>
      <c r="X366" s="92" t="s">
        <v>47</v>
      </c>
      <c r="Y366" s="738">
        <v>894</v>
      </c>
      <c r="Z366" s="738">
        <v>3872</v>
      </c>
      <c r="AA366" s="738">
        <v>2</v>
      </c>
      <c r="AB366" s="92"/>
      <c r="AC366" s="92"/>
      <c r="AD366" s="712" t="s">
        <v>209</v>
      </c>
      <c r="AE366" s="56" t="s">
        <v>251</v>
      </c>
      <c r="AF366" s="146" t="s">
        <v>195</v>
      </c>
      <c r="AG366" s="92"/>
    </row>
    <row r="367" s="570" customFormat="1" ht="24.95" customHeight="1" spans="1:33">
      <c r="A367" s="705"/>
      <c r="B367" s="778" t="s">
        <v>75</v>
      </c>
      <c r="C367" s="146" t="s">
        <v>52</v>
      </c>
      <c r="D367" s="780" t="s">
        <v>147</v>
      </c>
      <c r="E367" s="92">
        <v>2</v>
      </c>
      <c r="F367" s="92" t="s">
        <v>75</v>
      </c>
      <c r="G367" s="92"/>
      <c r="H367" s="724">
        <v>2560</v>
      </c>
      <c r="I367" s="724">
        <v>0</v>
      </c>
      <c r="J367" s="724">
        <v>1280</v>
      </c>
      <c r="K367" s="724">
        <v>1280</v>
      </c>
      <c r="L367" s="724">
        <v>0</v>
      </c>
      <c r="M367" s="724">
        <v>2020.12</v>
      </c>
      <c r="N367" s="724">
        <v>256</v>
      </c>
      <c r="O367" s="724">
        <v>0</v>
      </c>
      <c r="P367" s="724">
        <v>128</v>
      </c>
      <c r="Q367" s="724">
        <v>128</v>
      </c>
      <c r="R367" s="724">
        <v>256</v>
      </c>
      <c r="S367" s="724">
        <v>0</v>
      </c>
      <c r="T367" s="724">
        <v>0</v>
      </c>
      <c r="U367" s="724">
        <v>0</v>
      </c>
      <c r="V367" s="724">
        <v>0</v>
      </c>
      <c r="W367" s="92" t="s">
        <v>240</v>
      </c>
      <c r="X367" s="92" t="s">
        <v>47</v>
      </c>
      <c r="Y367" s="738">
        <v>1280</v>
      </c>
      <c r="Z367" s="738">
        <v>4258</v>
      </c>
      <c r="AA367" s="738">
        <v>2</v>
      </c>
      <c r="AB367" s="92"/>
      <c r="AC367" s="92"/>
      <c r="AD367" s="712" t="s">
        <v>76</v>
      </c>
      <c r="AE367" s="712" t="s">
        <v>252</v>
      </c>
      <c r="AF367" s="146" t="s">
        <v>195</v>
      </c>
      <c r="AG367" s="92"/>
    </row>
    <row r="368" s="570" customFormat="1" ht="24.95" customHeight="1" spans="1:33">
      <c r="A368" s="705"/>
      <c r="B368" s="782" t="s">
        <v>61</v>
      </c>
      <c r="C368" s="146" t="s">
        <v>52</v>
      </c>
      <c r="D368" s="753" t="s">
        <v>147</v>
      </c>
      <c r="E368" s="92">
        <v>2</v>
      </c>
      <c r="F368" s="92" t="s">
        <v>61</v>
      </c>
      <c r="G368" s="92"/>
      <c r="H368" s="724">
        <v>320</v>
      </c>
      <c r="I368" s="724">
        <v>0</v>
      </c>
      <c r="J368" s="724">
        <v>160</v>
      </c>
      <c r="K368" s="724">
        <v>160</v>
      </c>
      <c r="L368" s="724">
        <v>0</v>
      </c>
      <c r="M368" s="724">
        <v>2020.12</v>
      </c>
      <c r="N368" s="724">
        <v>32</v>
      </c>
      <c r="O368" s="724">
        <v>0</v>
      </c>
      <c r="P368" s="724">
        <v>16</v>
      </c>
      <c r="Q368" s="724">
        <v>16</v>
      </c>
      <c r="R368" s="724">
        <v>32</v>
      </c>
      <c r="S368" s="724">
        <v>0</v>
      </c>
      <c r="T368" s="724">
        <v>0</v>
      </c>
      <c r="U368" s="724">
        <v>0</v>
      </c>
      <c r="V368" s="724">
        <v>0</v>
      </c>
      <c r="W368" s="92" t="s">
        <v>240</v>
      </c>
      <c r="X368" s="92" t="s">
        <v>47</v>
      </c>
      <c r="Y368" s="738">
        <v>160</v>
      </c>
      <c r="Z368" s="738">
        <v>688</v>
      </c>
      <c r="AA368" s="738">
        <v>2</v>
      </c>
      <c r="AB368" s="92"/>
      <c r="AC368" s="92"/>
      <c r="AD368" s="712" t="s">
        <v>255</v>
      </c>
      <c r="AE368" s="56" t="s">
        <v>256</v>
      </c>
      <c r="AF368" s="146" t="s">
        <v>195</v>
      </c>
      <c r="AG368" s="92"/>
    </row>
    <row r="369" s="570" customFormat="1" ht="24.95" customHeight="1" spans="1:33">
      <c r="A369" s="705"/>
      <c r="B369" s="781" t="s">
        <v>100</v>
      </c>
      <c r="C369" s="146" t="s">
        <v>52</v>
      </c>
      <c r="D369" s="780" t="s">
        <v>147</v>
      </c>
      <c r="E369" s="92">
        <v>2</v>
      </c>
      <c r="F369" s="92" t="s">
        <v>100</v>
      </c>
      <c r="G369" s="92"/>
      <c r="H369" s="724">
        <v>400</v>
      </c>
      <c r="I369" s="724">
        <v>0</v>
      </c>
      <c r="J369" s="724">
        <v>200</v>
      </c>
      <c r="K369" s="724">
        <v>200</v>
      </c>
      <c r="L369" s="724">
        <v>0</v>
      </c>
      <c r="M369" s="724">
        <v>2020.12</v>
      </c>
      <c r="N369" s="724">
        <v>20</v>
      </c>
      <c r="O369" s="724">
        <v>0</v>
      </c>
      <c r="P369" s="724">
        <v>10</v>
      </c>
      <c r="Q369" s="724">
        <v>10</v>
      </c>
      <c r="R369" s="724">
        <v>20</v>
      </c>
      <c r="S369" s="724">
        <v>0</v>
      </c>
      <c r="T369" s="724">
        <v>0</v>
      </c>
      <c r="U369" s="724">
        <v>0</v>
      </c>
      <c r="V369" s="724">
        <v>0</v>
      </c>
      <c r="W369" s="92" t="s">
        <v>240</v>
      </c>
      <c r="X369" s="92" t="s">
        <v>47</v>
      </c>
      <c r="Y369" s="738">
        <v>200</v>
      </c>
      <c r="Z369" s="738">
        <v>842</v>
      </c>
      <c r="AA369" s="738">
        <v>2</v>
      </c>
      <c r="AB369" s="92"/>
      <c r="AC369" s="92"/>
      <c r="AD369" s="146" t="s">
        <v>79</v>
      </c>
      <c r="AE369" s="212" t="s">
        <v>257</v>
      </c>
      <c r="AF369" s="146" t="s">
        <v>195</v>
      </c>
      <c r="AG369" s="92"/>
    </row>
    <row r="370" s="570" customFormat="1" ht="24.95" customHeight="1" spans="1:33">
      <c r="A370" s="705"/>
      <c r="B370" s="778" t="s">
        <v>291</v>
      </c>
      <c r="C370" s="146" t="s">
        <v>52</v>
      </c>
      <c r="D370" s="753" t="s">
        <v>147</v>
      </c>
      <c r="E370" s="92">
        <v>2</v>
      </c>
      <c r="F370" s="92" t="s">
        <v>291</v>
      </c>
      <c r="G370" s="92"/>
      <c r="H370" s="724">
        <v>640</v>
      </c>
      <c r="I370" s="724">
        <v>0</v>
      </c>
      <c r="J370" s="724">
        <v>320</v>
      </c>
      <c r="K370" s="724">
        <v>320</v>
      </c>
      <c r="L370" s="724">
        <v>0</v>
      </c>
      <c r="M370" s="724">
        <v>2020.12</v>
      </c>
      <c r="N370" s="724">
        <v>32</v>
      </c>
      <c r="O370" s="724">
        <v>0</v>
      </c>
      <c r="P370" s="724">
        <v>16</v>
      </c>
      <c r="Q370" s="724">
        <v>16</v>
      </c>
      <c r="R370" s="724">
        <v>32</v>
      </c>
      <c r="S370" s="724">
        <v>0</v>
      </c>
      <c r="T370" s="724">
        <v>0</v>
      </c>
      <c r="U370" s="724">
        <v>0</v>
      </c>
      <c r="V370" s="724">
        <v>0</v>
      </c>
      <c r="W370" s="92" t="s">
        <v>240</v>
      </c>
      <c r="X370" s="92" t="s">
        <v>47</v>
      </c>
      <c r="Y370" s="738">
        <v>320</v>
      </c>
      <c r="Z370" s="738">
        <v>1280</v>
      </c>
      <c r="AA370" s="738">
        <v>2</v>
      </c>
      <c r="AB370" s="92"/>
      <c r="AC370" s="92"/>
      <c r="AD370" s="712" t="s">
        <v>185</v>
      </c>
      <c r="AE370" s="56" t="s">
        <v>258</v>
      </c>
      <c r="AF370" s="146" t="s">
        <v>195</v>
      </c>
      <c r="AG370" s="92"/>
    </row>
    <row r="371" s="570" customFormat="1" ht="24.95" customHeight="1" spans="1:33">
      <c r="A371" s="705"/>
      <c r="B371" s="782" t="s">
        <v>92</v>
      </c>
      <c r="C371" s="146" t="s">
        <v>52</v>
      </c>
      <c r="D371" s="56" t="s">
        <v>147</v>
      </c>
      <c r="E371" s="92">
        <v>2</v>
      </c>
      <c r="F371" s="92" t="s">
        <v>92</v>
      </c>
      <c r="G371" s="92"/>
      <c r="H371" s="724">
        <v>720</v>
      </c>
      <c r="I371" s="724">
        <v>0</v>
      </c>
      <c r="J371" s="724">
        <v>360</v>
      </c>
      <c r="K371" s="724">
        <v>360</v>
      </c>
      <c r="L371" s="724">
        <v>0</v>
      </c>
      <c r="M371" s="724">
        <v>2020.12</v>
      </c>
      <c r="N371" s="724">
        <v>36</v>
      </c>
      <c r="O371" s="724">
        <v>0</v>
      </c>
      <c r="P371" s="724">
        <v>18</v>
      </c>
      <c r="Q371" s="724">
        <v>18</v>
      </c>
      <c r="R371" s="724">
        <v>36</v>
      </c>
      <c r="S371" s="724">
        <v>0</v>
      </c>
      <c r="T371" s="724">
        <v>0</v>
      </c>
      <c r="U371" s="724">
        <v>0</v>
      </c>
      <c r="V371" s="724">
        <v>0</v>
      </c>
      <c r="W371" s="92" t="s">
        <v>240</v>
      </c>
      <c r="X371" s="92" t="s">
        <v>47</v>
      </c>
      <c r="Y371" s="738">
        <v>360</v>
      </c>
      <c r="Z371" s="738">
        <v>1444</v>
      </c>
      <c r="AA371" s="738">
        <v>2</v>
      </c>
      <c r="AB371" s="92"/>
      <c r="AC371" s="92"/>
      <c r="AD371" s="783" t="s">
        <v>262</v>
      </c>
      <c r="AE371" s="783" t="s">
        <v>263</v>
      </c>
      <c r="AF371" s="146" t="s">
        <v>195</v>
      </c>
      <c r="AG371" s="92"/>
    </row>
    <row r="372" s="570" customFormat="1" ht="32.1" customHeight="1" spans="1:33">
      <c r="A372" s="705">
        <v>48</v>
      </c>
      <c r="B372" s="706" t="s">
        <v>292</v>
      </c>
      <c r="C372" s="706"/>
      <c r="D372" s="707" t="s">
        <v>147</v>
      </c>
      <c r="E372" s="92">
        <v>171</v>
      </c>
      <c r="F372" s="92">
        <v>0</v>
      </c>
      <c r="G372" s="92"/>
      <c r="H372" s="724">
        <v>211398</v>
      </c>
      <c r="I372" s="724">
        <v>70466</v>
      </c>
      <c r="J372" s="724">
        <v>70466</v>
      </c>
      <c r="K372" s="724">
        <v>70466</v>
      </c>
      <c r="L372" s="724">
        <v>0</v>
      </c>
      <c r="M372" s="724">
        <v>0</v>
      </c>
      <c r="N372" s="724">
        <v>0</v>
      </c>
      <c r="O372" s="724">
        <v>0</v>
      </c>
      <c r="P372" s="724">
        <v>0</v>
      </c>
      <c r="Q372" s="724">
        <v>0</v>
      </c>
      <c r="R372" s="724">
        <v>0</v>
      </c>
      <c r="S372" s="724">
        <v>0</v>
      </c>
      <c r="T372" s="724">
        <v>0</v>
      </c>
      <c r="U372" s="724">
        <v>0</v>
      </c>
      <c r="V372" s="724">
        <v>0</v>
      </c>
      <c r="W372" s="92">
        <v>0</v>
      </c>
      <c r="X372" s="92" t="s">
        <v>293</v>
      </c>
      <c r="Y372" s="738">
        <v>98862</v>
      </c>
      <c r="Z372" s="738">
        <v>255006</v>
      </c>
      <c r="AA372" s="738">
        <v>171</v>
      </c>
      <c r="AB372" s="706"/>
      <c r="AC372" s="706"/>
      <c r="AD372" s="706"/>
      <c r="AE372" s="706"/>
      <c r="AF372" s="706" t="s">
        <v>294</v>
      </c>
      <c r="AG372" s="706" t="s">
        <v>41</v>
      </c>
    </row>
    <row r="373" s="570" customFormat="1" ht="50.25" customHeight="1" spans="1:33">
      <c r="A373" s="705">
        <v>49</v>
      </c>
      <c r="B373" s="708" t="s">
        <v>295</v>
      </c>
      <c r="C373" s="146" t="s">
        <v>52</v>
      </c>
      <c r="D373" s="709" t="s">
        <v>147</v>
      </c>
      <c r="E373" s="92">
        <v>36</v>
      </c>
      <c r="F373" s="92">
        <v>0</v>
      </c>
      <c r="G373" s="92"/>
      <c r="H373" s="724">
        <v>48450</v>
      </c>
      <c r="I373" s="724">
        <v>16150</v>
      </c>
      <c r="J373" s="724">
        <v>16150</v>
      </c>
      <c r="K373" s="724">
        <v>16150</v>
      </c>
      <c r="L373" s="724">
        <v>0</v>
      </c>
      <c r="M373" s="724">
        <v>0</v>
      </c>
      <c r="N373" s="724">
        <v>0</v>
      </c>
      <c r="O373" s="724">
        <v>0</v>
      </c>
      <c r="P373" s="724">
        <v>0</v>
      </c>
      <c r="Q373" s="724">
        <v>0</v>
      </c>
      <c r="R373" s="724">
        <v>0</v>
      </c>
      <c r="S373" s="724">
        <v>0</v>
      </c>
      <c r="T373" s="724">
        <v>0</v>
      </c>
      <c r="U373" s="724">
        <v>0</v>
      </c>
      <c r="V373" s="724">
        <v>0</v>
      </c>
      <c r="W373" s="92">
        <v>0</v>
      </c>
      <c r="X373" s="92" t="s">
        <v>293</v>
      </c>
      <c r="Y373" s="738">
        <v>32628</v>
      </c>
      <c r="Z373" s="738">
        <v>70209</v>
      </c>
      <c r="AA373" s="738">
        <v>36</v>
      </c>
      <c r="AB373" s="708"/>
      <c r="AC373" s="708"/>
      <c r="AD373" s="784" t="s">
        <v>296</v>
      </c>
      <c r="AE373" s="146" t="s">
        <v>297</v>
      </c>
      <c r="AF373" s="438" t="s">
        <v>294</v>
      </c>
      <c r="AG373" s="708" t="s">
        <v>41</v>
      </c>
    </row>
    <row r="374" s="570" customFormat="1" ht="29" customHeight="1" spans="1:33">
      <c r="A374" s="705"/>
      <c r="B374" s="714" t="s">
        <v>101</v>
      </c>
      <c r="C374" s="146" t="s">
        <v>52</v>
      </c>
      <c r="D374" s="709" t="s">
        <v>147</v>
      </c>
      <c r="E374" s="92">
        <v>3</v>
      </c>
      <c r="F374" s="92" t="s">
        <v>101</v>
      </c>
      <c r="G374" s="92"/>
      <c r="H374" s="724">
        <v>3909</v>
      </c>
      <c r="I374" s="724">
        <v>1303</v>
      </c>
      <c r="J374" s="724">
        <v>1303</v>
      </c>
      <c r="K374" s="724">
        <v>1303</v>
      </c>
      <c r="L374" s="724">
        <v>2018.01</v>
      </c>
      <c r="M374" s="724">
        <v>2020.12</v>
      </c>
      <c r="N374" s="724">
        <v>0</v>
      </c>
      <c r="O374" s="724">
        <v>0</v>
      </c>
      <c r="P374" s="724">
        <v>0</v>
      </c>
      <c r="Q374" s="724">
        <v>0</v>
      </c>
      <c r="R374" s="724">
        <v>0</v>
      </c>
      <c r="S374" s="724">
        <v>0</v>
      </c>
      <c r="T374" s="724">
        <v>0</v>
      </c>
      <c r="U374" s="724">
        <v>0</v>
      </c>
      <c r="V374" s="724">
        <v>0</v>
      </c>
      <c r="W374" s="92">
        <v>0</v>
      </c>
      <c r="X374" s="92" t="s">
        <v>293</v>
      </c>
      <c r="Y374" s="738">
        <v>2586</v>
      </c>
      <c r="Z374" s="738">
        <v>11922</v>
      </c>
      <c r="AA374" s="738">
        <v>3</v>
      </c>
      <c r="AB374" s="708"/>
      <c r="AC374" s="708"/>
      <c r="AD374" s="146" t="s">
        <v>298</v>
      </c>
      <c r="AE374" s="146" t="s">
        <v>299</v>
      </c>
      <c r="AF374" s="438" t="s">
        <v>294</v>
      </c>
      <c r="AG374" s="708"/>
    </row>
    <row r="375" s="570" customFormat="1" ht="29" customHeight="1" spans="1:33">
      <c r="A375" s="705"/>
      <c r="B375" s="714" t="s">
        <v>151</v>
      </c>
      <c r="C375" s="146" t="s">
        <v>52</v>
      </c>
      <c r="D375" s="709" t="s">
        <v>147</v>
      </c>
      <c r="E375" s="92">
        <v>3</v>
      </c>
      <c r="F375" s="92" t="s">
        <v>151</v>
      </c>
      <c r="G375" s="92"/>
      <c r="H375" s="724">
        <v>1338</v>
      </c>
      <c r="I375" s="724">
        <v>446</v>
      </c>
      <c r="J375" s="724">
        <v>446</v>
      </c>
      <c r="K375" s="724">
        <v>446</v>
      </c>
      <c r="L375" s="724">
        <v>2018.01</v>
      </c>
      <c r="M375" s="724">
        <v>2020.12</v>
      </c>
      <c r="N375" s="724">
        <v>0</v>
      </c>
      <c r="O375" s="724">
        <v>0</v>
      </c>
      <c r="P375" s="724">
        <v>0</v>
      </c>
      <c r="Q375" s="724">
        <v>0</v>
      </c>
      <c r="R375" s="724">
        <v>0</v>
      </c>
      <c r="S375" s="724">
        <v>0</v>
      </c>
      <c r="T375" s="724">
        <v>0</v>
      </c>
      <c r="U375" s="724">
        <v>0</v>
      </c>
      <c r="V375" s="724">
        <v>0</v>
      </c>
      <c r="W375" s="92">
        <v>0</v>
      </c>
      <c r="X375" s="92" t="s">
        <v>293</v>
      </c>
      <c r="Y375" s="738">
        <v>1200</v>
      </c>
      <c r="Z375" s="738">
        <v>1338</v>
      </c>
      <c r="AA375" s="738">
        <v>3</v>
      </c>
      <c r="AB375" s="708"/>
      <c r="AC375" s="708"/>
      <c r="AD375" s="146" t="s">
        <v>300</v>
      </c>
      <c r="AE375" s="146" t="s">
        <v>301</v>
      </c>
      <c r="AF375" s="438" t="s">
        <v>294</v>
      </c>
      <c r="AG375" s="708"/>
    </row>
    <row r="376" s="570" customFormat="1" ht="29" customHeight="1" spans="1:33">
      <c r="A376" s="705"/>
      <c r="B376" s="714" t="s">
        <v>154</v>
      </c>
      <c r="C376" s="146" t="s">
        <v>52</v>
      </c>
      <c r="D376" s="709" t="s">
        <v>147</v>
      </c>
      <c r="E376" s="92">
        <v>3</v>
      </c>
      <c r="F376" s="92" t="s">
        <v>154</v>
      </c>
      <c r="G376" s="92"/>
      <c r="H376" s="724">
        <v>5430</v>
      </c>
      <c r="I376" s="724">
        <v>1810</v>
      </c>
      <c r="J376" s="724">
        <v>1810</v>
      </c>
      <c r="K376" s="724">
        <v>1810</v>
      </c>
      <c r="L376" s="724">
        <v>2018.01</v>
      </c>
      <c r="M376" s="724">
        <v>2020.12</v>
      </c>
      <c r="N376" s="724">
        <v>0</v>
      </c>
      <c r="O376" s="724">
        <v>0</v>
      </c>
      <c r="P376" s="724">
        <v>0</v>
      </c>
      <c r="Q376" s="724">
        <v>0</v>
      </c>
      <c r="R376" s="724">
        <v>0</v>
      </c>
      <c r="S376" s="724">
        <v>0</v>
      </c>
      <c r="T376" s="724">
        <v>0</v>
      </c>
      <c r="U376" s="724">
        <v>0</v>
      </c>
      <c r="V376" s="724">
        <v>0</v>
      </c>
      <c r="W376" s="92">
        <v>0</v>
      </c>
      <c r="X376" s="92" t="s">
        <v>293</v>
      </c>
      <c r="Y376" s="738">
        <v>2970</v>
      </c>
      <c r="Z376" s="738">
        <v>5430</v>
      </c>
      <c r="AA376" s="738">
        <v>3</v>
      </c>
      <c r="AB376" s="708"/>
      <c r="AC376" s="708"/>
      <c r="AD376" s="146" t="s">
        <v>247</v>
      </c>
      <c r="AE376" s="146" t="s">
        <v>302</v>
      </c>
      <c r="AF376" s="438" t="s">
        <v>294</v>
      </c>
      <c r="AG376" s="708"/>
    </row>
    <row r="377" s="570" customFormat="1" ht="29" customHeight="1" spans="1:33">
      <c r="A377" s="705"/>
      <c r="B377" s="714" t="s">
        <v>81</v>
      </c>
      <c r="C377" s="146" t="s">
        <v>52</v>
      </c>
      <c r="D377" s="709" t="s">
        <v>147</v>
      </c>
      <c r="E377" s="92">
        <v>3</v>
      </c>
      <c r="F377" s="92" t="s">
        <v>81</v>
      </c>
      <c r="G377" s="92"/>
      <c r="H377" s="724">
        <v>3213</v>
      </c>
      <c r="I377" s="724">
        <v>1071</v>
      </c>
      <c r="J377" s="724">
        <v>1071</v>
      </c>
      <c r="K377" s="724">
        <v>1071</v>
      </c>
      <c r="L377" s="724">
        <v>2018.01</v>
      </c>
      <c r="M377" s="724">
        <v>2020.12</v>
      </c>
      <c r="N377" s="724">
        <v>0</v>
      </c>
      <c r="O377" s="724">
        <v>0</v>
      </c>
      <c r="P377" s="724">
        <v>0</v>
      </c>
      <c r="Q377" s="724">
        <v>0</v>
      </c>
      <c r="R377" s="724">
        <v>0</v>
      </c>
      <c r="S377" s="724">
        <v>0</v>
      </c>
      <c r="T377" s="724">
        <v>0</v>
      </c>
      <c r="U377" s="724">
        <v>0</v>
      </c>
      <c r="V377" s="724">
        <v>0</v>
      </c>
      <c r="W377" s="92">
        <v>0</v>
      </c>
      <c r="X377" s="92" t="s">
        <v>293</v>
      </c>
      <c r="Y377" s="738">
        <v>2154</v>
      </c>
      <c r="Z377" s="738">
        <v>3213</v>
      </c>
      <c r="AA377" s="738">
        <v>3</v>
      </c>
      <c r="AB377" s="708"/>
      <c r="AC377" s="708"/>
      <c r="AD377" s="146" t="s">
        <v>303</v>
      </c>
      <c r="AE377" s="146" t="s">
        <v>304</v>
      </c>
      <c r="AF377" s="438" t="s">
        <v>294</v>
      </c>
      <c r="AG377" s="708"/>
    </row>
    <row r="378" s="570" customFormat="1" ht="29" customHeight="1" spans="1:33">
      <c r="A378" s="705"/>
      <c r="B378" s="714" t="s">
        <v>98</v>
      </c>
      <c r="C378" s="146" t="s">
        <v>52</v>
      </c>
      <c r="D378" s="709" t="s">
        <v>147</v>
      </c>
      <c r="E378" s="92">
        <v>3</v>
      </c>
      <c r="F378" s="92" t="s">
        <v>98</v>
      </c>
      <c r="G378" s="92"/>
      <c r="H378" s="724">
        <v>6585</v>
      </c>
      <c r="I378" s="724">
        <v>2195</v>
      </c>
      <c r="J378" s="724">
        <v>2195</v>
      </c>
      <c r="K378" s="724">
        <v>2195</v>
      </c>
      <c r="L378" s="724">
        <v>2018.01</v>
      </c>
      <c r="M378" s="724">
        <v>2020.12</v>
      </c>
      <c r="N378" s="724">
        <v>0</v>
      </c>
      <c r="O378" s="724">
        <v>0</v>
      </c>
      <c r="P378" s="724">
        <v>0</v>
      </c>
      <c r="Q378" s="724">
        <v>0</v>
      </c>
      <c r="R378" s="724">
        <v>0</v>
      </c>
      <c r="S378" s="724">
        <v>0</v>
      </c>
      <c r="T378" s="724">
        <v>0</v>
      </c>
      <c r="U378" s="724">
        <v>0</v>
      </c>
      <c r="V378" s="724">
        <v>0</v>
      </c>
      <c r="W378" s="92">
        <v>0</v>
      </c>
      <c r="X378" s="92" t="s">
        <v>293</v>
      </c>
      <c r="Y378" s="738">
        <v>4056</v>
      </c>
      <c r="Z378" s="738">
        <v>19779</v>
      </c>
      <c r="AA378" s="738">
        <v>3</v>
      </c>
      <c r="AB378" s="708"/>
      <c r="AC378" s="708"/>
      <c r="AD378" s="146" t="s">
        <v>305</v>
      </c>
      <c r="AE378" s="146" t="s">
        <v>306</v>
      </c>
      <c r="AF378" s="438" t="s">
        <v>294</v>
      </c>
      <c r="AG378" s="708"/>
    </row>
    <row r="379" s="570" customFormat="1" ht="29" customHeight="1" spans="1:33">
      <c r="A379" s="705"/>
      <c r="B379" s="714" t="s">
        <v>211</v>
      </c>
      <c r="C379" s="146" t="s">
        <v>52</v>
      </c>
      <c r="D379" s="709" t="s">
        <v>147</v>
      </c>
      <c r="E379" s="92">
        <v>3</v>
      </c>
      <c r="F379" s="92" t="s">
        <v>211</v>
      </c>
      <c r="G379" s="92"/>
      <c r="H379" s="724">
        <v>5655</v>
      </c>
      <c r="I379" s="724">
        <v>1885</v>
      </c>
      <c r="J379" s="724">
        <v>1885</v>
      </c>
      <c r="K379" s="724">
        <v>1885</v>
      </c>
      <c r="L379" s="724">
        <v>2018.01</v>
      </c>
      <c r="M379" s="724">
        <v>2020.12</v>
      </c>
      <c r="N379" s="724">
        <v>0</v>
      </c>
      <c r="O379" s="724">
        <v>0</v>
      </c>
      <c r="P379" s="724">
        <v>0</v>
      </c>
      <c r="Q379" s="724">
        <v>0</v>
      </c>
      <c r="R379" s="724">
        <v>0</v>
      </c>
      <c r="S379" s="724">
        <v>0</v>
      </c>
      <c r="T379" s="724">
        <v>0</v>
      </c>
      <c r="U379" s="724">
        <v>0</v>
      </c>
      <c r="V379" s="724">
        <v>0</v>
      </c>
      <c r="W379" s="92">
        <v>0</v>
      </c>
      <c r="X379" s="92" t="s">
        <v>293</v>
      </c>
      <c r="Y379" s="738">
        <v>2994</v>
      </c>
      <c r="Z379" s="738">
        <v>5655</v>
      </c>
      <c r="AA379" s="738">
        <v>3</v>
      </c>
      <c r="AB379" s="708"/>
      <c r="AC379" s="708"/>
      <c r="AD379" s="146" t="s">
        <v>307</v>
      </c>
      <c r="AE379" s="146" t="s">
        <v>308</v>
      </c>
      <c r="AF379" s="438" t="s">
        <v>294</v>
      </c>
      <c r="AG379" s="708"/>
    </row>
    <row r="380" s="570" customFormat="1" ht="29" customHeight="1" spans="1:33">
      <c r="A380" s="705"/>
      <c r="B380" s="714" t="s">
        <v>155</v>
      </c>
      <c r="C380" s="146" t="s">
        <v>52</v>
      </c>
      <c r="D380" s="709" t="s">
        <v>147</v>
      </c>
      <c r="E380" s="92">
        <v>3</v>
      </c>
      <c r="F380" s="92" t="s">
        <v>155</v>
      </c>
      <c r="G380" s="92"/>
      <c r="H380" s="724">
        <v>2376</v>
      </c>
      <c r="I380" s="724">
        <v>792</v>
      </c>
      <c r="J380" s="724">
        <v>792</v>
      </c>
      <c r="K380" s="724">
        <v>792</v>
      </c>
      <c r="L380" s="724">
        <v>2018.01</v>
      </c>
      <c r="M380" s="724">
        <v>2020.12</v>
      </c>
      <c r="N380" s="724">
        <v>0</v>
      </c>
      <c r="O380" s="724">
        <v>0</v>
      </c>
      <c r="P380" s="724">
        <v>0</v>
      </c>
      <c r="Q380" s="724">
        <v>0</v>
      </c>
      <c r="R380" s="724">
        <v>0</v>
      </c>
      <c r="S380" s="724">
        <v>0</v>
      </c>
      <c r="T380" s="724">
        <v>0</v>
      </c>
      <c r="U380" s="724">
        <v>0</v>
      </c>
      <c r="V380" s="724">
        <v>0</v>
      </c>
      <c r="W380" s="92">
        <v>0</v>
      </c>
      <c r="X380" s="92" t="s">
        <v>293</v>
      </c>
      <c r="Y380" s="738">
        <v>1296</v>
      </c>
      <c r="Z380" s="738">
        <v>2376</v>
      </c>
      <c r="AA380" s="738">
        <v>3</v>
      </c>
      <c r="AB380" s="708"/>
      <c r="AC380" s="708"/>
      <c r="AD380" s="146" t="s">
        <v>309</v>
      </c>
      <c r="AE380" s="146" t="s">
        <v>310</v>
      </c>
      <c r="AF380" s="438" t="s">
        <v>294</v>
      </c>
      <c r="AG380" s="708"/>
    </row>
    <row r="381" s="570" customFormat="1" ht="29" customHeight="1" spans="1:33">
      <c r="A381" s="705"/>
      <c r="B381" s="714" t="s">
        <v>102</v>
      </c>
      <c r="C381" s="146" t="s">
        <v>52</v>
      </c>
      <c r="D381" s="709" t="s">
        <v>147</v>
      </c>
      <c r="E381" s="92">
        <v>3</v>
      </c>
      <c r="F381" s="92" t="s">
        <v>102</v>
      </c>
      <c r="G381" s="92"/>
      <c r="H381" s="724">
        <v>6960</v>
      </c>
      <c r="I381" s="724">
        <v>2320</v>
      </c>
      <c r="J381" s="724">
        <v>2320</v>
      </c>
      <c r="K381" s="724">
        <v>2320</v>
      </c>
      <c r="L381" s="724">
        <v>2018.01</v>
      </c>
      <c r="M381" s="724">
        <v>2020.12</v>
      </c>
      <c r="N381" s="724">
        <v>0</v>
      </c>
      <c r="O381" s="724">
        <v>0</v>
      </c>
      <c r="P381" s="724">
        <v>0</v>
      </c>
      <c r="Q381" s="724">
        <v>0</v>
      </c>
      <c r="R381" s="724">
        <v>0</v>
      </c>
      <c r="S381" s="724">
        <v>0</v>
      </c>
      <c r="T381" s="724">
        <v>0</v>
      </c>
      <c r="U381" s="724">
        <v>0</v>
      </c>
      <c r="V381" s="724">
        <v>0</v>
      </c>
      <c r="W381" s="92">
        <v>0</v>
      </c>
      <c r="X381" s="92" t="s">
        <v>293</v>
      </c>
      <c r="Y381" s="738">
        <v>6432</v>
      </c>
      <c r="Z381" s="738">
        <v>6969</v>
      </c>
      <c r="AA381" s="738">
        <v>3</v>
      </c>
      <c r="AB381" s="708"/>
      <c r="AC381" s="708"/>
      <c r="AD381" s="146" t="s">
        <v>215</v>
      </c>
      <c r="AE381" s="146" t="s">
        <v>311</v>
      </c>
      <c r="AF381" s="438" t="s">
        <v>294</v>
      </c>
      <c r="AG381" s="708"/>
    </row>
    <row r="382" s="570" customFormat="1" ht="24.95" customHeight="1" spans="1:33">
      <c r="A382" s="705">
        <v>50</v>
      </c>
      <c r="B382" s="714" t="s">
        <v>100</v>
      </c>
      <c r="C382" s="146" t="s">
        <v>52</v>
      </c>
      <c r="D382" s="709" t="s">
        <v>147</v>
      </c>
      <c r="E382" s="92">
        <v>3</v>
      </c>
      <c r="F382" s="92" t="s">
        <v>100</v>
      </c>
      <c r="G382" s="92"/>
      <c r="H382" s="724">
        <v>6486</v>
      </c>
      <c r="I382" s="724">
        <v>2162</v>
      </c>
      <c r="J382" s="724">
        <v>2162</v>
      </c>
      <c r="K382" s="724">
        <v>2162</v>
      </c>
      <c r="L382" s="724">
        <v>2018.01</v>
      </c>
      <c r="M382" s="724">
        <v>2020.12</v>
      </c>
      <c r="N382" s="724">
        <v>0</v>
      </c>
      <c r="O382" s="724">
        <v>0</v>
      </c>
      <c r="P382" s="724">
        <v>0</v>
      </c>
      <c r="Q382" s="724">
        <v>0</v>
      </c>
      <c r="R382" s="724">
        <v>0</v>
      </c>
      <c r="S382" s="724">
        <v>0</v>
      </c>
      <c r="T382" s="724">
        <v>0</v>
      </c>
      <c r="U382" s="724">
        <v>0</v>
      </c>
      <c r="V382" s="724">
        <v>0</v>
      </c>
      <c r="W382" s="92">
        <v>0</v>
      </c>
      <c r="X382" s="92" t="s">
        <v>293</v>
      </c>
      <c r="Y382" s="738">
        <v>3696</v>
      </c>
      <c r="Z382" s="738">
        <v>6486</v>
      </c>
      <c r="AA382" s="738">
        <v>3</v>
      </c>
      <c r="AB382" s="92"/>
      <c r="AC382" s="92"/>
      <c r="AD382" s="146" t="s">
        <v>312</v>
      </c>
      <c r="AE382" s="146" t="s">
        <v>313</v>
      </c>
      <c r="AF382" s="438" t="s">
        <v>294</v>
      </c>
      <c r="AG382" s="92"/>
    </row>
    <row r="383" s="570" customFormat="1" ht="24.95" customHeight="1" spans="1:33">
      <c r="A383" s="705" t="s">
        <v>48</v>
      </c>
      <c r="B383" s="714" t="s">
        <v>84</v>
      </c>
      <c r="C383" s="146" t="s">
        <v>52</v>
      </c>
      <c r="D383" s="709" t="s">
        <v>147</v>
      </c>
      <c r="E383" s="92">
        <v>3</v>
      </c>
      <c r="F383" s="92" t="s">
        <v>84</v>
      </c>
      <c r="G383" s="92"/>
      <c r="H383" s="724">
        <v>3333</v>
      </c>
      <c r="I383" s="724">
        <v>1111</v>
      </c>
      <c r="J383" s="724">
        <v>1111</v>
      </c>
      <c r="K383" s="724">
        <v>1111</v>
      </c>
      <c r="L383" s="724">
        <v>2018.01</v>
      </c>
      <c r="M383" s="724">
        <v>2020.12</v>
      </c>
      <c r="N383" s="724">
        <v>0</v>
      </c>
      <c r="O383" s="724">
        <v>0</v>
      </c>
      <c r="P383" s="724">
        <v>0</v>
      </c>
      <c r="Q383" s="724">
        <v>0</v>
      </c>
      <c r="R383" s="724">
        <v>0</v>
      </c>
      <c r="S383" s="724">
        <v>0</v>
      </c>
      <c r="T383" s="724">
        <v>0</v>
      </c>
      <c r="U383" s="724">
        <v>0</v>
      </c>
      <c r="V383" s="724">
        <v>0</v>
      </c>
      <c r="W383" s="92">
        <v>0</v>
      </c>
      <c r="X383" s="92" t="s">
        <v>293</v>
      </c>
      <c r="Y383" s="738">
        <v>2109</v>
      </c>
      <c r="Z383" s="738">
        <v>3333</v>
      </c>
      <c r="AA383" s="738">
        <v>3</v>
      </c>
      <c r="AB383" s="92"/>
      <c r="AC383" s="92"/>
      <c r="AD383" s="146" t="s">
        <v>185</v>
      </c>
      <c r="AE383" s="146" t="s">
        <v>314</v>
      </c>
      <c r="AF383" s="438" t="s">
        <v>294</v>
      </c>
      <c r="AG383" s="92"/>
    </row>
    <row r="384" s="570" customFormat="1" ht="24.95" customHeight="1" spans="1:33">
      <c r="A384" s="705">
        <v>51</v>
      </c>
      <c r="B384" s="714" t="s">
        <v>259</v>
      </c>
      <c r="C384" s="146" t="s">
        <v>52</v>
      </c>
      <c r="D384" s="709" t="s">
        <v>147</v>
      </c>
      <c r="E384" s="92">
        <v>3</v>
      </c>
      <c r="F384" s="92" t="s">
        <v>259</v>
      </c>
      <c r="G384" s="92"/>
      <c r="H384" s="724">
        <v>696</v>
      </c>
      <c r="I384" s="724">
        <v>232</v>
      </c>
      <c r="J384" s="724">
        <v>232</v>
      </c>
      <c r="K384" s="724">
        <v>232</v>
      </c>
      <c r="L384" s="724">
        <v>2018.01</v>
      </c>
      <c r="M384" s="724">
        <v>2020.12</v>
      </c>
      <c r="N384" s="724">
        <v>0</v>
      </c>
      <c r="O384" s="724">
        <v>0</v>
      </c>
      <c r="P384" s="724">
        <v>0</v>
      </c>
      <c r="Q384" s="724">
        <v>0</v>
      </c>
      <c r="R384" s="724">
        <v>0</v>
      </c>
      <c r="S384" s="724">
        <v>0</v>
      </c>
      <c r="T384" s="724">
        <v>0</v>
      </c>
      <c r="U384" s="724">
        <v>0</v>
      </c>
      <c r="V384" s="724">
        <v>0</v>
      </c>
      <c r="W384" s="92">
        <v>0</v>
      </c>
      <c r="X384" s="92" t="s">
        <v>293</v>
      </c>
      <c r="Y384" s="738">
        <v>450</v>
      </c>
      <c r="Z384" s="738">
        <v>696</v>
      </c>
      <c r="AA384" s="738">
        <v>3</v>
      </c>
      <c r="AB384" s="92"/>
      <c r="AC384" s="92"/>
      <c r="AD384" s="146" t="s">
        <v>315</v>
      </c>
      <c r="AE384" s="146" t="s">
        <v>316</v>
      </c>
      <c r="AF384" s="438" t="s">
        <v>294</v>
      </c>
      <c r="AG384" s="92"/>
    </row>
    <row r="385" s="570" customFormat="1" ht="24.95" customHeight="1" spans="1:33">
      <c r="A385" s="705" t="s">
        <v>48</v>
      </c>
      <c r="B385" s="714" t="s">
        <v>143</v>
      </c>
      <c r="C385" s="146" t="s">
        <v>52</v>
      </c>
      <c r="D385" s="709" t="s">
        <v>147</v>
      </c>
      <c r="E385" s="92">
        <v>3</v>
      </c>
      <c r="F385" s="92" t="s">
        <v>143</v>
      </c>
      <c r="G385" s="92"/>
      <c r="H385" s="724">
        <v>2469</v>
      </c>
      <c r="I385" s="724">
        <v>823</v>
      </c>
      <c r="J385" s="724">
        <v>823</v>
      </c>
      <c r="K385" s="724">
        <v>823</v>
      </c>
      <c r="L385" s="724">
        <v>2018.01</v>
      </c>
      <c r="M385" s="724">
        <v>2020.12</v>
      </c>
      <c r="N385" s="724">
        <v>0</v>
      </c>
      <c r="O385" s="724">
        <v>0</v>
      </c>
      <c r="P385" s="724">
        <v>0</v>
      </c>
      <c r="Q385" s="724">
        <v>0</v>
      </c>
      <c r="R385" s="724">
        <v>0</v>
      </c>
      <c r="S385" s="724">
        <v>0</v>
      </c>
      <c r="T385" s="724">
        <v>0</v>
      </c>
      <c r="U385" s="724">
        <v>0</v>
      </c>
      <c r="V385" s="724">
        <v>0</v>
      </c>
      <c r="W385" s="92">
        <v>0</v>
      </c>
      <c r="X385" s="92" t="s">
        <v>293</v>
      </c>
      <c r="Y385" s="738">
        <v>2685</v>
      </c>
      <c r="Z385" s="738">
        <v>3012</v>
      </c>
      <c r="AA385" s="738">
        <v>3</v>
      </c>
      <c r="AB385" s="92"/>
      <c r="AC385" s="92"/>
      <c r="AD385" s="146" t="s">
        <v>317</v>
      </c>
      <c r="AE385" s="146" t="s">
        <v>318</v>
      </c>
      <c r="AF385" s="438" t="s">
        <v>294</v>
      </c>
      <c r="AG385" s="92"/>
    </row>
    <row r="386" s="570" customFormat="1" ht="24.95" customHeight="1" spans="1:33">
      <c r="A386" s="705">
        <v>52</v>
      </c>
      <c r="B386" s="750" t="s">
        <v>319</v>
      </c>
      <c r="C386" s="146" t="s">
        <v>320</v>
      </c>
      <c r="D386" s="152" t="s">
        <v>147</v>
      </c>
      <c r="E386" s="92">
        <v>33</v>
      </c>
      <c r="F386" s="92">
        <v>0</v>
      </c>
      <c r="G386" s="92"/>
      <c r="H386" s="724">
        <v>10329</v>
      </c>
      <c r="I386" s="724">
        <v>3443</v>
      </c>
      <c r="J386" s="724">
        <v>3443</v>
      </c>
      <c r="K386" s="724">
        <v>3443</v>
      </c>
      <c r="L386" s="724">
        <v>0</v>
      </c>
      <c r="M386" s="724">
        <v>0</v>
      </c>
      <c r="N386" s="724">
        <v>0</v>
      </c>
      <c r="O386" s="724">
        <v>0</v>
      </c>
      <c r="P386" s="724">
        <v>0</v>
      </c>
      <c r="Q386" s="724">
        <v>0</v>
      </c>
      <c r="R386" s="724">
        <v>0</v>
      </c>
      <c r="S386" s="724">
        <v>0</v>
      </c>
      <c r="T386" s="724">
        <v>0</v>
      </c>
      <c r="U386" s="724">
        <v>0</v>
      </c>
      <c r="V386" s="724">
        <v>0</v>
      </c>
      <c r="W386" s="92">
        <v>0</v>
      </c>
      <c r="X386" s="92" t="s">
        <v>293</v>
      </c>
      <c r="Y386" s="738">
        <v>8403</v>
      </c>
      <c r="Z386" s="738">
        <v>23085</v>
      </c>
      <c r="AA386" s="738">
        <v>33</v>
      </c>
      <c r="AB386" s="708"/>
      <c r="AC386" s="708"/>
      <c r="AD386" s="784" t="s">
        <v>296</v>
      </c>
      <c r="AE386" s="146" t="s">
        <v>297</v>
      </c>
      <c r="AF386" s="438" t="s">
        <v>294</v>
      </c>
      <c r="AG386" s="708" t="s">
        <v>41</v>
      </c>
    </row>
    <row r="387" s="570" customFormat="1" ht="24.95" customHeight="1" spans="1:33">
      <c r="A387" s="705"/>
      <c r="B387" s="714" t="s">
        <v>101</v>
      </c>
      <c r="C387" s="146" t="s">
        <v>320</v>
      </c>
      <c r="D387" s="152" t="s">
        <v>147</v>
      </c>
      <c r="E387" s="92">
        <v>3</v>
      </c>
      <c r="F387" s="92" t="s">
        <v>101</v>
      </c>
      <c r="G387" s="92"/>
      <c r="H387" s="724">
        <v>789</v>
      </c>
      <c r="I387" s="724">
        <v>263</v>
      </c>
      <c r="J387" s="724">
        <v>263</v>
      </c>
      <c r="K387" s="724">
        <v>263</v>
      </c>
      <c r="L387" s="724">
        <v>2018.01</v>
      </c>
      <c r="M387" s="724">
        <v>2020.12</v>
      </c>
      <c r="N387" s="724">
        <v>0</v>
      </c>
      <c r="O387" s="724">
        <v>0</v>
      </c>
      <c r="P387" s="724">
        <v>0</v>
      </c>
      <c r="Q387" s="724">
        <v>0</v>
      </c>
      <c r="R387" s="724">
        <v>0</v>
      </c>
      <c r="S387" s="724">
        <v>0</v>
      </c>
      <c r="T387" s="724">
        <v>0</v>
      </c>
      <c r="U387" s="724">
        <v>0</v>
      </c>
      <c r="V387" s="724">
        <v>0</v>
      </c>
      <c r="W387" s="92">
        <v>0</v>
      </c>
      <c r="X387" s="92" t="s">
        <v>293</v>
      </c>
      <c r="Y387" s="738">
        <v>735</v>
      </c>
      <c r="Z387" s="738">
        <v>3135</v>
      </c>
      <c r="AA387" s="738">
        <v>3</v>
      </c>
      <c r="AB387" s="708"/>
      <c r="AC387" s="708"/>
      <c r="AD387" s="146" t="s">
        <v>298</v>
      </c>
      <c r="AE387" s="146" t="s">
        <v>299</v>
      </c>
      <c r="AF387" s="438" t="s">
        <v>294</v>
      </c>
      <c r="AG387" s="708"/>
    </row>
    <row r="388" s="570" customFormat="1" ht="24.95" customHeight="1" spans="1:33">
      <c r="A388" s="705"/>
      <c r="B388" s="714" t="s">
        <v>151</v>
      </c>
      <c r="C388" s="146" t="s">
        <v>320</v>
      </c>
      <c r="D388" s="152" t="s">
        <v>147</v>
      </c>
      <c r="E388" s="92">
        <v>3</v>
      </c>
      <c r="F388" s="92" t="s">
        <v>151</v>
      </c>
      <c r="G388" s="92"/>
      <c r="H388" s="724">
        <v>99</v>
      </c>
      <c r="I388" s="724">
        <v>33</v>
      </c>
      <c r="J388" s="724">
        <v>33</v>
      </c>
      <c r="K388" s="724">
        <v>33</v>
      </c>
      <c r="L388" s="724">
        <v>2018.01</v>
      </c>
      <c r="M388" s="724">
        <v>2020.12</v>
      </c>
      <c r="N388" s="724">
        <v>0</v>
      </c>
      <c r="O388" s="724">
        <v>0</v>
      </c>
      <c r="P388" s="724">
        <v>0</v>
      </c>
      <c r="Q388" s="724">
        <v>0</v>
      </c>
      <c r="R388" s="724">
        <v>0</v>
      </c>
      <c r="S388" s="724">
        <v>0</v>
      </c>
      <c r="T388" s="724">
        <v>0</v>
      </c>
      <c r="U388" s="724">
        <v>0</v>
      </c>
      <c r="V388" s="724">
        <v>0</v>
      </c>
      <c r="W388" s="92">
        <v>0</v>
      </c>
      <c r="X388" s="92" t="s">
        <v>293</v>
      </c>
      <c r="Y388" s="738">
        <v>99</v>
      </c>
      <c r="Z388" s="738">
        <v>426</v>
      </c>
      <c r="AA388" s="738">
        <v>3</v>
      </c>
      <c r="AB388" s="708"/>
      <c r="AC388" s="708"/>
      <c r="AD388" s="146" t="s">
        <v>300</v>
      </c>
      <c r="AE388" s="146" t="s">
        <v>301</v>
      </c>
      <c r="AF388" s="438" t="s">
        <v>294</v>
      </c>
      <c r="AG388" s="708"/>
    </row>
    <row r="389" s="570" customFormat="1" ht="24.95" customHeight="1" spans="1:33">
      <c r="A389" s="705"/>
      <c r="B389" s="714" t="s">
        <v>154</v>
      </c>
      <c r="C389" s="146" t="s">
        <v>320</v>
      </c>
      <c r="D389" s="152" t="s">
        <v>147</v>
      </c>
      <c r="E389" s="92">
        <v>3</v>
      </c>
      <c r="F389" s="92" t="s">
        <v>154</v>
      </c>
      <c r="G389" s="92"/>
      <c r="H389" s="724">
        <v>948</v>
      </c>
      <c r="I389" s="724">
        <v>316</v>
      </c>
      <c r="J389" s="724">
        <v>316</v>
      </c>
      <c r="K389" s="724">
        <v>316</v>
      </c>
      <c r="L389" s="724">
        <v>2018.01</v>
      </c>
      <c r="M389" s="724">
        <v>2020.12</v>
      </c>
      <c r="N389" s="724">
        <v>0</v>
      </c>
      <c r="O389" s="724">
        <v>0</v>
      </c>
      <c r="P389" s="724">
        <v>0</v>
      </c>
      <c r="Q389" s="724">
        <v>0</v>
      </c>
      <c r="R389" s="724">
        <v>0</v>
      </c>
      <c r="S389" s="724">
        <v>0</v>
      </c>
      <c r="T389" s="724">
        <v>0</v>
      </c>
      <c r="U389" s="724">
        <v>0</v>
      </c>
      <c r="V389" s="724">
        <v>0</v>
      </c>
      <c r="W389" s="92">
        <v>0</v>
      </c>
      <c r="X389" s="92" t="s">
        <v>293</v>
      </c>
      <c r="Y389" s="738">
        <v>774</v>
      </c>
      <c r="Z389" s="738">
        <v>948</v>
      </c>
      <c r="AA389" s="738">
        <v>3</v>
      </c>
      <c r="AB389" s="708"/>
      <c r="AC389" s="708"/>
      <c r="AD389" s="146" t="s">
        <v>247</v>
      </c>
      <c r="AE389" s="146" t="s">
        <v>302</v>
      </c>
      <c r="AF389" s="438" t="s">
        <v>294</v>
      </c>
      <c r="AG389" s="708"/>
    </row>
    <row r="390" s="570" customFormat="1" ht="24.95" customHeight="1" spans="1:33">
      <c r="A390" s="705"/>
      <c r="B390" s="714" t="s">
        <v>81</v>
      </c>
      <c r="C390" s="146" t="s">
        <v>320</v>
      </c>
      <c r="D390" s="152" t="s">
        <v>147</v>
      </c>
      <c r="E390" s="92">
        <v>3</v>
      </c>
      <c r="F390" s="92" t="s">
        <v>81</v>
      </c>
      <c r="G390" s="92"/>
      <c r="H390" s="724">
        <v>1104</v>
      </c>
      <c r="I390" s="724">
        <v>368</v>
      </c>
      <c r="J390" s="724">
        <v>368</v>
      </c>
      <c r="K390" s="724">
        <v>368</v>
      </c>
      <c r="L390" s="724">
        <v>2018.01</v>
      </c>
      <c r="M390" s="724">
        <v>2020.12</v>
      </c>
      <c r="N390" s="724">
        <v>0</v>
      </c>
      <c r="O390" s="724">
        <v>0</v>
      </c>
      <c r="P390" s="724">
        <v>0</v>
      </c>
      <c r="Q390" s="724">
        <v>0</v>
      </c>
      <c r="R390" s="724">
        <v>0</v>
      </c>
      <c r="S390" s="724">
        <v>0</v>
      </c>
      <c r="T390" s="724">
        <v>0</v>
      </c>
      <c r="U390" s="724">
        <v>0</v>
      </c>
      <c r="V390" s="724">
        <v>0</v>
      </c>
      <c r="W390" s="92">
        <v>0</v>
      </c>
      <c r="X390" s="92" t="s">
        <v>293</v>
      </c>
      <c r="Y390" s="738">
        <v>954</v>
      </c>
      <c r="Z390" s="738">
        <v>1104</v>
      </c>
      <c r="AA390" s="738">
        <v>3</v>
      </c>
      <c r="AB390" s="708"/>
      <c r="AC390" s="708"/>
      <c r="AD390" s="146" t="s">
        <v>303</v>
      </c>
      <c r="AE390" s="146" t="s">
        <v>304</v>
      </c>
      <c r="AF390" s="438" t="s">
        <v>294</v>
      </c>
      <c r="AG390" s="708"/>
    </row>
    <row r="391" s="570" customFormat="1" ht="24.95" customHeight="1" spans="1:33">
      <c r="A391" s="705"/>
      <c r="B391" s="714" t="s">
        <v>98</v>
      </c>
      <c r="C391" s="146" t="s">
        <v>320</v>
      </c>
      <c r="D391" s="152" t="s">
        <v>147</v>
      </c>
      <c r="E391" s="92">
        <v>3</v>
      </c>
      <c r="F391" s="92" t="s">
        <v>98</v>
      </c>
      <c r="G391" s="92"/>
      <c r="H391" s="724">
        <v>3459</v>
      </c>
      <c r="I391" s="724">
        <v>1153</v>
      </c>
      <c r="J391" s="724">
        <v>1153</v>
      </c>
      <c r="K391" s="724">
        <v>1153</v>
      </c>
      <c r="L391" s="724">
        <v>2018.01</v>
      </c>
      <c r="M391" s="724">
        <v>2020.12</v>
      </c>
      <c r="N391" s="724">
        <v>0</v>
      </c>
      <c r="O391" s="724">
        <v>0</v>
      </c>
      <c r="P391" s="724">
        <v>0</v>
      </c>
      <c r="Q391" s="724">
        <v>0</v>
      </c>
      <c r="R391" s="724">
        <v>0</v>
      </c>
      <c r="S391" s="724">
        <v>0</v>
      </c>
      <c r="T391" s="724">
        <v>0</v>
      </c>
      <c r="U391" s="724">
        <v>0</v>
      </c>
      <c r="V391" s="724">
        <v>0</v>
      </c>
      <c r="W391" s="92">
        <v>0</v>
      </c>
      <c r="X391" s="92" t="s">
        <v>293</v>
      </c>
      <c r="Y391" s="738">
        <v>3072</v>
      </c>
      <c r="Z391" s="738">
        <v>14274</v>
      </c>
      <c r="AA391" s="738">
        <v>3</v>
      </c>
      <c r="AB391" s="708"/>
      <c r="AC391" s="708"/>
      <c r="AD391" s="146" t="s">
        <v>305</v>
      </c>
      <c r="AE391" s="146" t="s">
        <v>306</v>
      </c>
      <c r="AF391" s="438" t="s">
        <v>294</v>
      </c>
      <c r="AG391" s="708"/>
    </row>
    <row r="392" s="570" customFormat="1" ht="24.95" customHeight="1" spans="1:33">
      <c r="A392" s="705"/>
      <c r="B392" s="714" t="s">
        <v>211</v>
      </c>
      <c r="C392" s="146" t="s">
        <v>320</v>
      </c>
      <c r="D392" s="152" t="s">
        <v>147</v>
      </c>
      <c r="E392" s="92">
        <v>3</v>
      </c>
      <c r="F392" s="92" t="s">
        <v>211</v>
      </c>
      <c r="G392" s="92"/>
      <c r="H392" s="724">
        <v>1281</v>
      </c>
      <c r="I392" s="724">
        <v>427</v>
      </c>
      <c r="J392" s="724">
        <v>427</v>
      </c>
      <c r="K392" s="724">
        <v>427</v>
      </c>
      <c r="L392" s="724">
        <v>2018.01</v>
      </c>
      <c r="M392" s="724">
        <v>2020.12</v>
      </c>
      <c r="N392" s="724">
        <v>0</v>
      </c>
      <c r="O392" s="724">
        <v>0</v>
      </c>
      <c r="P392" s="724">
        <v>0</v>
      </c>
      <c r="Q392" s="724">
        <v>0</v>
      </c>
      <c r="R392" s="724">
        <v>0</v>
      </c>
      <c r="S392" s="724">
        <v>0</v>
      </c>
      <c r="T392" s="724">
        <v>0</v>
      </c>
      <c r="U392" s="724">
        <v>0</v>
      </c>
      <c r="V392" s="724">
        <v>0</v>
      </c>
      <c r="W392" s="92">
        <v>0</v>
      </c>
      <c r="X392" s="92" t="s">
        <v>293</v>
      </c>
      <c r="Y392" s="738">
        <v>1164</v>
      </c>
      <c r="Z392" s="738">
        <v>1281</v>
      </c>
      <c r="AA392" s="738">
        <v>3</v>
      </c>
      <c r="AB392" s="708"/>
      <c r="AC392" s="708"/>
      <c r="AD392" s="146" t="s">
        <v>307</v>
      </c>
      <c r="AE392" s="146" t="s">
        <v>308</v>
      </c>
      <c r="AF392" s="438" t="s">
        <v>294</v>
      </c>
      <c r="AG392" s="708"/>
    </row>
    <row r="393" s="570" customFormat="1" ht="24.95" customHeight="1" spans="1:33">
      <c r="A393" s="705"/>
      <c r="B393" s="714" t="s">
        <v>155</v>
      </c>
      <c r="C393" s="146" t="s">
        <v>320</v>
      </c>
      <c r="D393" s="152" t="s">
        <v>147</v>
      </c>
      <c r="E393" s="92">
        <v>3</v>
      </c>
      <c r="F393" s="92" t="s">
        <v>155</v>
      </c>
      <c r="G393" s="92"/>
      <c r="H393" s="724">
        <v>36</v>
      </c>
      <c r="I393" s="724">
        <v>12</v>
      </c>
      <c r="J393" s="724">
        <v>12</v>
      </c>
      <c r="K393" s="724">
        <v>12</v>
      </c>
      <c r="L393" s="724">
        <v>2018.01</v>
      </c>
      <c r="M393" s="724">
        <v>2020.12</v>
      </c>
      <c r="N393" s="724">
        <v>0</v>
      </c>
      <c r="O393" s="724">
        <v>0</v>
      </c>
      <c r="P393" s="724">
        <v>0</v>
      </c>
      <c r="Q393" s="724">
        <v>0</v>
      </c>
      <c r="R393" s="724">
        <v>0</v>
      </c>
      <c r="S393" s="724">
        <v>0</v>
      </c>
      <c r="T393" s="724">
        <v>0</v>
      </c>
      <c r="U393" s="724">
        <v>0</v>
      </c>
      <c r="V393" s="724">
        <v>0</v>
      </c>
      <c r="W393" s="92">
        <v>0</v>
      </c>
      <c r="X393" s="92" t="s">
        <v>293</v>
      </c>
      <c r="Y393" s="738">
        <v>36</v>
      </c>
      <c r="Z393" s="738">
        <v>156</v>
      </c>
      <c r="AA393" s="738">
        <v>3</v>
      </c>
      <c r="AB393" s="708"/>
      <c r="AC393" s="708"/>
      <c r="AD393" s="146" t="s">
        <v>309</v>
      </c>
      <c r="AE393" s="146" t="s">
        <v>310</v>
      </c>
      <c r="AF393" s="438" t="s">
        <v>294</v>
      </c>
      <c r="AG393" s="708"/>
    </row>
    <row r="394" s="570" customFormat="1" ht="24.95" customHeight="1" spans="1:33">
      <c r="A394" s="705"/>
      <c r="B394" s="714" t="s">
        <v>102</v>
      </c>
      <c r="C394" s="146" t="s">
        <v>320</v>
      </c>
      <c r="D394" s="152" t="s">
        <v>147</v>
      </c>
      <c r="E394" s="92">
        <v>3</v>
      </c>
      <c r="F394" s="92" t="s">
        <v>102</v>
      </c>
      <c r="G394" s="92"/>
      <c r="H394" s="724">
        <v>546</v>
      </c>
      <c r="I394" s="724">
        <v>182</v>
      </c>
      <c r="J394" s="724">
        <v>182</v>
      </c>
      <c r="K394" s="724">
        <v>182</v>
      </c>
      <c r="L394" s="724">
        <v>2018.01</v>
      </c>
      <c r="M394" s="724">
        <v>2020.12</v>
      </c>
      <c r="N394" s="724">
        <v>0</v>
      </c>
      <c r="O394" s="724">
        <v>0</v>
      </c>
      <c r="P394" s="724">
        <v>0</v>
      </c>
      <c r="Q394" s="724">
        <v>0</v>
      </c>
      <c r="R394" s="724">
        <v>0</v>
      </c>
      <c r="S394" s="724">
        <v>0</v>
      </c>
      <c r="T394" s="724">
        <v>0</v>
      </c>
      <c r="U394" s="724">
        <v>0</v>
      </c>
      <c r="V394" s="724">
        <v>0</v>
      </c>
      <c r="W394" s="92">
        <v>0</v>
      </c>
      <c r="X394" s="92" t="s">
        <v>293</v>
      </c>
      <c r="Y394" s="738">
        <v>543</v>
      </c>
      <c r="Z394" s="738">
        <v>546</v>
      </c>
      <c r="AA394" s="738">
        <v>3</v>
      </c>
      <c r="AB394" s="708"/>
      <c r="AC394" s="708"/>
      <c r="AD394" s="146" t="s">
        <v>215</v>
      </c>
      <c r="AE394" s="146" t="s">
        <v>311</v>
      </c>
      <c r="AF394" s="438" t="s">
        <v>294</v>
      </c>
      <c r="AG394" s="708"/>
    </row>
    <row r="395" s="570" customFormat="1" ht="24.95" customHeight="1" spans="1:33">
      <c r="A395" s="705"/>
      <c r="B395" s="714" t="s">
        <v>100</v>
      </c>
      <c r="C395" s="146" t="s">
        <v>320</v>
      </c>
      <c r="D395" s="152" t="s">
        <v>147</v>
      </c>
      <c r="E395" s="92">
        <v>3</v>
      </c>
      <c r="F395" s="92" t="s">
        <v>100</v>
      </c>
      <c r="G395" s="92"/>
      <c r="H395" s="724">
        <v>93</v>
      </c>
      <c r="I395" s="724">
        <v>31</v>
      </c>
      <c r="J395" s="724">
        <v>31</v>
      </c>
      <c r="K395" s="724">
        <v>31</v>
      </c>
      <c r="L395" s="724">
        <v>2018.01</v>
      </c>
      <c r="M395" s="724">
        <v>2020.12</v>
      </c>
      <c r="N395" s="724">
        <v>0</v>
      </c>
      <c r="O395" s="724">
        <v>0</v>
      </c>
      <c r="P395" s="724">
        <v>0</v>
      </c>
      <c r="Q395" s="724">
        <v>0</v>
      </c>
      <c r="R395" s="724">
        <v>0</v>
      </c>
      <c r="S395" s="724">
        <v>0</v>
      </c>
      <c r="T395" s="724">
        <v>0</v>
      </c>
      <c r="U395" s="724">
        <v>0</v>
      </c>
      <c r="V395" s="724">
        <v>0</v>
      </c>
      <c r="W395" s="92">
        <v>0</v>
      </c>
      <c r="X395" s="92" t="s">
        <v>293</v>
      </c>
      <c r="Y395" s="738">
        <v>87</v>
      </c>
      <c r="Z395" s="738">
        <v>93</v>
      </c>
      <c r="AA395" s="738">
        <v>3</v>
      </c>
      <c r="AB395" s="708"/>
      <c r="AC395" s="708"/>
      <c r="AD395" s="146" t="s">
        <v>312</v>
      </c>
      <c r="AE395" s="146" t="s">
        <v>313</v>
      </c>
      <c r="AF395" s="438" t="s">
        <v>294</v>
      </c>
      <c r="AG395" s="708"/>
    </row>
    <row r="396" s="570" customFormat="1" ht="24.95" customHeight="1" spans="1:33">
      <c r="A396" s="705"/>
      <c r="B396" s="714" t="s">
        <v>84</v>
      </c>
      <c r="C396" s="146" t="s">
        <v>320</v>
      </c>
      <c r="D396" s="152" t="s">
        <v>147</v>
      </c>
      <c r="E396" s="92">
        <v>3</v>
      </c>
      <c r="F396" s="92" t="s">
        <v>84</v>
      </c>
      <c r="G396" s="92"/>
      <c r="H396" s="724">
        <v>990</v>
      </c>
      <c r="I396" s="724">
        <v>330</v>
      </c>
      <c r="J396" s="724">
        <v>330</v>
      </c>
      <c r="K396" s="724">
        <v>330</v>
      </c>
      <c r="L396" s="724">
        <v>2018.01</v>
      </c>
      <c r="M396" s="724">
        <v>2020.12</v>
      </c>
      <c r="N396" s="724">
        <v>0</v>
      </c>
      <c r="O396" s="724">
        <v>0</v>
      </c>
      <c r="P396" s="724">
        <v>0</v>
      </c>
      <c r="Q396" s="724">
        <v>0</v>
      </c>
      <c r="R396" s="724">
        <v>0</v>
      </c>
      <c r="S396" s="724">
        <v>0</v>
      </c>
      <c r="T396" s="724">
        <v>0</v>
      </c>
      <c r="U396" s="724">
        <v>0</v>
      </c>
      <c r="V396" s="724">
        <v>0</v>
      </c>
      <c r="W396" s="92">
        <v>0</v>
      </c>
      <c r="X396" s="92" t="s">
        <v>293</v>
      </c>
      <c r="Y396" s="738">
        <v>816</v>
      </c>
      <c r="Z396" s="738">
        <v>990</v>
      </c>
      <c r="AA396" s="738">
        <v>3</v>
      </c>
      <c r="AB396" s="708"/>
      <c r="AC396" s="708"/>
      <c r="AD396" s="146" t="s">
        <v>185</v>
      </c>
      <c r="AE396" s="146" t="s">
        <v>314</v>
      </c>
      <c r="AF396" s="438" t="s">
        <v>294</v>
      </c>
      <c r="AG396" s="708"/>
    </row>
    <row r="397" s="570" customFormat="1" ht="24.95" customHeight="1" spans="1:33">
      <c r="A397" s="705"/>
      <c r="B397" s="714" t="s">
        <v>143</v>
      </c>
      <c r="C397" s="146" t="s">
        <v>320</v>
      </c>
      <c r="D397" s="152" t="s">
        <v>147</v>
      </c>
      <c r="E397" s="92">
        <v>3</v>
      </c>
      <c r="F397" s="92" t="s">
        <v>143</v>
      </c>
      <c r="G397" s="92"/>
      <c r="H397" s="724">
        <v>984</v>
      </c>
      <c r="I397" s="724">
        <v>328</v>
      </c>
      <c r="J397" s="724">
        <v>328</v>
      </c>
      <c r="K397" s="724">
        <v>328</v>
      </c>
      <c r="L397" s="724">
        <v>2018.01</v>
      </c>
      <c r="M397" s="724">
        <v>2020.12</v>
      </c>
      <c r="N397" s="724">
        <v>0</v>
      </c>
      <c r="O397" s="724">
        <v>0</v>
      </c>
      <c r="P397" s="724">
        <v>0</v>
      </c>
      <c r="Q397" s="724">
        <v>0</v>
      </c>
      <c r="R397" s="724">
        <v>0</v>
      </c>
      <c r="S397" s="724">
        <v>0</v>
      </c>
      <c r="T397" s="724">
        <v>0</v>
      </c>
      <c r="U397" s="724">
        <v>0</v>
      </c>
      <c r="V397" s="724">
        <v>0</v>
      </c>
      <c r="W397" s="92">
        <v>0</v>
      </c>
      <c r="X397" s="92" t="s">
        <v>293</v>
      </c>
      <c r="Y397" s="738">
        <v>123</v>
      </c>
      <c r="Z397" s="738">
        <v>132</v>
      </c>
      <c r="AA397" s="738">
        <v>3</v>
      </c>
      <c r="AB397" s="708"/>
      <c r="AC397" s="708"/>
      <c r="AD397" s="146" t="s">
        <v>317</v>
      </c>
      <c r="AE397" s="146" t="s">
        <v>318</v>
      </c>
      <c r="AF397" s="438" t="s">
        <v>294</v>
      </c>
      <c r="AG397" s="708"/>
    </row>
    <row r="398" s="570" customFormat="1" ht="24.95" customHeight="1" spans="1:33">
      <c r="A398" s="705">
        <v>53</v>
      </c>
      <c r="B398" s="708" t="s">
        <v>321</v>
      </c>
      <c r="C398" s="708"/>
      <c r="D398" s="709" t="s">
        <v>147</v>
      </c>
      <c r="E398" s="92">
        <v>36</v>
      </c>
      <c r="F398" s="92">
        <v>0</v>
      </c>
      <c r="G398" s="92"/>
      <c r="H398" s="724">
        <v>7356</v>
      </c>
      <c r="I398" s="724">
        <v>2452</v>
      </c>
      <c r="J398" s="724">
        <v>2452</v>
      </c>
      <c r="K398" s="724">
        <v>2452</v>
      </c>
      <c r="L398" s="724">
        <v>0</v>
      </c>
      <c r="M398" s="724">
        <v>0</v>
      </c>
      <c r="N398" s="724">
        <v>0</v>
      </c>
      <c r="O398" s="724">
        <v>0</v>
      </c>
      <c r="P398" s="724">
        <v>0</v>
      </c>
      <c r="Q398" s="724">
        <v>0</v>
      </c>
      <c r="R398" s="724">
        <v>0</v>
      </c>
      <c r="S398" s="724">
        <v>0</v>
      </c>
      <c r="T398" s="724">
        <v>0</v>
      </c>
      <c r="U398" s="724">
        <v>0</v>
      </c>
      <c r="V398" s="724">
        <v>0</v>
      </c>
      <c r="W398" s="92">
        <v>0</v>
      </c>
      <c r="X398" s="92" t="s">
        <v>293</v>
      </c>
      <c r="Y398" s="738">
        <v>6195</v>
      </c>
      <c r="Z398" s="738">
        <v>11952</v>
      </c>
      <c r="AA398" s="738">
        <v>36</v>
      </c>
      <c r="AB398" s="708"/>
      <c r="AC398" s="708"/>
      <c r="AD398" s="146" t="s">
        <v>296</v>
      </c>
      <c r="AE398" s="146" t="s">
        <v>297</v>
      </c>
      <c r="AF398" s="438" t="s">
        <v>294</v>
      </c>
      <c r="AG398" s="708" t="s">
        <v>41</v>
      </c>
    </row>
    <row r="399" s="570" customFormat="1" ht="24.95" customHeight="1" spans="1:33">
      <c r="A399" s="705"/>
      <c r="B399" s="714" t="s">
        <v>101</v>
      </c>
      <c r="C399" s="146" t="s">
        <v>320</v>
      </c>
      <c r="D399" s="152" t="s">
        <v>147</v>
      </c>
      <c r="E399" s="92">
        <v>3</v>
      </c>
      <c r="F399" s="92" t="s">
        <v>101</v>
      </c>
      <c r="G399" s="92"/>
      <c r="H399" s="724">
        <v>492</v>
      </c>
      <c r="I399" s="724">
        <v>164</v>
      </c>
      <c r="J399" s="724">
        <v>164</v>
      </c>
      <c r="K399" s="724">
        <v>164</v>
      </c>
      <c r="L399" s="724">
        <v>2018.01</v>
      </c>
      <c r="M399" s="724">
        <v>2020.12</v>
      </c>
      <c r="N399" s="724">
        <v>0</v>
      </c>
      <c r="O399" s="724">
        <v>0</v>
      </c>
      <c r="P399" s="724">
        <v>0</v>
      </c>
      <c r="Q399" s="724">
        <v>0</v>
      </c>
      <c r="R399" s="724">
        <v>0</v>
      </c>
      <c r="S399" s="724">
        <v>0</v>
      </c>
      <c r="T399" s="724">
        <v>0</v>
      </c>
      <c r="U399" s="724">
        <v>0</v>
      </c>
      <c r="V399" s="724">
        <v>0</v>
      </c>
      <c r="W399" s="92">
        <v>0</v>
      </c>
      <c r="X399" s="92" t="s">
        <v>293</v>
      </c>
      <c r="Y399" s="738">
        <v>456</v>
      </c>
      <c r="Z399" s="738">
        <v>2154</v>
      </c>
      <c r="AA399" s="738">
        <v>3</v>
      </c>
      <c r="AB399" s="708"/>
      <c r="AC399" s="708"/>
      <c r="AD399" s="146" t="s">
        <v>298</v>
      </c>
      <c r="AE399" s="146" t="s">
        <v>299</v>
      </c>
      <c r="AF399" s="438" t="s">
        <v>294</v>
      </c>
      <c r="AG399" s="708"/>
    </row>
    <row r="400" s="570" customFormat="1" ht="24.95" customHeight="1" spans="1:33">
      <c r="A400" s="705"/>
      <c r="B400" s="714" t="s">
        <v>151</v>
      </c>
      <c r="C400" s="146" t="s">
        <v>320</v>
      </c>
      <c r="D400" s="152" t="s">
        <v>147</v>
      </c>
      <c r="E400" s="92">
        <v>3</v>
      </c>
      <c r="F400" s="92" t="s">
        <v>151</v>
      </c>
      <c r="G400" s="92"/>
      <c r="H400" s="724">
        <v>192</v>
      </c>
      <c r="I400" s="724">
        <v>64</v>
      </c>
      <c r="J400" s="724">
        <v>64</v>
      </c>
      <c r="K400" s="724">
        <v>64</v>
      </c>
      <c r="L400" s="724">
        <v>2018.01</v>
      </c>
      <c r="M400" s="724">
        <v>2020.12</v>
      </c>
      <c r="N400" s="724">
        <v>0</v>
      </c>
      <c r="O400" s="724">
        <v>0</v>
      </c>
      <c r="P400" s="724">
        <v>0</v>
      </c>
      <c r="Q400" s="724">
        <v>0</v>
      </c>
      <c r="R400" s="724">
        <v>0</v>
      </c>
      <c r="S400" s="724">
        <v>0</v>
      </c>
      <c r="T400" s="724">
        <v>0</v>
      </c>
      <c r="U400" s="724">
        <v>0</v>
      </c>
      <c r="V400" s="724">
        <v>0</v>
      </c>
      <c r="W400" s="92">
        <v>0</v>
      </c>
      <c r="X400" s="92" t="s">
        <v>293</v>
      </c>
      <c r="Y400" s="738">
        <v>174</v>
      </c>
      <c r="Z400" s="738">
        <v>192</v>
      </c>
      <c r="AA400" s="738">
        <v>3</v>
      </c>
      <c r="AB400" s="708"/>
      <c r="AC400" s="708"/>
      <c r="AD400" s="146" t="s">
        <v>300</v>
      </c>
      <c r="AE400" s="146" t="s">
        <v>301</v>
      </c>
      <c r="AF400" s="438" t="s">
        <v>294</v>
      </c>
      <c r="AG400" s="708"/>
    </row>
    <row r="401" s="570" customFormat="1" ht="24.95" customHeight="1" spans="1:33">
      <c r="A401" s="705"/>
      <c r="B401" s="714" t="s">
        <v>154</v>
      </c>
      <c r="C401" s="146" t="s">
        <v>320</v>
      </c>
      <c r="D401" s="152" t="s">
        <v>147</v>
      </c>
      <c r="E401" s="92">
        <v>3</v>
      </c>
      <c r="F401" s="92" t="s">
        <v>154</v>
      </c>
      <c r="G401" s="92"/>
      <c r="H401" s="724">
        <v>795</v>
      </c>
      <c r="I401" s="724">
        <v>265</v>
      </c>
      <c r="J401" s="724">
        <v>265</v>
      </c>
      <c r="K401" s="724">
        <v>265</v>
      </c>
      <c r="L401" s="724">
        <v>2018.01</v>
      </c>
      <c r="M401" s="724">
        <v>2020.12</v>
      </c>
      <c r="N401" s="724">
        <v>0</v>
      </c>
      <c r="O401" s="724">
        <v>0</v>
      </c>
      <c r="P401" s="724">
        <v>0</v>
      </c>
      <c r="Q401" s="724">
        <v>0</v>
      </c>
      <c r="R401" s="724">
        <v>0</v>
      </c>
      <c r="S401" s="724">
        <v>0</v>
      </c>
      <c r="T401" s="724">
        <v>0</v>
      </c>
      <c r="U401" s="724">
        <v>0</v>
      </c>
      <c r="V401" s="724">
        <v>0</v>
      </c>
      <c r="W401" s="92">
        <v>0</v>
      </c>
      <c r="X401" s="92" t="s">
        <v>293</v>
      </c>
      <c r="Y401" s="738">
        <v>696</v>
      </c>
      <c r="Z401" s="738">
        <v>795</v>
      </c>
      <c r="AA401" s="738">
        <v>3</v>
      </c>
      <c r="AB401" s="708"/>
      <c r="AC401" s="708"/>
      <c r="AD401" s="146" t="s">
        <v>247</v>
      </c>
      <c r="AE401" s="146" t="s">
        <v>302</v>
      </c>
      <c r="AF401" s="438" t="s">
        <v>294</v>
      </c>
      <c r="AG401" s="708"/>
    </row>
    <row r="402" s="570" customFormat="1" ht="24.95" customHeight="1" spans="1:33">
      <c r="A402" s="705"/>
      <c r="B402" s="714" t="s">
        <v>81</v>
      </c>
      <c r="C402" s="146" t="s">
        <v>320</v>
      </c>
      <c r="D402" s="152" t="s">
        <v>147</v>
      </c>
      <c r="E402" s="92">
        <v>3</v>
      </c>
      <c r="F402" s="92" t="s">
        <v>81</v>
      </c>
      <c r="G402" s="92"/>
      <c r="H402" s="724">
        <v>408</v>
      </c>
      <c r="I402" s="724">
        <v>136</v>
      </c>
      <c r="J402" s="724">
        <v>136</v>
      </c>
      <c r="K402" s="724">
        <v>136</v>
      </c>
      <c r="L402" s="724">
        <v>2018.01</v>
      </c>
      <c r="M402" s="724">
        <v>2020.12</v>
      </c>
      <c r="N402" s="724">
        <v>0</v>
      </c>
      <c r="O402" s="724">
        <v>0</v>
      </c>
      <c r="P402" s="724">
        <v>0</v>
      </c>
      <c r="Q402" s="724">
        <v>0</v>
      </c>
      <c r="R402" s="724">
        <v>0</v>
      </c>
      <c r="S402" s="724">
        <v>0</v>
      </c>
      <c r="T402" s="724">
        <v>0</v>
      </c>
      <c r="U402" s="724">
        <v>0</v>
      </c>
      <c r="V402" s="724">
        <v>0</v>
      </c>
      <c r="W402" s="92">
        <v>0</v>
      </c>
      <c r="X402" s="92" t="s">
        <v>293</v>
      </c>
      <c r="Y402" s="738">
        <v>390</v>
      </c>
      <c r="Z402" s="738">
        <v>408</v>
      </c>
      <c r="AA402" s="738">
        <v>3</v>
      </c>
      <c r="AB402" s="708"/>
      <c r="AC402" s="708"/>
      <c r="AD402" s="146" t="s">
        <v>303</v>
      </c>
      <c r="AE402" s="146" t="s">
        <v>304</v>
      </c>
      <c r="AF402" s="438" t="s">
        <v>294</v>
      </c>
      <c r="AG402" s="708"/>
    </row>
    <row r="403" s="570" customFormat="1" ht="24.95" customHeight="1" spans="1:33">
      <c r="A403" s="705"/>
      <c r="B403" s="714" t="s">
        <v>98</v>
      </c>
      <c r="C403" s="146" t="s">
        <v>320</v>
      </c>
      <c r="D403" s="152" t="s">
        <v>147</v>
      </c>
      <c r="E403" s="92">
        <v>3</v>
      </c>
      <c r="F403" s="92" t="s">
        <v>98</v>
      </c>
      <c r="G403" s="92"/>
      <c r="H403" s="724">
        <v>1047</v>
      </c>
      <c r="I403" s="724">
        <v>349</v>
      </c>
      <c r="J403" s="724">
        <v>349</v>
      </c>
      <c r="K403" s="724">
        <v>349</v>
      </c>
      <c r="L403" s="724">
        <v>2018.01</v>
      </c>
      <c r="M403" s="724">
        <v>2020.12</v>
      </c>
      <c r="N403" s="724">
        <v>0</v>
      </c>
      <c r="O403" s="724">
        <v>0</v>
      </c>
      <c r="P403" s="724">
        <v>0</v>
      </c>
      <c r="Q403" s="724">
        <v>0</v>
      </c>
      <c r="R403" s="724">
        <v>0</v>
      </c>
      <c r="S403" s="724">
        <v>0</v>
      </c>
      <c r="T403" s="724">
        <v>0</v>
      </c>
      <c r="U403" s="724">
        <v>0</v>
      </c>
      <c r="V403" s="724">
        <v>0</v>
      </c>
      <c r="W403" s="92">
        <v>0</v>
      </c>
      <c r="X403" s="92" t="s">
        <v>293</v>
      </c>
      <c r="Y403" s="738">
        <v>948</v>
      </c>
      <c r="Z403" s="738">
        <v>4461</v>
      </c>
      <c r="AA403" s="738">
        <v>3</v>
      </c>
      <c r="AB403" s="708"/>
      <c r="AC403" s="708"/>
      <c r="AD403" s="146" t="s">
        <v>305</v>
      </c>
      <c r="AE403" s="146" t="s">
        <v>306</v>
      </c>
      <c r="AF403" s="438" t="s">
        <v>294</v>
      </c>
      <c r="AG403" s="708"/>
    </row>
    <row r="404" s="570" customFormat="1" ht="24.95" customHeight="1" spans="1:33">
      <c r="A404" s="705"/>
      <c r="B404" s="714" t="s">
        <v>211</v>
      </c>
      <c r="C404" s="146" t="s">
        <v>320</v>
      </c>
      <c r="D404" s="152" t="s">
        <v>147</v>
      </c>
      <c r="E404" s="92">
        <v>3</v>
      </c>
      <c r="F404" s="92" t="s">
        <v>211</v>
      </c>
      <c r="G404" s="92"/>
      <c r="H404" s="724">
        <v>588</v>
      </c>
      <c r="I404" s="724">
        <v>196</v>
      </c>
      <c r="J404" s="724">
        <v>196</v>
      </c>
      <c r="K404" s="724">
        <v>196</v>
      </c>
      <c r="L404" s="724">
        <v>2018.01</v>
      </c>
      <c r="M404" s="724">
        <v>2020.12</v>
      </c>
      <c r="N404" s="724">
        <v>0</v>
      </c>
      <c r="O404" s="724">
        <v>0</v>
      </c>
      <c r="P404" s="724">
        <v>0</v>
      </c>
      <c r="Q404" s="724">
        <v>0</v>
      </c>
      <c r="R404" s="724">
        <v>0</v>
      </c>
      <c r="S404" s="724">
        <v>0</v>
      </c>
      <c r="T404" s="724">
        <v>0</v>
      </c>
      <c r="U404" s="724">
        <v>0</v>
      </c>
      <c r="V404" s="724">
        <v>0</v>
      </c>
      <c r="W404" s="92">
        <v>0</v>
      </c>
      <c r="X404" s="92" t="s">
        <v>293</v>
      </c>
      <c r="Y404" s="738">
        <v>549</v>
      </c>
      <c r="Z404" s="738">
        <v>588</v>
      </c>
      <c r="AA404" s="738">
        <v>3</v>
      </c>
      <c r="AB404" s="708"/>
      <c r="AC404" s="708"/>
      <c r="AD404" s="146" t="s">
        <v>307</v>
      </c>
      <c r="AE404" s="146" t="s">
        <v>308</v>
      </c>
      <c r="AF404" s="438" t="s">
        <v>294</v>
      </c>
      <c r="AG404" s="708"/>
    </row>
    <row r="405" s="570" customFormat="1" ht="24.95" customHeight="1" spans="1:33">
      <c r="A405" s="705"/>
      <c r="B405" s="714" t="s">
        <v>155</v>
      </c>
      <c r="C405" s="146" t="s">
        <v>320</v>
      </c>
      <c r="D405" s="152" t="s">
        <v>147</v>
      </c>
      <c r="E405" s="92">
        <v>3</v>
      </c>
      <c r="F405" s="92" t="s">
        <v>155</v>
      </c>
      <c r="G405" s="92"/>
      <c r="H405" s="724">
        <v>300</v>
      </c>
      <c r="I405" s="724">
        <v>100</v>
      </c>
      <c r="J405" s="724">
        <v>100</v>
      </c>
      <c r="K405" s="724">
        <v>100</v>
      </c>
      <c r="L405" s="724">
        <v>2018.01</v>
      </c>
      <c r="M405" s="724">
        <v>2020.12</v>
      </c>
      <c r="N405" s="724">
        <v>0</v>
      </c>
      <c r="O405" s="724">
        <v>0</v>
      </c>
      <c r="P405" s="724">
        <v>0</v>
      </c>
      <c r="Q405" s="724">
        <v>0</v>
      </c>
      <c r="R405" s="724">
        <v>0</v>
      </c>
      <c r="S405" s="724">
        <v>0</v>
      </c>
      <c r="T405" s="724">
        <v>0</v>
      </c>
      <c r="U405" s="724">
        <v>0</v>
      </c>
      <c r="V405" s="724">
        <v>0</v>
      </c>
      <c r="W405" s="92">
        <v>0</v>
      </c>
      <c r="X405" s="92" t="s">
        <v>293</v>
      </c>
      <c r="Y405" s="738">
        <v>279</v>
      </c>
      <c r="Z405" s="738">
        <v>300</v>
      </c>
      <c r="AA405" s="738">
        <v>3</v>
      </c>
      <c r="AB405" s="708"/>
      <c r="AC405" s="708"/>
      <c r="AD405" s="146" t="s">
        <v>309</v>
      </c>
      <c r="AE405" s="146" t="s">
        <v>310</v>
      </c>
      <c r="AF405" s="438" t="s">
        <v>294</v>
      </c>
      <c r="AG405" s="708"/>
    </row>
    <row r="406" s="570" customFormat="1" ht="24.95" customHeight="1" spans="1:33">
      <c r="A406" s="705"/>
      <c r="B406" s="714" t="s">
        <v>102</v>
      </c>
      <c r="C406" s="146" t="s">
        <v>320</v>
      </c>
      <c r="D406" s="152" t="s">
        <v>147</v>
      </c>
      <c r="E406" s="92">
        <v>3</v>
      </c>
      <c r="F406" s="92" t="s">
        <v>102</v>
      </c>
      <c r="G406" s="92"/>
      <c r="H406" s="724">
        <v>1125</v>
      </c>
      <c r="I406" s="724">
        <v>375</v>
      </c>
      <c r="J406" s="724">
        <v>375</v>
      </c>
      <c r="K406" s="724">
        <v>375</v>
      </c>
      <c r="L406" s="724">
        <v>2018.01</v>
      </c>
      <c r="M406" s="724">
        <v>2020.12</v>
      </c>
      <c r="N406" s="724">
        <v>0</v>
      </c>
      <c r="O406" s="724">
        <v>0</v>
      </c>
      <c r="P406" s="724">
        <v>0</v>
      </c>
      <c r="Q406" s="724">
        <v>0</v>
      </c>
      <c r="R406" s="724">
        <v>0</v>
      </c>
      <c r="S406" s="724">
        <v>0</v>
      </c>
      <c r="T406" s="724">
        <v>0</v>
      </c>
      <c r="U406" s="724">
        <v>0</v>
      </c>
      <c r="V406" s="724">
        <v>0</v>
      </c>
      <c r="W406" s="92">
        <v>0</v>
      </c>
      <c r="X406" s="92" t="s">
        <v>293</v>
      </c>
      <c r="Y406" s="738">
        <v>948</v>
      </c>
      <c r="Z406" s="738">
        <v>1125</v>
      </c>
      <c r="AA406" s="738">
        <v>3</v>
      </c>
      <c r="AB406" s="708"/>
      <c r="AC406" s="708"/>
      <c r="AD406" s="146" t="s">
        <v>215</v>
      </c>
      <c r="AE406" s="146" t="s">
        <v>311</v>
      </c>
      <c r="AF406" s="438" t="s">
        <v>294</v>
      </c>
      <c r="AG406" s="708"/>
    </row>
    <row r="407" s="570" customFormat="1" ht="24.95" customHeight="1" spans="1:33">
      <c r="A407" s="705"/>
      <c r="B407" s="714" t="s">
        <v>100</v>
      </c>
      <c r="C407" s="146" t="s">
        <v>320</v>
      </c>
      <c r="D407" s="152" t="s">
        <v>147</v>
      </c>
      <c r="E407" s="92">
        <v>3</v>
      </c>
      <c r="F407" s="92" t="s">
        <v>100</v>
      </c>
      <c r="G407" s="92"/>
      <c r="H407" s="724">
        <v>1266</v>
      </c>
      <c r="I407" s="724">
        <v>422</v>
      </c>
      <c r="J407" s="724">
        <v>422</v>
      </c>
      <c r="K407" s="724">
        <v>422</v>
      </c>
      <c r="L407" s="724">
        <v>2018.01</v>
      </c>
      <c r="M407" s="724">
        <v>2020.12</v>
      </c>
      <c r="N407" s="724">
        <v>0</v>
      </c>
      <c r="O407" s="724">
        <v>0</v>
      </c>
      <c r="P407" s="724">
        <v>0</v>
      </c>
      <c r="Q407" s="724">
        <v>0</v>
      </c>
      <c r="R407" s="724">
        <v>0</v>
      </c>
      <c r="S407" s="724">
        <v>0</v>
      </c>
      <c r="T407" s="724">
        <v>0</v>
      </c>
      <c r="U407" s="724">
        <v>0</v>
      </c>
      <c r="V407" s="724">
        <v>0</v>
      </c>
      <c r="W407" s="92">
        <v>0</v>
      </c>
      <c r="X407" s="92" t="s">
        <v>293</v>
      </c>
      <c r="Y407" s="738">
        <v>1122</v>
      </c>
      <c r="Z407" s="738">
        <v>1266</v>
      </c>
      <c r="AA407" s="738">
        <v>3</v>
      </c>
      <c r="AB407" s="708"/>
      <c r="AC407" s="708"/>
      <c r="AD407" s="146" t="s">
        <v>312</v>
      </c>
      <c r="AE407" s="146" t="s">
        <v>313</v>
      </c>
      <c r="AF407" s="438" t="s">
        <v>294</v>
      </c>
      <c r="AG407" s="708"/>
    </row>
    <row r="408" s="570" customFormat="1" ht="24.95" customHeight="1" spans="1:33">
      <c r="A408" s="705"/>
      <c r="B408" s="714" t="s">
        <v>84</v>
      </c>
      <c r="C408" s="146" t="s">
        <v>320</v>
      </c>
      <c r="D408" s="152" t="s">
        <v>147</v>
      </c>
      <c r="E408" s="92">
        <v>3</v>
      </c>
      <c r="F408" s="92" t="s">
        <v>84</v>
      </c>
      <c r="G408" s="92"/>
      <c r="H408" s="724">
        <v>306</v>
      </c>
      <c r="I408" s="724">
        <v>102</v>
      </c>
      <c r="J408" s="724">
        <v>102</v>
      </c>
      <c r="K408" s="724">
        <v>102</v>
      </c>
      <c r="L408" s="724">
        <v>2018.01</v>
      </c>
      <c r="M408" s="724">
        <v>2020.12</v>
      </c>
      <c r="N408" s="724">
        <v>0</v>
      </c>
      <c r="O408" s="724">
        <v>0</v>
      </c>
      <c r="P408" s="724">
        <v>0</v>
      </c>
      <c r="Q408" s="724">
        <v>0</v>
      </c>
      <c r="R408" s="724">
        <v>0</v>
      </c>
      <c r="S408" s="724">
        <v>0</v>
      </c>
      <c r="T408" s="724">
        <v>0</v>
      </c>
      <c r="U408" s="724">
        <v>0</v>
      </c>
      <c r="V408" s="724">
        <v>0</v>
      </c>
      <c r="W408" s="92">
        <v>0</v>
      </c>
      <c r="X408" s="92" t="s">
        <v>293</v>
      </c>
      <c r="Y408" s="738">
        <v>306</v>
      </c>
      <c r="Z408" s="738">
        <v>306</v>
      </c>
      <c r="AA408" s="738">
        <v>3</v>
      </c>
      <c r="AB408" s="708"/>
      <c r="AC408" s="708"/>
      <c r="AD408" s="146" t="s">
        <v>185</v>
      </c>
      <c r="AE408" s="146" t="s">
        <v>314</v>
      </c>
      <c r="AF408" s="438" t="s">
        <v>294</v>
      </c>
      <c r="AG408" s="708"/>
    </row>
    <row r="409" s="570" customFormat="1" ht="24.95" customHeight="1" spans="1:33">
      <c r="A409" s="705"/>
      <c r="B409" s="714" t="s">
        <v>259</v>
      </c>
      <c r="C409" s="146" t="s">
        <v>320</v>
      </c>
      <c r="D409" s="152" t="s">
        <v>147</v>
      </c>
      <c r="E409" s="92">
        <v>3</v>
      </c>
      <c r="F409" s="92" t="s">
        <v>259</v>
      </c>
      <c r="G409" s="92"/>
      <c r="H409" s="724">
        <v>90</v>
      </c>
      <c r="I409" s="724">
        <v>30</v>
      </c>
      <c r="J409" s="724">
        <v>30</v>
      </c>
      <c r="K409" s="724">
        <v>30</v>
      </c>
      <c r="L409" s="724">
        <v>2018.01</v>
      </c>
      <c r="M409" s="724">
        <v>2020.12</v>
      </c>
      <c r="N409" s="724">
        <v>0</v>
      </c>
      <c r="O409" s="724">
        <v>0</v>
      </c>
      <c r="P409" s="724">
        <v>0</v>
      </c>
      <c r="Q409" s="724">
        <v>0</v>
      </c>
      <c r="R409" s="724">
        <v>0</v>
      </c>
      <c r="S409" s="724">
        <v>0</v>
      </c>
      <c r="T409" s="724">
        <v>0</v>
      </c>
      <c r="U409" s="724">
        <v>0</v>
      </c>
      <c r="V409" s="724">
        <v>0</v>
      </c>
      <c r="W409" s="92">
        <v>0</v>
      </c>
      <c r="X409" s="92" t="s">
        <v>293</v>
      </c>
      <c r="Y409" s="738">
        <v>78</v>
      </c>
      <c r="Z409" s="738">
        <v>90</v>
      </c>
      <c r="AA409" s="738">
        <v>3</v>
      </c>
      <c r="AB409" s="708"/>
      <c r="AC409" s="708"/>
      <c r="AD409" s="146" t="s">
        <v>315</v>
      </c>
      <c r="AE409" s="146" t="s">
        <v>316</v>
      </c>
      <c r="AF409" s="438" t="s">
        <v>294</v>
      </c>
      <c r="AG409" s="708"/>
    </row>
    <row r="410" s="570" customFormat="1" ht="24.95" customHeight="1" spans="1:33">
      <c r="A410" s="705"/>
      <c r="B410" s="714" t="s">
        <v>143</v>
      </c>
      <c r="C410" s="146" t="s">
        <v>320</v>
      </c>
      <c r="D410" s="152" t="s">
        <v>147</v>
      </c>
      <c r="E410" s="92">
        <v>3</v>
      </c>
      <c r="F410" s="92" t="s">
        <v>143</v>
      </c>
      <c r="G410" s="92"/>
      <c r="H410" s="724">
        <v>747</v>
      </c>
      <c r="I410" s="724">
        <v>249</v>
      </c>
      <c r="J410" s="724">
        <v>249</v>
      </c>
      <c r="K410" s="724">
        <v>249</v>
      </c>
      <c r="L410" s="724">
        <v>2018.01</v>
      </c>
      <c r="M410" s="724">
        <v>2020.12</v>
      </c>
      <c r="N410" s="724">
        <v>0</v>
      </c>
      <c r="O410" s="724">
        <v>0</v>
      </c>
      <c r="P410" s="724">
        <v>0</v>
      </c>
      <c r="Q410" s="724">
        <v>0</v>
      </c>
      <c r="R410" s="724">
        <v>0</v>
      </c>
      <c r="S410" s="724">
        <v>0</v>
      </c>
      <c r="T410" s="724">
        <v>0</v>
      </c>
      <c r="U410" s="724">
        <v>0</v>
      </c>
      <c r="V410" s="724">
        <v>0</v>
      </c>
      <c r="W410" s="92">
        <v>0</v>
      </c>
      <c r="X410" s="92" t="s">
        <v>293</v>
      </c>
      <c r="Y410" s="738">
        <v>249</v>
      </c>
      <c r="Z410" s="738">
        <v>267</v>
      </c>
      <c r="AA410" s="738">
        <v>3</v>
      </c>
      <c r="AB410" s="708"/>
      <c r="AC410" s="708"/>
      <c r="AD410" s="146" t="s">
        <v>317</v>
      </c>
      <c r="AE410" s="146" t="s">
        <v>318</v>
      </c>
      <c r="AF410" s="438" t="s">
        <v>294</v>
      </c>
      <c r="AG410" s="708"/>
    </row>
    <row r="411" s="570" customFormat="1" ht="24.95" customHeight="1" spans="1:33">
      <c r="A411" s="705">
        <v>54</v>
      </c>
      <c r="B411" s="750" t="s">
        <v>322</v>
      </c>
      <c r="C411" s="146" t="s">
        <v>320</v>
      </c>
      <c r="D411" s="152" t="s">
        <v>147</v>
      </c>
      <c r="E411" s="92">
        <v>36</v>
      </c>
      <c r="F411" s="92">
        <v>0</v>
      </c>
      <c r="G411" s="92"/>
      <c r="H411" s="724">
        <v>4005</v>
      </c>
      <c r="I411" s="724">
        <v>1335</v>
      </c>
      <c r="J411" s="724">
        <v>1335</v>
      </c>
      <c r="K411" s="724">
        <v>1335</v>
      </c>
      <c r="L411" s="724">
        <v>0</v>
      </c>
      <c r="M411" s="724">
        <v>0</v>
      </c>
      <c r="N411" s="724">
        <v>0</v>
      </c>
      <c r="O411" s="724">
        <v>0</v>
      </c>
      <c r="P411" s="724">
        <v>0</v>
      </c>
      <c r="Q411" s="724">
        <v>0</v>
      </c>
      <c r="R411" s="724">
        <v>0</v>
      </c>
      <c r="S411" s="724">
        <v>0</v>
      </c>
      <c r="T411" s="724">
        <v>0</v>
      </c>
      <c r="U411" s="724">
        <v>0</v>
      </c>
      <c r="V411" s="724">
        <v>0</v>
      </c>
      <c r="W411" s="92">
        <v>0</v>
      </c>
      <c r="X411" s="92" t="s">
        <v>293</v>
      </c>
      <c r="Y411" s="738">
        <v>3468</v>
      </c>
      <c r="Z411" s="738">
        <v>7134</v>
      </c>
      <c r="AA411" s="738">
        <v>36</v>
      </c>
      <c r="AB411" s="708"/>
      <c r="AC411" s="708"/>
      <c r="AD411" s="146" t="s">
        <v>296</v>
      </c>
      <c r="AE411" s="146" t="s">
        <v>297</v>
      </c>
      <c r="AF411" s="438" t="s">
        <v>294</v>
      </c>
      <c r="AG411" s="708" t="s">
        <v>41</v>
      </c>
    </row>
    <row r="412" s="570" customFormat="1" ht="24.95" customHeight="1" spans="1:33">
      <c r="A412" s="705"/>
      <c r="B412" s="714" t="s">
        <v>101</v>
      </c>
      <c r="C412" s="146" t="s">
        <v>320</v>
      </c>
      <c r="D412" s="152" t="s">
        <v>147</v>
      </c>
      <c r="E412" s="92">
        <v>3</v>
      </c>
      <c r="F412" s="92" t="s">
        <v>101</v>
      </c>
      <c r="G412" s="92"/>
      <c r="H412" s="724">
        <v>165</v>
      </c>
      <c r="I412" s="724">
        <v>55</v>
      </c>
      <c r="J412" s="724">
        <v>55</v>
      </c>
      <c r="K412" s="724">
        <v>55</v>
      </c>
      <c r="L412" s="724">
        <v>2018.01</v>
      </c>
      <c r="M412" s="724">
        <v>2020.12</v>
      </c>
      <c r="N412" s="724">
        <v>0</v>
      </c>
      <c r="O412" s="724">
        <v>0</v>
      </c>
      <c r="P412" s="724">
        <v>0</v>
      </c>
      <c r="Q412" s="724">
        <v>0</v>
      </c>
      <c r="R412" s="724">
        <v>0</v>
      </c>
      <c r="S412" s="724">
        <v>0</v>
      </c>
      <c r="T412" s="724">
        <v>0</v>
      </c>
      <c r="U412" s="724">
        <v>0</v>
      </c>
      <c r="V412" s="724">
        <v>0</v>
      </c>
      <c r="W412" s="92">
        <v>0</v>
      </c>
      <c r="X412" s="92" t="s">
        <v>293</v>
      </c>
      <c r="Y412" s="738">
        <v>156</v>
      </c>
      <c r="Z412" s="738">
        <v>699</v>
      </c>
      <c r="AA412" s="738">
        <v>3</v>
      </c>
      <c r="AB412" s="708"/>
      <c r="AC412" s="708"/>
      <c r="AD412" s="146" t="s">
        <v>298</v>
      </c>
      <c r="AE412" s="146" t="s">
        <v>299</v>
      </c>
      <c r="AF412" s="438" t="s">
        <v>294</v>
      </c>
      <c r="AG412" s="708"/>
    </row>
    <row r="413" s="570" customFormat="1" ht="24.95" customHeight="1" spans="1:33">
      <c r="A413" s="705"/>
      <c r="B413" s="714" t="s">
        <v>151</v>
      </c>
      <c r="C413" s="146" t="s">
        <v>320</v>
      </c>
      <c r="D413" s="152" t="s">
        <v>147</v>
      </c>
      <c r="E413" s="92">
        <v>3</v>
      </c>
      <c r="F413" s="92" t="s">
        <v>151</v>
      </c>
      <c r="G413" s="92"/>
      <c r="H413" s="724">
        <v>180</v>
      </c>
      <c r="I413" s="724">
        <v>60</v>
      </c>
      <c r="J413" s="724">
        <v>60</v>
      </c>
      <c r="K413" s="724">
        <v>60</v>
      </c>
      <c r="L413" s="724">
        <v>2018.01</v>
      </c>
      <c r="M413" s="724">
        <v>2020.12</v>
      </c>
      <c r="N413" s="724">
        <v>0</v>
      </c>
      <c r="O413" s="724">
        <v>0</v>
      </c>
      <c r="P413" s="724">
        <v>0</v>
      </c>
      <c r="Q413" s="724">
        <v>0</v>
      </c>
      <c r="R413" s="724">
        <v>0</v>
      </c>
      <c r="S413" s="724">
        <v>0</v>
      </c>
      <c r="T413" s="724">
        <v>0</v>
      </c>
      <c r="U413" s="724">
        <v>0</v>
      </c>
      <c r="V413" s="724">
        <v>0</v>
      </c>
      <c r="W413" s="92">
        <v>0</v>
      </c>
      <c r="X413" s="92" t="s">
        <v>293</v>
      </c>
      <c r="Y413" s="738">
        <v>177</v>
      </c>
      <c r="Z413" s="738">
        <v>180</v>
      </c>
      <c r="AA413" s="738">
        <v>3</v>
      </c>
      <c r="AB413" s="708"/>
      <c r="AC413" s="708"/>
      <c r="AD413" s="146" t="s">
        <v>300</v>
      </c>
      <c r="AE413" s="146" t="s">
        <v>301</v>
      </c>
      <c r="AF413" s="438" t="s">
        <v>294</v>
      </c>
      <c r="AG413" s="708"/>
    </row>
    <row r="414" s="570" customFormat="1" ht="24.95" customHeight="1" spans="1:33">
      <c r="A414" s="705"/>
      <c r="B414" s="714" t="s">
        <v>154</v>
      </c>
      <c r="C414" s="146" t="s">
        <v>320</v>
      </c>
      <c r="D414" s="152" t="s">
        <v>147</v>
      </c>
      <c r="E414" s="92">
        <v>3</v>
      </c>
      <c r="F414" s="92" t="s">
        <v>154</v>
      </c>
      <c r="G414" s="92"/>
      <c r="H414" s="724">
        <v>600</v>
      </c>
      <c r="I414" s="724">
        <v>200</v>
      </c>
      <c r="J414" s="724">
        <v>200</v>
      </c>
      <c r="K414" s="724">
        <v>200</v>
      </c>
      <c r="L414" s="724">
        <v>2018.01</v>
      </c>
      <c r="M414" s="724">
        <v>2020.12</v>
      </c>
      <c r="N414" s="724">
        <v>0</v>
      </c>
      <c r="O414" s="724">
        <v>0</v>
      </c>
      <c r="P414" s="724">
        <v>0</v>
      </c>
      <c r="Q414" s="724">
        <v>0</v>
      </c>
      <c r="R414" s="724">
        <v>0</v>
      </c>
      <c r="S414" s="724">
        <v>0</v>
      </c>
      <c r="T414" s="724">
        <v>0</v>
      </c>
      <c r="U414" s="724">
        <v>0</v>
      </c>
      <c r="V414" s="724">
        <v>0</v>
      </c>
      <c r="W414" s="92">
        <v>0</v>
      </c>
      <c r="X414" s="92" t="s">
        <v>293</v>
      </c>
      <c r="Y414" s="738">
        <v>552</v>
      </c>
      <c r="Z414" s="738">
        <v>600</v>
      </c>
      <c r="AA414" s="738">
        <v>3</v>
      </c>
      <c r="AB414" s="708"/>
      <c r="AC414" s="708"/>
      <c r="AD414" s="146" t="s">
        <v>247</v>
      </c>
      <c r="AE414" s="146" t="s">
        <v>302</v>
      </c>
      <c r="AF414" s="438" t="s">
        <v>294</v>
      </c>
      <c r="AG414" s="708"/>
    </row>
    <row r="415" s="570" customFormat="1" ht="24.95" customHeight="1" spans="1:33">
      <c r="A415" s="705"/>
      <c r="B415" s="714" t="s">
        <v>81</v>
      </c>
      <c r="C415" s="146" t="s">
        <v>320</v>
      </c>
      <c r="D415" s="152" t="s">
        <v>147</v>
      </c>
      <c r="E415" s="92">
        <v>3</v>
      </c>
      <c r="F415" s="92" t="s">
        <v>81</v>
      </c>
      <c r="G415" s="92"/>
      <c r="H415" s="724">
        <v>201</v>
      </c>
      <c r="I415" s="724">
        <v>67</v>
      </c>
      <c r="J415" s="724">
        <v>67</v>
      </c>
      <c r="K415" s="724">
        <v>67</v>
      </c>
      <c r="L415" s="724">
        <v>2018.01</v>
      </c>
      <c r="M415" s="724">
        <v>2020.12</v>
      </c>
      <c r="N415" s="724">
        <v>0</v>
      </c>
      <c r="O415" s="724">
        <v>0</v>
      </c>
      <c r="P415" s="724">
        <v>0</v>
      </c>
      <c r="Q415" s="724">
        <v>0</v>
      </c>
      <c r="R415" s="724">
        <v>0</v>
      </c>
      <c r="S415" s="724">
        <v>0</v>
      </c>
      <c r="T415" s="724">
        <v>0</v>
      </c>
      <c r="U415" s="724">
        <v>0</v>
      </c>
      <c r="V415" s="724">
        <v>0</v>
      </c>
      <c r="W415" s="92">
        <v>0</v>
      </c>
      <c r="X415" s="92" t="s">
        <v>293</v>
      </c>
      <c r="Y415" s="738">
        <v>198</v>
      </c>
      <c r="Z415" s="738">
        <v>201</v>
      </c>
      <c r="AA415" s="738">
        <v>3</v>
      </c>
      <c r="AB415" s="708"/>
      <c r="AC415" s="708"/>
      <c r="AD415" s="146" t="s">
        <v>303</v>
      </c>
      <c r="AE415" s="146" t="s">
        <v>304</v>
      </c>
      <c r="AF415" s="438" t="s">
        <v>294</v>
      </c>
      <c r="AG415" s="708"/>
    </row>
    <row r="416" s="570" customFormat="1" ht="24.95" customHeight="1" spans="1:33">
      <c r="A416" s="705"/>
      <c r="B416" s="714" t="s">
        <v>98</v>
      </c>
      <c r="C416" s="146" t="s">
        <v>320</v>
      </c>
      <c r="D416" s="152" t="s">
        <v>147</v>
      </c>
      <c r="E416" s="92">
        <v>3</v>
      </c>
      <c r="F416" s="92" t="s">
        <v>98</v>
      </c>
      <c r="G416" s="92"/>
      <c r="H416" s="724">
        <v>891</v>
      </c>
      <c r="I416" s="724">
        <v>297</v>
      </c>
      <c r="J416" s="724">
        <v>297</v>
      </c>
      <c r="K416" s="724">
        <v>297</v>
      </c>
      <c r="L416" s="724">
        <v>2018.01</v>
      </c>
      <c r="M416" s="724">
        <v>2020.12</v>
      </c>
      <c r="N416" s="724">
        <v>0</v>
      </c>
      <c r="O416" s="724">
        <v>0</v>
      </c>
      <c r="P416" s="724">
        <v>0</v>
      </c>
      <c r="Q416" s="724">
        <v>0</v>
      </c>
      <c r="R416" s="724">
        <v>0</v>
      </c>
      <c r="S416" s="724">
        <v>0</v>
      </c>
      <c r="T416" s="724">
        <v>0</v>
      </c>
      <c r="U416" s="724">
        <v>0</v>
      </c>
      <c r="V416" s="724">
        <v>0</v>
      </c>
      <c r="W416" s="92">
        <v>0</v>
      </c>
      <c r="X416" s="92" t="s">
        <v>293</v>
      </c>
      <c r="Y416" s="738">
        <v>828</v>
      </c>
      <c r="Z416" s="738">
        <v>3795</v>
      </c>
      <c r="AA416" s="738">
        <v>3</v>
      </c>
      <c r="AB416" s="708"/>
      <c r="AC416" s="708"/>
      <c r="AD416" s="146" t="s">
        <v>305</v>
      </c>
      <c r="AE416" s="146" t="s">
        <v>306</v>
      </c>
      <c r="AF416" s="438" t="s">
        <v>294</v>
      </c>
      <c r="AG416" s="708"/>
    </row>
    <row r="417" s="570" customFormat="1" ht="24.95" customHeight="1" spans="1:33">
      <c r="A417" s="705"/>
      <c r="B417" s="714" t="s">
        <v>211</v>
      </c>
      <c r="C417" s="146" t="s">
        <v>320</v>
      </c>
      <c r="D417" s="152" t="s">
        <v>147</v>
      </c>
      <c r="E417" s="92">
        <v>3</v>
      </c>
      <c r="F417" s="92" t="s">
        <v>211</v>
      </c>
      <c r="G417" s="92"/>
      <c r="H417" s="724">
        <v>315</v>
      </c>
      <c r="I417" s="724">
        <v>105</v>
      </c>
      <c r="J417" s="724">
        <v>105</v>
      </c>
      <c r="K417" s="724">
        <v>105</v>
      </c>
      <c r="L417" s="724">
        <v>2018.01</v>
      </c>
      <c r="M417" s="724">
        <v>2020.12</v>
      </c>
      <c r="N417" s="724">
        <v>0</v>
      </c>
      <c r="O417" s="724">
        <v>0</v>
      </c>
      <c r="P417" s="724">
        <v>0</v>
      </c>
      <c r="Q417" s="724">
        <v>0</v>
      </c>
      <c r="R417" s="724">
        <v>0</v>
      </c>
      <c r="S417" s="724">
        <v>0</v>
      </c>
      <c r="T417" s="724">
        <v>0</v>
      </c>
      <c r="U417" s="724">
        <v>0</v>
      </c>
      <c r="V417" s="724">
        <v>0</v>
      </c>
      <c r="W417" s="92">
        <v>0</v>
      </c>
      <c r="X417" s="92" t="s">
        <v>293</v>
      </c>
      <c r="Y417" s="738">
        <v>300</v>
      </c>
      <c r="Z417" s="738">
        <v>315</v>
      </c>
      <c r="AA417" s="738">
        <v>3</v>
      </c>
      <c r="AB417" s="708"/>
      <c r="AC417" s="708"/>
      <c r="AD417" s="146" t="s">
        <v>307</v>
      </c>
      <c r="AE417" s="146" t="s">
        <v>308</v>
      </c>
      <c r="AF417" s="438" t="s">
        <v>294</v>
      </c>
      <c r="AG417" s="708"/>
    </row>
    <row r="418" s="570" customFormat="1" ht="24.95" customHeight="1" spans="1:33">
      <c r="A418" s="705"/>
      <c r="B418" s="714" t="s">
        <v>155</v>
      </c>
      <c r="C418" s="146" t="s">
        <v>320</v>
      </c>
      <c r="D418" s="152" t="s">
        <v>147</v>
      </c>
      <c r="E418" s="92">
        <v>3</v>
      </c>
      <c r="F418" s="92" t="s">
        <v>155</v>
      </c>
      <c r="G418" s="92"/>
      <c r="H418" s="724">
        <v>102</v>
      </c>
      <c r="I418" s="724">
        <v>34</v>
      </c>
      <c r="J418" s="724">
        <v>34</v>
      </c>
      <c r="K418" s="724">
        <v>34</v>
      </c>
      <c r="L418" s="724">
        <v>2018.01</v>
      </c>
      <c r="M418" s="724">
        <v>2020.12</v>
      </c>
      <c r="N418" s="724">
        <v>0</v>
      </c>
      <c r="O418" s="724">
        <v>0</v>
      </c>
      <c r="P418" s="724">
        <v>0</v>
      </c>
      <c r="Q418" s="724">
        <v>0</v>
      </c>
      <c r="R418" s="724">
        <v>0</v>
      </c>
      <c r="S418" s="724">
        <v>0</v>
      </c>
      <c r="T418" s="724">
        <v>0</v>
      </c>
      <c r="U418" s="724">
        <v>0</v>
      </c>
      <c r="V418" s="724">
        <v>0</v>
      </c>
      <c r="W418" s="92">
        <v>0</v>
      </c>
      <c r="X418" s="92" t="s">
        <v>293</v>
      </c>
      <c r="Y418" s="738">
        <v>102</v>
      </c>
      <c r="Z418" s="738">
        <v>102</v>
      </c>
      <c r="AA418" s="738">
        <v>3</v>
      </c>
      <c r="AB418" s="708"/>
      <c r="AC418" s="708"/>
      <c r="AD418" s="146" t="s">
        <v>309</v>
      </c>
      <c r="AE418" s="146" t="s">
        <v>310</v>
      </c>
      <c r="AF418" s="438" t="s">
        <v>294</v>
      </c>
      <c r="AG418" s="708"/>
    </row>
    <row r="419" s="570" customFormat="1" ht="24.95" customHeight="1" spans="1:33">
      <c r="A419" s="705"/>
      <c r="B419" s="714" t="s">
        <v>102</v>
      </c>
      <c r="C419" s="146" t="s">
        <v>320</v>
      </c>
      <c r="D419" s="152" t="s">
        <v>147</v>
      </c>
      <c r="E419" s="92">
        <v>3</v>
      </c>
      <c r="F419" s="92" t="s">
        <v>102</v>
      </c>
      <c r="G419" s="92"/>
      <c r="H419" s="724">
        <v>468</v>
      </c>
      <c r="I419" s="724">
        <v>156</v>
      </c>
      <c r="J419" s="724">
        <v>156</v>
      </c>
      <c r="K419" s="724">
        <v>156</v>
      </c>
      <c r="L419" s="724">
        <v>2018.01</v>
      </c>
      <c r="M419" s="724">
        <v>2020.12</v>
      </c>
      <c r="N419" s="724">
        <v>0</v>
      </c>
      <c r="O419" s="724">
        <v>0</v>
      </c>
      <c r="P419" s="724">
        <v>0</v>
      </c>
      <c r="Q419" s="724">
        <v>0</v>
      </c>
      <c r="R419" s="724">
        <v>0</v>
      </c>
      <c r="S419" s="724">
        <v>0</v>
      </c>
      <c r="T419" s="724">
        <v>0</v>
      </c>
      <c r="U419" s="724">
        <v>0</v>
      </c>
      <c r="V419" s="724">
        <v>0</v>
      </c>
      <c r="W419" s="92">
        <v>0</v>
      </c>
      <c r="X419" s="92" t="s">
        <v>293</v>
      </c>
      <c r="Y419" s="738">
        <v>423</v>
      </c>
      <c r="Z419" s="738">
        <v>468</v>
      </c>
      <c r="AA419" s="738">
        <v>3</v>
      </c>
      <c r="AB419" s="708"/>
      <c r="AC419" s="708"/>
      <c r="AD419" s="146" t="s">
        <v>215</v>
      </c>
      <c r="AE419" s="146" t="s">
        <v>311</v>
      </c>
      <c r="AF419" s="438" t="s">
        <v>294</v>
      </c>
      <c r="AG419" s="708"/>
    </row>
    <row r="420" s="570" customFormat="1" ht="24.95" customHeight="1" spans="1:33">
      <c r="A420" s="705"/>
      <c r="B420" s="714" t="s">
        <v>100</v>
      </c>
      <c r="C420" s="146" t="s">
        <v>320</v>
      </c>
      <c r="D420" s="152" t="s">
        <v>147</v>
      </c>
      <c r="E420" s="92">
        <v>3</v>
      </c>
      <c r="F420" s="92" t="s">
        <v>100</v>
      </c>
      <c r="G420" s="92"/>
      <c r="H420" s="724">
        <v>480</v>
      </c>
      <c r="I420" s="724">
        <v>160</v>
      </c>
      <c r="J420" s="724">
        <v>160</v>
      </c>
      <c r="K420" s="724">
        <v>160</v>
      </c>
      <c r="L420" s="724">
        <v>2018.01</v>
      </c>
      <c r="M420" s="724">
        <v>2020.12</v>
      </c>
      <c r="N420" s="724">
        <v>0</v>
      </c>
      <c r="O420" s="724">
        <v>0</v>
      </c>
      <c r="P420" s="724">
        <v>0</v>
      </c>
      <c r="Q420" s="724">
        <v>0</v>
      </c>
      <c r="R420" s="724">
        <v>0</v>
      </c>
      <c r="S420" s="724">
        <v>0</v>
      </c>
      <c r="T420" s="724">
        <v>0</v>
      </c>
      <c r="U420" s="724">
        <v>0</v>
      </c>
      <c r="V420" s="724">
        <v>0</v>
      </c>
      <c r="W420" s="92">
        <v>0</v>
      </c>
      <c r="X420" s="92" t="s">
        <v>293</v>
      </c>
      <c r="Y420" s="738">
        <v>438</v>
      </c>
      <c r="Z420" s="738">
        <v>480</v>
      </c>
      <c r="AA420" s="738">
        <v>3</v>
      </c>
      <c r="AB420" s="708"/>
      <c r="AC420" s="708"/>
      <c r="AD420" s="146" t="s">
        <v>312</v>
      </c>
      <c r="AE420" s="146" t="s">
        <v>313</v>
      </c>
      <c r="AF420" s="438" t="s">
        <v>294</v>
      </c>
      <c r="AG420" s="708"/>
    </row>
    <row r="421" s="570" customFormat="1" ht="24.95" customHeight="1" spans="1:33">
      <c r="A421" s="705"/>
      <c r="B421" s="714" t="s">
        <v>84</v>
      </c>
      <c r="C421" s="146" t="s">
        <v>320</v>
      </c>
      <c r="D421" s="152" t="s">
        <v>147</v>
      </c>
      <c r="E421" s="92">
        <v>3</v>
      </c>
      <c r="F421" s="92" t="s">
        <v>84</v>
      </c>
      <c r="G421" s="92"/>
      <c r="H421" s="724">
        <v>132</v>
      </c>
      <c r="I421" s="724">
        <v>44</v>
      </c>
      <c r="J421" s="724">
        <v>44</v>
      </c>
      <c r="K421" s="724">
        <v>44</v>
      </c>
      <c r="L421" s="724">
        <v>2018.01</v>
      </c>
      <c r="M421" s="724">
        <v>2020.12</v>
      </c>
      <c r="N421" s="724">
        <v>0</v>
      </c>
      <c r="O421" s="724">
        <v>0</v>
      </c>
      <c r="P421" s="724">
        <v>0</v>
      </c>
      <c r="Q421" s="724">
        <v>0</v>
      </c>
      <c r="R421" s="724">
        <v>0</v>
      </c>
      <c r="S421" s="724">
        <v>0</v>
      </c>
      <c r="T421" s="724">
        <v>0</v>
      </c>
      <c r="U421" s="724">
        <v>0</v>
      </c>
      <c r="V421" s="724">
        <v>0</v>
      </c>
      <c r="W421" s="92">
        <v>0</v>
      </c>
      <c r="X421" s="92" t="s">
        <v>293</v>
      </c>
      <c r="Y421" s="738">
        <v>132</v>
      </c>
      <c r="Z421" s="738">
        <v>132</v>
      </c>
      <c r="AA421" s="738">
        <v>3</v>
      </c>
      <c r="AB421" s="708"/>
      <c r="AC421" s="708"/>
      <c r="AD421" s="146" t="s">
        <v>185</v>
      </c>
      <c r="AE421" s="146" t="s">
        <v>314</v>
      </c>
      <c r="AF421" s="438" t="s">
        <v>294</v>
      </c>
      <c r="AG421" s="708"/>
    </row>
    <row r="422" s="570" customFormat="1" ht="24.95" customHeight="1" spans="1:33">
      <c r="A422" s="705"/>
      <c r="B422" s="714" t="s">
        <v>259</v>
      </c>
      <c r="C422" s="146" t="s">
        <v>320</v>
      </c>
      <c r="D422" s="152" t="s">
        <v>147</v>
      </c>
      <c r="E422" s="92">
        <v>3</v>
      </c>
      <c r="F422" s="92" t="s">
        <v>259</v>
      </c>
      <c r="G422" s="92"/>
      <c r="H422" s="724">
        <v>39</v>
      </c>
      <c r="I422" s="724">
        <v>13</v>
      </c>
      <c r="J422" s="724">
        <v>13</v>
      </c>
      <c r="K422" s="724">
        <v>13</v>
      </c>
      <c r="L422" s="724">
        <v>2018.01</v>
      </c>
      <c r="M422" s="724">
        <v>2020.12</v>
      </c>
      <c r="N422" s="724">
        <v>0</v>
      </c>
      <c r="O422" s="724">
        <v>0</v>
      </c>
      <c r="P422" s="724">
        <v>0</v>
      </c>
      <c r="Q422" s="724">
        <v>0</v>
      </c>
      <c r="R422" s="724">
        <v>0</v>
      </c>
      <c r="S422" s="724">
        <v>0</v>
      </c>
      <c r="T422" s="724">
        <v>0</v>
      </c>
      <c r="U422" s="724">
        <v>0</v>
      </c>
      <c r="V422" s="724">
        <v>0</v>
      </c>
      <c r="W422" s="92">
        <v>0</v>
      </c>
      <c r="X422" s="92" t="s">
        <v>293</v>
      </c>
      <c r="Y422" s="738">
        <v>39</v>
      </c>
      <c r="Z422" s="738">
        <v>39</v>
      </c>
      <c r="AA422" s="738">
        <v>3</v>
      </c>
      <c r="AB422" s="708"/>
      <c r="AC422" s="708"/>
      <c r="AD422" s="146" t="s">
        <v>315</v>
      </c>
      <c r="AE422" s="146" t="s">
        <v>316</v>
      </c>
      <c r="AF422" s="438" t="s">
        <v>294</v>
      </c>
      <c r="AG422" s="708"/>
    </row>
    <row r="423" s="570" customFormat="1" ht="24.95" customHeight="1" spans="1:33">
      <c r="A423" s="705"/>
      <c r="B423" s="714" t="s">
        <v>143</v>
      </c>
      <c r="C423" s="146" t="s">
        <v>320</v>
      </c>
      <c r="D423" s="152" t="s">
        <v>147</v>
      </c>
      <c r="E423" s="92">
        <v>3</v>
      </c>
      <c r="F423" s="92" t="s">
        <v>143</v>
      </c>
      <c r="G423" s="92"/>
      <c r="H423" s="724">
        <v>432</v>
      </c>
      <c r="I423" s="724">
        <v>144</v>
      </c>
      <c r="J423" s="724">
        <v>144</v>
      </c>
      <c r="K423" s="724">
        <v>144</v>
      </c>
      <c r="L423" s="724">
        <v>2018.01</v>
      </c>
      <c r="M423" s="724">
        <v>2020.12</v>
      </c>
      <c r="N423" s="724">
        <v>0</v>
      </c>
      <c r="O423" s="724">
        <v>0</v>
      </c>
      <c r="P423" s="724">
        <v>0</v>
      </c>
      <c r="Q423" s="724">
        <v>0</v>
      </c>
      <c r="R423" s="724">
        <v>0</v>
      </c>
      <c r="S423" s="724">
        <v>0</v>
      </c>
      <c r="T423" s="724">
        <v>0</v>
      </c>
      <c r="U423" s="724">
        <v>0</v>
      </c>
      <c r="V423" s="724">
        <v>0</v>
      </c>
      <c r="W423" s="92">
        <v>0</v>
      </c>
      <c r="X423" s="92" t="s">
        <v>293</v>
      </c>
      <c r="Y423" s="738">
        <v>123</v>
      </c>
      <c r="Z423" s="738">
        <v>123</v>
      </c>
      <c r="AA423" s="738">
        <v>3</v>
      </c>
      <c r="AB423" s="708"/>
      <c r="AC423" s="708"/>
      <c r="AD423" s="146" t="s">
        <v>317</v>
      </c>
      <c r="AE423" s="146" t="s">
        <v>318</v>
      </c>
      <c r="AF423" s="438" t="s">
        <v>294</v>
      </c>
      <c r="AG423" s="708"/>
    </row>
    <row r="424" s="570" customFormat="1" ht="30.95" customHeight="1" spans="1:33">
      <c r="A424" s="705">
        <v>55</v>
      </c>
      <c r="B424" s="750" t="s">
        <v>323</v>
      </c>
      <c r="C424" s="146" t="s">
        <v>320</v>
      </c>
      <c r="D424" s="152" t="s">
        <v>147</v>
      </c>
      <c r="E424" s="92">
        <v>36</v>
      </c>
      <c r="F424" s="92">
        <v>0</v>
      </c>
      <c r="G424" s="92"/>
      <c r="H424" s="724">
        <v>8451</v>
      </c>
      <c r="I424" s="724">
        <v>2817</v>
      </c>
      <c r="J424" s="724">
        <v>2817</v>
      </c>
      <c r="K424" s="724">
        <v>2817</v>
      </c>
      <c r="L424" s="724">
        <v>0</v>
      </c>
      <c r="M424" s="724">
        <v>0</v>
      </c>
      <c r="N424" s="724">
        <v>0</v>
      </c>
      <c r="O424" s="724">
        <v>0</v>
      </c>
      <c r="P424" s="724">
        <v>0</v>
      </c>
      <c r="Q424" s="724">
        <v>0</v>
      </c>
      <c r="R424" s="724">
        <v>0</v>
      </c>
      <c r="S424" s="724">
        <v>0</v>
      </c>
      <c r="T424" s="724">
        <v>0</v>
      </c>
      <c r="U424" s="724">
        <v>0</v>
      </c>
      <c r="V424" s="724">
        <v>0</v>
      </c>
      <c r="W424" s="92">
        <v>0</v>
      </c>
      <c r="X424" s="92" t="s">
        <v>293</v>
      </c>
      <c r="Y424" s="738">
        <v>6762</v>
      </c>
      <c r="Z424" s="738">
        <v>13581</v>
      </c>
      <c r="AA424" s="738">
        <v>36</v>
      </c>
      <c r="AB424" s="708"/>
      <c r="AC424" s="708"/>
      <c r="AD424" s="146" t="s">
        <v>296</v>
      </c>
      <c r="AE424" s="146" t="s">
        <v>297</v>
      </c>
      <c r="AF424" s="438" t="s">
        <v>294</v>
      </c>
      <c r="AG424" s="708" t="s">
        <v>41</v>
      </c>
    </row>
    <row r="425" s="570" customFormat="1" ht="30.95" customHeight="1" spans="1:33">
      <c r="A425" s="705"/>
      <c r="B425" s="714" t="s">
        <v>101</v>
      </c>
      <c r="C425" s="146" t="s">
        <v>320</v>
      </c>
      <c r="D425" s="152" t="s">
        <v>147</v>
      </c>
      <c r="E425" s="92">
        <v>3</v>
      </c>
      <c r="F425" s="92" t="s">
        <v>101</v>
      </c>
      <c r="G425" s="92"/>
      <c r="H425" s="724">
        <v>483</v>
      </c>
      <c r="I425" s="724">
        <v>161</v>
      </c>
      <c r="J425" s="724">
        <v>161</v>
      </c>
      <c r="K425" s="724">
        <v>161</v>
      </c>
      <c r="L425" s="724">
        <v>2018.01</v>
      </c>
      <c r="M425" s="724">
        <v>2020.12</v>
      </c>
      <c r="N425" s="724">
        <v>0</v>
      </c>
      <c r="O425" s="724">
        <v>0</v>
      </c>
      <c r="P425" s="724">
        <v>0</v>
      </c>
      <c r="Q425" s="724">
        <v>0</v>
      </c>
      <c r="R425" s="724">
        <v>0</v>
      </c>
      <c r="S425" s="724">
        <v>0</v>
      </c>
      <c r="T425" s="724">
        <v>0</v>
      </c>
      <c r="U425" s="724">
        <v>0</v>
      </c>
      <c r="V425" s="724">
        <v>0</v>
      </c>
      <c r="W425" s="92">
        <v>0</v>
      </c>
      <c r="X425" s="92" t="s">
        <v>293</v>
      </c>
      <c r="Y425" s="738">
        <v>435</v>
      </c>
      <c r="Z425" s="738">
        <v>1815</v>
      </c>
      <c r="AA425" s="738">
        <v>3</v>
      </c>
      <c r="AB425" s="708"/>
      <c r="AC425" s="708"/>
      <c r="AD425" s="146" t="s">
        <v>298</v>
      </c>
      <c r="AE425" s="146" t="s">
        <v>299</v>
      </c>
      <c r="AF425" s="438" t="s">
        <v>294</v>
      </c>
      <c r="AG425" s="708"/>
    </row>
    <row r="426" s="570" customFormat="1" ht="30.95" customHeight="1" spans="1:33">
      <c r="A426" s="705"/>
      <c r="B426" s="714" t="s">
        <v>151</v>
      </c>
      <c r="C426" s="146" t="s">
        <v>320</v>
      </c>
      <c r="D426" s="152" t="s">
        <v>147</v>
      </c>
      <c r="E426" s="92">
        <v>3</v>
      </c>
      <c r="F426" s="92" t="s">
        <v>151</v>
      </c>
      <c r="G426" s="92"/>
      <c r="H426" s="724">
        <v>255</v>
      </c>
      <c r="I426" s="724">
        <v>85</v>
      </c>
      <c r="J426" s="724">
        <v>85</v>
      </c>
      <c r="K426" s="724">
        <v>85</v>
      </c>
      <c r="L426" s="724">
        <v>2018.01</v>
      </c>
      <c r="M426" s="724">
        <v>2020.12</v>
      </c>
      <c r="N426" s="724">
        <v>0</v>
      </c>
      <c r="O426" s="724">
        <v>0</v>
      </c>
      <c r="P426" s="724">
        <v>0</v>
      </c>
      <c r="Q426" s="724">
        <v>0</v>
      </c>
      <c r="R426" s="724">
        <v>0</v>
      </c>
      <c r="S426" s="724">
        <v>0</v>
      </c>
      <c r="T426" s="724">
        <v>0</v>
      </c>
      <c r="U426" s="724">
        <v>0</v>
      </c>
      <c r="V426" s="724">
        <v>0</v>
      </c>
      <c r="W426" s="92">
        <v>0</v>
      </c>
      <c r="X426" s="92" t="s">
        <v>293</v>
      </c>
      <c r="Y426" s="738">
        <v>252</v>
      </c>
      <c r="Z426" s="738">
        <v>255</v>
      </c>
      <c r="AA426" s="738">
        <v>3</v>
      </c>
      <c r="AB426" s="708"/>
      <c r="AC426" s="708"/>
      <c r="AD426" s="146" t="s">
        <v>300</v>
      </c>
      <c r="AE426" s="146" t="s">
        <v>301</v>
      </c>
      <c r="AF426" s="438" t="s">
        <v>294</v>
      </c>
      <c r="AG426" s="708"/>
    </row>
    <row r="427" s="570" customFormat="1" ht="30.95" customHeight="1" spans="1:33">
      <c r="A427" s="705"/>
      <c r="B427" s="714" t="s">
        <v>154</v>
      </c>
      <c r="C427" s="146" t="s">
        <v>320</v>
      </c>
      <c r="D427" s="152" t="s">
        <v>147</v>
      </c>
      <c r="E427" s="92">
        <v>3</v>
      </c>
      <c r="F427" s="92" t="s">
        <v>154</v>
      </c>
      <c r="G427" s="92"/>
      <c r="H427" s="724">
        <v>948</v>
      </c>
      <c r="I427" s="724">
        <v>316</v>
      </c>
      <c r="J427" s="724">
        <v>316</v>
      </c>
      <c r="K427" s="724">
        <v>316</v>
      </c>
      <c r="L427" s="724">
        <v>2018.01</v>
      </c>
      <c r="M427" s="724">
        <v>2020.12</v>
      </c>
      <c r="N427" s="724">
        <v>0</v>
      </c>
      <c r="O427" s="724">
        <v>0</v>
      </c>
      <c r="P427" s="724">
        <v>0</v>
      </c>
      <c r="Q427" s="724">
        <v>0</v>
      </c>
      <c r="R427" s="724">
        <v>0</v>
      </c>
      <c r="S427" s="724">
        <v>0</v>
      </c>
      <c r="T427" s="724">
        <v>0</v>
      </c>
      <c r="U427" s="724">
        <v>0</v>
      </c>
      <c r="V427" s="724">
        <v>0</v>
      </c>
      <c r="W427" s="92">
        <v>0</v>
      </c>
      <c r="X427" s="92" t="s">
        <v>293</v>
      </c>
      <c r="Y427" s="738">
        <v>774</v>
      </c>
      <c r="Z427" s="738">
        <v>948</v>
      </c>
      <c r="AA427" s="738">
        <v>3</v>
      </c>
      <c r="AB427" s="708"/>
      <c r="AC427" s="708"/>
      <c r="AD427" s="146" t="s">
        <v>247</v>
      </c>
      <c r="AE427" s="146" t="s">
        <v>302</v>
      </c>
      <c r="AF427" s="438" t="s">
        <v>294</v>
      </c>
      <c r="AG427" s="708"/>
    </row>
    <row r="428" s="570" customFormat="1" ht="30.95" customHeight="1" spans="1:33">
      <c r="A428" s="705"/>
      <c r="B428" s="714" t="s">
        <v>81</v>
      </c>
      <c r="C428" s="146" t="s">
        <v>320</v>
      </c>
      <c r="D428" s="152" t="s">
        <v>147</v>
      </c>
      <c r="E428" s="92">
        <v>3</v>
      </c>
      <c r="F428" s="92" t="s">
        <v>81</v>
      </c>
      <c r="G428" s="92"/>
      <c r="H428" s="724">
        <v>528</v>
      </c>
      <c r="I428" s="724">
        <v>176</v>
      </c>
      <c r="J428" s="724">
        <v>176</v>
      </c>
      <c r="K428" s="724">
        <v>176</v>
      </c>
      <c r="L428" s="724">
        <v>2018.01</v>
      </c>
      <c r="M428" s="724">
        <v>2020.12</v>
      </c>
      <c r="N428" s="724">
        <v>0</v>
      </c>
      <c r="O428" s="724">
        <v>0</v>
      </c>
      <c r="P428" s="724">
        <v>0</v>
      </c>
      <c r="Q428" s="724">
        <v>0</v>
      </c>
      <c r="R428" s="724">
        <v>0</v>
      </c>
      <c r="S428" s="724">
        <v>0</v>
      </c>
      <c r="T428" s="724">
        <v>0</v>
      </c>
      <c r="U428" s="724">
        <v>0</v>
      </c>
      <c r="V428" s="724">
        <v>0</v>
      </c>
      <c r="W428" s="92">
        <v>0</v>
      </c>
      <c r="X428" s="92" t="s">
        <v>293</v>
      </c>
      <c r="Y428" s="738">
        <v>471</v>
      </c>
      <c r="Z428" s="738">
        <v>528</v>
      </c>
      <c r="AA428" s="738">
        <v>3</v>
      </c>
      <c r="AB428" s="708"/>
      <c r="AC428" s="708"/>
      <c r="AD428" s="146" t="s">
        <v>303</v>
      </c>
      <c r="AE428" s="146" t="s">
        <v>304</v>
      </c>
      <c r="AF428" s="438" t="s">
        <v>294</v>
      </c>
      <c r="AG428" s="708"/>
    </row>
    <row r="429" s="570" customFormat="1" ht="30.95" customHeight="1" spans="1:33">
      <c r="A429" s="705"/>
      <c r="B429" s="714" t="s">
        <v>98</v>
      </c>
      <c r="C429" s="146" t="s">
        <v>320</v>
      </c>
      <c r="D429" s="152" t="s">
        <v>147</v>
      </c>
      <c r="E429" s="92">
        <v>3</v>
      </c>
      <c r="F429" s="92" t="s">
        <v>98</v>
      </c>
      <c r="G429" s="92"/>
      <c r="H429" s="724">
        <v>1470</v>
      </c>
      <c r="I429" s="724">
        <v>490</v>
      </c>
      <c r="J429" s="724">
        <v>490</v>
      </c>
      <c r="K429" s="724">
        <v>490</v>
      </c>
      <c r="L429" s="724">
        <v>2018.01</v>
      </c>
      <c r="M429" s="724">
        <v>2020.12</v>
      </c>
      <c r="N429" s="724">
        <v>0</v>
      </c>
      <c r="O429" s="724">
        <v>0</v>
      </c>
      <c r="P429" s="724">
        <v>0</v>
      </c>
      <c r="Q429" s="724">
        <v>0</v>
      </c>
      <c r="R429" s="724">
        <v>0</v>
      </c>
      <c r="S429" s="724">
        <v>0</v>
      </c>
      <c r="T429" s="724">
        <v>0</v>
      </c>
      <c r="U429" s="724">
        <v>0</v>
      </c>
      <c r="V429" s="724">
        <v>0</v>
      </c>
      <c r="W429" s="92">
        <v>0</v>
      </c>
      <c r="X429" s="92" t="s">
        <v>293</v>
      </c>
      <c r="Y429" s="738">
        <v>1266</v>
      </c>
      <c r="Z429" s="738">
        <v>5760</v>
      </c>
      <c r="AA429" s="738">
        <v>3</v>
      </c>
      <c r="AB429" s="708"/>
      <c r="AC429" s="708"/>
      <c r="AD429" s="146" t="s">
        <v>305</v>
      </c>
      <c r="AE429" s="146" t="s">
        <v>306</v>
      </c>
      <c r="AF429" s="438" t="s">
        <v>294</v>
      </c>
      <c r="AG429" s="708"/>
    </row>
    <row r="430" s="570" customFormat="1" ht="30.95" customHeight="1" spans="1:33">
      <c r="A430" s="705"/>
      <c r="B430" s="714" t="s">
        <v>211</v>
      </c>
      <c r="C430" s="146" t="s">
        <v>320</v>
      </c>
      <c r="D430" s="152" t="s">
        <v>147</v>
      </c>
      <c r="E430" s="92">
        <v>3</v>
      </c>
      <c r="F430" s="92" t="s">
        <v>211</v>
      </c>
      <c r="G430" s="92"/>
      <c r="H430" s="724">
        <v>1035</v>
      </c>
      <c r="I430" s="724">
        <v>345</v>
      </c>
      <c r="J430" s="724">
        <v>345</v>
      </c>
      <c r="K430" s="724">
        <v>345</v>
      </c>
      <c r="L430" s="724">
        <v>2018.01</v>
      </c>
      <c r="M430" s="724">
        <v>2020.12</v>
      </c>
      <c r="N430" s="724">
        <v>0</v>
      </c>
      <c r="O430" s="724">
        <v>0</v>
      </c>
      <c r="P430" s="724">
        <v>0</v>
      </c>
      <c r="Q430" s="724">
        <v>0</v>
      </c>
      <c r="R430" s="724">
        <v>0</v>
      </c>
      <c r="S430" s="724">
        <v>0</v>
      </c>
      <c r="T430" s="724">
        <v>0</v>
      </c>
      <c r="U430" s="724">
        <v>0</v>
      </c>
      <c r="V430" s="724">
        <v>0</v>
      </c>
      <c r="W430" s="92">
        <v>0</v>
      </c>
      <c r="X430" s="92" t="s">
        <v>293</v>
      </c>
      <c r="Y430" s="738">
        <v>795</v>
      </c>
      <c r="Z430" s="738">
        <v>1035</v>
      </c>
      <c r="AA430" s="738">
        <v>3</v>
      </c>
      <c r="AB430" s="708"/>
      <c r="AC430" s="708"/>
      <c r="AD430" s="146" t="s">
        <v>307</v>
      </c>
      <c r="AE430" s="146" t="s">
        <v>308</v>
      </c>
      <c r="AF430" s="438" t="s">
        <v>294</v>
      </c>
      <c r="AG430" s="708"/>
    </row>
    <row r="431" s="570" customFormat="1" ht="30.95" customHeight="1" spans="1:33">
      <c r="A431" s="705"/>
      <c r="B431" s="714" t="s">
        <v>155</v>
      </c>
      <c r="C431" s="146" t="s">
        <v>320</v>
      </c>
      <c r="D431" s="152" t="s">
        <v>147</v>
      </c>
      <c r="E431" s="92">
        <v>3</v>
      </c>
      <c r="F431" s="92" t="s">
        <v>155</v>
      </c>
      <c r="G431" s="92"/>
      <c r="H431" s="724">
        <v>348</v>
      </c>
      <c r="I431" s="724">
        <v>116</v>
      </c>
      <c r="J431" s="724">
        <v>116</v>
      </c>
      <c r="K431" s="724">
        <v>116</v>
      </c>
      <c r="L431" s="724">
        <v>2018.01</v>
      </c>
      <c r="M431" s="724">
        <v>2020.12</v>
      </c>
      <c r="N431" s="724">
        <v>0</v>
      </c>
      <c r="O431" s="724">
        <v>0</v>
      </c>
      <c r="P431" s="724">
        <v>0</v>
      </c>
      <c r="Q431" s="724">
        <v>0</v>
      </c>
      <c r="R431" s="724">
        <v>0</v>
      </c>
      <c r="S431" s="724">
        <v>0</v>
      </c>
      <c r="T431" s="724">
        <v>0</v>
      </c>
      <c r="U431" s="724">
        <v>0</v>
      </c>
      <c r="V431" s="724">
        <v>0</v>
      </c>
      <c r="W431" s="92">
        <v>0</v>
      </c>
      <c r="X431" s="92" t="s">
        <v>293</v>
      </c>
      <c r="Y431" s="738">
        <v>279</v>
      </c>
      <c r="Z431" s="738">
        <v>348</v>
      </c>
      <c r="AA431" s="738">
        <v>3</v>
      </c>
      <c r="AB431" s="708"/>
      <c r="AC431" s="708"/>
      <c r="AD431" s="146" t="s">
        <v>309</v>
      </c>
      <c r="AE431" s="146" t="s">
        <v>310</v>
      </c>
      <c r="AF431" s="438" t="s">
        <v>294</v>
      </c>
      <c r="AG431" s="708"/>
    </row>
    <row r="432" s="570" customFormat="1" ht="30.95" customHeight="1" spans="1:33">
      <c r="A432" s="705"/>
      <c r="B432" s="714" t="s">
        <v>102</v>
      </c>
      <c r="C432" s="146" t="s">
        <v>320</v>
      </c>
      <c r="D432" s="152" t="s">
        <v>147</v>
      </c>
      <c r="E432" s="92">
        <v>3</v>
      </c>
      <c r="F432" s="92" t="s">
        <v>102</v>
      </c>
      <c r="G432" s="92"/>
      <c r="H432" s="724">
        <v>1107</v>
      </c>
      <c r="I432" s="724">
        <v>369</v>
      </c>
      <c r="J432" s="724">
        <v>369</v>
      </c>
      <c r="K432" s="724">
        <v>369</v>
      </c>
      <c r="L432" s="724">
        <v>2018.01</v>
      </c>
      <c r="M432" s="724">
        <v>2020.12</v>
      </c>
      <c r="N432" s="724">
        <v>0</v>
      </c>
      <c r="O432" s="724">
        <v>0</v>
      </c>
      <c r="P432" s="724">
        <v>0</v>
      </c>
      <c r="Q432" s="724">
        <v>0</v>
      </c>
      <c r="R432" s="724">
        <v>0</v>
      </c>
      <c r="S432" s="724">
        <v>0</v>
      </c>
      <c r="T432" s="724">
        <v>0</v>
      </c>
      <c r="U432" s="724">
        <v>0</v>
      </c>
      <c r="V432" s="724">
        <v>0</v>
      </c>
      <c r="W432" s="92">
        <v>0</v>
      </c>
      <c r="X432" s="92" t="s">
        <v>293</v>
      </c>
      <c r="Y432" s="738">
        <v>885</v>
      </c>
      <c r="Z432" s="738">
        <v>1107</v>
      </c>
      <c r="AA432" s="738">
        <v>3</v>
      </c>
      <c r="AB432" s="708"/>
      <c r="AC432" s="708"/>
      <c r="AD432" s="146" t="s">
        <v>215</v>
      </c>
      <c r="AE432" s="146" t="s">
        <v>311</v>
      </c>
      <c r="AF432" s="438" t="s">
        <v>294</v>
      </c>
      <c r="AG432" s="708"/>
    </row>
    <row r="433" s="570" customFormat="1" ht="30.95" customHeight="1" spans="1:33">
      <c r="A433" s="705"/>
      <c r="B433" s="714" t="s">
        <v>100</v>
      </c>
      <c r="C433" s="146" t="s">
        <v>320</v>
      </c>
      <c r="D433" s="152" t="s">
        <v>147</v>
      </c>
      <c r="E433" s="92">
        <v>3</v>
      </c>
      <c r="F433" s="92" t="s">
        <v>100</v>
      </c>
      <c r="G433" s="92"/>
      <c r="H433" s="724">
        <v>1149</v>
      </c>
      <c r="I433" s="724">
        <v>383</v>
      </c>
      <c r="J433" s="724">
        <v>383</v>
      </c>
      <c r="K433" s="724">
        <v>383</v>
      </c>
      <c r="L433" s="724">
        <v>2018.01</v>
      </c>
      <c r="M433" s="724">
        <v>2020.12</v>
      </c>
      <c r="N433" s="724">
        <v>0</v>
      </c>
      <c r="O433" s="724">
        <v>0</v>
      </c>
      <c r="P433" s="724">
        <v>0</v>
      </c>
      <c r="Q433" s="724">
        <v>0</v>
      </c>
      <c r="R433" s="724">
        <v>0</v>
      </c>
      <c r="S433" s="724">
        <v>0</v>
      </c>
      <c r="T433" s="724">
        <v>0</v>
      </c>
      <c r="U433" s="724">
        <v>0</v>
      </c>
      <c r="V433" s="724">
        <v>0</v>
      </c>
      <c r="W433" s="92">
        <v>0</v>
      </c>
      <c r="X433" s="92" t="s">
        <v>293</v>
      </c>
      <c r="Y433" s="738">
        <v>987</v>
      </c>
      <c r="Z433" s="738">
        <v>1149</v>
      </c>
      <c r="AA433" s="738">
        <v>3</v>
      </c>
      <c r="AB433" s="708"/>
      <c r="AC433" s="708"/>
      <c r="AD433" s="146" t="s">
        <v>312</v>
      </c>
      <c r="AE433" s="146" t="s">
        <v>313</v>
      </c>
      <c r="AF433" s="438" t="s">
        <v>294</v>
      </c>
      <c r="AG433" s="708"/>
    </row>
    <row r="434" s="570" customFormat="1" ht="30.95" customHeight="1" spans="1:33">
      <c r="A434" s="705"/>
      <c r="B434" s="714" t="s">
        <v>84</v>
      </c>
      <c r="C434" s="146" t="s">
        <v>320</v>
      </c>
      <c r="D434" s="152" t="s">
        <v>147</v>
      </c>
      <c r="E434" s="92">
        <v>3</v>
      </c>
      <c r="F434" s="92" t="s">
        <v>84</v>
      </c>
      <c r="G434" s="92"/>
      <c r="H434" s="724">
        <v>324</v>
      </c>
      <c r="I434" s="724">
        <v>108</v>
      </c>
      <c r="J434" s="724">
        <v>108</v>
      </c>
      <c r="K434" s="724">
        <v>108</v>
      </c>
      <c r="L434" s="724">
        <v>2018.01</v>
      </c>
      <c r="M434" s="724">
        <v>2020.12</v>
      </c>
      <c r="N434" s="724">
        <v>0</v>
      </c>
      <c r="O434" s="724">
        <v>0</v>
      </c>
      <c r="P434" s="724">
        <v>0</v>
      </c>
      <c r="Q434" s="724">
        <v>0</v>
      </c>
      <c r="R434" s="724">
        <v>0</v>
      </c>
      <c r="S434" s="724">
        <v>0</v>
      </c>
      <c r="T434" s="724">
        <v>0</v>
      </c>
      <c r="U434" s="724">
        <v>0</v>
      </c>
      <c r="V434" s="724">
        <v>0</v>
      </c>
      <c r="W434" s="92">
        <v>0</v>
      </c>
      <c r="X434" s="92" t="s">
        <v>293</v>
      </c>
      <c r="Y434" s="738">
        <v>324</v>
      </c>
      <c r="Z434" s="738">
        <v>324</v>
      </c>
      <c r="AA434" s="738">
        <v>3</v>
      </c>
      <c r="AB434" s="708"/>
      <c r="AC434" s="708"/>
      <c r="AD434" s="146" t="s">
        <v>185</v>
      </c>
      <c r="AE434" s="146" t="s">
        <v>314</v>
      </c>
      <c r="AF434" s="438" t="s">
        <v>294</v>
      </c>
      <c r="AG434" s="708"/>
    </row>
    <row r="435" s="570" customFormat="1" ht="30.95" customHeight="1" spans="1:33">
      <c r="A435" s="705"/>
      <c r="B435" s="714" t="s">
        <v>259</v>
      </c>
      <c r="C435" s="146" t="s">
        <v>320</v>
      </c>
      <c r="D435" s="152" t="s">
        <v>147</v>
      </c>
      <c r="E435" s="92">
        <v>3</v>
      </c>
      <c r="F435" s="92" t="s">
        <v>259</v>
      </c>
      <c r="G435" s="92"/>
      <c r="H435" s="724">
        <v>111</v>
      </c>
      <c r="I435" s="724">
        <v>37</v>
      </c>
      <c r="J435" s="724">
        <v>37</v>
      </c>
      <c r="K435" s="724">
        <v>37</v>
      </c>
      <c r="L435" s="724">
        <v>2018.01</v>
      </c>
      <c r="M435" s="724">
        <v>2020.12</v>
      </c>
      <c r="N435" s="724">
        <v>0</v>
      </c>
      <c r="O435" s="724">
        <v>0</v>
      </c>
      <c r="P435" s="724">
        <v>0</v>
      </c>
      <c r="Q435" s="724">
        <v>0</v>
      </c>
      <c r="R435" s="724">
        <v>0</v>
      </c>
      <c r="S435" s="724">
        <v>0</v>
      </c>
      <c r="T435" s="724">
        <v>0</v>
      </c>
      <c r="U435" s="724">
        <v>0</v>
      </c>
      <c r="V435" s="724">
        <v>0</v>
      </c>
      <c r="W435" s="92">
        <v>0</v>
      </c>
      <c r="X435" s="92" t="s">
        <v>293</v>
      </c>
      <c r="Y435" s="738">
        <v>93</v>
      </c>
      <c r="Z435" s="738">
        <v>111</v>
      </c>
      <c r="AA435" s="738">
        <v>3</v>
      </c>
      <c r="AB435" s="708"/>
      <c r="AC435" s="708"/>
      <c r="AD435" s="146" t="s">
        <v>315</v>
      </c>
      <c r="AE435" s="146" t="s">
        <v>316</v>
      </c>
      <c r="AF435" s="438" t="s">
        <v>294</v>
      </c>
      <c r="AG435" s="708"/>
    </row>
    <row r="436" s="570" customFormat="1" ht="30.95" customHeight="1" spans="1:33">
      <c r="A436" s="705"/>
      <c r="B436" s="714" t="s">
        <v>143</v>
      </c>
      <c r="C436" s="146" t="s">
        <v>320</v>
      </c>
      <c r="D436" s="152" t="s">
        <v>147</v>
      </c>
      <c r="E436" s="92">
        <v>3</v>
      </c>
      <c r="F436" s="92" t="s">
        <v>143</v>
      </c>
      <c r="G436" s="92"/>
      <c r="H436" s="724">
        <v>693</v>
      </c>
      <c r="I436" s="724">
        <v>231</v>
      </c>
      <c r="J436" s="724">
        <v>231</v>
      </c>
      <c r="K436" s="724">
        <v>231</v>
      </c>
      <c r="L436" s="724">
        <v>2018.01</v>
      </c>
      <c r="M436" s="724">
        <v>2020.12</v>
      </c>
      <c r="N436" s="724">
        <v>0</v>
      </c>
      <c r="O436" s="724">
        <v>0</v>
      </c>
      <c r="P436" s="724">
        <v>0</v>
      </c>
      <c r="Q436" s="724">
        <v>0</v>
      </c>
      <c r="R436" s="724">
        <v>0</v>
      </c>
      <c r="S436" s="724">
        <v>0</v>
      </c>
      <c r="T436" s="724">
        <v>0</v>
      </c>
      <c r="U436" s="724">
        <v>0</v>
      </c>
      <c r="V436" s="724">
        <v>0</v>
      </c>
      <c r="W436" s="92">
        <v>0</v>
      </c>
      <c r="X436" s="92" t="s">
        <v>293</v>
      </c>
      <c r="Y436" s="738">
        <v>201</v>
      </c>
      <c r="Z436" s="738">
        <v>201</v>
      </c>
      <c r="AA436" s="738">
        <v>3</v>
      </c>
      <c r="AB436" s="708"/>
      <c r="AC436" s="708"/>
      <c r="AD436" s="146" t="s">
        <v>317</v>
      </c>
      <c r="AE436" s="146" t="s">
        <v>318</v>
      </c>
      <c r="AF436" s="438" t="s">
        <v>294</v>
      </c>
      <c r="AG436" s="708"/>
    </row>
    <row r="437" s="570" customFormat="1" ht="24.95" customHeight="1" spans="1:33">
      <c r="A437" s="705" t="s">
        <v>48</v>
      </c>
      <c r="B437" s="750" t="s">
        <v>324</v>
      </c>
      <c r="C437" s="146" t="s">
        <v>320</v>
      </c>
      <c r="D437" s="152" t="s">
        <v>147</v>
      </c>
      <c r="E437" s="92">
        <v>27</v>
      </c>
      <c r="F437" s="92">
        <v>0</v>
      </c>
      <c r="G437" s="92"/>
      <c r="H437" s="724">
        <v>143136</v>
      </c>
      <c r="I437" s="724">
        <v>47712</v>
      </c>
      <c r="J437" s="724">
        <v>47712</v>
      </c>
      <c r="K437" s="724">
        <v>47712</v>
      </c>
      <c r="L437" s="724">
        <v>0</v>
      </c>
      <c r="M437" s="724">
        <v>0</v>
      </c>
      <c r="N437" s="724">
        <v>0</v>
      </c>
      <c r="O437" s="724">
        <v>0</v>
      </c>
      <c r="P437" s="724">
        <v>0</v>
      </c>
      <c r="Q437" s="724">
        <v>0</v>
      </c>
      <c r="R437" s="724">
        <v>0</v>
      </c>
      <c r="S437" s="724">
        <v>0</v>
      </c>
      <c r="T437" s="724">
        <v>0</v>
      </c>
      <c r="U437" s="724">
        <v>0</v>
      </c>
      <c r="V437" s="724">
        <v>0</v>
      </c>
      <c r="W437" s="92">
        <v>0</v>
      </c>
      <c r="X437" s="92" t="s">
        <v>293</v>
      </c>
      <c r="Y437" s="738">
        <v>49809</v>
      </c>
      <c r="Z437" s="738">
        <v>152130</v>
      </c>
      <c r="AA437" s="738">
        <v>27</v>
      </c>
      <c r="AB437" s="708"/>
      <c r="AC437" s="708"/>
      <c r="AD437" s="146" t="s">
        <v>296</v>
      </c>
      <c r="AE437" s="146" t="s">
        <v>297</v>
      </c>
      <c r="AF437" s="438" t="s">
        <v>294</v>
      </c>
      <c r="AG437" s="708" t="s">
        <v>41</v>
      </c>
    </row>
    <row r="438" s="570" customFormat="1" ht="24.95" customHeight="1" spans="1:33">
      <c r="A438" s="705">
        <v>56</v>
      </c>
      <c r="B438" s="714" t="s">
        <v>101</v>
      </c>
      <c r="C438" s="146" t="s">
        <v>320</v>
      </c>
      <c r="D438" s="152" t="s">
        <v>147</v>
      </c>
      <c r="E438" s="92">
        <v>3</v>
      </c>
      <c r="F438" s="92" t="s">
        <v>101</v>
      </c>
      <c r="G438" s="92"/>
      <c r="H438" s="724">
        <v>5535</v>
      </c>
      <c r="I438" s="724">
        <v>1845</v>
      </c>
      <c r="J438" s="724">
        <v>1845</v>
      </c>
      <c r="K438" s="724">
        <v>1845</v>
      </c>
      <c r="L438" s="724">
        <v>2018.01</v>
      </c>
      <c r="M438" s="724">
        <v>2020.12</v>
      </c>
      <c r="N438" s="724">
        <v>0</v>
      </c>
      <c r="O438" s="724">
        <v>0</v>
      </c>
      <c r="P438" s="724">
        <v>0</v>
      </c>
      <c r="Q438" s="724">
        <v>0</v>
      </c>
      <c r="R438" s="724">
        <v>0</v>
      </c>
      <c r="S438" s="724">
        <v>0</v>
      </c>
      <c r="T438" s="724">
        <v>0</v>
      </c>
      <c r="U438" s="724">
        <v>0</v>
      </c>
      <c r="V438" s="724">
        <v>0</v>
      </c>
      <c r="W438" s="92">
        <v>0</v>
      </c>
      <c r="X438" s="92" t="s">
        <v>293</v>
      </c>
      <c r="Y438" s="738">
        <v>3579</v>
      </c>
      <c r="Z438" s="738">
        <v>14136</v>
      </c>
      <c r="AA438" s="738">
        <v>3</v>
      </c>
      <c r="AB438" s="708"/>
      <c r="AC438" s="708"/>
      <c r="AD438" s="146" t="s">
        <v>298</v>
      </c>
      <c r="AE438" s="146" t="s">
        <v>299</v>
      </c>
      <c r="AF438" s="438" t="s">
        <v>294</v>
      </c>
      <c r="AG438" s="708"/>
    </row>
    <row r="439" s="570" customFormat="1" ht="24.95" customHeight="1" spans="1:33">
      <c r="A439" s="705"/>
      <c r="B439" s="714" t="s">
        <v>81</v>
      </c>
      <c r="C439" s="146" t="s">
        <v>320</v>
      </c>
      <c r="D439" s="152" t="s">
        <v>147</v>
      </c>
      <c r="E439" s="92">
        <v>3</v>
      </c>
      <c r="F439" s="92" t="s">
        <v>81</v>
      </c>
      <c r="G439" s="92"/>
      <c r="H439" s="724">
        <v>5244</v>
      </c>
      <c r="I439" s="724">
        <v>1748</v>
      </c>
      <c r="J439" s="724">
        <v>1748</v>
      </c>
      <c r="K439" s="724">
        <v>1748</v>
      </c>
      <c r="L439" s="724">
        <v>2018.01</v>
      </c>
      <c r="M439" s="724">
        <v>2020.12</v>
      </c>
      <c r="N439" s="724">
        <v>0</v>
      </c>
      <c r="O439" s="724">
        <v>0</v>
      </c>
      <c r="P439" s="724">
        <v>0</v>
      </c>
      <c r="Q439" s="724">
        <v>0</v>
      </c>
      <c r="R439" s="724">
        <v>0</v>
      </c>
      <c r="S439" s="724">
        <v>0</v>
      </c>
      <c r="T439" s="724">
        <v>0</v>
      </c>
      <c r="U439" s="724">
        <v>0</v>
      </c>
      <c r="V439" s="724">
        <v>0</v>
      </c>
      <c r="W439" s="92">
        <v>0</v>
      </c>
      <c r="X439" s="92" t="s">
        <v>293</v>
      </c>
      <c r="Y439" s="738">
        <v>3198</v>
      </c>
      <c r="Z439" s="738">
        <v>5244</v>
      </c>
      <c r="AA439" s="738">
        <v>3</v>
      </c>
      <c r="AB439" s="708"/>
      <c r="AC439" s="708"/>
      <c r="AD439" s="146" t="s">
        <v>303</v>
      </c>
      <c r="AE439" s="146" t="s">
        <v>304</v>
      </c>
      <c r="AF439" s="438" t="s">
        <v>294</v>
      </c>
      <c r="AG439" s="708"/>
    </row>
    <row r="440" s="570" customFormat="1" ht="24.95" customHeight="1" spans="1:33">
      <c r="A440" s="705"/>
      <c r="B440" s="714" t="s">
        <v>154</v>
      </c>
      <c r="C440" s="146" t="s">
        <v>320</v>
      </c>
      <c r="D440" s="152" t="s">
        <v>147</v>
      </c>
      <c r="E440" s="92">
        <v>3</v>
      </c>
      <c r="F440" s="92" t="s">
        <v>154</v>
      </c>
      <c r="G440" s="92"/>
      <c r="H440" s="724">
        <v>24573</v>
      </c>
      <c r="I440" s="724">
        <v>8191</v>
      </c>
      <c r="J440" s="724">
        <v>8191</v>
      </c>
      <c r="K440" s="724">
        <v>8191</v>
      </c>
      <c r="L440" s="724">
        <v>2018.01</v>
      </c>
      <c r="M440" s="724">
        <v>2020.12</v>
      </c>
      <c r="N440" s="724">
        <v>0</v>
      </c>
      <c r="O440" s="724">
        <v>0</v>
      </c>
      <c r="P440" s="724">
        <v>0</v>
      </c>
      <c r="Q440" s="724">
        <v>0</v>
      </c>
      <c r="R440" s="724">
        <v>0</v>
      </c>
      <c r="S440" s="724">
        <v>0</v>
      </c>
      <c r="T440" s="724">
        <v>0</v>
      </c>
      <c r="U440" s="724">
        <v>0</v>
      </c>
      <c r="V440" s="724">
        <v>0</v>
      </c>
      <c r="W440" s="92">
        <v>0</v>
      </c>
      <c r="X440" s="92" t="s">
        <v>293</v>
      </c>
      <c r="Y440" s="738">
        <v>6933</v>
      </c>
      <c r="Z440" s="738">
        <v>24573</v>
      </c>
      <c r="AA440" s="738">
        <v>3</v>
      </c>
      <c r="AB440" s="708"/>
      <c r="AC440" s="708"/>
      <c r="AD440" s="146" t="s">
        <v>247</v>
      </c>
      <c r="AE440" s="146" t="s">
        <v>302</v>
      </c>
      <c r="AF440" s="438" t="s">
        <v>294</v>
      </c>
      <c r="AG440" s="708"/>
    </row>
    <row r="441" s="570" customFormat="1" ht="24.95" customHeight="1" spans="1:33">
      <c r="A441" s="705"/>
      <c r="B441" s="714" t="s">
        <v>98</v>
      </c>
      <c r="C441" s="146" t="s">
        <v>320</v>
      </c>
      <c r="D441" s="152" t="s">
        <v>147</v>
      </c>
      <c r="E441" s="92">
        <v>3</v>
      </c>
      <c r="F441" s="92" t="s">
        <v>98</v>
      </c>
      <c r="G441" s="92"/>
      <c r="H441" s="724">
        <v>42789</v>
      </c>
      <c r="I441" s="724">
        <v>14263</v>
      </c>
      <c r="J441" s="724">
        <v>14263</v>
      </c>
      <c r="K441" s="724">
        <v>14263</v>
      </c>
      <c r="L441" s="724">
        <v>2018.01</v>
      </c>
      <c r="M441" s="724">
        <v>2020.12</v>
      </c>
      <c r="N441" s="724">
        <v>0</v>
      </c>
      <c r="O441" s="724">
        <v>0</v>
      </c>
      <c r="P441" s="724">
        <v>0</v>
      </c>
      <c r="Q441" s="724">
        <v>0</v>
      </c>
      <c r="R441" s="724">
        <v>0</v>
      </c>
      <c r="S441" s="724">
        <v>0</v>
      </c>
      <c r="T441" s="724">
        <v>0</v>
      </c>
      <c r="U441" s="724">
        <v>0</v>
      </c>
      <c r="V441" s="724">
        <v>0</v>
      </c>
      <c r="W441" s="92">
        <v>0</v>
      </c>
      <c r="X441" s="92" t="s">
        <v>293</v>
      </c>
      <c r="Y441" s="738">
        <v>10137</v>
      </c>
      <c r="Z441" s="738">
        <v>42639</v>
      </c>
      <c r="AA441" s="738">
        <v>3</v>
      </c>
      <c r="AB441" s="708"/>
      <c r="AC441" s="708"/>
      <c r="AD441" s="146" t="s">
        <v>305</v>
      </c>
      <c r="AE441" s="146" t="s">
        <v>306</v>
      </c>
      <c r="AF441" s="438" t="s">
        <v>294</v>
      </c>
      <c r="AG441" s="708"/>
    </row>
    <row r="442" s="570" customFormat="1" ht="24.95" customHeight="1" spans="1:33">
      <c r="A442" s="705"/>
      <c r="B442" s="714" t="s">
        <v>211</v>
      </c>
      <c r="C442" s="146" t="s">
        <v>320</v>
      </c>
      <c r="D442" s="152" t="s">
        <v>147</v>
      </c>
      <c r="E442" s="92">
        <v>3</v>
      </c>
      <c r="F442" s="92" t="s">
        <v>211</v>
      </c>
      <c r="G442" s="92"/>
      <c r="H442" s="724">
        <v>11997</v>
      </c>
      <c r="I442" s="724">
        <v>3999</v>
      </c>
      <c r="J442" s="724">
        <v>3999</v>
      </c>
      <c r="K442" s="724">
        <v>3999</v>
      </c>
      <c r="L442" s="724">
        <v>2018.01</v>
      </c>
      <c r="M442" s="724">
        <v>2020.12</v>
      </c>
      <c r="N442" s="724">
        <v>0</v>
      </c>
      <c r="O442" s="724">
        <v>0</v>
      </c>
      <c r="P442" s="724">
        <v>0</v>
      </c>
      <c r="Q442" s="724">
        <v>0</v>
      </c>
      <c r="R442" s="724">
        <v>0</v>
      </c>
      <c r="S442" s="724">
        <v>0</v>
      </c>
      <c r="T442" s="724">
        <v>0</v>
      </c>
      <c r="U442" s="724">
        <v>0</v>
      </c>
      <c r="V442" s="724">
        <v>0</v>
      </c>
      <c r="W442" s="92">
        <v>0</v>
      </c>
      <c r="X442" s="92" t="s">
        <v>293</v>
      </c>
      <c r="Y442" s="738">
        <v>5049</v>
      </c>
      <c r="Z442" s="738">
        <v>11997</v>
      </c>
      <c r="AA442" s="738">
        <v>3</v>
      </c>
      <c r="AB442" s="708"/>
      <c r="AC442" s="708"/>
      <c r="AD442" s="146" t="s">
        <v>307</v>
      </c>
      <c r="AE442" s="146" t="s">
        <v>308</v>
      </c>
      <c r="AF442" s="438" t="s">
        <v>294</v>
      </c>
      <c r="AG442" s="708"/>
    </row>
    <row r="443" s="570" customFormat="1" ht="24.95" customHeight="1" spans="1:33">
      <c r="A443" s="705"/>
      <c r="B443" s="714" t="s">
        <v>102</v>
      </c>
      <c r="C443" s="146" t="s">
        <v>320</v>
      </c>
      <c r="D443" s="152" t="s">
        <v>147</v>
      </c>
      <c r="E443" s="92">
        <v>3</v>
      </c>
      <c r="F443" s="92" t="s">
        <v>102</v>
      </c>
      <c r="G443" s="92"/>
      <c r="H443" s="724">
        <v>10206</v>
      </c>
      <c r="I443" s="724">
        <v>3402</v>
      </c>
      <c r="J443" s="724">
        <v>3402</v>
      </c>
      <c r="K443" s="724">
        <v>3402</v>
      </c>
      <c r="L443" s="724">
        <v>2018.01</v>
      </c>
      <c r="M443" s="724">
        <v>2020.12</v>
      </c>
      <c r="N443" s="724">
        <v>0</v>
      </c>
      <c r="O443" s="724">
        <v>0</v>
      </c>
      <c r="P443" s="724">
        <v>0</v>
      </c>
      <c r="Q443" s="724">
        <v>0</v>
      </c>
      <c r="R443" s="724">
        <v>0</v>
      </c>
      <c r="S443" s="724">
        <v>0</v>
      </c>
      <c r="T443" s="724">
        <v>0</v>
      </c>
      <c r="U443" s="724">
        <v>0</v>
      </c>
      <c r="V443" s="724">
        <v>0</v>
      </c>
      <c r="W443" s="92">
        <v>0</v>
      </c>
      <c r="X443" s="92" t="s">
        <v>293</v>
      </c>
      <c r="Y443" s="738">
        <v>7575</v>
      </c>
      <c r="Z443" s="738">
        <v>10206</v>
      </c>
      <c r="AA443" s="738">
        <v>3</v>
      </c>
      <c r="AB443" s="708"/>
      <c r="AC443" s="708"/>
      <c r="AD443" s="146" t="s">
        <v>215</v>
      </c>
      <c r="AE443" s="146" t="s">
        <v>311</v>
      </c>
      <c r="AF443" s="438" t="s">
        <v>294</v>
      </c>
      <c r="AG443" s="708"/>
    </row>
    <row r="444" s="570" customFormat="1" ht="24.95" customHeight="1" spans="1:33">
      <c r="A444" s="705"/>
      <c r="B444" s="714" t="s">
        <v>100</v>
      </c>
      <c r="C444" s="146" t="s">
        <v>320</v>
      </c>
      <c r="D444" s="152" t="s">
        <v>147</v>
      </c>
      <c r="E444" s="92">
        <v>3</v>
      </c>
      <c r="F444" s="92" t="s">
        <v>100</v>
      </c>
      <c r="G444" s="92"/>
      <c r="H444" s="724">
        <v>36000</v>
      </c>
      <c r="I444" s="724">
        <v>12000</v>
      </c>
      <c r="J444" s="724">
        <v>12000</v>
      </c>
      <c r="K444" s="724">
        <v>12000</v>
      </c>
      <c r="L444" s="724">
        <v>2018.01</v>
      </c>
      <c r="M444" s="724">
        <v>2020.12</v>
      </c>
      <c r="N444" s="724">
        <v>0</v>
      </c>
      <c r="O444" s="724">
        <v>0</v>
      </c>
      <c r="P444" s="724">
        <v>0</v>
      </c>
      <c r="Q444" s="724">
        <v>0</v>
      </c>
      <c r="R444" s="724">
        <v>0</v>
      </c>
      <c r="S444" s="724">
        <v>0</v>
      </c>
      <c r="T444" s="724">
        <v>0</v>
      </c>
      <c r="U444" s="724">
        <v>0</v>
      </c>
      <c r="V444" s="724">
        <v>0</v>
      </c>
      <c r="W444" s="92">
        <v>0</v>
      </c>
      <c r="X444" s="92" t="s">
        <v>293</v>
      </c>
      <c r="Y444" s="738">
        <v>7788</v>
      </c>
      <c r="Z444" s="738">
        <v>36000</v>
      </c>
      <c r="AA444" s="738">
        <v>3</v>
      </c>
      <c r="AB444" s="708"/>
      <c r="AC444" s="708"/>
      <c r="AD444" s="146" t="s">
        <v>312</v>
      </c>
      <c r="AE444" s="146" t="s">
        <v>313</v>
      </c>
      <c r="AF444" s="438" t="s">
        <v>294</v>
      </c>
      <c r="AG444" s="708"/>
    </row>
    <row r="445" s="570" customFormat="1" ht="24.95" customHeight="1" spans="1:33">
      <c r="A445" s="705"/>
      <c r="B445" s="714" t="s">
        <v>84</v>
      </c>
      <c r="C445" s="146" t="s">
        <v>320</v>
      </c>
      <c r="D445" s="152" t="s">
        <v>147</v>
      </c>
      <c r="E445" s="92">
        <v>3</v>
      </c>
      <c r="F445" s="92" t="s">
        <v>84</v>
      </c>
      <c r="G445" s="92"/>
      <c r="H445" s="724">
        <v>4323</v>
      </c>
      <c r="I445" s="724">
        <v>1441</v>
      </c>
      <c r="J445" s="724">
        <v>1441</v>
      </c>
      <c r="K445" s="724">
        <v>1441</v>
      </c>
      <c r="L445" s="724">
        <v>2018.01</v>
      </c>
      <c r="M445" s="724">
        <v>2020.12</v>
      </c>
      <c r="N445" s="724">
        <v>0</v>
      </c>
      <c r="O445" s="724">
        <v>0</v>
      </c>
      <c r="P445" s="724">
        <v>0</v>
      </c>
      <c r="Q445" s="724">
        <v>0</v>
      </c>
      <c r="R445" s="724">
        <v>0</v>
      </c>
      <c r="S445" s="724">
        <v>0</v>
      </c>
      <c r="T445" s="724">
        <v>0</v>
      </c>
      <c r="U445" s="724">
        <v>0</v>
      </c>
      <c r="V445" s="724">
        <v>0</v>
      </c>
      <c r="W445" s="92">
        <v>0</v>
      </c>
      <c r="X445" s="92" t="s">
        <v>293</v>
      </c>
      <c r="Y445" s="738">
        <v>2865</v>
      </c>
      <c r="Z445" s="738">
        <v>4323</v>
      </c>
      <c r="AA445" s="738">
        <v>3</v>
      </c>
      <c r="AB445" s="708"/>
      <c r="AC445" s="708"/>
      <c r="AD445" s="146" t="s">
        <v>185</v>
      </c>
      <c r="AE445" s="146" t="s">
        <v>314</v>
      </c>
      <c r="AF445" s="438" t="s">
        <v>294</v>
      </c>
      <c r="AG445" s="708"/>
    </row>
    <row r="446" s="570" customFormat="1" ht="24.95" customHeight="1" spans="1:33">
      <c r="A446" s="705"/>
      <c r="B446" s="714" t="s">
        <v>143</v>
      </c>
      <c r="C446" s="146" t="s">
        <v>320</v>
      </c>
      <c r="D446" s="152" t="s">
        <v>147</v>
      </c>
      <c r="E446" s="92">
        <v>3</v>
      </c>
      <c r="F446" s="92" t="s">
        <v>143</v>
      </c>
      <c r="G446" s="92"/>
      <c r="H446" s="724">
        <v>2469</v>
      </c>
      <c r="I446" s="724">
        <v>823</v>
      </c>
      <c r="J446" s="724">
        <v>823</v>
      </c>
      <c r="K446" s="724">
        <v>823</v>
      </c>
      <c r="L446" s="724">
        <v>2018.01</v>
      </c>
      <c r="M446" s="724">
        <v>2020.12</v>
      </c>
      <c r="N446" s="724">
        <v>0</v>
      </c>
      <c r="O446" s="724">
        <v>0</v>
      </c>
      <c r="P446" s="724">
        <v>0</v>
      </c>
      <c r="Q446" s="724">
        <v>0</v>
      </c>
      <c r="R446" s="724">
        <v>0</v>
      </c>
      <c r="S446" s="724">
        <v>0</v>
      </c>
      <c r="T446" s="724">
        <v>0</v>
      </c>
      <c r="U446" s="724">
        <v>0</v>
      </c>
      <c r="V446" s="724">
        <v>0</v>
      </c>
      <c r="W446" s="92">
        <v>0</v>
      </c>
      <c r="X446" s="92" t="s">
        <v>293</v>
      </c>
      <c r="Y446" s="738">
        <v>2685</v>
      </c>
      <c r="Z446" s="738">
        <v>3012</v>
      </c>
      <c r="AA446" s="738">
        <v>3</v>
      </c>
      <c r="AB446" s="708"/>
      <c r="AC446" s="708"/>
      <c r="AD446" s="146" t="s">
        <v>317</v>
      </c>
      <c r="AE446" s="146" t="s">
        <v>318</v>
      </c>
      <c r="AF446" s="438" t="s">
        <v>294</v>
      </c>
      <c r="AG446" s="708"/>
    </row>
    <row r="447" s="570" customFormat="1" ht="32.1" customHeight="1" spans="1:33">
      <c r="A447" s="705">
        <v>57</v>
      </c>
      <c r="B447" s="706" t="s">
        <v>325</v>
      </c>
      <c r="C447" s="706"/>
      <c r="D447" s="707" t="s">
        <v>147</v>
      </c>
      <c r="E447" s="92">
        <v>180</v>
      </c>
      <c r="F447" s="92">
        <v>0</v>
      </c>
      <c r="G447" s="92"/>
      <c r="H447" s="724">
        <v>672741</v>
      </c>
      <c r="I447" s="724">
        <v>224247</v>
      </c>
      <c r="J447" s="724">
        <v>224247</v>
      </c>
      <c r="K447" s="724">
        <v>224247</v>
      </c>
      <c r="L447" s="724">
        <v>0</v>
      </c>
      <c r="M447" s="724">
        <v>0</v>
      </c>
      <c r="N447" s="724">
        <v>291.6</v>
      </c>
      <c r="O447" s="724">
        <v>97.2</v>
      </c>
      <c r="P447" s="724">
        <v>97.2</v>
      </c>
      <c r="Q447" s="724">
        <v>97.2</v>
      </c>
      <c r="R447" s="724">
        <v>291.6</v>
      </c>
      <c r="S447" s="724">
        <v>0</v>
      </c>
      <c r="T447" s="724">
        <v>0</v>
      </c>
      <c r="U447" s="724">
        <v>0</v>
      </c>
      <c r="V447" s="724">
        <v>0</v>
      </c>
      <c r="W447" s="92">
        <v>0</v>
      </c>
      <c r="X447" s="92" t="s">
        <v>326</v>
      </c>
      <c r="Y447" s="738">
        <v>188805</v>
      </c>
      <c r="Z447" s="738">
        <v>794244</v>
      </c>
      <c r="AA447" s="738">
        <v>180</v>
      </c>
      <c r="AB447" s="706"/>
      <c r="AC447" s="706"/>
      <c r="AD447" s="706"/>
      <c r="AE447" s="706"/>
      <c r="AF447" s="706"/>
      <c r="AG447" s="706" t="s">
        <v>41</v>
      </c>
    </row>
    <row r="448" s="570" customFormat="1" ht="24.95" customHeight="1" spans="1:33">
      <c r="A448" s="705">
        <v>58</v>
      </c>
      <c r="B448" s="711" t="s">
        <v>327</v>
      </c>
      <c r="C448" s="146" t="s">
        <v>52</v>
      </c>
      <c r="D448" s="152" t="s">
        <v>147</v>
      </c>
      <c r="E448" s="92">
        <v>36</v>
      </c>
      <c r="F448" s="92">
        <v>0</v>
      </c>
      <c r="G448" s="92"/>
      <c r="H448" s="724">
        <v>333414</v>
      </c>
      <c r="I448" s="724">
        <v>111138</v>
      </c>
      <c r="J448" s="724">
        <v>111138</v>
      </c>
      <c r="K448" s="724">
        <v>111138</v>
      </c>
      <c r="L448" s="724">
        <v>0</v>
      </c>
      <c r="M448" s="724">
        <v>0</v>
      </c>
      <c r="N448" s="724">
        <v>0</v>
      </c>
      <c r="O448" s="724">
        <v>0</v>
      </c>
      <c r="P448" s="724">
        <v>0</v>
      </c>
      <c r="Q448" s="724">
        <v>0</v>
      </c>
      <c r="R448" s="724">
        <v>0</v>
      </c>
      <c r="S448" s="724">
        <v>0</v>
      </c>
      <c r="T448" s="724">
        <v>0</v>
      </c>
      <c r="U448" s="724">
        <v>0</v>
      </c>
      <c r="V448" s="724">
        <v>0</v>
      </c>
      <c r="W448" s="92">
        <v>0</v>
      </c>
      <c r="X448" s="92" t="s">
        <v>326</v>
      </c>
      <c r="Y448" s="738">
        <v>77184</v>
      </c>
      <c r="Z448" s="738">
        <v>333414</v>
      </c>
      <c r="AA448" s="738">
        <v>36</v>
      </c>
      <c r="AB448" s="708"/>
      <c r="AC448" s="708"/>
      <c r="AD448" s="193" t="s">
        <v>242</v>
      </c>
      <c r="AE448" s="141" t="s">
        <v>328</v>
      </c>
      <c r="AF448" s="146" t="s">
        <v>195</v>
      </c>
      <c r="AG448" s="708" t="s">
        <v>41</v>
      </c>
    </row>
    <row r="449" s="570" customFormat="1" ht="24.95" customHeight="1" spans="1:33">
      <c r="A449" s="705"/>
      <c r="B449" s="785" t="s">
        <v>69</v>
      </c>
      <c r="C449" s="146" t="s">
        <v>52</v>
      </c>
      <c r="D449" s="152" t="s">
        <v>147</v>
      </c>
      <c r="E449" s="92">
        <v>3</v>
      </c>
      <c r="F449" s="92" t="s">
        <v>69</v>
      </c>
      <c r="G449" s="92"/>
      <c r="H449" s="724">
        <v>30150</v>
      </c>
      <c r="I449" s="724">
        <v>10050</v>
      </c>
      <c r="J449" s="724">
        <v>10050</v>
      </c>
      <c r="K449" s="724">
        <v>10050</v>
      </c>
      <c r="L449" s="724">
        <v>2018.01</v>
      </c>
      <c r="M449" s="724">
        <v>2020.12</v>
      </c>
      <c r="N449" s="724">
        <v>0</v>
      </c>
      <c r="O449" s="724">
        <v>0</v>
      </c>
      <c r="P449" s="724">
        <v>0</v>
      </c>
      <c r="Q449" s="724">
        <v>0</v>
      </c>
      <c r="R449" s="724">
        <v>0</v>
      </c>
      <c r="S449" s="724">
        <v>0</v>
      </c>
      <c r="T449" s="724">
        <v>0</v>
      </c>
      <c r="U449" s="724">
        <v>0</v>
      </c>
      <c r="V449" s="724">
        <v>0</v>
      </c>
      <c r="W449" s="92">
        <v>0</v>
      </c>
      <c r="X449" s="92" t="s">
        <v>326</v>
      </c>
      <c r="Y449" s="738">
        <v>7062</v>
      </c>
      <c r="Z449" s="738">
        <v>30150</v>
      </c>
      <c r="AA449" s="738">
        <v>3</v>
      </c>
      <c r="AB449" s="708"/>
      <c r="AC449" s="708"/>
      <c r="AD449" s="146" t="s">
        <v>244</v>
      </c>
      <c r="AE449" s="146" t="s">
        <v>245</v>
      </c>
      <c r="AF449" s="146" t="s">
        <v>195</v>
      </c>
      <c r="AG449" s="708"/>
    </row>
    <row r="450" s="570" customFormat="1" ht="24.95" customHeight="1" spans="1:33">
      <c r="A450" s="705"/>
      <c r="B450" s="785" t="s">
        <v>51</v>
      </c>
      <c r="C450" s="146" t="s">
        <v>52</v>
      </c>
      <c r="D450" s="152" t="s">
        <v>147</v>
      </c>
      <c r="E450" s="92">
        <v>3</v>
      </c>
      <c r="F450" s="92" t="s">
        <v>51</v>
      </c>
      <c r="G450" s="92"/>
      <c r="H450" s="724">
        <v>21807</v>
      </c>
      <c r="I450" s="724">
        <v>7269</v>
      </c>
      <c r="J450" s="724">
        <v>7269</v>
      </c>
      <c r="K450" s="724">
        <v>7269</v>
      </c>
      <c r="L450" s="724">
        <v>2018.01</v>
      </c>
      <c r="M450" s="724">
        <v>2020.12</v>
      </c>
      <c r="N450" s="724">
        <v>0</v>
      </c>
      <c r="O450" s="724">
        <v>0</v>
      </c>
      <c r="P450" s="724">
        <v>0</v>
      </c>
      <c r="Q450" s="724">
        <v>0</v>
      </c>
      <c r="R450" s="724">
        <v>0</v>
      </c>
      <c r="S450" s="724">
        <v>0</v>
      </c>
      <c r="T450" s="724">
        <v>0</v>
      </c>
      <c r="U450" s="724">
        <v>0</v>
      </c>
      <c r="V450" s="724">
        <v>0</v>
      </c>
      <c r="W450" s="92">
        <v>0</v>
      </c>
      <c r="X450" s="92" t="s">
        <v>326</v>
      </c>
      <c r="Y450" s="738">
        <v>5280</v>
      </c>
      <c r="Z450" s="738">
        <v>21807</v>
      </c>
      <c r="AA450" s="738">
        <v>3</v>
      </c>
      <c r="AB450" s="708"/>
      <c r="AC450" s="708"/>
      <c r="AD450" s="71" t="s">
        <v>169</v>
      </c>
      <c r="AE450" s="71" t="s">
        <v>246</v>
      </c>
      <c r="AF450" s="146" t="s">
        <v>195</v>
      </c>
      <c r="AG450" s="708"/>
    </row>
    <row r="451" s="570" customFormat="1" ht="24.95" customHeight="1" spans="1:33">
      <c r="A451" s="705"/>
      <c r="B451" s="785" t="s">
        <v>72</v>
      </c>
      <c r="C451" s="146" t="s">
        <v>52</v>
      </c>
      <c r="D451" s="152" t="s">
        <v>147</v>
      </c>
      <c r="E451" s="92">
        <v>3</v>
      </c>
      <c r="F451" s="92" t="s">
        <v>72</v>
      </c>
      <c r="G451" s="92"/>
      <c r="H451" s="724">
        <v>30423</v>
      </c>
      <c r="I451" s="724">
        <v>10141</v>
      </c>
      <c r="J451" s="724">
        <v>10141</v>
      </c>
      <c r="K451" s="724">
        <v>10141</v>
      </c>
      <c r="L451" s="724">
        <v>2018.01</v>
      </c>
      <c r="M451" s="724">
        <v>2020.12</v>
      </c>
      <c r="N451" s="724">
        <v>0</v>
      </c>
      <c r="O451" s="724">
        <v>0</v>
      </c>
      <c r="P451" s="724">
        <v>0</v>
      </c>
      <c r="Q451" s="724">
        <v>0</v>
      </c>
      <c r="R451" s="724">
        <v>0</v>
      </c>
      <c r="S451" s="724">
        <v>0</v>
      </c>
      <c r="T451" s="724">
        <v>0</v>
      </c>
      <c r="U451" s="724">
        <v>0</v>
      </c>
      <c r="V451" s="724">
        <v>0</v>
      </c>
      <c r="W451" s="92">
        <v>0</v>
      </c>
      <c r="X451" s="92" t="s">
        <v>326</v>
      </c>
      <c r="Y451" s="738">
        <v>7314</v>
      </c>
      <c r="Z451" s="738">
        <v>30423</v>
      </c>
      <c r="AA451" s="738">
        <v>3</v>
      </c>
      <c r="AB451" s="708"/>
      <c r="AC451" s="708"/>
      <c r="AD451" s="146" t="s">
        <v>247</v>
      </c>
      <c r="AE451" s="146" t="s">
        <v>248</v>
      </c>
      <c r="AF451" s="146" t="s">
        <v>195</v>
      </c>
      <c r="AG451" s="708"/>
    </row>
    <row r="452" s="570" customFormat="1" ht="24.95" customHeight="1" spans="1:33">
      <c r="A452" s="705"/>
      <c r="B452" s="785" t="s">
        <v>91</v>
      </c>
      <c r="C452" s="146" t="s">
        <v>52</v>
      </c>
      <c r="D452" s="152" t="s">
        <v>147</v>
      </c>
      <c r="E452" s="92">
        <v>3</v>
      </c>
      <c r="F452" s="92" t="s">
        <v>91</v>
      </c>
      <c r="G452" s="92"/>
      <c r="H452" s="724">
        <v>23028</v>
      </c>
      <c r="I452" s="724">
        <v>7676</v>
      </c>
      <c r="J452" s="724">
        <v>7676</v>
      </c>
      <c r="K452" s="724">
        <v>7676</v>
      </c>
      <c r="L452" s="724">
        <v>2018.01</v>
      </c>
      <c r="M452" s="724">
        <v>2020.12</v>
      </c>
      <c r="N452" s="724">
        <v>0</v>
      </c>
      <c r="O452" s="724">
        <v>0</v>
      </c>
      <c r="P452" s="724">
        <v>0</v>
      </c>
      <c r="Q452" s="724">
        <v>0</v>
      </c>
      <c r="R452" s="724">
        <v>0</v>
      </c>
      <c r="S452" s="724">
        <v>0</v>
      </c>
      <c r="T452" s="724">
        <v>0</v>
      </c>
      <c r="U452" s="724">
        <v>0</v>
      </c>
      <c r="V452" s="724">
        <v>0</v>
      </c>
      <c r="W452" s="92">
        <v>0</v>
      </c>
      <c r="X452" s="92" t="s">
        <v>326</v>
      </c>
      <c r="Y452" s="738">
        <v>5931</v>
      </c>
      <c r="Z452" s="738">
        <v>23028</v>
      </c>
      <c r="AA452" s="738">
        <v>3</v>
      </c>
      <c r="AB452" s="708"/>
      <c r="AC452" s="708"/>
      <c r="AD452" s="146" t="s">
        <v>249</v>
      </c>
      <c r="AE452" s="146" t="s">
        <v>250</v>
      </c>
      <c r="AF452" s="146" t="s">
        <v>195</v>
      </c>
      <c r="AG452" s="708"/>
    </row>
    <row r="453" s="570" customFormat="1" ht="24.95" customHeight="1" spans="1:33">
      <c r="A453" s="705"/>
      <c r="B453" s="785" t="s">
        <v>55</v>
      </c>
      <c r="C453" s="146" t="s">
        <v>52</v>
      </c>
      <c r="D453" s="152" t="s">
        <v>147</v>
      </c>
      <c r="E453" s="92">
        <v>3</v>
      </c>
      <c r="F453" s="92" t="s">
        <v>55</v>
      </c>
      <c r="G453" s="92"/>
      <c r="H453" s="724">
        <v>42789</v>
      </c>
      <c r="I453" s="724">
        <v>14263</v>
      </c>
      <c r="J453" s="724">
        <v>14263</v>
      </c>
      <c r="K453" s="724">
        <v>14263</v>
      </c>
      <c r="L453" s="724">
        <v>2018.01</v>
      </c>
      <c r="M453" s="724">
        <v>2020.12</v>
      </c>
      <c r="N453" s="724">
        <v>0</v>
      </c>
      <c r="O453" s="724">
        <v>0</v>
      </c>
      <c r="P453" s="724">
        <v>0</v>
      </c>
      <c r="Q453" s="724">
        <v>0</v>
      </c>
      <c r="R453" s="724">
        <v>0</v>
      </c>
      <c r="S453" s="724">
        <v>0</v>
      </c>
      <c r="T453" s="724">
        <v>0</v>
      </c>
      <c r="U453" s="724">
        <v>0</v>
      </c>
      <c r="V453" s="724">
        <v>0</v>
      </c>
      <c r="W453" s="92">
        <v>0</v>
      </c>
      <c r="X453" s="92" t="s">
        <v>326</v>
      </c>
      <c r="Y453" s="738">
        <v>10137</v>
      </c>
      <c r="Z453" s="738">
        <v>42789</v>
      </c>
      <c r="AA453" s="738">
        <v>3</v>
      </c>
      <c r="AB453" s="708"/>
      <c r="AC453" s="708"/>
      <c r="AD453" s="146" t="s">
        <v>209</v>
      </c>
      <c r="AE453" s="146" t="s">
        <v>251</v>
      </c>
      <c r="AF453" s="146" t="s">
        <v>195</v>
      </c>
      <c r="AG453" s="708"/>
    </row>
    <row r="454" s="570" customFormat="1" ht="24.95" customHeight="1" spans="1:33">
      <c r="A454" s="705"/>
      <c r="B454" s="785" t="s">
        <v>75</v>
      </c>
      <c r="C454" s="146" t="s">
        <v>52</v>
      </c>
      <c r="D454" s="152" t="s">
        <v>147</v>
      </c>
      <c r="E454" s="92">
        <v>3</v>
      </c>
      <c r="F454" s="92" t="s">
        <v>75</v>
      </c>
      <c r="G454" s="92"/>
      <c r="H454" s="724">
        <v>29916</v>
      </c>
      <c r="I454" s="724">
        <v>9972</v>
      </c>
      <c r="J454" s="724">
        <v>9972</v>
      </c>
      <c r="K454" s="724">
        <v>9972</v>
      </c>
      <c r="L454" s="724">
        <v>2018.01</v>
      </c>
      <c r="M454" s="724">
        <v>2020.12</v>
      </c>
      <c r="N454" s="724">
        <v>0</v>
      </c>
      <c r="O454" s="724">
        <v>0</v>
      </c>
      <c r="P454" s="724">
        <v>0</v>
      </c>
      <c r="Q454" s="724">
        <v>0</v>
      </c>
      <c r="R454" s="724">
        <v>0</v>
      </c>
      <c r="S454" s="724">
        <v>0</v>
      </c>
      <c r="T454" s="724">
        <v>0</v>
      </c>
      <c r="U454" s="724">
        <v>0</v>
      </c>
      <c r="V454" s="724">
        <v>0</v>
      </c>
      <c r="W454" s="92">
        <v>0</v>
      </c>
      <c r="X454" s="92" t="s">
        <v>326</v>
      </c>
      <c r="Y454" s="738">
        <v>6690</v>
      </c>
      <c r="Z454" s="738">
        <v>29916</v>
      </c>
      <c r="AA454" s="738">
        <v>3</v>
      </c>
      <c r="AB454" s="708"/>
      <c r="AC454" s="708"/>
      <c r="AD454" s="146" t="s">
        <v>329</v>
      </c>
      <c r="AE454" s="146" t="s">
        <v>252</v>
      </c>
      <c r="AF454" s="146" t="s">
        <v>195</v>
      </c>
      <c r="AG454" s="708"/>
    </row>
    <row r="455" s="570" customFormat="1" ht="24.95" customHeight="1" spans="1:33">
      <c r="A455" s="705"/>
      <c r="B455" s="785" t="s">
        <v>58</v>
      </c>
      <c r="C455" s="146" t="s">
        <v>52</v>
      </c>
      <c r="D455" s="152" t="s">
        <v>147</v>
      </c>
      <c r="E455" s="92">
        <v>3</v>
      </c>
      <c r="F455" s="92" t="s">
        <v>58</v>
      </c>
      <c r="G455" s="92"/>
      <c r="H455" s="724">
        <v>11568</v>
      </c>
      <c r="I455" s="724">
        <v>3856</v>
      </c>
      <c r="J455" s="724">
        <v>3856</v>
      </c>
      <c r="K455" s="724">
        <v>3856</v>
      </c>
      <c r="L455" s="724">
        <v>2018.01</v>
      </c>
      <c r="M455" s="724">
        <v>2020.12</v>
      </c>
      <c r="N455" s="724">
        <v>0</v>
      </c>
      <c r="O455" s="724">
        <v>0</v>
      </c>
      <c r="P455" s="724">
        <v>0</v>
      </c>
      <c r="Q455" s="724">
        <v>0</v>
      </c>
      <c r="R455" s="724">
        <v>0</v>
      </c>
      <c r="S455" s="724">
        <v>0</v>
      </c>
      <c r="T455" s="724">
        <v>0</v>
      </c>
      <c r="U455" s="724">
        <v>0</v>
      </c>
      <c r="V455" s="724">
        <v>0</v>
      </c>
      <c r="W455" s="92">
        <v>0</v>
      </c>
      <c r="X455" s="92" t="s">
        <v>326</v>
      </c>
      <c r="Y455" s="738">
        <v>2721</v>
      </c>
      <c r="Z455" s="738">
        <v>11568</v>
      </c>
      <c r="AA455" s="738">
        <v>3</v>
      </c>
      <c r="AB455" s="708"/>
      <c r="AC455" s="708"/>
      <c r="AD455" s="146" t="s">
        <v>253</v>
      </c>
      <c r="AE455" s="146" t="s">
        <v>254</v>
      </c>
      <c r="AF455" s="146" t="s">
        <v>195</v>
      </c>
      <c r="AG455" s="708"/>
    </row>
    <row r="456" s="570" customFormat="1" ht="24.95" customHeight="1" spans="1:33">
      <c r="A456" s="705"/>
      <c r="B456" s="785" t="s">
        <v>61</v>
      </c>
      <c r="C456" s="146" t="s">
        <v>52</v>
      </c>
      <c r="D456" s="152" t="s">
        <v>147</v>
      </c>
      <c r="E456" s="92">
        <v>3</v>
      </c>
      <c r="F456" s="92" t="s">
        <v>61</v>
      </c>
      <c r="G456" s="92"/>
      <c r="H456" s="724">
        <v>57735</v>
      </c>
      <c r="I456" s="724">
        <v>19245</v>
      </c>
      <c r="J456" s="724">
        <v>19245</v>
      </c>
      <c r="K456" s="724">
        <v>19245</v>
      </c>
      <c r="L456" s="724">
        <v>2018.01</v>
      </c>
      <c r="M456" s="724">
        <v>2020.12</v>
      </c>
      <c r="N456" s="724">
        <v>0</v>
      </c>
      <c r="O456" s="724">
        <v>0</v>
      </c>
      <c r="P456" s="724">
        <v>0</v>
      </c>
      <c r="Q456" s="724">
        <v>0</v>
      </c>
      <c r="R456" s="724">
        <v>0</v>
      </c>
      <c r="S456" s="724">
        <v>0</v>
      </c>
      <c r="T456" s="724">
        <v>0</v>
      </c>
      <c r="U456" s="724">
        <v>0</v>
      </c>
      <c r="V456" s="724">
        <v>0</v>
      </c>
      <c r="W456" s="92">
        <v>0</v>
      </c>
      <c r="X456" s="92" t="s">
        <v>326</v>
      </c>
      <c r="Y456" s="738">
        <v>12816</v>
      </c>
      <c r="Z456" s="738">
        <v>57735</v>
      </c>
      <c r="AA456" s="738">
        <v>3</v>
      </c>
      <c r="AB456" s="708"/>
      <c r="AC456" s="708"/>
      <c r="AD456" s="146" t="s">
        <v>255</v>
      </c>
      <c r="AE456" s="146" t="s">
        <v>256</v>
      </c>
      <c r="AF456" s="146" t="s">
        <v>195</v>
      </c>
      <c r="AG456" s="708"/>
    </row>
    <row r="457" s="570" customFormat="1" ht="24.95" customHeight="1" spans="1:33">
      <c r="A457" s="705"/>
      <c r="B457" s="785" t="s">
        <v>78</v>
      </c>
      <c r="C457" s="146" t="s">
        <v>52</v>
      </c>
      <c r="D457" s="152" t="s">
        <v>147</v>
      </c>
      <c r="E457" s="92">
        <v>3</v>
      </c>
      <c r="F457" s="92" t="s">
        <v>78</v>
      </c>
      <c r="G457" s="92"/>
      <c r="H457" s="724">
        <v>36000</v>
      </c>
      <c r="I457" s="724">
        <v>12000</v>
      </c>
      <c r="J457" s="724">
        <v>12000</v>
      </c>
      <c r="K457" s="724">
        <v>12000</v>
      </c>
      <c r="L457" s="724">
        <v>2018.01</v>
      </c>
      <c r="M457" s="724">
        <v>2020.12</v>
      </c>
      <c r="N457" s="724">
        <v>0</v>
      </c>
      <c r="O457" s="724">
        <v>0</v>
      </c>
      <c r="P457" s="724">
        <v>0</v>
      </c>
      <c r="Q457" s="724">
        <v>0</v>
      </c>
      <c r="R457" s="724">
        <v>0</v>
      </c>
      <c r="S457" s="724">
        <v>0</v>
      </c>
      <c r="T457" s="724">
        <v>0</v>
      </c>
      <c r="U457" s="724">
        <v>0</v>
      </c>
      <c r="V457" s="724">
        <v>0</v>
      </c>
      <c r="W457" s="92">
        <v>0</v>
      </c>
      <c r="X457" s="92" t="s">
        <v>326</v>
      </c>
      <c r="Y457" s="738">
        <v>7788</v>
      </c>
      <c r="Z457" s="738">
        <v>36000</v>
      </c>
      <c r="AA457" s="738">
        <v>3</v>
      </c>
      <c r="AB457" s="708"/>
      <c r="AC457" s="708"/>
      <c r="AD457" s="146" t="s">
        <v>330</v>
      </c>
      <c r="AE457" s="146" t="s">
        <v>257</v>
      </c>
      <c r="AF457" s="146" t="s">
        <v>195</v>
      </c>
      <c r="AG457" s="708"/>
    </row>
    <row r="458" s="570" customFormat="1" ht="24.95" customHeight="1" spans="1:33">
      <c r="A458" s="705"/>
      <c r="B458" s="785" t="s">
        <v>114</v>
      </c>
      <c r="C458" s="146" t="s">
        <v>52</v>
      </c>
      <c r="D458" s="152" t="s">
        <v>147</v>
      </c>
      <c r="E458" s="92">
        <v>3</v>
      </c>
      <c r="F458" s="92" t="s">
        <v>114</v>
      </c>
      <c r="G458" s="92"/>
      <c r="H458" s="724">
        <v>4632</v>
      </c>
      <c r="I458" s="724">
        <v>1544</v>
      </c>
      <c r="J458" s="724">
        <v>1544</v>
      </c>
      <c r="K458" s="724">
        <v>1544</v>
      </c>
      <c r="L458" s="724">
        <v>2018.01</v>
      </c>
      <c r="M458" s="724">
        <v>2020.12</v>
      </c>
      <c r="N458" s="724">
        <v>0</v>
      </c>
      <c r="O458" s="724">
        <v>0</v>
      </c>
      <c r="P458" s="724">
        <v>0</v>
      </c>
      <c r="Q458" s="724">
        <v>0</v>
      </c>
      <c r="R458" s="724">
        <v>0</v>
      </c>
      <c r="S458" s="724">
        <v>0</v>
      </c>
      <c r="T458" s="724">
        <v>0</v>
      </c>
      <c r="U458" s="724">
        <v>0</v>
      </c>
      <c r="V458" s="724">
        <v>0</v>
      </c>
      <c r="W458" s="92">
        <v>0</v>
      </c>
      <c r="X458" s="92" t="s">
        <v>326</v>
      </c>
      <c r="Y458" s="738">
        <v>1104</v>
      </c>
      <c r="Z458" s="738">
        <v>4632</v>
      </c>
      <c r="AA458" s="738">
        <v>3</v>
      </c>
      <c r="AB458" s="708"/>
      <c r="AC458" s="708"/>
      <c r="AD458" s="146" t="s">
        <v>260</v>
      </c>
      <c r="AE458" s="146" t="s">
        <v>331</v>
      </c>
      <c r="AF458" s="146" t="s">
        <v>195</v>
      </c>
      <c r="AG458" s="708"/>
    </row>
    <row r="459" s="570" customFormat="1" ht="24.95" customHeight="1" spans="1:33">
      <c r="A459" s="705"/>
      <c r="B459" s="785" t="s">
        <v>64</v>
      </c>
      <c r="C459" s="146" t="s">
        <v>52</v>
      </c>
      <c r="D459" s="152" t="s">
        <v>147</v>
      </c>
      <c r="E459" s="92">
        <v>3</v>
      </c>
      <c r="F459" s="92" t="s">
        <v>64</v>
      </c>
      <c r="G459" s="92"/>
      <c r="H459" s="724">
        <v>27822</v>
      </c>
      <c r="I459" s="724">
        <v>9274</v>
      </c>
      <c r="J459" s="724">
        <v>9274</v>
      </c>
      <c r="K459" s="724">
        <v>9274</v>
      </c>
      <c r="L459" s="724">
        <v>2018.01</v>
      </c>
      <c r="M459" s="724">
        <v>2020.12</v>
      </c>
      <c r="N459" s="724">
        <v>0</v>
      </c>
      <c r="O459" s="724">
        <v>0</v>
      </c>
      <c r="P459" s="724">
        <v>0</v>
      </c>
      <c r="Q459" s="724">
        <v>0</v>
      </c>
      <c r="R459" s="724">
        <v>0</v>
      </c>
      <c r="S459" s="724">
        <v>0</v>
      </c>
      <c r="T459" s="724">
        <v>0</v>
      </c>
      <c r="U459" s="724">
        <v>0</v>
      </c>
      <c r="V459" s="724">
        <v>0</v>
      </c>
      <c r="W459" s="92">
        <v>0</v>
      </c>
      <c r="X459" s="92" t="s">
        <v>326</v>
      </c>
      <c r="Y459" s="738">
        <v>6600</v>
      </c>
      <c r="Z459" s="738">
        <v>27822</v>
      </c>
      <c r="AA459" s="738">
        <v>3</v>
      </c>
      <c r="AB459" s="708"/>
      <c r="AC459" s="708"/>
      <c r="AD459" s="146" t="s">
        <v>65</v>
      </c>
      <c r="AE459" s="146" t="s">
        <v>258</v>
      </c>
      <c r="AF459" s="146" t="s">
        <v>195</v>
      </c>
      <c r="AG459" s="708"/>
    </row>
    <row r="460" s="570" customFormat="1" ht="24.95" customHeight="1" spans="1:33">
      <c r="A460" s="705" t="s">
        <v>48</v>
      </c>
      <c r="B460" s="785" t="s">
        <v>92</v>
      </c>
      <c r="C460" s="146" t="s">
        <v>52</v>
      </c>
      <c r="D460" s="152" t="s">
        <v>147</v>
      </c>
      <c r="E460" s="92">
        <v>3</v>
      </c>
      <c r="F460" s="92" t="s">
        <v>92</v>
      </c>
      <c r="G460" s="92"/>
      <c r="H460" s="724">
        <v>17544</v>
      </c>
      <c r="I460" s="724">
        <v>5848</v>
      </c>
      <c r="J460" s="724">
        <v>5848</v>
      </c>
      <c r="K460" s="724">
        <v>5848</v>
      </c>
      <c r="L460" s="724">
        <v>2018.01</v>
      </c>
      <c r="M460" s="724">
        <v>2020.12</v>
      </c>
      <c r="N460" s="724">
        <v>0</v>
      </c>
      <c r="O460" s="724">
        <v>0</v>
      </c>
      <c r="P460" s="724">
        <v>0</v>
      </c>
      <c r="Q460" s="724">
        <v>0</v>
      </c>
      <c r="R460" s="724">
        <v>0</v>
      </c>
      <c r="S460" s="724">
        <v>0</v>
      </c>
      <c r="T460" s="724">
        <v>0</v>
      </c>
      <c r="U460" s="724">
        <v>0</v>
      </c>
      <c r="V460" s="724">
        <v>0</v>
      </c>
      <c r="W460" s="92">
        <v>0</v>
      </c>
      <c r="X460" s="92" t="s">
        <v>326</v>
      </c>
      <c r="Y460" s="738">
        <v>3741</v>
      </c>
      <c r="Z460" s="738">
        <v>17544</v>
      </c>
      <c r="AA460" s="738">
        <v>3</v>
      </c>
      <c r="AB460" s="92"/>
      <c r="AC460" s="92"/>
      <c r="AD460" s="775" t="s">
        <v>262</v>
      </c>
      <c r="AE460" s="775" t="s">
        <v>263</v>
      </c>
      <c r="AF460" s="146" t="s">
        <v>195</v>
      </c>
      <c r="AG460" s="92"/>
    </row>
    <row r="461" s="570" customFormat="1" ht="24.95" customHeight="1" spans="1:33">
      <c r="A461" s="705">
        <v>59</v>
      </c>
      <c r="B461" s="711" t="s">
        <v>332</v>
      </c>
      <c r="C461" s="146" t="s">
        <v>52</v>
      </c>
      <c r="D461" s="152" t="s">
        <v>147</v>
      </c>
      <c r="E461" s="92">
        <v>36</v>
      </c>
      <c r="F461" s="92">
        <v>0</v>
      </c>
      <c r="G461" s="92"/>
      <c r="H461" s="724">
        <v>333414</v>
      </c>
      <c r="I461" s="724">
        <v>111138</v>
      </c>
      <c r="J461" s="724">
        <v>111138</v>
      </c>
      <c r="K461" s="724">
        <v>111138</v>
      </c>
      <c r="L461" s="724">
        <v>0</v>
      </c>
      <c r="M461" s="724">
        <v>0</v>
      </c>
      <c r="N461" s="724">
        <v>0</v>
      </c>
      <c r="O461" s="724">
        <v>0</v>
      </c>
      <c r="P461" s="724">
        <v>0</v>
      </c>
      <c r="Q461" s="724">
        <v>0</v>
      </c>
      <c r="R461" s="724">
        <v>0</v>
      </c>
      <c r="S461" s="724">
        <v>0</v>
      </c>
      <c r="T461" s="724">
        <v>0</v>
      </c>
      <c r="U461" s="724">
        <v>0</v>
      </c>
      <c r="V461" s="724">
        <v>0</v>
      </c>
      <c r="W461" s="92">
        <v>0</v>
      </c>
      <c r="X461" s="92" t="s">
        <v>326</v>
      </c>
      <c r="Y461" s="738">
        <v>77184</v>
      </c>
      <c r="Z461" s="738">
        <v>333414</v>
      </c>
      <c r="AA461" s="738">
        <v>36</v>
      </c>
      <c r="AB461" s="708"/>
      <c r="AC461" s="708"/>
      <c r="AD461" s="193" t="s">
        <v>242</v>
      </c>
      <c r="AE461" s="141" t="s">
        <v>328</v>
      </c>
      <c r="AF461" s="146" t="s">
        <v>195</v>
      </c>
      <c r="AG461" s="708" t="s">
        <v>41</v>
      </c>
    </row>
    <row r="462" s="570" customFormat="1" ht="24.95" customHeight="1" spans="1:33">
      <c r="A462" s="705"/>
      <c r="B462" s="785" t="s">
        <v>69</v>
      </c>
      <c r="C462" s="146" t="s">
        <v>52</v>
      </c>
      <c r="D462" s="152" t="s">
        <v>147</v>
      </c>
      <c r="E462" s="92">
        <v>3</v>
      </c>
      <c r="F462" s="92" t="s">
        <v>69</v>
      </c>
      <c r="G462" s="92"/>
      <c r="H462" s="724">
        <v>30150</v>
      </c>
      <c r="I462" s="724">
        <v>10050</v>
      </c>
      <c r="J462" s="724">
        <v>10050</v>
      </c>
      <c r="K462" s="724">
        <v>10050</v>
      </c>
      <c r="L462" s="724">
        <v>2018.01</v>
      </c>
      <c r="M462" s="724">
        <v>2020.12</v>
      </c>
      <c r="N462" s="724">
        <v>0</v>
      </c>
      <c r="O462" s="724">
        <v>0</v>
      </c>
      <c r="P462" s="724">
        <v>0</v>
      </c>
      <c r="Q462" s="724">
        <v>0</v>
      </c>
      <c r="R462" s="724">
        <v>0</v>
      </c>
      <c r="S462" s="724">
        <v>0</v>
      </c>
      <c r="T462" s="724">
        <v>0</v>
      </c>
      <c r="U462" s="724">
        <v>0</v>
      </c>
      <c r="V462" s="724">
        <v>0</v>
      </c>
      <c r="W462" s="92">
        <v>0</v>
      </c>
      <c r="X462" s="92" t="s">
        <v>326</v>
      </c>
      <c r="Y462" s="738">
        <v>7062</v>
      </c>
      <c r="Z462" s="738">
        <v>30150</v>
      </c>
      <c r="AA462" s="738">
        <v>3</v>
      </c>
      <c r="AB462" s="708"/>
      <c r="AC462" s="708"/>
      <c r="AD462" s="146" t="s">
        <v>244</v>
      </c>
      <c r="AE462" s="146" t="s">
        <v>333</v>
      </c>
      <c r="AF462" s="146" t="s">
        <v>195</v>
      </c>
      <c r="AG462" s="708"/>
    </row>
    <row r="463" s="570" customFormat="1" ht="24.95" customHeight="1" spans="1:33">
      <c r="A463" s="705"/>
      <c r="B463" s="785" t="s">
        <v>51</v>
      </c>
      <c r="C463" s="146" t="s">
        <v>52</v>
      </c>
      <c r="D463" s="152" t="s">
        <v>147</v>
      </c>
      <c r="E463" s="92">
        <v>3</v>
      </c>
      <c r="F463" s="92" t="s">
        <v>51</v>
      </c>
      <c r="G463" s="92"/>
      <c r="H463" s="724">
        <v>21807</v>
      </c>
      <c r="I463" s="724">
        <v>7269</v>
      </c>
      <c r="J463" s="724">
        <v>7269</v>
      </c>
      <c r="K463" s="724">
        <v>7269</v>
      </c>
      <c r="L463" s="724">
        <v>2018.01</v>
      </c>
      <c r="M463" s="724">
        <v>2020.12</v>
      </c>
      <c r="N463" s="724">
        <v>0</v>
      </c>
      <c r="O463" s="724">
        <v>0</v>
      </c>
      <c r="P463" s="724">
        <v>0</v>
      </c>
      <c r="Q463" s="724">
        <v>0</v>
      </c>
      <c r="R463" s="724">
        <v>0</v>
      </c>
      <c r="S463" s="724">
        <v>0</v>
      </c>
      <c r="T463" s="724">
        <v>0</v>
      </c>
      <c r="U463" s="724">
        <v>0</v>
      </c>
      <c r="V463" s="724">
        <v>0</v>
      </c>
      <c r="W463" s="92">
        <v>0</v>
      </c>
      <c r="X463" s="92" t="s">
        <v>326</v>
      </c>
      <c r="Y463" s="738">
        <v>5280</v>
      </c>
      <c r="Z463" s="738">
        <v>21807</v>
      </c>
      <c r="AA463" s="738">
        <v>3</v>
      </c>
      <c r="AB463" s="708"/>
      <c r="AC463" s="708"/>
      <c r="AD463" s="146" t="s">
        <v>169</v>
      </c>
      <c r="AE463" s="146" t="s">
        <v>334</v>
      </c>
      <c r="AF463" s="146" t="s">
        <v>195</v>
      </c>
      <c r="AG463" s="708"/>
    </row>
    <row r="464" s="570" customFormat="1" ht="24.95" customHeight="1" spans="1:33">
      <c r="A464" s="705"/>
      <c r="B464" s="785" t="s">
        <v>72</v>
      </c>
      <c r="C464" s="146" t="s">
        <v>52</v>
      </c>
      <c r="D464" s="152" t="s">
        <v>147</v>
      </c>
      <c r="E464" s="92">
        <v>3</v>
      </c>
      <c r="F464" s="92" t="s">
        <v>72</v>
      </c>
      <c r="G464" s="92"/>
      <c r="H464" s="724">
        <v>30423</v>
      </c>
      <c r="I464" s="724">
        <v>10141</v>
      </c>
      <c r="J464" s="724">
        <v>10141</v>
      </c>
      <c r="K464" s="724">
        <v>10141</v>
      </c>
      <c r="L464" s="724">
        <v>2018.01</v>
      </c>
      <c r="M464" s="724">
        <v>2020.12</v>
      </c>
      <c r="N464" s="724">
        <v>0</v>
      </c>
      <c r="O464" s="724">
        <v>0</v>
      </c>
      <c r="P464" s="724">
        <v>0</v>
      </c>
      <c r="Q464" s="724">
        <v>0</v>
      </c>
      <c r="R464" s="724">
        <v>0</v>
      </c>
      <c r="S464" s="724">
        <v>0</v>
      </c>
      <c r="T464" s="724">
        <v>0</v>
      </c>
      <c r="U464" s="724">
        <v>0</v>
      </c>
      <c r="V464" s="724">
        <v>0</v>
      </c>
      <c r="W464" s="92">
        <v>0</v>
      </c>
      <c r="X464" s="92" t="s">
        <v>326</v>
      </c>
      <c r="Y464" s="738">
        <v>7314</v>
      </c>
      <c r="Z464" s="738">
        <v>30423</v>
      </c>
      <c r="AA464" s="738">
        <v>3</v>
      </c>
      <c r="AB464" s="708"/>
      <c r="AC464" s="708"/>
      <c r="AD464" s="146" t="s">
        <v>247</v>
      </c>
      <c r="AE464" s="146" t="s">
        <v>248</v>
      </c>
      <c r="AF464" s="146" t="s">
        <v>195</v>
      </c>
      <c r="AG464" s="708"/>
    </row>
    <row r="465" s="570" customFormat="1" ht="24.95" customHeight="1" spans="1:33">
      <c r="A465" s="705"/>
      <c r="B465" s="785" t="s">
        <v>91</v>
      </c>
      <c r="C465" s="146" t="s">
        <v>52</v>
      </c>
      <c r="D465" s="152" t="s">
        <v>147</v>
      </c>
      <c r="E465" s="92">
        <v>3</v>
      </c>
      <c r="F465" s="92" t="s">
        <v>91</v>
      </c>
      <c r="G465" s="92"/>
      <c r="H465" s="724">
        <v>23028</v>
      </c>
      <c r="I465" s="724">
        <v>7676</v>
      </c>
      <c r="J465" s="724">
        <v>7676</v>
      </c>
      <c r="K465" s="724">
        <v>7676</v>
      </c>
      <c r="L465" s="724">
        <v>2018.01</v>
      </c>
      <c r="M465" s="724">
        <v>2020.12</v>
      </c>
      <c r="N465" s="724">
        <v>0</v>
      </c>
      <c r="O465" s="724">
        <v>0</v>
      </c>
      <c r="P465" s="724">
        <v>0</v>
      </c>
      <c r="Q465" s="724">
        <v>0</v>
      </c>
      <c r="R465" s="724">
        <v>0</v>
      </c>
      <c r="S465" s="724">
        <v>0</v>
      </c>
      <c r="T465" s="724">
        <v>0</v>
      </c>
      <c r="U465" s="724">
        <v>0</v>
      </c>
      <c r="V465" s="724">
        <v>0</v>
      </c>
      <c r="W465" s="92">
        <v>0</v>
      </c>
      <c r="X465" s="92" t="s">
        <v>326</v>
      </c>
      <c r="Y465" s="738">
        <v>5931</v>
      </c>
      <c r="Z465" s="738">
        <v>23028</v>
      </c>
      <c r="AA465" s="738">
        <v>3</v>
      </c>
      <c r="AB465" s="708"/>
      <c r="AC465" s="708"/>
      <c r="AD465" s="146" t="s">
        <v>249</v>
      </c>
      <c r="AE465" s="146" t="s">
        <v>250</v>
      </c>
      <c r="AF465" s="146" t="s">
        <v>195</v>
      </c>
      <c r="AG465" s="708"/>
    </row>
    <row r="466" s="570" customFormat="1" ht="24.95" customHeight="1" spans="1:33">
      <c r="A466" s="705"/>
      <c r="B466" s="785" t="s">
        <v>55</v>
      </c>
      <c r="C466" s="146" t="s">
        <v>52</v>
      </c>
      <c r="D466" s="152" t="s">
        <v>147</v>
      </c>
      <c r="E466" s="92">
        <v>3</v>
      </c>
      <c r="F466" s="92" t="s">
        <v>55</v>
      </c>
      <c r="G466" s="92"/>
      <c r="H466" s="724">
        <v>42789</v>
      </c>
      <c r="I466" s="724">
        <v>14263</v>
      </c>
      <c r="J466" s="724">
        <v>14263</v>
      </c>
      <c r="K466" s="724">
        <v>14263</v>
      </c>
      <c r="L466" s="724">
        <v>2018.01</v>
      </c>
      <c r="M466" s="724">
        <v>2020.12</v>
      </c>
      <c r="N466" s="724">
        <v>0</v>
      </c>
      <c r="O466" s="724">
        <v>0</v>
      </c>
      <c r="P466" s="724">
        <v>0</v>
      </c>
      <c r="Q466" s="724">
        <v>0</v>
      </c>
      <c r="R466" s="724">
        <v>0</v>
      </c>
      <c r="S466" s="724">
        <v>0</v>
      </c>
      <c r="T466" s="724">
        <v>0</v>
      </c>
      <c r="U466" s="724">
        <v>0</v>
      </c>
      <c r="V466" s="724">
        <v>0</v>
      </c>
      <c r="W466" s="92">
        <v>0</v>
      </c>
      <c r="X466" s="92" t="s">
        <v>326</v>
      </c>
      <c r="Y466" s="738">
        <v>10137</v>
      </c>
      <c r="Z466" s="738">
        <v>42789</v>
      </c>
      <c r="AA466" s="738">
        <v>3</v>
      </c>
      <c r="AB466" s="708"/>
      <c r="AC466" s="708"/>
      <c r="AD466" s="146" t="s">
        <v>209</v>
      </c>
      <c r="AE466" s="146" t="s">
        <v>251</v>
      </c>
      <c r="AF466" s="146" t="s">
        <v>195</v>
      </c>
      <c r="AG466" s="708"/>
    </row>
    <row r="467" s="570" customFormat="1" ht="24.95" customHeight="1" spans="1:33">
      <c r="A467" s="705"/>
      <c r="B467" s="785" t="s">
        <v>75</v>
      </c>
      <c r="C467" s="146" t="s">
        <v>52</v>
      </c>
      <c r="D467" s="152" t="s">
        <v>147</v>
      </c>
      <c r="E467" s="92">
        <v>3</v>
      </c>
      <c r="F467" s="92" t="s">
        <v>75</v>
      </c>
      <c r="G467" s="92"/>
      <c r="H467" s="724">
        <v>29916</v>
      </c>
      <c r="I467" s="724">
        <v>9972</v>
      </c>
      <c r="J467" s="724">
        <v>9972</v>
      </c>
      <c r="K467" s="724">
        <v>9972</v>
      </c>
      <c r="L467" s="724">
        <v>2018.01</v>
      </c>
      <c r="M467" s="724">
        <v>2020.12</v>
      </c>
      <c r="N467" s="724">
        <v>0</v>
      </c>
      <c r="O467" s="724">
        <v>0</v>
      </c>
      <c r="P467" s="724">
        <v>0</v>
      </c>
      <c r="Q467" s="724">
        <v>0</v>
      </c>
      <c r="R467" s="724">
        <v>0</v>
      </c>
      <c r="S467" s="724">
        <v>0</v>
      </c>
      <c r="T467" s="724">
        <v>0</v>
      </c>
      <c r="U467" s="724">
        <v>0</v>
      </c>
      <c r="V467" s="724">
        <v>0</v>
      </c>
      <c r="W467" s="92">
        <v>0</v>
      </c>
      <c r="X467" s="92" t="s">
        <v>326</v>
      </c>
      <c r="Y467" s="738">
        <v>6690</v>
      </c>
      <c r="Z467" s="738">
        <v>29916</v>
      </c>
      <c r="AA467" s="738">
        <v>3</v>
      </c>
      <c r="AB467" s="708"/>
      <c r="AC467" s="708"/>
      <c r="AD467" s="146" t="s">
        <v>329</v>
      </c>
      <c r="AE467" s="146" t="s">
        <v>252</v>
      </c>
      <c r="AF467" s="146" t="s">
        <v>195</v>
      </c>
      <c r="AG467" s="708"/>
    </row>
    <row r="468" s="570" customFormat="1" ht="24.95" customHeight="1" spans="1:33">
      <c r="A468" s="705"/>
      <c r="B468" s="785" t="s">
        <v>58</v>
      </c>
      <c r="C468" s="146" t="s">
        <v>52</v>
      </c>
      <c r="D468" s="152" t="s">
        <v>147</v>
      </c>
      <c r="E468" s="92">
        <v>3</v>
      </c>
      <c r="F468" s="92" t="s">
        <v>58</v>
      </c>
      <c r="G468" s="92"/>
      <c r="H468" s="724">
        <v>11568</v>
      </c>
      <c r="I468" s="724">
        <v>3856</v>
      </c>
      <c r="J468" s="724">
        <v>3856</v>
      </c>
      <c r="K468" s="724">
        <v>3856</v>
      </c>
      <c r="L468" s="724">
        <v>2018.01</v>
      </c>
      <c r="M468" s="724">
        <v>2020.12</v>
      </c>
      <c r="N468" s="724">
        <v>0</v>
      </c>
      <c r="O468" s="724">
        <v>0</v>
      </c>
      <c r="P468" s="724">
        <v>0</v>
      </c>
      <c r="Q468" s="724">
        <v>0</v>
      </c>
      <c r="R468" s="724">
        <v>0</v>
      </c>
      <c r="S468" s="724">
        <v>0</v>
      </c>
      <c r="T468" s="724">
        <v>0</v>
      </c>
      <c r="U468" s="724">
        <v>0</v>
      </c>
      <c r="V468" s="724">
        <v>0</v>
      </c>
      <c r="W468" s="92">
        <v>0</v>
      </c>
      <c r="X468" s="92" t="s">
        <v>326</v>
      </c>
      <c r="Y468" s="738">
        <v>2721</v>
      </c>
      <c r="Z468" s="738">
        <v>11568</v>
      </c>
      <c r="AA468" s="738">
        <v>3</v>
      </c>
      <c r="AB468" s="708"/>
      <c r="AC468" s="708"/>
      <c r="AD468" s="146" t="s">
        <v>253</v>
      </c>
      <c r="AE468" s="146" t="s">
        <v>254</v>
      </c>
      <c r="AF468" s="146" t="s">
        <v>195</v>
      </c>
      <c r="AG468" s="708"/>
    </row>
    <row r="469" s="570" customFormat="1" ht="24.95" customHeight="1" spans="1:33">
      <c r="A469" s="705"/>
      <c r="B469" s="785" t="s">
        <v>61</v>
      </c>
      <c r="C469" s="146" t="s">
        <v>52</v>
      </c>
      <c r="D469" s="152" t="s">
        <v>147</v>
      </c>
      <c r="E469" s="92">
        <v>3</v>
      </c>
      <c r="F469" s="92" t="s">
        <v>61</v>
      </c>
      <c r="G469" s="92"/>
      <c r="H469" s="724">
        <v>57735</v>
      </c>
      <c r="I469" s="724">
        <v>19245</v>
      </c>
      <c r="J469" s="724">
        <v>19245</v>
      </c>
      <c r="K469" s="724">
        <v>19245</v>
      </c>
      <c r="L469" s="724">
        <v>2018.01</v>
      </c>
      <c r="M469" s="724">
        <v>2020.12</v>
      </c>
      <c r="N469" s="724">
        <v>0</v>
      </c>
      <c r="O469" s="724">
        <v>0</v>
      </c>
      <c r="P469" s="724">
        <v>0</v>
      </c>
      <c r="Q469" s="724">
        <v>0</v>
      </c>
      <c r="R469" s="724">
        <v>0</v>
      </c>
      <c r="S469" s="724">
        <v>0</v>
      </c>
      <c r="T469" s="724">
        <v>0</v>
      </c>
      <c r="U469" s="724">
        <v>0</v>
      </c>
      <c r="V469" s="724">
        <v>0</v>
      </c>
      <c r="W469" s="92">
        <v>0</v>
      </c>
      <c r="X469" s="92" t="s">
        <v>326</v>
      </c>
      <c r="Y469" s="738">
        <v>12816</v>
      </c>
      <c r="Z469" s="738">
        <v>57735</v>
      </c>
      <c r="AA469" s="738">
        <v>3</v>
      </c>
      <c r="AB469" s="708"/>
      <c r="AC469" s="708"/>
      <c r="AD469" s="146" t="s">
        <v>255</v>
      </c>
      <c r="AE469" s="146" t="s">
        <v>256</v>
      </c>
      <c r="AF469" s="146" t="s">
        <v>195</v>
      </c>
      <c r="AG469" s="708"/>
    </row>
    <row r="470" s="570" customFormat="1" ht="24.95" customHeight="1" spans="1:33">
      <c r="A470" s="705"/>
      <c r="B470" s="785" t="s">
        <v>78</v>
      </c>
      <c r="C470" s="146" t="s">
        <v>52</v>
      </c>
      <c r="D470" s="152" t="s">
        <v>147</v>
      </c>
      <c r="E470" s="92">
        <v>3</v>
      </c>
      <c r="F470" s="92" t="s">
        <v>78</v>
      </c>
      <c r="G470" s="92"/>
      <c r="H470" s="724">
        <v>36000</v>
      </c>
      <c r="I470" s="724">
        <v>12000</v>
      </c>
      <c r="J470" s="724">
        <v>12000</v>
      </c>
      <c r="K470" s="724">
        <v>12000</v>
      </c>
      <c r="L470" s="724">
        <v>2018.01</v>
      </c>
      <c r="M470" s="724">
        <v>2020.12</v>
      </c>
      <c r="N470" s="724">
        <v>0</v>
      </c>
      <c r="O470" s="724">
        <v>0</v>
      </c>
      <c r="P470" s="724">
        <v>0</v>
      </c>
      <c r="Q470" s="724">
        <v>0</v>
      </c>
      <c r="R470" s="724">
        <v>0</v>
      </c>
      <c r="S470" s="724">
        <v>0</v>
      </c>
      <c r="T470" s="724">
        <v>0</v>
      </c>
      <c r="U470" s="724">
        <v>0</v>
      </c>
      <c r="V470" s="724">
        <v>0</v>
      </c>
      <c r="W470" s="92">
        <v>0</v>
      </c>
      <c r="X470" s="92" t="s">
        <v>326</v>
      </c>
      <c r="Y470" s="738">
        <v>7788</v>
      </c>
      <c r="Z470" s="738">
        <v>36000</v>
      </c>
      <c r="AA470" s="738">
        <v>3</v>
      </c>
      <c r="AB470" s="708"/>
      <c r="AC470" s="708"/>
      <c r="AD470" s="146" t="s">
        <v>330</v>
      </c>
      <c r="AE470" s="146" t="s">
        <v>257</v>
      </c>
      <c r="AF470" s="146" t="s">
        <v>195</v>
      </c>
      <c r="AG470" s="708"/>
    </row>
    <row r="471" s="570" customFormat="1" ht="24.95" customHeight="1" spans="1:33">
      <c r="A471" s="705"/>
      <c r="B471" s="785" t="s">
        <v>114</v>
      </c>
      <c r="C471" s="146" t="s">
        <v>52</v>
      </c>
      <c r="D471" s="152" t="s">
        <v>147</v>
      </c>
      <c r="E471" s="92">
        <v>3</v>
      </c>
      <c r="F471" s="92" t="s">
        <v>114</v>
      </c>
      <c r="G471" s="92"/>
      <c r="H471" s="724">
        <v>4632</v>
      </c>
      <c r="I471" s="724">
        <v>1544</v>
      </c>
      <c r="J471" s="724">
        <v>1544</v>
      </c>
      <c r="K471" s="724">
        <v>1544</v>
      </c>
      <c r="L471" s="724">
        <v>2018.01</v>
      </c>
      <c r="M471" s="724">
        <v>2020.12</v>
      </c>
      <c r="N471" s="724">
        <v>0</v>
      </c>
      <c r="O471" s="724">
        <v>0</v>
      </c>
      <c r="P471" s="724">
        <v>0</v>
      </c>
      <c r="Q471" s="724">
        <v>0</v>
      </c>
      <c r="R471" s="724">
        <v>0</v>
      </c>
      <c r="S471" s="724">
        <v>0</v>
      </c>
      <c r="T471" s="724">
        <v>0</v>
      </c>
      <c r="U471" s="724">
        <v>0</v>
      </c>
      <c r="V471" s="724">
        <v>0</v>
      </c>
      <c r="W471" s="92">
        <v>0</v>
      </c>
      <c r="X471" s="92" t="s">
        <v>326</v>
      </c>
      <c r="Y471" s="738">
        <v>1104</v>
      </c>
      <c r="Z471" s="738">
        <v>4632</v>
      </c>
      <c r="AA471" s="738">
        <v>3</v>
      </c>
      <c r="AB471" s="708"/>
      <c r="AC471" s="708"/>
      <c r="AD471" s="146" t="s">
        <v>260</v>
      </c>
      <c r="AE471" s="146" t="s">
        <v>331</v>
      </c>
      <c r="AF471" s="146" t="s">
        <v>195</v>
      </c>
      <c r="AG471" s="708"/>
    </row>
    <row r="472" s="570" customFormat="1" ht="24.95" customHeight="1" spans="1:33">
      <c r="A472" s="705"/>
      <c r="B472" s="785" t="s">
        <v>64</v>
      </c>
      <c r="C472" s="146" t="s">
        <v>52</v>
      </c>
      <c r="D472" s="152" t="s">
        <v>147</v>
      </c>
      <c r="E472" s="92">
        <v>3</v>
      </c>
      <c r="F472" s="92" t="s">
        <v>64</v>
      </c>
      <c r="G472" s="92"/>
      <c r="H472" s="724">
        <v>27822</v>
      </c>
      <c r="I472" s="724">
        <v>9274</v>
      </c>
      <c r="J472" s="724">
        <v>9274</v>
      </c>
      <c r="K472" s="724">
        <v>9274</v>
      </c>
      <c r="L472" s="724">
        <v>2018.01</v>
      </c>
      <c r="M472" s="724">
        <v>2020.12</v>
      </c>
      <c r="N472" s="724">
        <v>0</v>
      </c>
      <c r="O472" s="724">
        <v>0</v>
      </c>
      <c r="P472" s="724">
        <v>0</v>
      </c>
      <c r="Q472" s="724">
        <v>0</v>
      </c>
      <c r="R472" s="724">
        <v>0</v>
      </c>
      <c r="S472" s="724">
        <v>0</v>
      </c>
      <c r="T472" s="724">
        <v>0</v>
      </c>
      <c r="U472" s="724">
        <v>0</v>
      </c>
      <c r="V472" s="724">
        <v>0</v>
      </c>
      <c r="W472" s="92">
        <v>0</v>
      </c>
      <c r="X472" s="92" t="s">
        <v>326</v>
      </c>
      <c r="Y472" s="738">
        <v>6600</v>
      </c>
      <c r="Z472" s="738">
        <v>27822</v>
      </c>
      <c r="AA472" s="738">
        <v>3</v>
      </c>
      <c r="AB472" s="708"/>
      <c r="AC472" s="708"/>
      <c r="AD472" s="146" t="s">
        <v>65</v>
      </c>
      <c r="AE472" s="146" t="s">
        <v>258</v>
      </c>
      <c r="AF472" s="146" t="s">
        <v>195</v>
      </c>
      <c r="AG472" s="708"/>
    </row>
    <row r="473" s="570" customFormat="1" ht="24.95" customHeight="1" spans="1:33">
      <c r="A473" s="705" t="s">
        <v>48</v>
      </c>
      <c r="B473" s="785" t="s">
        <v>92</v>
      </c>
      <c r="C473" s="146" t="s">
        <v>52</v>
      </c>
      <c r="D473" s="152" t="s">
        <v>147</v>
      </c>
      <c r="E473" s="92">
        <v>3</v>
      </c>
      <c r="F473" s="92" t="s">
        <v>92</v>
      </c>
      <c r="G473" s="92"/>
      <c r="H473" s="724">
        <v>17544</v>
      </c>
      <c r="I473" s="724">
        <v>5848</v>
      </c>
      <c r="J473" s="724">
        <v>5848</v>
      </c>
      <c r="K473" s="724">
        <v>5848</v>
      </c>
      <c r="L473" s="724">
        <v>2018.01</v>
      </c>
      <c r="M473" s="724">
        <v>2020.12</v>
      </c>
      <c r="N473" s="724">
        <v>0</v>
      </c>
      <c r="O473" s="724">
        <v>0</v>
      </c>
      <c r="P473" s="724">
        <v>0</v>
      </c>
      <c r="Q473" s="724">
        <v>0</v>
      </c>
      <c r="R473" s="724">
        <v>0</v>
      </c>
      <c r="S473" s="724">
        <v>0</v>
      </c>
      <c r="T473" s="724">
        <v>0</v>
      </c>
      <c r="U473" s="724">
        <v>0</v>
      </c>
      <c r="V473" s="724">
        <v>0</v>
      </c>
      <c r="W473" s="92">
        <v>0</v>
      </c>
      <c r="X473" s="92" t="s">
        <v>326</v>
      </c>
      <c r="Y473" s="738">
        <v>3741</v>
      </c>
      <c r="Z473" s="738">
        <v>17544</v>
      </c>
      <c r="AA473" s="738">
        <v>3</v>
      </c>
      <c r="AB473" s="92"/>
      <c r="AC473" s="92"/>
      <c r="AD473" s="775" t="s">
        <v>262</v>
      </c>
      <c r="AE473" s="775" t="s">
        <v>263</v>
      </c>
      <c r="AF473" s="146" t="s">
        <v>195</v>
      </c>
      <c r="AG473" s="92"/>
    </row>
    <row r="474" s="570" customFormat="1" ht="24.95" customHeight="1" spans="1:33">
      <c r="A474" s="705">
        <v>60</v>
      </c>
      <c r="B474" s="750" t="s">
        <v>335</v>
      </c>
      <c r="C474" s="146" t="s">
        <v>320</v>
      </c>
      <c r="D474" s="152" t="s">
        <v>194</v>
      </c>
      <c r="E474" s="92">
        <v>36</v>
      </c>
      <c r="F474" s="92">
        <v>0</v>
      </c>
      <c r="G474" s="92"/>
      <c r="H474" s="724">
        <v>798</v>
      </c>
      <c r="I474" s="724">
        <v>266</v>
      </c>
      <c r="J474" s="724">
        <v>266</v>
      </c>
      <c r="K474" s="724">
        <v>266</v>
      </c>
      <c r="L474" s="724">
        <v>0</v>
      </c>
      <c r="M474" s="724">
        <v>0</v>
      </c>
      <c r="N474" s="724">
        <v>0</v>
      </c>
      <c r="O474" s="724">
        <v>0</v>
      </c>
      <c r="P474" s="724">
        <v>0</v>
      </c>
      <c r="Q474" s="724">
        <v>0</v>
      </c>
      <c r="R474" s="724">
        <v>0</v>
      </c>
      <c r="S474" s="724">
        <v>0</v>
      </c>
      <c r="T474" s="724">
        <v>0</v>
      </c>
      <c r="U474" s="724">
        <v>0</v>
      </c>
      <c r="V474" s="724">
        <v>0</v>
      </c>
      <c r="W474" s="92">
        <v>0</v>
      </c>
      <c r="X474" s="92" t="s">
        <v>326</v>
      </c>
      <c r="Y474" s="738">
        <v>798</v>
      </c>
      <c r="Z474" s="738">
        <v>3609</v>
      </c>
      <c r="AA474" s="738">
        <v>36</v>
      </c>
      <c r="AB474" s="708"/>
      <c r="AC474" s="708"/>
      <c r="AD474" s="753" t="s">
        <v>336</v>
      </c>
      <c r="AE474" s="146" t="s">
        <v>337</v>
      </c>
      <c r="AF474" s="438" t="s">
        <v>338</v>
      </c>
      <c r="AG474" s="708" t="s">
        <v>41</v>
      </c>
    </row>
    <row r="475" s="570" customFormat="1" ht="24.95" customHeight="1" spans="1:33">
      <c r="A475" s="705"/>
      <c r="B475" s="714" t="s">
        <v>101</v>
      </c>
      <c r="C475" s="146" t="s">
        <v>320</v>
      </c>
      <c r="D475" s="152" t="s">
        <v>194</v>
      </c>
      <c r="E475" s="92">
        <v>3</v>
      </c>
      <c r="F475" s="92" t="s">
        <v>101</v>
      </c>
      <c r="G475" s="92"/>
      <c r="H475" s="724">
        <v>57</v>
      </c>
      <c r="I475" s="724">
        <v>19</v>
      </c>
      <c r="J475" s="724">
        <v>19</v>
      </c>
      <c r="K475" s="724">
        <v>19</v>
      </c>
      <c r="L475" s="724">
        <v>2018.01</v>
      </c>
      <c r="M475" s="724">
        <v>2020.12</v>
      </c>
      <c r="N475" s="724">
        <v>0</v>
      </c>
      <c r="O475" s="724">
        <v>0</v>
      </c>
      <c r="P475" s="724">
        <v>0</v>
      </c>
      <c r="Q475" s="724">
        <v>0</v>
      </c>
      <c r="R475" s="724">
        <v>0</v>
      </c>
      <c r="S475" s="724">
        <v>0</v>
      </c>
      <c r="T475" s="724">
        <v>0</v>
      </c>
      <c r="U475" s="724">
        <v>0</v>
      </c>
      <c r="V475" s="724">
        <v>0</v>
      </c>
      <c r="W475" s="92">
        <v>0</v>
      </c>
      <c r="X475" s="92" t="s">
        <v>326</v>
      </c>
      <c r="Y475" s="738">
        <v>57</v>
      </c>
      <c r="Z475" s="738">
        <v>273</v>
      </c>
      <c r="AA475" s="738">
        <v>3</v>
      </c>
      <c r="AB475" s="708"/>
      <c r="AC475" s="708"/>
      <c r="AD475" s="141" t="s">
        <v>244</v>
      </c>
      <c r="AE475" s="146" t="s">
        <v>333</v>
      </c>
      <c r="AF475" s="438" t="s">
        <v>338</v>
      </c>
      <c r="AG475" s="708"/>
    </row>
    <row r="476" s="570" customFormat="1" ht="24.95" customHeight="1" spans="1:33">
      <c r="A476" s="705"/>
      <c r="B476" s="714" t="s">
        <v>151</v>
      </c>
      <c r="C476" s="146" t="s">
        <v>52</v>
      </c>
      <c r="D476" s="152" t="s">
        <v>194</v>
      </c>
      <c r="E476" s="92">
        <v>3</v>
      </c>
      <c r="F476" s="92" t="s">
        <v>151</v>
      </c>
      <c r="G476" s="92"/>
      <c r="H476" s="724">
        <v>9</v>
      </c>
      <c r="I476" s="724">
        <v>3</v>
      </c>
      <c r="J476" s="724">
        <v>3</v>
      </c>
      <c r="K476" s="724">
        <v>3</v>
      </c>
      <c r="L476" s="724">
        <v>2018.01</v>
      </c>
      <c r="M476" s="724">
        <v>2020.12</v>
      </c>
      <c r="N476" s="724">
        <v>0</v>
      </c>
      <c r="O476" s="724">
        <v>0</v>
      </c>
      <c r="P476" s="724">
        <v>0</v>
      </c>
      <c r="Q476" s="724">
        <v>0</v>
      </c>
      <c r="R476" s="724">
        <v>0</v>
      </c>
      <c r="S476" s="724">
        <v>0</v>
      </c>
      <c r="T476" s="724">
        <v>0</v>
      </c>
      <c r="U476" s="724">
        <v>0</v>
      </c>
      <c r="V476" s="724">
        <v>0</v>
      </c>
      <c r="W476" s="92">
        <v>0</v>
      </c>
      <c r="X476" s="92" t="s">
        <v>326</v>
      </c>
      <c r="Y476" s="738">
        <v>9</v>
      </c>
      <c r="Z476" s="738">
        <v>30</v>
      </c>
      <c r="AA476" s="738">
        <v>3</v>
      </c>
      <c r="AB476" s="708"/>
      <c r="AC476" s="708"/>
      <c r="AD476" s="146" t="s">
        <v>339</v>
      </c>
      <c r="AE476" s="712" t="s">
        <v>340</v>
      </c>
      <c r="AF476" s="438" t="s">
        <v>338</v>
      </c>
      <c r="AG476" s="708"/>
    </row>
    <row r="477" s="570" customFormat="1" ht="24.95" customHeight="1" spans="1:33">
      <c r="A477" s="705"/>
      <c r="B477" s="714" t="s">
        <v>154</v>
      </c>
      <c r="C477" s="146" t="s">
        <v>320</v>
      </c>
      <c r="D477" s="152" t="s">
        <v>194</v>
      </c>
      <c r="E477" s="92">
        <v>3</v>
      </c>
      <c r="F477" s="92" t="s">
        <v>154</v>
      </c>
      <c r="G477" s="92"/>
      <c r="H477" s="724">
        <v>42</v>
      </c>
      <c r="I477" s="724">
        <v>14</v>
      </c>
      <c r="J477" s="724">
        <v>14</v>
      </c>
      <c r="K477" s="724">
        <v>14</v>
      </c>
      <c r="L477" s="724">
        <v>2018.01</v>
      </c>
      <c r="M477" s="724">
        <v>2020.12</v>
      </c>
      <c r="N477" s="724">
        <v>0</v>
      </c>
      <c r="O477" s="724">
        <v>0</v>
      </c>
      <c r="P477" s="724">
        <v>0</v>
      </c>
      <c r="Q477" s="724">
        <v>0</v>
      </c>
      <c r="R477" s="724">
        <v>0</v>
      </c>
      <c r="S477" s="724">
        <v>0</v>
      </c>
      <c r="T477" s="724">
        <v>0</v>
      </c>
      <c r="U477" s="724">
        <v>0</v>
      </c>
      <c r="V477" s="724">
        <v>0</v>
      </c>
      <c r="W477" s="92">
        <v>0</v>
      </c>
      <c r="X477" s="92" t="s">
        <v>326</v>
      </c>
      <c r="Y477" s="738">
        <v>42</v>
      </c>
      <c r="Z477" s="738">
        <v>216</v>
      </c>
      <c r="AA477" s="738">
        <v>3</v>
      </c>
      <c r="AB477" s="708"/>
      <c r="AC477" s="708"/>
      <c r="AD477" s="146" t="s">
        <v>247</v>
      </c>
      <c r="AE477" s="146" t="s">
        <v>341</v>
      </c>
      <c r="AF477" s="438" t="s">
        <v>338</v>
      </c>
      <c r="AG477" s="708"/>
    </row>
    <row r="478" s="570" customFormat="1" ht="24.95" customHeight="1" spans="1:33">
      <c r="A478" s="705"/>
      <c r="B478" s="714" t="s">
        <v>81</v>
      </c>
      <c r="C478" s="146" t="s">
        <v>320</v>
      </c>
      <c r="D478" s="152" t="s">
        <v>194</v>
      </c>
      <c r="E478" s="92">
        <v>3</v>
      </c>
      <c r="F478" s="92" t="s">
        <v>81</v>
      </c>
      <c r="G478" s="92"/>
      <c r="H478" s="724">
        <v>48</v>
      </c>
      <c r="I478" s="724">
        <v>16</v>
      </c>
      <c r="J478" s="724">
        <v>16</v>
      </c>
      <c r="K478" s="724">
        <v>16</v>
      </c>
      <c r="L478" s="724">
        <v>2018.01</v>
      </c>
      <c r="M478" s="724">
        <v>2020.12</v>
      </c>
      <c r="N478" s="724">
        <v>0</v>
      </c>
      <c r="O478" s="724">
        <v>0</v>
      </c>
      <c r="P478" s="724">
        <v>0</v>
      </c>
      <c r="Q478" s="724">
        <v>0</v>
      </c>
      <c r="R478" s="724">
        <v>0</v>
      </c>
      <c r="S478" s="724">
        <v>0</v>
      </c>
      <c r="T478" s="724">
        <v>0</v>
      </c>
      <c r="U478" s="724">
        <v>0</v>
      </c>
      <c r="V478" s="724">
        <v>0</v>
      </c>
      <c r="W478" s="92">
        <v>0</v>
      </c>
      <c r="X478" s="92" t="s">
        <v>326</v>
      </c>
      <c r="Y478" s="738">
        <v>48</v>
      </c>
      <c r="Z478" s="738">
        <v>177</v>
      </c>
      <c r="AA478" s="738">
        <v>3</v>
      </c>
      <c r="AB478" s="708"/>
      <c r="AC478" s="708"/>
      <c r="AD478" s="146" t="s">
        <v>342</v>
      </c>
      <c r="AE478" s="146" t="s">
        <v>343</v>
      </c>
      <c r="AF478" s="438" t="s">
        <v>338</v>
      </c>
      <c r="AG478" s="708"/>
    </row>
    <row r="479" s="570" customFormat="1" ht="24.95" customHeight="1" spans="1:33">
      <c r="A479" s="705"/>
      <c r="B479" s="714" t="s">
        <v>98</v>
      </c>
      <c r="C479" s="146" t="s">
        <v>320</v>
      </c>
      <c r="D479" s="152" t="s">
        <v>194</v>
      </c>
      <c r="E479" s="92">
        <v>3</v>
      </c>
      <c r="F479" s="92" t="s">
        <v>98</v>
      </c>
      <c r="G479" s="92"/>
      <c r="H479" s="724">
        <v>285</v>
      </c>
      <c r="I479" s="724">
        <v>95</v>
      </c>
      <c r="J479" s="724">
        <v>95</v>
      </c>
      <c r="K479" s="724">
        <v>95</v>
      </c>
      <c r="L479" s="724">
        <v>2018.01</v>
      </c>
      <c r="M479" s="724">
        <v>2020.12</v>
      </c>
      <c r="N479" s="724">
        <v>0</v>
      </c>
      <c r="O479" s="724">
        <v>0</v>
      </c>
      <c r="P479" s="724">
        <v>0</v>
      </c>
      <c r="Q479" s="724">
        <v>0</v>
      </c>
      <c r="R479" s="724">
        <v>0</v>
      </c>
      <c r="S479" s="724">
        <v>0</v>
      </c>
      <c r="T479" s="724">
        <v>0</v>
      </c>
      <c r="U479" s="724">
        <v>0</v>
      </c>
      <c r="V479" s="724">
        <v>0</v>
      </c>
      <c r="W479" s="92">
        <v>0</v>
      </c>
      <c r="X479" s="92" t="s">
        <v>326</v>
      </c>
      <c r="Y479" s="738">
        <v>285</v>
      </c>
      <c r="Z479" s="738">
        <v>1293</v>
      </c>
      <c r="AA479" s="738">
        <v>3</v>
      </c>
      <c r="AB479" s="708"/>
      <c r="AC479" s="708"/>
      <c r="AD479" s="146" t="s">
        <v>344</v>
      </c>
      <c r="AE479" s="146" t="s">
        <v>345</v>
      </c>
      <c r="AF479" s="438" t="s">
        <v>338</v>
      </c>
      <c r="AG479" s="708"/>
    </row>
    <row r="480" s="570" customFormat="1" ht="24.95" customHeight="1" spans="1:33">
      <c r="A480" s="705"/>
      <c r="B480" s="714" t="s">
        <v>211</v>
      </c>
      <c r="C480" s="146" t="s">
        <v>320</v>
      </c>
      <c r="D480" s="152" t="s">
        <v>194</v>
      </c>
      <c r="E480" s="92">
        <v>3</v>
      </c>
      <c r="F480" s="92" t="s">
        <v>211</v>
      </c>
      <c r="G480" s="92"/>
      <c r="H480" s="724">
        <v>66</v>
      </c>
      <c r="I480" s="724">
        <v>22</v>
      </c>
      <c r="J480" s="724">
        <v>22</v>
      </c>
      <c r="K480" s="724">
        <v>22</v>
      </c>
      <c r="L480" s="724">
        <v>2018.01</v>
      </c>
      <c r="M480" s="724">
        <v>2020.12</v>
      </c>
      <c r="N480" s="724">
        <v>0</v>
      </c>
      <c r="O480" s="724">
        <v>0</v>
      </c>
      <c r="P480" s="724">
        <v>0</v>
      </c>
      <c r="Q480" s="724">
        <v>0</v>
      </c>
      <c r="R480" s="724">
        <v>0</v>
      </c>
      <c r="S480" s="724">
        <v>0</v>
      </c>
      <c r="T480" s="724">
        <v>0</v>
      </c>
      <c r="U480" s="724">
        <v>0</v>
      </c>
      <c r="V480" s="724">
        <v>0</v>
      </c>
      <c r="W480" s="92">
        <v>0</v>
      </c>
      <c r="X480" s="92" t="s">
        <v>326</v>
      </c>
      <c r="Y480" s="738">
        <v>66</v>
      </c>
      <c r="Z480" s="738">
        <v>297</v>
      </c>
      <c r="AA480" s="738">
        <v>3</v>
      </c>
      <c r="AB480" s="708"/>
      <c r="AC480" s="708"/>
      <c r="AD480" s="146" t="s">
        <v>346</v>
      </c>
      <c r="AE480" s="146" t="s">
        <v>347</v>
      </c>
      <c r="AF480" s="438" t="s">
        <v>338</v>
      </c>
      <c r="AG480" s="708"/>
    </row>
    <row r="481" s="570" customFormat="1" ht="24.95" customHeight="1" spans="1:33">
      <c r="A481" s="705"/>
      <c r="B481" s="714" t="s">
        <v>155</v>
      </c>
      <c r="C481" s="146" t="s">
        <v>320</v>
      </c>
      <c r="D481" s="152" t="s">
        <v>194</v>
      </c>
      <c r="E481" s="92">
        <v>3</v>
      </c>
      <c r="F481" s="92" t="s">
        <v>155</v>
      </c>
      <c r="G481" s="92"/>
      <c r="H481" s="724">
        <v>24</v>
      </c>
      <c r="I481" s="724">
        <v>8</v>
      </c>
      <c r="J481" s="724">
        <v>8</v>
      </c>
      <c r="K481" s="724">
        <v>8</v>
      </c>
      <c r="L481" s="724">
        <v>2018.01</v>
      </c>
      <c r="M481" s="724">
        <v>2020.12</v>
      </c>
      <c r="N481" s="724">
        <v>0</v>
      </c>
      <c r="O481" s="724">
        <v>0</v>
      </c>
      <c r="P481" s="724">
        <v>0</v>
      </c>
      <c r="Q481" s="724">
        <v>0</v>
      </c>
      <c r="R481" s="724">
        <v>0</v>
      </c>
      <c r="S481" s="724">
        <v>0</v>
      </c>
      <c r="T481" s="724">
        <v>0</v>
      </c>
      <c r="U481" s="724">
        <v>0</v>
      </c>
      <c r="V481" s="724">
        <v>0</v>
      </c>
      <c r="W481" s="92">
        <v>0</v>
      </c>
      <c r="X481" s="92" t="s">
        <v>326</v>
      </c>
      <c r="Y481" s="738">
        <v>24</v>
      </c>
      <c r="Z481" s="738">
        <v>105</v>
      </c>
      <c r="AA481" s="738">
        <v>3</v>
      </c>
      <c r="AB481" s="708"/>
      <c r="AC481" s="708"/>
      <c r="AD481" s="146" t="s">
        <v>253</v>
      </c>
      <c r="AE481" s="146" t="s">
        <v>348</v>
      </c>
      <c r="AF481" s="438" t="s">
        <v>338</v>
      </c>
      <c r="AG481" s="708"/>
    </row>
    <row r="482" s="570" customFormat="1" ht="24.95" customHeight="1" spans="1:33">
      <c r="A482" s="705"/>
      <c r="B482" s="714" t="s">
        <v>102</v>
      </c>
      <c r="C482" s="146" t="s">
        <v>320</v>
      </c>
      <c r="D482" s="152" t="s">
        <v>194</v>
      </c>
      <c r="E482" s="92">
        <v>3</v>
      </c>
      <c r="F482" s="92" t="s">
        <v>102</v>
      </c>
      <c r="G482" s="92"/>
      <c r="H482" s="724">
        <v>177</v>
      </c>
      <c r="I482" s="724">
        <v>59</v>
      </c>
      <c r="J482" s="724">
        <v>59</v>
      </c>
      <c r="K482" s="724">
        <v>59</v>
      </c>
      <c r="L482" s="724">
        <v>2018.01</v>
      </c>
      <c r="M482" s="724">
        <v>2020.12</v>
      </c>
      <c r="N482" s="724">
        <v>0</v>
      </c>
      <c r="O482" s="724">
        <v>0</v>
      </c>
      <c r="P482" s="724">
        <v>0</v>
      </c>
      <c r="Q482" s="724">
        <v>0</v>
      </c>
      <c r="R482" s="724">
        <v>0</v>
      </c>
      <c r="S482" s="724">
        <v>0</v>
      </c>
      <c r="T482" s="724">
        <v>0</v>
      </c>
      <c r="U482" s="724">
        <v>0</v>
      </c>
      <c r="V482" s="724">
        <v>0</v>
      </c>
      <c r="W482" s="92">
        <v>0</v>
      </c>
      <c r="X482" s="92" t="s">
        <v>326</v>
      </c>
      <c r="Y482" s="738">
        <v>177</v>
      </c>
      <c r="Z482" s="738">
        <v>816</v>
      </c>
      <c r="AA482" s="738">
        <v>3</v>
      </c>
      <c r="AB482" s="708"/>
      <c r="AC482" s="708"/>
      <c r="AD482" s="438" t="s">
        <v>255</v>
      </c>
      <c r="AE482" s="787" t="s">
        <v>349</v>
      </c>
      <c r="AF482" s="438" t="s">
        <v>338</v>
      </c>
      <c r="AG482" s="708"/>
    </row>
    <row r="483" s="570" customFormat="1" ht="24.95" customHeight="1" spans="1:33">
      <c r="A483" s="705"/>
      <c r="B483" s="714" t="s">
        <v>100</v>
      </c>
      <c r="C483" s="146" t="s">
        <v>320</v>
      </c>
      <c r="D483" s="152" t="s">
        <v>194</v>
      </c>
      <c r="E483" s="92">
        <v>3</v>
      </c>
      <c r="F483" s="92" t="s">
        <v>100</v>
      </c>
      <c r="G483" s="92"/>
      <c r="H483" s="724">
        <v>33</v>
      </c>
      <c r="I483" s="724">
        <v>11</v>
      </c>
      <c r="J483" s="724">
        <v>11</v>
      </c>
      <c r="K483" s="724">
        <v>11</v>
      </c>
      <c r="L483" s="724">
        <v>2018.01</v>
      </c>
      <c r="M483" s="724">
        <v>2020.12</v>
      </c>
      <c r="N483" s="724">
        <v>0</v>
      </c>
      <c r="O483" s="724">
        <v>0</v>
      </c>
      <c r="P483" s="724">
        <v>0</v>
      </c>
      <c r="Q483" s="724">
        <v>0</v>
      </c>
      <c r="R483" s="724">
        <v>0</v>
      </c>
      <c r="S483" s="724">
        <v>0</v>
      </c>
      <c r="T483" s="724">
        <v>0</v>
      </c>
      <c r="U483" s="724">
        <v>0</v>
      </c>
      <c r="V483" s="724">
        <v>0</v>
      </c>
      <c r="W483" s="92">
        <v>0</v>
      </c>
      <c r="X483" s="92" t="s">
        <v>326</v>
      </c>
      <c r="Y483" s="738">
        <v>33</v>
      </c>
      <c r="Z483" s="738">
        <v>150</v>
      </c>
      <c r="AA483" s="738">
        <v>3</v>
      </c>
      <c r="AB483" s="708"/>
      <c r="AC483" s="708"/>
      <c r="AD483" s="146" t="s">
        <v>350</v>
      </c>
      <c r="AE483" s="146" t="s">
        <v>351</v>
      </c>
      <c r="AF483" s="438" t="s">
        <v>338</v>
      </c>
      <c r="AG483" s="708"/>
    </row>
    <row r="484" s="570" customFormat="1" ht="24.95" customHeight="1" spans="1:33">
      <c r="A484" s="705"/>
      <c r="B484" s="714" t="s">
        <v>84</v>
      </c>
      <c r="C484" s="146" t="s">
        <v>320</v>
      </c>
      <c r="D484" s="152" t="s">
        <v>194</v>
      </c>
      <c r="E484" s="92">
        <v>3</v>
      </c>
      <c r="F484" s="92" t="s">
        <v>84</v>
      </c>
      <c r="G484" s="92"/>
      <c r="H484" s="724">
        <v>24</v>
      </c>
      <c r="I484" s="724">
        <v>8</v>
      </c>
      <c r="J484" s="724">
        <v>8</v>
      </c>
      <c r="K484" s="724">
        <v>8</v>
      </c>
      <c r="L484" s="724">
        <v>2018.01</v>
      </c>
      <c r="M484" s="724">
        <v>2020.12</v>
      </c>
      <c r="N484" s="724">
        <v>0</v>
      </c>
      <c r="O484" s="724">
        <v>0</v>
      </c>
      <c r="P484" s="724">
        <v>0</v>
      </c>
      <c r="Q484" s="724">
        <v>0</v>
      </c>
      <c r="R484" s="724">
        <v>0</v>
      </c>
      <c r="S484" s="724">
        <v>0</v>
      </c>
      <c r="T484" s="724">
        <v>0</v>
      </c>
      <c r="U484" s="724">
        <v>0</v>
      </c>
      <c r="V484" s="724">
        <v>0</v>
      </c>
      <c r="W484" s="92">
        <v>0</v>
      </c>
      <c r="X484" s="92" t="s">
        <v>326</v>
      </c>
      <c r="Y484" s="738">
        <v>24</v>
      </c>
      <c r="Z484" s="738">
        <v>105</v>
      </c>
      <c r="AA484" s="738">
        <v>3</v>
      </c>
      <c r="AB484" s="708"/>
      <c r="AC484" s="708"/>
      <c r="AD484" s="146" t="s">
        <v>312</v>
      </c>
      <c r="AE484" s="146" t="s">
        <v>352</v>
      </c>
      <c r="AF484" s="438" t="s">
        <v>338</v>
      </c>
      <c r="AG484" s="708"/>
    </row>
    <row r="485" s="570" customFormat="1" ht="24.95" customHeight="1" spans="1:33">
      <c r="A485" s="705"/>
      <c r="B485" s="714" t="s">
        <v>259</v>
      </c>
      <c r="C485" s="146" t="s">
        <v>320</v>
      </c>
      <c r="D485" s="152" t="s">
        <v>194</v>
      </c>
      <c r="E485" s="92">
        <v>3</v>
      </c>
      <c r="F485" s="92" t="s">
        <v>259</v>
      </c>
      <c r="G485" s="92"/>
      <c r="H485" s="724">
        <v>6</v>
      </c>
      <c r="I485" s="724">
        <v>2</v>
      </c>
      <c r="J485" s="724">
        <v>2</v>
      </c>
      <c r="K485" s="724">
        <v>2</v>
      </c>
      <c r="L485" s="724">
        <v>2018.01</v>
      </c>
      <c r="M485" s="724">
        <v>2020.12</v>
      </c>
      <c r="N485" s="724">
        <v>0</v>
      </c>
      <c r="O485" s="724">
        <v>0</v>
      </c>
      <c r="P485" s="724">
        <v>0</v>
      </c>
      <c r="Q485" s="724">
        <v>0</v>
      </c>
      <c r="R485" s="724">
        <v>0</v>
      </c>
      <c r="S485" s="724">
        <v>0</v>
      </c>
      <c r="T485" s="724">
        <v>0</v>
      </c>
      <c r="U485" s="724">
        <v>0</v>
      </c>
      <c r="V485" s="724">
        <v>0</v>
      </c>
      <c r="W485" s="92">
        <v>0</v>
      </c>
      <c r="X485" s="92" t="s">
        <v>326</v>
      </c>
      <c r="Y485" s="738">
        <v>6</v>
      </c>
      <c r="Z485" s="738">
        <v>21</v>
      </c>
      <c r="AA485" s="738">
        <v>3</v>
      </c>
      <c r="AB485" s="708"/>
      <c r="AC485" s="708"/>
      <c r="AD485" s="146" t="s">
        <v>183</v>
      </c>
      <c r="AE485" s="146" t="s">
        <v>353</v>
      </c>
      <c r="AF485" s="438" t="s">
        <v>338</v>
      </c>
      <c r="AG485" s="708"/>
    </row>
    <row r="486" s="570" customFormat="1" ht="24.95" customHeight="1" spans="1:33">
      <c r="A486" s="705" t="s">
        <v>48</v>
      </c>
      <c r="B486" s="714" t="s">
        <v>143</v>
      </c>
      <c r="C486" s="146" t="s">
        <v>320</v>
      </c>
      <c r="D486" s="152" t="s">
        <v>194</v>
      </c>
      <c r="E486" s="92">
        <v>3</v>
      </c>
      <c r="F486" s="92" t="s">
        <v>143</v>
      </c>
      <c r="G486" s="92"/>
      <c r="H486" s="724">
        <v>27</v>
      </c>
      <c r="I486" s="724">
        <v>9</v>
      </c>
      <c r="J486" s="724">
        <v>9</v>
      </c>
      <c r="K486" s="724">
        <v>9</v>
      </c>
      <c r="L486" s="724">
        <v>2018.01</v>
      </c>
      <c r="M486" s="724">
        <v>2020.12</v>
      </c>
      <c r="N486" s="724">
        <v>0</v>
      </c>
      <c r="O486" s="724">
        <v>0</v>
      </c>
      <c r="P486" s="724">
        <v>0</v>
      </c>
      <c r="Q486" s="724">
        <v>0</v>
      </c>
      <c r="R486" s="724">
        <v>0</v>
      </c>
      <c r="S486" s="724">
        <v>0</v>
      </c>
      <c r="T486" s="724">
        <v>0</v>
      </c>
      <c r="U486" s="724">
        <v>0</v>
      </c>
      <c r="V486" s="724">
        <v>0</v>
      </c>
      <c r="W486" s="92">
        <v>0</v>
      </c>
      <c r="X486" s="92" t="s">
        <v>326</v>
      </c>
      <c r="Y486" s="738">
        <v>27</v>
      </c>
      <c r="Z486" s="738">
        <v>126</v>
      </c>
      <c r="AA486" s="738">
        <v>3</v>
      </c>
      <c r="AB486" s="92"/>
      <c r="AC486" s="92"/>
      <c r="AD486" s="775" t="s">
        <v>354</v>
      </c>
      <c r="AE486" s="146" t="s">
        <v>263</v>
      </c>
      <c r="AF486" s="438" t="s">
        <v>338</v>
      </c>
      <c r="AG486" s="92"/>
    </row>
    <row r="487" s="570" customFormat="1" ht="24.95" customHeight="1" spans="1:33">
      <c r="A487" s="705">
        <v>61</v>
      </c>
      <c r="B487" s="750" t="s">
        <v>355</v>
      </c>
      <c r="C487" s="146" t="s">
        <v>320</v>
      </c>
      <c r="D487" s="152" t="s">
        <v>194</v>
      </c>
      <c r="E487" s="92">
        <v>36</v>
      </c>
      <c r="F487" s="92">
        <v>0</v>
      </c>
      <c r="G487" s="92"/>
      <c r="H487" s="724">
        <v>4776</v>
      </c>
      <c r="I487" s="724">
        <v>1592</v>
      </c>
      <c r="J487" s="724">
        <v>1592</v>
      </c>
      <c r="K487" s="724">
        <v>1592</v>
      </c>
      <c r="L487" s="724">
        <v>0</v>
      </c>
      <c r="M487" s="724">
        <v>0</v>
      </c>
      <c r="N487" s="724">
        <v>0</v>
      </c>
      <c r="O487" s="724">
        <v>0</v>
      </c>
      <c r="P487" s="724">
        <v>0</v>
      </c>
      <c r="Q487" s="724">
        <v>0</v>
      </c>
      <c r="R487" s="724">
        <v>0</v>
      </c>
      <c r="S487" s="724">
        <v>0</v>
      </c>
      <c r="T487" s="724">
        <v>0</v>
      </c>
      <c r="U487" s="724">
        <v>0</v>
      </c>
      <c r="V487" s="724">
        <v>0</v>
      </c>
      <c r="W487" s="92">
        <v>0</v>
      </c>
      <c r="X487" s="92" t="s">
        <v>326</v>
      </c>
      <c r="Y487" s="738">
        <v>4521</v>
      </c>
      <c r="Z487" s="738">
        <v>10344</v>
      </c>
      <c r="AA487" s="738">
        <v>36</v>
      </c>
      <c r="AB487" s="708"/>
      <c r="AC487" s="708"/>
      <c r="AD487" s="753" t="s">
        <v>356</v>
      </c>
      <c r="AE487" s="146" t="s">
        <v>357</v>
      </c>
      <c r="AF487" s="146" t="s">
        <v>358</v>
      </c>
      <c r="AG487" s="708" t="s">
        <v>41</v>
      </c>
    </row>
    <row r="488" s="570" customFormat="1" ht="24.95" customHeight="1" spans="1:33">
      <c r="A488" s="705"/>
      <c r="B488" s="714" t="s">
        <v>101</v>
      </c>
      <c r="C488" s="146" t="s">
        <v>320</v>
      </c>
      <c r="D488" s="152" t="s">
        <v>194</v>
      </c>
      <c r="E488" s="92">
        <v>3</v>
      </c>
      <c r="F488" s="92" t="s">
        <v>101</v>
      </c>
      <c r="G488" s="92"/>
      <c r="H488" s="724">
        <v>366</v>
      </c>
      <c r="I488" s="724">
        <v>122</v>
      </c>
      <c r="J488" s="724">
        <v>122</v>
      </c>
      <c r="K488" s="724">
        <v>122</v>
      </c>
      <c r="L488" s="724">
        <v>2018.01</v>
      </c>
      <c r="M488" s="724">
        <v>2020.12</v>
      </c>
      <c r="N488" s="724">
        <v>0</v>
      </c>
      <c r="O488" s="724">
        <v>0</v>
      </c>
      <c r="P488" s="724">
        <v>0</v>
      </c>
      <c r="Q488" s="724">
        <v>0</v>
      </c>
      <c r="R488" s="724">
        <v>0</v>
      </c>
      <c r="S488" s="724">
        <v>0</v>
      </c>
      <c r="T488" s="724">
        <v>0</v>
      </c>
      <c r="U488" s="724">
        <v>0</v>
      </c>
      <c r="V488" s="724">
        <v>0</v>
      </c>
      <c r="W488" s="92">
        <v>0</v>
      </c>
      <c r="X488" s="92" t="s">
        <v>326</v>
      </c>
      <c r="Y488" s="738">
        <v>366</v>
      </c>
      <c r="Z488" s="738">
        <v>1434</v>
      </c>
      <c r="AA488" s="738">
        <v>3</v>
      </c>
      <c r="AB488" s="708"/>
      <c r="AC488" s="708"/>
      <c r="AD488" s="141" t="s">
        <v>298</v>
      </c>
      <c r="AE488" s="146" t="s">
        <v>359</v>
      </c>
      <c r="AF488" s="438" t="s">
        <v>358</v>
      </c>
      <c r="AG488" s="708"/>
    </row>
    <row r="489" s="570" customFormat="1" ht="24.95" customHeight="1" spans="1:33">
      <c r="A489" s="705"/>
      <c r="B489" s="714" t="s">
        <v>151</v>
      </c>
      <c r="C489" s="146" t="s">
        <v>320</v>
      </c>
      <c r="D489" s="152" t="s">
        <v>194</v>
      </c>
      <c r="E489" s="92">
        <v>3</v>
      </c>
      <c r="F489" s="92" t="s">
        <v>151</v>
      </c>
      <c r="G489" s="92"/>
      <c r="H489" s="724">
        <v>9</v>
      </c>
      <c r="I489" s="724">
        <v>3</v>
      </c>
      <c r="J489" s="724">
        <v>3</v>
      </c>
      <c r="K489" s="724">
        <v>3</v>
      </c>
      <c r="L489" s="724">
        <v>2018.01</v>
      </c>
      <c r="M489" s="724">
        <v>2020.12</v>
      </c>
      <c r="N489" s="724">
        <v>0</v>
      </c>
      <c r="O489" s="724">
        <v>0</v>
      </c>
      <c r="P489" s="724">
        <v>0</v>
      </c>
      <c r="Q489" s="724">
        <v>0</v>
      </c>
      <c r="R489" s="724">
        <v>0</v>
      </c>
      <c r="S489" s="724">
        <v>0</v>
      </c>
      <c r="T489" s="724">
        <v>0</v>
      </c>
      <c r="U489" s="724">
        <v>0</v>
      </c>
      <c r="V489" s="724">
        <v>0</v>
      </c>
      <c r="W489" s="92">
        <v>0</v>
      </c>
      <c r="X489" s="92" t="s">
        <v>326</v>
      </c>
      <c r="Y489" s="738">
        <v>9</v>
      </c>
      <c r="Z489" s="738">
        <v>9</v>
      </c>
      <c r="AA489" s="738">
        <v>3</v>
      </c>
      <c r="AB489" s="708"/>
      <c r="AC489" s="708"/>
      <c r="AD489" s="146" t="s">
        <v>339</v>
      </c>
      <c r="AE489" s="146" t="s">
        <v>340</v>
      </c>
      <c r="AF489" s="438" t="s">
        <v>358</v>
      </c>
      <c r="AG489" s="708"/>
    </row>
    <row r="490" s="570" customFormat="1" ht="24.95" customHeight="1" spans="1:33">
      <c r="A490" s="705"/>
      <c r="B490" s="714" t="s">
        <v>154</v>
      </c>
      <c r="C490" s="146" t="s">
        <v>320</v>
      </c>
      <c r="D490" s="152" t="s">
        <v>194</v>
      </c>
      <c r="E490" s="92">
        <v>3</v>
      </c>
      <c r="F490" s="92" t="s">
        <v>154</v>
      </c>
      <c r="G490" s="92"/>
      <c r="H490" s="724">
        <v>543</v>
      </c>
      <c r="I490" s="724">
        <v>181</v>
      </c>
      <c r="J490" s="724">
        <v>181</v>
      </c>
      <c r="K490" s="724">
        <v>181</v>
      </c>
      <c r="L490" s="724">
        <v>2018.01</v>
      </c>
      <c r="M490" s="724">
        <v>2020.12</v>
      </c>
      <c r="N490" s="724">
        <v>0</v>
      </c>
      <c r="O490" s="724">
        <v>0</v>
      </c>
      <c r="P490" s="724">
        <v>0</v>
      </c>
      <c r="Q490" s="724">
        <v>0</v>
      </c>
      <c r="R490" s="724">
        <v>0</v>
      </c>
      <c r="S490" s="724">
        <v>0</v>
      </c>
      <c r="T490" s="724">
        <v>0</v>
      </c>
      <c r="U490" s="724">
        <v>0</v>
      </c>
      <c r="V490" s="724">
        <v>0</v>
      </c>
      <c r="W490" s="92">
        <v>0</v>
      </c>
      <c r="X490" s="92" t="s">
        <v>326</v>
      </c>
      <c r="Y490" s="738">
        <v>441</v>
      </c>
      <c r="Z490" s="738">
        <v>543</v>
      </c>
      <c r="AA490" s="738">
        <v>3</v>
      </c>
      <c r="AB490" s="708"/>
      <c r="AC490" s="708"/>
      <c r="AD490" s="146" t="s">
        <v>360</v>
      </c>
      <c r="AE490" s="146" t="s">
        <v>361</v>
      </c>
      <c r="AF490" s="438" t="s">
        <v>358</v>
      </c>
      <c r="AG490" s="708"/>
    </row>
    <row r="491" s="570" customFormat="1" ht="24.95" customHeight="1" spans="1:33">
      <c r="A491" s="705"/>
      <c r="B491" s="714" t="s">
        <v>81</v>
      </c>
      <c r="C491" s="146" t="s">
        <v>320</v>
      </c>
      <c r="D491" s="152" t="s">
        <v>194</v>
      </c>
      <c r="E491" s="92">
        <v>3</v>
      </c>
      <c r="F491" s="92" t="s">
        <v>81</v>
      </c>
      <c r="G491" s="92"/>
      <c r="H491" s="724">
        <v>381</v>
      </c>
      <c r="I491" s="724">
        <v>127</v>
      </c>
      <c r="J491" s="724">
        <v>127</v>
      </c>
      <c r="K491" s="724">
        <v>127</v>
      </c>
      <c r="L491" s="724">
        <v>2018.01</v>
      </c>
      <c r="M491" s="724">
        <v>2020.12</v>
      </c>
      <c r="N491" s="724">
        <v>0</v>
      </c>
      <c r="O491" s="724">
        <v>0</v>
      </c>
      <c r="P491" s="724">
        <v>0</v>
      </c>
      <c r="Q491" s="724">
        <v>0</v>
      </c>
      <c r="R491" s="724">
        <v>0</v>
      </c>
      <c r="S491" s="724">
        <v>0</v>
      </c>
      <c r="T491" s="724">
        <v>0</v>
      </c>
      <c r="U491" s="724">
        <v>0</v>
      </c>
      <c r="V491" s="724">
        <v>0</v>
      </c>
      <c r="W491" s="92">
        <v>0</v>
      </c>
      <c r="X491" s="92" t="s">
        <v>326</v>
      </c>
      <c r="Y491" s="738">
        <v>372</v>
      </c>
      <c r="Z491" s="738">
        <v>381</v>
      </c>
      <c r="AA491" s="738">
        <v>3</v>
      </c>
      <c r="AB491" s="708"/>
      <c r="AC491" s="708"/>
      <c r="AD491" s="146" t="s">
        <v>249</v>
      </c>
      <c r="AE491" s="146" t="s">
        <v>343</v>
      </c>
      <c r="AF491" s="438" t="s">
        <v>358</v>
      </c>
      <c r="AG491" s="708"/>
    </row>
    <row r="492" s="570" customFormat="1" ht="24.95" customHeight="1" spans="1:33">
      <c r="A492" s="705"/>
      <c r="B492" s="714" t="s">
        <v>98</v>
      </c>
      <c r="C492" s="146" t="s">
        <v>320</v>
      </c>
      <c r="D492" s="152" t="s">
        <v>194</v>
      </c>
      <c r="E492" s="92">
        <v>3</v>
      </c>
      <c r="F492" s="92" t="s">
        <v>98</v>
      </c>
      <c r="G492" s="92"/>
      <c r="H492" s="724">
        <v>1020</v>
      </c>
      <c r="I492" s="724">
        <v>340</v>
      </c>
      <c r="J492" s="724">
        <v>340</v>
      </c>
      <c r="K492" s="724">
        <v>340</v>
      </c>
      <c r="L492" s="724">
        <v>2018.01</v>
      </c>
      <c r="M492" s="724">
        <v>2020.12</v>
      </c>
      <c r="N492" s="724">
        <v>0</v>
      </c>
      <c r="O492" s="724">
        <v>0</v>
      </c>
      <c r="P492" s="724">
        <v>0</v>
      </c>
      <c r="Q492" s="724">
        <v>0</v>
      </c>
      <c r="R492" s="724">
        <v>0</v>
      </c>
      <c r="S492" s="724">
        <v>0</v>
      </c>
      <c r="T492" s="724">
        <v>0</v>
      </c>
      <c r="U492" s="724">
        <v>0</v>
      </c>
      <c r="V492" s="724">
        <v>0</v>
      </c>
      <c r="W492" s="92">
        <v>0</v>
      </c>
      <c r="X492" s="92" t="s">
        <v>326</v>
      </c>
      <c r="Y492" s="738">
        <v>1020</v>
      </c>
      <c r="Z492" s="738">
        <v>4470</v>
      </c>
      <c r="AA492" s="738">
        <v>3</v>
      </c>
      <c r="AB492" s="708"/>
      <c r="AC492" s="708"/>
      <c r="AD492" s="146" t="s">
        <v>305</v>
      </c>
      <c r="AE492" s="146" t="s">
        <v>362</v>
      </c>
      <c r="AF492" s="438" t="s">
        <v>358</v>
      </c>
      <c r="AG492" s="708"/>
    </row>
    <row r="493" s="570" customFormat="1" ht="24.95" customHeight="1" spans="1:33">
      <c r="A493" s="705"/>
      <c r="B493" s="714" t="s">
        <v>211</v>
      </c>
      <c r="C493" s="146" t="s">
        <v>320</v>
      </c>
      <c r="D493" s="152" t="s">
        <v>194</v>
      </c>
      <c r="E493" s="92">
        <v>3</v>
      </c>
      <c r="F493" s="92" t="s">
        <v>211</v>
      </c>
      <c r="G493" s="92"/>
      <c r="H493" s="724">
        <v>363</v>
      </c>
      <c r="I493" s="724">
        <v>121</v>
      </c>
      <c r="J493" s="724">
        <v>121</v>
      </c>
      <c r="K493" s="724">
        <v>121</v>
      </c>
      <c r="L493" s="724">
        <v>2018.01</v>
      </c>
      <c r="M493" s="724">
        <v>2020.12</v>
      </c>
      <c r="N493" s="724">
        <v>0</v>
      </c>
      <c r="O493" s="724">
        <v>0</v>
      </c>
      <c r="P493" s="724">
        <v>0</v>
      </c>
      <c r="Q493" s="724">
        <v>0</v>
      </c>
      <c r="R493" s="724">
        <v>0</v>
      </c>
      <c r="S493" s="724">
        <v>0</v>
      </c>
      <c r="T493" s="724">
        <v>0</v>
      </c>
      <c r="U493" s="724">
        <v>0</v>
      </c>
      <c r="V493" s="724">
        <v>0</v>
      </c>
      <c r="W493" s="92">
        <v>0</v>
      </c>
      <c r="X493" s="92" t="s">
        <v>326</v>
      </c>
      <c r="Y493" s="738">
        <v>303</v>
      </c>
      <c r="Z493" s="738">
        <v>303</v>
      </c>
      <c r="AA493" s="738">
        <v>3</v>
      </c>
      <c r="AB493" s="708"/>
      <c r="AC493" s="708"/>
      <c r="AD493" s="146" t="s">
        <v>176</v>
      </c>
      <c r="AE493" s="146" t="s">
        <v>363</v>
      </c>
      <c r="AF493" s="438" t="s">
        <v>358</v>
      </c>
      <c r="AG493" s="708"/>
    </row>
    <row r="494" s="570" customFormat="1" ht="24.95" customHeight="1" spans="1:33">
      <c r="A494" s="705"/>
      <c r="B494" s="714" t="s">
        <v>155</v>
      </c>
      <c r="C494" s="146" t="s">
        <v>320</v>
      </c>
      <c r="D494" s="152" t="s">
        <v>194</v>
      </c>
      <c r="E494" s="92">
        <v>3</v>
      </c>
      <c r="F494" s="92" t="s">
        <v>155</v>
      </c>
      <c r="G494" s="92"/>
      <c r="H494" s="724">
        <v>204</v>
      </c>
      <c r="I494" s="724">
        <v>68</v>
      </c>
      <c r="J494" s="724">
        <v>68</v>
      </c>
      <c r="K494" s="724">
        <v>68</v>
      </c>
      <c r="L494" s="724">
        <v>2018.01</v>
      </c>
      <c r="M494" s="724">
        <v>2020.12</v>
      </c>
      <c r="N494" s="724">
        <v>0</v>
      </c>
      <c r="O494" s="724">
        <v>0</v>
      </c>
      <c r="P494" s="724">
        <v>0</v>
      </c>
      <c r="Q494" s="724">
        <v>0</v>
      </c>
      <c r="R494" s="724">
        <v>0</v>
      </c>
      <c r="S494" s="724">
        <v>0</v>
      </c>
      <c r="T494" s="724">
        <v>0</v>
      </c>
      <c r="U494" s="724">
        <v>0</v>
      </c>
      <c r="V494" s="724">
        <v>0</v>
      </c>
      <c r="W494" s="92">
        <v>0</v>
      </c>
      <c r="X494" s="92" t="s">
        <v>326</v>
      </c>
      <c r="Y494" s="738">
        <v>204</v>
      </c>
      <c r="Z494" s="738">
        <v>204</v>
      </c>
      <c r="AA494" s="738">
        <v>3</v>
      </c>
      <c r="AB494" s="708"/>
      <c r="AC494" s="708"/>
      <c r="AD494" s="146" t="s">
        <v>309</v>
      </c>
      <c r="AE494" s="146" t="s">
        <v>364</v>
      </c>
      <c r="AF494" s="438" t="s">
        <v>358</v>
      </c>
      <c r="AG494" s="708"/>
    </row>
    <row r="495" s="570" customFormat="1" ht="24.95" customHeight="1" spans="1:33">
      <c r="A495" s="705"/>
      <c r="B495" s="714" t="s">
        <v>102</v>
      </c>
      <c r="C495" s="146" t="s">
        <v>320</v>
      </c>
      <c r="D495" s="152" t="s">
        <v>194</v>
      </c>
      <c r="E495" s="92">
        <v>3</v>
      </c>
      <c r="F495" s="92" t="s">
        <v>102</v>
      </c>
      <c r="G495" s="92"/>
      <c r="H495" s="724">
        <v>846</v>
      </c>
      <c r="I495" s="724">
        <v>282</v>
      </c>
      <c r="J495" s="724">
        <v>282</v>
      </c>
      <c r="K495" s="724">
        <v>282</v>
      </c>
      <c r="L495" s="724">
        <v>2018.01</v>
      </c>
      <c r="M495" s="724">
        <v>2020.12</v>
      </c>
      <c r="N495" s="724">
        <v>0</v>
      </c>
      <c r="O495" s="724">
        <v>0</v>
      </c>
      <c r="P495" s="724">
        <v>0</v>
      </c>
      <c r="Q495" s="724">
        <v>0</v>
      </c>
      <c r="R495" s="724">
        <v>0</v>
      </c>
      <c r="S495" s="724">
        <v>0</v>
      </c>
      <c r="T495" s="724">
        <v>0</v>
      </c>
      <c r="U495" s="724">
        <v>0</v>
      </c>
      <c r="V495" s="724">
        <v>0</v>
      </c>
      <c r="W495" s="92">
        <v>0</v>
      </c>
      <c r="X495" s="92" t="s">
        <v>326</v>
      </c>
      <c r="Y495" s="738">
        <v>846</v>
      </c>
      <c r="Z495" s="738">
        <v>846</v>
      </c>
      <c r="AA495" s="738">
        <v>3</v>
      </c>
      <c r="AB495" s="708"/>
      <c r="AC495" s="708"/>
      <c r="AD495" s="146" t="s">
        <v>180</v>
      </c>
      <c r="AE495" s="146" t="s">
        <v>365</v>
      </c>
      <c r="AF495" s="438" t="s">
        <v>358</v>
      </c>
      <c r="AG495" s="708"/>
    </row>
    <row r="496" s="570" customFormat="1" ht="24.95" customHeight="1" spans="1:33">
      <c r="A496" s="705"/>
      <c r="B496" s="714" t="s">
        <v>100</v>
      </c>
      <c r="C496" s="146" t="s">
        <v>320</v>
      </c>
      <c r="D496" s="152" t="s">
        <v>194</v>
      </c>
      <c r="E496" s="92">
        <v>3</v>
      </c>
      <c r="F496" s="92" t="s">
        <v>100</v>
      </c>
      <c r="G496" s="92"/>
      <c r="H496" s="724">
        <v>534</v>
      </c>
      <c r="I496" s="724">
        <v>178</v>
      </c>
      <c r="J496" s="724">
        <v>178</v>
      </c>
      <c r="K496" s="724">
        <v>178</v>
      </c>
      <c r="L496" s="724">
        <v>2018.01</v>
      </c>
      <c r="M496" s="724">
        <v>2020.12</v>
      </c>
      <c r="N496" s="724">
        <v>0</v>
      </c>
      <c r="O496" s="724">
        <v>0</v>
      </c>
      <c r="P496" s="724">
        <v>0</v>
      </c>
      <c r="Q496" s="724">
        <v>0</v>
      </c>
      <c r="R496" s="724">
        <v>0</v>
      </c>
      <c r="S496" s="724">
        <v>0</v>
      </c>
      <c r="T496" s="724">
        <v>0</v>
      </c>
      <c r="U496" s="724">
        <v>0</v>
      </c>
      <c r="V496" s="724">
        <v>0</v>
      </c>
      <c r="W496" s="92">
        <v>0</v>
      </c>
      <c r="X496" s="92" t="s">
        <v>326</v>
      </c>
      <c r="Y496" s="738">
        <v>510</v>
      </c>
      <c r="Z496" s="738">
        <v>534</v>
      </c>
      <c r="AA496" s="738">
        <v>3</v>
      </c>
      <c r="AB496" s="708"/>
      <c r="AC496" s="708"/>
      <c r="AD496" s="146" t="s">
        <v>330</v>
      </c>
      <c r="AE496" s="146" t="s">
        <v>257</v>
      </c>
      <c r="AF496" s="438" t="s">
        <v>358</v>
      </c>
      <c r="AG496" s="708"/>
    </row>
    <row r="497" s="570" customFormat="1" ht="24.95" customHeight="1" spans="1:33">
      <c r="A497" s="705"/>
      <c r="B497" s="714" t="s">
        <v>84</v>
      </c>
      <c r="C497" s="146" t="s">
        <v>320</v>
      </c>
      <c r="D497" s="152" t="s">
        <v>194</v>
      </c>
      <c r="E497" s="92">
        <v>3</v>
      </c>
      <c r="F497" s="92" t="s">
        <v>84</v>
      </c>
      <c r="G497" s="92"/>
      <c r="H497" s="724">
        <v>9</v>
      </c>
      <c r="I497" s="724">
        <v>3</v>
      </c>
      <c r="J497" s="724">
        <v>3</v>
      </c>
      <c r="K497" s="724">
        <v>3</v>
      </c>
      <c r="L497" s="724">
        <v>2018.01</v>
      </c>
      <c r="M497" s="724">
        <v>2020.12</v>
      </c>
      <c r="N497" s="724">
        <v>0</v>
      </c>
      <c r="O497" s="724">
        <v>0</v>
      </c>
      <c r="P497" s="724">
        <v>0</v>
      </c>
      <c r="Q497" s="724">
        <v>0</v>
      </c>
      <c r="R497" s="724">
        <v>0</v>
      </c>
      <c r="S497" s="724">
        <v>0</v>
      </c>
      <c r="T497" s="724">
        <v>0</v>
      </c>
      <c r="U497" s="724">
        <v>0</v>
      </c>
      <c r="V497" s="724">
        <v>0</v>
      </c>
      <c r="W497" s="92">
        <v>0</v>
      </c>
      <c r="X497" s="92" t="s">
        <v>326</v>
      </c>
      <c r="Y497" s="738">
        <v>9</v>
      </c>
      <c r="Z497" s="738">
        <v>9</v>
      </c>
      <c r="AA497" s="738">
        <v>3</v>
      </c>
      <c r="AB497" s="708"/>
      <c r="AC497" s="708"/>
      <c r="AD497" s="146" t="s">
        <v>65</v>
      </c>
      <c r="AE497" s="146" t="s">
        <v>258</v>
      </c>
      <c r="AF497" s="438" t="s">
        <v>358</v>
      </c>
      <c r="AG497" s="708"/>
    </row>
    <row r="498" s="570" customFormat="1" ht="24.95" customHeight="1" spans="1:33">
      <c r="A498" s="705"/>
      <c r="B498" s="714" t="s">
        <v>259</v>
      </c>
      <c r="C498" s="146" t="s">
        <v>320</v>
      </c>
      <c r="D498" s="152" t="s">
        <v>194</v>
      </c>
      <c r="E498" s="92">
        <v>3</v>
      </c>
      <c r="F498" s="92" t="s">
        <v>259</v>
      </c>
      <c r="G498" s="92"/>
      <c r="H498" s="724">
        <v>84</v>
      </c>
      <c r="I498" s="724">
        <v>28</v>
      </c>
      <c r="J498" s="724">
        <v>28</v>
      </c>
      <c r="K498" s="724">
        <v>28</v>
      </c>
      <c r="L498" s="724">
        <v>2018.01</v>
      </c>
      <c r="M498" s="724">
        <v>2020.12</v>
      </c>
      <c r="N498" s="724">
        <v>0</v>
      </c>
      <c r="O498" s="724">
        <v>0</v>
      </c>
      <c r="P498" s="724">
        <v>0</v>
      </c>
      <c r="Q498" s="724">
        <v>0</v>
      </c>
      <c r="R498" s="724">
        <v>0</v>
      </c>
      <c r="S498" s="724">
        <v>0</v>
      </c>
      <c r="T498" s="724">
        <v>0</v>
      </c>
      <c r="U498" s="724">
        <v>0</v>
      </c>
      <c r="V498" s="724">
        <v>0</v>
      </c>
      <c r="W498" s="92">
        <v>0</v>
      </c>
      <c r="X498" s="92" t="s">
        <v>326</v>
      </c>
      <c r="Y498" s="738">
        <v>81</v>
      </c>
      <c r="Z498" s="738">
        <v>84</v>
      </c>
      <c r="AA498" s="738">
        <v>3</v>
      </c>
      <c r="AB498" s="708"/>
      <c r="AC498" s="708"/>
      <c r="AD498" s="146" t="s">
        <v>366</v>
      </c>
      <c r="AE498" s="146" t="s">
        <v>367</v>
      </c>
      <c r="AF498" s="438" t="s">
        <v>358</v>
      </c>
      <c r="AG498" s="708"/>
    </row>
    <row r="499" s="570" customFormat="1" ht="24.95" customHeight="1" spans="1:33">
      <c r="A499" s="705" t="s">
        <v>48</v>
      </c>
      <c r="B499" s="714" t="s">
        <v>143</v>
      </c>
      <c r="C499" s="146" t="s">
        <v>320</v>
      </c>
      <c r="D499" s="152" t="s">
        <v>194</v>
      </c>
      <c r="E499" s="92">
        <v>3</v>
      </c>
      <c r="F499" s="92" t="s">
        <v>143</v>
      </c>
      <c r="G499" s="92"/>
      <c r="H499" s="724">
        <v>417</v>
      </c>
      <c r="I499" s="724">
        <v>139</v>
      </c>
      <c r="J499" s="724">
        <v>139</v>
      </c>
      <c r="K499" s="724">
        <v>139</v>
      </c>
      <c r="L499" s="724">
        <v>2018.01</v>
      </c>
      <c r="M499" s="724">
        <v>2020.12</v>
      </c>
      <c r="N499" s="724">
        <v>0</v>
      </c>
      <c r="O499" s="724">
        <v>0</v>
      </c>
      <c r="P499" s="724">
        <v>0</v>
      </c>
      <c r="Q499" s="724">
        <v>0</v>
      </c>
      <c r="R499" s="724">
        <v>0</v>
      </c>
      <c r="S499" s="724">
        <v>0</v>
      </c>
      <c r="T499" s="724">
        <v>0</v>
      </c>
      <c r="U499" s="724">
        <v>0</v>
      </c>
      <c r="V499" s="724">
        <v>0</v>
      </c>
      <c r="W499" s="92">
        <v>0</v>
      </c>
      <c r="X499" s="92" t="s">
        <v>326</v>
      </c>
      <c r="Y499" s="738">
        <v>360</v>
      </c>
      <c r="Z499" s="738">
        <v>1527</v>
      </c>
      <c r="AA499" s="738">
        <v>3</v>
      </c>
      <c r="AB499" s="92"/>
      <c r="AC499" s="92"/>
      <c r="AD499" s="775" t="s">
        <v>368</v>
      </c>
      <c r="AE499" s="146" t="s">
        <v>369</v>
      </c>
      <c r="AF499" s="438" t="s">
        <v>358</v>
      </c>
      <c r="AG499" s="92"/>
    </row>
    <row r="500" s="570" customFormat="1" ht="24.95" customHeight="1" spans="1:33">
      <c r="A500" s="705">
        <v>62</v>
      </c>
      <c r="B500" s="708" t="s">
        <v>370</v>
      </c>
      <c r="C500" s="708"/>
      <c r="D500" s="709" t="s">
        <v>147</v>
      </c>
      <c r="E500" s="92">
        <v>0</v>
      </c>
      <c r="F500" s="92">
        <v>0</v>
      </c>
      <c r="G500" s="92"/>
      <c r="H500" s="724">
        <v>0</v>
      </c>
      <c r="I500" s="724">
        <v>0</v>
      </c>
      <c r="J500" s="724">
        <v>0</v>
      </c>
      <c r="K500" s="724">
        <v>0</v>
      </c>
      <c r="L500" s="724">
        <v>0</v>
      </c>
      <c r="M500" s="724">
        <v>0</v>
      </c>
      <c r="N500" s="724">
        <v>0</v>
      </c>
      <c r="O500" s="724">
        <v>0</v>
      </c>
      <c r="P500" s="724">
        <v>0</v>
      </c>
      <c r="Q500" s="724">
        <v>0</v>
      </c>
      <c r="R500" s="724">
        <v>0</v>
      </c>
      <c r="S500" s="724">
        <v>0</v>
      </c>
      <c r="T500" s="724">
        <v>0</v>
      </c>
      <c r="U500" s="724">
        <v>0</v>
      </c>
      <c r="V500" s="724">
        <v>0</v>
      </c>
      <c r="W500" s="92">
        <v>0</v>
      </c>
      <c r="X500" s="92" t="s">
        <v>326</v>
      </c>
      <c r="Y500" s="738">
        <v>0</v>
      </c>
      <c r="Z500" s="738">
        <v>0</v>
      </c>
      <c r="AA500" s="738">
        <v>0</v>
      </c>
      <c r="AB500" s="708"/>
      <c r="AC500" s="708"/>
      <c r="AD500" s="708"/>
      <c r="AE500" s="708"/>
      <c r="AF500" s="708" t="s">
        <v>358</v>
      </c>
      <c r="AG500" s="708" t="s">
        <v>41</v>
      </c>
    </row>
    <row r="501" s="570" customFormat="1" ht="24.95" customHeight="1" spans="1:33">
      <c r="A501" s="705" t="s">
        <v>48</v>
      </c>
      <c r="B501" s="92" t="s">
        <v>148</v>
      </c>
      <c r="C501" s="92"/>
      <c r="D501" s="76"/>
      <c r="E501" s="92">
        <v>0</v>
      </c>
      <c r="F501" s="92">
        <v>0</v>
      </c>
      <c r="G501" s="92"/>
      <c r="H501" s="724">
        <v>0</v>
      </c>
      <c r="I501" s="724">
        <v>0</v>
      </c>
      <c r="J501" s="724">
        <v>0</v>
      </c>
      <c r="K501" s="724">
        <v>0</v>
      </c>
      <c r="L501" s="724">
        <v>0</v>
      </c>
      <c r="M501" s="724">
        <v>0</v>
      </c>
      <c r="N501" s="724">
        <v>0</v>
      </c>
      <c r="O501" s="724">
        <v>0</v>
      </c>
      <c r="P501" s="724">
        <v>0</v>
      </c>
      <c r="Q501" s="724">
        <v>0</v>
      </c>
      <c r="R501" s="724">
        <v>0</v>
      </c>
      <c r="S501" s="724">
        <v>0</v>
      </c>
      <c r="T501" s="724">
        <v>0</v>
      </c>
      <c r="U501" s="724">
        <v>0</v>
      </c>
      <c r="V501" s="724">
        <v>0</v>
      </c>
      <c r="W501" s="92">
        <v>0</v>
      </c>
      <c r="X501" s="92" t="s">
        <v>326</v>
      </c>
      <c r="Y501" s="738">
        <v>0</v>
      </c>
      <c r="Z501" s="738">
        <v>0</v>
      </c>
      <c r="AA501" s="738">
        <v>0</v>
      </c>
      <c r="AB501" s="92"/>
      <c r="AC501" s="92"/>
      <c r="AD501" s="92"/>
      <c r="AE501" s="92"/>
      <c r="AF501" s="92"/>
      <c r="AG501" s="92"/>
    </row>
    <row r="502" s="570" customFormat="1" ht="24.95" customHeight="1" spans="1:33">
      <c r="A502" s="705">
        <v>62</v>
      </c>
      <c r="B502" s="750" t="s">
        <v>371</v>
      </c>
      <c r="C502" s="146" t="s">
        <v>52</v>
      </c>
      <c r="D502" s="152" t="s">
        <v>147</v>
      </c>
      <c r="E502" s="92">
        <v>36</v>
      </c>
      <c r="F502" s="92">
        <v>0</v>
      </c>
      <c r="G502" s="92"/>
      <c r="H502" s="724">
        <v>339</v>
      </c>
      <c r="I502" s="724">
        <v>113</v>
      </c>
      <c r="J502" s="724">
        <v>113</v>
      </c>
      <c r="K502" s="724">
        <v>113</v>
      </c>
      <c r="L502" s="724">
        <v>0</v>
      </c>
      <c r="M502" s="724">
        <v>0</v>
      </c>
      <c r="N502" s="724">
        <v>291.6</v>
      </c>
      <c r="O502" s="724">
        <v>97.2</v>
      </c>
      <c r="P502" s="724">
        <v>97.2</v>
      </c>
      <c r="Q502" s="724">
        <v>97.2</v>
      </c>
      <c r="R502" s="724">
        <v>291.6</v>
      </c>
      <c r="S502" s="724">
        <v>0</v>
      </c>
      <c r="T502" s="724">
        <v>0</v>
      </c>
      <c r="U502" s="724">
        <v>0</v>
      </c>
      <c r="V502" s="724">
        <v>0</v>
      </c>
      <c r="W502" s="92">
        <v>0</v>
      </c>
      <c r="X502" s="92" t="s">
        <v>326</v>
      </c>
      <c r="Y502" s="738">
        <v>29118</v>
      </c>
      <c r="Z502" s="738">
        <v>113463</v>
      </c>
      <c r="AA502" s="738">
        <v>36</v>
      </c>
      <c r="AB502" s="708"/>
      <c r="AC502" s="708"/>
      <c r="AD502" s="146" t="s">
        <v>356</v>
      </c>
      <c r="AE502" s="146" t="s">
        <v>372</v>
      </c>
      <c r="AF502" s="146" t="s">
        <v>358</v>
      </c>
      <c r="AG502" s="708" t="s">
        <v>41</v>
      </c>
    </row>
    <row r="503" s="570" customFormat="1" ht="24.95" customHeight="1" spans="1:33">
      <c r="A503" s="705" t="s">
        <v>48</v>
      </c>
      <c r="B503" s="714" t="s">
        <v>101</v>
      </c>
      <c r="C503" s="146" t="s">
        <v>52</v>
      </c>
      <c r="D503" s="152" t="s">
        <v>147</v>
      </c>
      <c r="E503" s="92">
        <v>3</v>
      </c>
      <c r="F503" s="92" t="s">
        <v>101</v>
      </c>
      <c r="G503" s="92"/>
      <c r="H503" s="724">
        <v>15</v>
      </c>
      <c r="I503" s="724">
        <v>5</v>
      </c>
      <c r="J503" s="724">
        <v>5</v>
      </c>
      <c r="K503" s="724">
        <v>5</v>
      </c>
      <c r="L503" s="724">
        <v>2018.01</v>
      </c>
      <c r="M503" s="724">
        <v>2020.12</v>
      </c>
      <c r="N503" s="724">
        <v>10.8</v>
      </c>
      <c r="O503" s="724">
        <v>3.6</v>
      </c>
      <c r="P503" s="724">
        <v>3.6</v>
      </c>
      <c r="Q503" s="724">
        <v>3.6</v>
      </c>
      <c r="R503" s="724">
        <v>10.8</v>
      </c>
      <c r="S503" s="724">
        <v>0</v>
      </c>
      <c r="T503" s="724">
        <v>0</v>
      </c>
      <c r="U503" s="724">
        <v>0</v>
      </c>
      <c r="V503" s="724">
        <v>0</v>
      </c>
      <c r="W503" s="92">
        <v>0</v>
      </c>
      <c r="X503" s="92" t="s">
        <v>326</v>
      </c>
      <c r="Y503" s="738">
        <v>108</v>
      </c>
      <c r="Z503" s="738">
        <v>447</v>
      </c>
      <c r="AA503" s="738">
        <v>3</v>
      </c>
      <c r="AB503" s="92"/>
      <c r="AC503" s="92"/>
      <c r="AD503" s="146" t="s">
        <v>298</v>
      </c>
      <c r="AE503" s="146" t="s">
        <v>359</v>
      </c>
      <c r="AF503" s="146" t="s">
        <v>358</v>
      </c>
      <c r="AG503" s="92"/>
    </row>
    <row r="504" s="570" customFormat="1" ht="28" customHeight="1" spans="1:33">
      <c r="A504" s="705">
        <v>63</v>
      </c>
      <c r="B504" s="714" t="s">
        <v>151</v>
      </c>
      <c r="C504" s="146" t="s">
        <v>52</v>
      </c>
      <c r="D504" s="152" t="s">
        <v>147</v>
      </c>
      <c r="E504" s="92">
        <v>3</v>
      </c>
      <c r="F504" s="92" t="s">
        <v>151</v>
      </c>
      <c r="G504" s="92"/>
      <c r="H504" s="724">
        <v>30</v>
      </c>
      <c r="I504" s="724">
        <v>10</v>
      </c>
      <c r="J504" s="724">
        <v>10</v>
      </c>
      <c r="K504" s="724">
        <v>10</v>
      </c>
      <c r="L504" s="724">
        <v>2018.01</v>
      </c>
      <c r="M504" s="724">
        <v>2020.12</v>
      </c>
      <c r="N504" s="724">
        <v>64.8</v>
      </c>
      <c r="O504" s="724">
        <v>21.6</v>
      </c>
      <c r="P504" s="724">
        <v>21.6</v>
      </c>
      <c r="Q504" s="724">
        <v>21.6</v>
      </c>
      <c r="R504" s="724">
        <v>64.8</v>
      </c>
      <c r="S504" s="724">
        <v>0</v>
      </c>
      <c r="T504" s="724">
        <v>0</v>
      </c>
      <c r="U504" s="724">
        <v>0</v>
      </c>
      <c r="V504" s="724">
        <v>0</v>
      </c>
      <c r="W504" s="92">
        <v>0</v>
      </c>
      <c r="X504" s="92" t="s">
        <v>326</v>
      </c>
      <c r="Y504" s="738">
        <v>2904</v>
      </c>
      <c r="Z504" s="738">
        <v>12477</v>
      </c>
      <c r="AA504" s="738">
        <v>3</v>
      </c>
      <c r="AB504" s="706"/>
      <c r="AC504" s="706"/>
      <c r="AD504" s="146" t="s">
        <v>373</v>
      </c>
      <c r="AE504" s="146" t="s">
        <v>374</v>
      </c>
      <c r="AF504" s="146" t="s">
        <v>358</v>
      </c>
      <c r="AG504" s="706" t="s">
        <v>41</v>
      </c>
    </row>
    <row r="505" s="570" customFormat="1" ht="32" customHeight="1" spans="1:33">
      <c r="A505" s="705">
        <v>64</v>
      </c>
      <c r="B505" s="714" t="s">
        <v>154</v>
      </c>
      <c r="C505" s="146" t="s">
        <v>52</v>
      </c>
      <c r="D505" s="152" t="s">
        <v>147</v>
      </c>
      <c r="E505" s="92">
        <v>3</v>
      </c>
      <c r="F505" s="92" t="s">
        <v>154</v>
      </c>
      <c r="G505" s="92"/>
      <c r="H505" s="724">
        <v>30</v>
      </c>
      <c r="I505" s="724">
        <v>10</v>
      </c>
      <c r="J505" s="724">
        <v>10</v>
      </c>
      <c r="K505" s="724">
        <v>10</v>
      </c>
      <c r="L505" s="724">
        <v>2018.01</v>
      </c>
      <c r="M505" s="724">
        <v>2020.12</v>
      </c>
      <c r="N505" s="724">
        <v>21.6</v>
      </c>
      <c r="O505" s="724">
        <v>7.2</v>
      </c>
      <c r="P505" s="724">
        <v>7.2</v>
      </c>
      <c r="Q505" s="724">
        <v>7.2</v>
      </c>
      <c r="R505" s="724">
        <v>21.6</v>
      </c>
      <c r="S505" s="724">
        <v>0</v>
      </c>
      <c r="T505" s="724">
        <v>0</v>
      </c>
      <c r="U505" s="724">
        <v>0</v>
      </c>
      <c r="V505" s="724">
        <v>0</v>
      </c>
      <c r="W505" s="92">
        <v>0</v>
      </c>
      <c r="X505" s="92" t="s">
        <v>326</v>
      </c>
      <c r="Y505" s="738">
        <v>3198</v>
      </c>
      <c r="Z505" s="738">
        <v>13248</v>
      </c>
      <c r="AA505" s="738">
        <v>3</v>
      </c>
      <c r="AB505" s="708"/>
      <c r="AC505" s="708"/>
      <c r="AD505" s="146" t="s">
        <v>360</v>
      </c>
      <c r="AE505" s="146" t="s">
        <v>361</v>
      </c>
      <c r="AF505" s="146" t="s">
        <v>358</v>
      </c>
      <c r="AG505" s="708" t="s">
        <v>41</v>
      </c>
    </row>
    <row r="506" s="570" customFormat="1" ht="24.95" customHeight="1" spans="1:33">
      <c r="A506" s="705" t="s">
        <v>48</v>
      </c>
      <c r="B506" s="714" t="s">
        <v>81</v>
      </c>
      <c r="C506" s="146" t="s">
        <v>52</v>
      </c>
      <c r="D506" s="152" t="s">
        <v>147</v>
      </c>
      <c r="E506" s="92">
        <v>3</v>
      </c>
      <c r="F506" s="92" t="s">
        <v>81</v>
      </c>
      <c r="G506" s="92"/>
      <c r="H506" s="724">
        <v>30</v>
      </c>
      <c r="I506" s="724">
        <v>10</v>
      </c>
      <c r="J506" s="724">
        <v>10</v>
      </c>
      <c r="K506" s="724">
        <v>10</v>
      </c>
      <c r="L506" s="724">
        <v>2018.01</v>
      </c>
      <c r="M506" s="724">
        <v>2020.12</v>
      </c>
      <c r="N506" s="724">
        <v>21.6</v>
      </c>
      <c r="O506" s="724">
        <v>7.2</v>
      </c>
      <c r="P506" s="724">
        <v>7.2</v>
      </c>
      <c r="Q506" s="724">
        <v>7.2</v>
      </c>
      <c r="R506" s="724">
        <v>21.6</v>
      </c>
      <c r="S506" s="724">
        <v>0</v>
      </c>
      <c r="T506" s="724">
        <v>0</v>
      </c>
      <c r="U506" s="724">
        <v>0</v>
      </c>
      <c r="V506" s="724">
        <v>0</v>
      </c>
      <c r="W506" s="92">
        <v>0</v>
      </c>
      <c r="X506" s="92" t="s">
        <v>326</v>
      </c>
      <c r="Y506" s="738">
        <v>3438</v>
      </c>
      <c r="Z506" s="738">
        <v>1020</v>
      </c>
      <c r="AA506" s="738">
        <v>3</v>
      </c>
      <c r="AB506" s="92"/>
      <c r="AC506" s="92"/>
      <c r="AD506" s="146" t="s">
        <v>375</v>
      </c>
      <c r="AE506" s="146" t="s">
        <v>376</v>
      </c>
      <c r="AF506" s="146" t="s">
        <v>358</v>
      </c>
      <c r="AG506" s="92"/>
    </row>
    <row r="507" s="570" customFormat="1" ht="24.95" customHeight="1" spans="1:33">
      <c r="A507" s="705">
        <v>65</v>
      </c>
      <c r="B507" s="714" t="s">
        <v>98</v>
      </c>
      <c r="C507" s="146" t="s">
        <v>52</v>
      </c>
      <c r="D507" s="152" t="s">
        <v>147</v>
      </c>
      <c r="E507" s="92">
        <v>3</v>
      </c>
      <c r="F507" s="92" t="s">
        <v>98</v>
      </c>
      <c r="G507" s="92"/>
      <c r="H507" s="724">
        <v>9</v>
      </c>
      <c r="I507" s="724">
        <v>3</v>
      </c>
      <c r="J507" s="724">
        <v>3</v>
      </c>
      <c r="K507" s="724">
        <v>3</v>
      </c>
      <c r="L507" s="724">
        <v>2018.01</v>
      </c>
      <c r="M507" s="724">
        <v>2020.12</v>
      </c>
      <c r="N507" s="724">
        <v>6.48</v>
      </c>
      <c r="O507" s="724">
        <v>2.16</v>
      </c>
      <c r="P507" s="724">
        <v>2.16</v>
      </c>
      <c r="Q507" s="724">
        <v>2.16</v>
      </c>
      <c r="R507" s="724">
        <v>6.48</v>
      </c>
      <c r="S507" s="724">
        <v>0</v>
      </c>
      <c r="T507" s="724">
        <v>0</v>
      </c>
      <c r="U507" s="724">
        <v>0</v>
      </c>
      <c r="V507" s="724">
        <v>0</v>
      </c>
      <c r="W507" s="92">
        <v>0</v>
      </c>
      <c r="X507" s="92" t="s">
        <v>326</v>
      </c>
      <c r="Y507" s="738">
        <v>1317</v>
      </c>
      <c r="Z507" s="738">
        <v>5334</v>
      </c>
      <c r="AA507" s="738">
        <v>3</v>
      </c>
      <c r="AB507" s="706"/>
      <c r="AC507" s="706"/>
      <c r="AD507" s="146" t="s">
        <v>305</v>
      </c>
      <c r="AE507" s="146" t="s">
        <v>362</v>
      </c>
      <c r="AF507" s="146" t="s">
        <v>358</v>
      </c>
      <c r="AG507" s="706"/>
    </row>
    <row r="508" s="570" customFormat="1" ht="24.95" customHeight="1" spans="1:33">
      <c r="A508" s="705">
        <v>66</v>
      </c>
      <c r="B508" s="714" t="s">
        <v>211</v>
      </c>
      <c r="C508" s="146" t="s">
        <v>52</v>
      </c>
      <c r="D508" s="152" t="s">
        <v>147</v>
      </c>
      <c r="E508" s="92">
        <v>3</v>
      </c>
      <c r="F508" s="92" t="s">
        <v>211</v>
      </c>
      <c r="G508" s="92"/>
      <c r="H508" s="724">
        <v>60</v>
      </c>
      <c r="I508" s="724">
        <v>20</v>
      </c>
      <c r="J508" s="724">
        <v>20</v>
      </c>
      <c r="K508" s="724">
        <v>20</v>
      </c>
      <c r="L508" s="724">
        <v>2018.01</v>
      </c>
      <c r="M508" s="724">
        <v>2020.12</v>
      </c>
      <c r="N508" s="724">
        <v>43.2</v>
      </c>
      <c r="O508" s="724">
        <v>14.4</v>
      </c>
      <c r="P508" s="724">
        <v>14.4</v>
      </c>
      <c r="Q508" s="724">
        <v>14.4</v>
      </c>
      <c r="R508" s="724">
        <v>43.2</v>
      </c>
      <c r="S508" s="724">
        <v>0</v>
      </c>
      <c r="T508" s="724">
        <v>0</v>
      </c>
      <c r="U508" s="724">
        <v>0</v>
      </c>
      <c r="V508" s="724">
        <v>0</v>
      </c>
      <c r="W508" s="92">
        <v>0</v>
      </c>
      <c r="X508" s="92" t="s">
        <v>326</v>
      </c>
      <c r="Y508" s="738">
        <v>552</v>
      </c>
      <c r="Z508" s="738">
        <v>2199</v>
      </c>
      <c r="AA508" s="738">
        <v>3</v>
      </c>
      <c r="AB508" s="708"/>
      <c r="AC508" s="708"/>
      <c r="AD508" s="146" t="s">
        <v>176</v>
      </c>
      <c r="AE508" s="146" t="s">
        <v>377</v>
      </c>
      <c r="AF508" s="146" t="s">
        <v>358</v>
      </c>
      <c r="AG508" s="708"/>
    </row>
    <row r="509" s="570" customFormat="1" ht="24.95" customHeight="1" spans="1:33">
      <c r="A509" s="705" t="s">
        <v>48</v>
      </c>
      <c r="B509" s="714" t="s">
        <v>155</v>
      </c>
      <c r="C509" s="146" t="s">
        <v>52</v>
      </c>
      <c r="D509" s="152" t="s">
        <v>147</v>
      </c>
      <c r="E509" s="92">
        <v>3</v>
      </c>
      <c r="F509" s="92" t="s">
        <v>155</v>
      </c>
      <c r="G509" s="92"/>
      <c r="H509" s="724">
        <v>21</v>
      </c>
      <c r="I509" s="724">
        <v>7</v>
      </c>
      <c r="J509" s="724">
        <v>7</v>
      </c>
      <c r="K509" s="724">
        <v>7</v>
      </c>
      <c r="L509" s="724">
        <v>2018.01</v>
      </c>
      <c r="M509" s="724">
        <v>2020.12</v>
      </c>
      <c r="N509" s="724">
        <v>15.12</v>
      </c>
      <c r="O509" s="724">
        <v>5.04</v>
      </c>
      <c r="P509" s="724">
        <v>5.04</v>
      </c>
      <c r="Q509" s="724">
        <v>5.04</v>
      </c>
      <c r="R509" s="724">
        <v>15.12</v>
      </c>
      <c r="S509" s="724">
        <v>0</v>
      </c>
      <c r="T509" s="724">
        <v>0</v>
      </c>
      <c r="U509" s="724">
        <v>0</v>
      </c>
      <c r="V509" s="724">
        <v>0</v>
      </c>
      <c r="W509" s="92">
        <v>0</v>
      </c>
      <c r="X509" s="92" t="s">
        <v>326</v>
      </c>
      <c r="Y509" s="738">
        <v>1587</v>
      </c>
      <c r="Z509" s="738">
        <v>7002</v>
      </c>
      <c r="AA509" s="738">
        <v>3</v>
      </c>
      <c r="AB509" s="92"/>
      <c r="AC509" s="92"/>
      <c r="AD509" s="146" t="s">
        <v>309</v>
      </c>
      <c r="AE509" s="146" t="s">
        <v>364</v>
      </c>
      <c r="AF509" s="146" t="s">
        <v>358</v>
      </c>
      <c r="AG509" s="92"/>
    </row>
    <row r="510" s="570" customFormat="1" ht="24.95" customHeight="1" spans="1:33">
      <c r="A510" s="705">
        <v>67</v>
      </c>
      <c r="B510" s="714" t="s">
        <v>102</v>
      </c>
      <c r="C510" s="146" t="s">
        <v>52</v>
      </c>
      <c r="D510" s="152" t="s">
        <v>147</v>
      </c>
      <c r="E510" s="92">
        <v>3</v>
      </c>
      <c r="F510" s="92" t="s">
        <v>102</v>
      </c>
      <c r="G510" s="92"/>
      <c r="H510" s="724">
        <v>69</v>
      </c>
      <c r="I510" s="724">
        <v>23</v>
      </c>
      <c r="J510" s="724">
        <v>23</v>
      </c>
      <c r="K510" s="724">
        <v>23</v>
      </c>
      <c r="L510" s="724">
        <v>2018.01</v>
      </c>
      <c r="M510" s="724">
        <v>2020.12</v>
      </c>
      <c r="N510" s="724">
        <v>49.68</v>
      </c>
      <c r="O510" s="724">
        <v>16.56</v>
      </c>
      <c r="P510" s="724">
        <v>16.56</v>
      </c>
      <c r="Q510" s="724">
        <v>16.56</v>
      </c>
      <c r="R510" s="724">
        <v>49.68</v>
      </c>
      <c r="S510" s="724">
        <v>0</v>
      </c>
      <c r="T510" s="724">
        <v>0</v>
      </c>
      <c r="U510" s="724">
        <v>0</v>
      </c>
      <c r="V510" s="724">
        <v>0</v>
      </c>
      <c r="W510" s="92">
        <v>0</v>
      </c>
      <c r="X510" s="92" t="s">
        <v>326</v>
      </c>
      <c r="Y510" s="738">
        <v>8919</v>
      </c>
      <c r="Z510" s="738">
        <v>40149</v>
      </c>
      <c r="AA510" s="738">
        <v>3</v>
      </c>
      <c r="AB510" s="708"/>
      <c r="AC510" s="708"/>
      <c r="AD510" s="146" t="s">
        <v>180</v>
      </c>
      <c r="AE510" s="146" t="s">
        <v>365</v>
      </c>
      <c r="AF510" s="146" t="s">
        <v>358</v>
      </c>
      <c r="AG510" s="708"/>
    </row>
    <row r="511" s="570" customFormat="1" ht="24.95" customHeight="1" spans="1:33">
      <c r="A511" s="705" t="s">
        <v>48</v>
      </c>
      <c r="B511" s="714" t="s">
        <v>100</v>
      </c>
      <c r="C511" s="146" t="s">
        <v>52</v>
      </c>
      <c r="D511" s="152" t="s">
        <v>147</v>
      </c>
      <c r="E511" s="92">
        <v>3</v>
      </c>
      <c r="F511" s="92" t="s">
        <v>100</v>
      </c>
      <c r="G511" s="92"/>
      <c r="H511" s="724">
        <v>3</v>
      </c>
      <c r="I511" s="724">
        <v>1</v>
      </c>
      <c r="J511" s="724">
        <v>1</v>
      </c>
      <c r="K511" s="724">
        <v>1</v>
      </c>
      <c r="L511" s="724">
        <v>2018.01</v>
      </c>
      <c r="M511" s="724">
        <v>2020.12</v>
      </c>
      <c r="N511" s="724">
        <v>6.48</v>
      </c>
      <c r="O511" s="724">
        <v>2.16</v>
      </c>
      <c r="P511" s="724">
        <v>2.16</v>
      </c>
      <c r="Q511" s="724">
        <v>2.16</v>
      </c>
      <c r="R511" s="724">
        <v>6.48</v>
      </c>
      <c r="S511" s="724">
        <v>0</v>
      </c>
      <c r="T511" s="724">
        <v>0</v>
      </c>
      <c r="U511" s="724">
        <v>0</v>
      </c>
      <c r="V511" s="724">
        <v>0</v>
      </c>
      <c r="W511" s="92">
        <v>0</v>
      </c>
      <c r="X511" s="92" t="s">
        <v>326</v>
      </c>
      <c r="Y511" s="738">
        <v>645</v>
      </c>
      <c r="Z511" s="738">
        <v>2775</v>
      </c>
      <c r="AA511" s="738">
        <v>3</v>
      </c>
      <c r="AB511" s="92"/>
      <c r="AC511" s="92"/>
      <c r="AD511" s="146" t="s">
        <v>312</v>
      </c>
      <c r="AE511" s="146" t="s">
        <v>71</v>
      </c>
      <c r="AF511" s="146" t="s">
        <v>358</v>
      </c>
      <c r="AG511" s="92"/>
    </row>
    <row r="512" s="570" customFormat="1" ht="24.95" customHeight="1" spans="1:33">
      <c r="A512" s="705">
        <v>68</v>
      </c>
      <c r="B512" s="714" t="s">
        <v>84</v>
      </c>
      <c r="C512" s="146" t="s">
        <v>52</v>
      </c>
      <c r="D512" s="152" t="s">
        <v>147</v>
      </c>
      <c r="E512" s="92">
        <v>3</v>
      </c>
      <c r="F512" s="92" t="s">
        <v>84</v>
      </c>
      <c r="G512" s="92"/>
      <c r="H512" s="724">
        <v>18</v>
      </c>
      <c r="I512" s="724">
        <v>6</v>
      </c>
      <c r="J512" s="724">
        <v>6</v>
      </c>
      <c r="K512" s="724">
        <v>6</v>
      </c>
      <c r="L512" s="724">
        <v>2018.01</v>
      </c>
      <c r="M512" s="724">
        <v>2020.12</v>
      </c>
      <c r="N512" s="724">
        <v>12.96</v>
      </c>
      <c r="O512" s="724">
        <v>4.32</v>
      </c>
      <c r="P512" s="724">
        <v>4.32</v>
      </c>
      <c r="Q512" s="724">
        <v>4.32</v>
      </c>
      <c r="R512" s="724">
        <v>12.96</v>
      </c>
      <c r="S512" s="724">
        <v>0</v>
      </c>
      <c r="T512" s="724">
        <v>0</v>
      </c>
      <c r="U512" s="724">
        <v>0</v>
      </c>
      <c r="V512" s="724">
        <v>0</v>
      </c>
      <c r="W512" s="92">
        <v>0</v>
      </c>
      <c r="X512" s="92" t="s">
        <v>326</v>
      </c>
      <c r="Y512" s="738">
        <v>1614</v>
      </c>
      <c r="Z512" s="738">
        <v>6798</v>
      </c>
      <c r="AA512" s="738">
        <v>3</v>
      </c>
      <c r="AB512" s="708"/>
      <c r="AC512" s="708"/>
      <c r="AD512" s="146" t="s">
        <v>186</v>
      </c>
      <c r="AE512" s="146" t="s">
        <v>378</v>
      </c>
      <c r="AF512" s="146" t="s">
        <v>358</v>
      </c>
      <c r="AG512" s="708"/>
    </row>
    <row r="513" s="570" customFormat="1" ht="24.95" customHeight="1" spans="1:33">
      <c r="A513" s="705" t="s">
        <v>48</v>
      </c>
      <c r="B513" s="714" t="s">
        <v>259</v>
      </c>
      <c r="C513" s="146" t="s">
        <v>52</v>
      </c>
      <c r="D513" s="152" t="s">
        <v>147</v>
      </c>
      <c r="E513" s="92">
        <v>3</v>
      </c>
      <c r="F513" s="92" t="s">
        <v>259</v>
      </c>
      <c r="G513" s="92"/>
      <c r="H513" s="724">
        <v>21</v>
      </c>
      <c r="I513" s="724">
        <v>7</v>
      </c>
      <c r="J513" s="724">
        <v>7</v>
      </c>
      <c r="K513" s="724">
        <v>7</v>
      </c>
      <c r="L513" s="724">
        <v>2018.01</v>
      </c>
      <c r="M513" s="724">
        <v>2020.12</v>
      </c>
      <c r="N513" s="724">
        <v>15.12</v>
      </c>
      <c r="O513" s="724">
        <v>5.04</v>
      </c>
      <c r="P513" s="724">
        <v>5.04</v>
      </c>
      <c r="Q513" s="724">
        <v>5.04</v>
      </c>
      <c r="R513" s="724">
        <v>15.12</v>
      </c>
      <c r="S513" s="724">
        <v>0</v>
      </c>
      <c r="T513" s="724">
        <v>0</v>
      </c>
      <c r="U513" s="724">
        <v>0</v>
      </c>
      <c r="V513" s="724">
        <v>0</v>
      </c>
      <c r="W513" s="92">
        <v>0</v>
      </c>
      <c r="X513" s="92" t="s">
        <v>326</v>
      </c>
      <c r="Y513" s="738">
        <v>1104</v>
      </c>
      <c r="Z513" s="738">
        <v>4569</v>
      </c>
      <c r="AA513" s="738">
        <v>3</v>
      </c>
      <c r="AB513" s="92"/>
      <c r="AC513" s="92"/>
      <c r="AD513" s="146" t="s">
        <v>366</v>
      </c>
      <c r="AE513" s="146" t="s">
        <v>367</v>
      </c>
      <c r="AF513" s="146" t="s">
        <v>358</v>
      </c>
      <c r="AG513" s="92"/>
    </row>
    <row r="514" s="570" customFormat="1" ht="27" customHeight="1" spans="1:33">
      <c r="A514" s="705">
        <v>69</v>
      </c>
      <c r="B514" s="714" t="s">
        <v>143</v>
      </c>
      <c r="C514" s="146" t="s">
        <v>52</v>
      </c>
      <c r="D514" s="152" t="s">
        <v>147</v>
      </c>
      <c r="E514" s="92">
        <v>3</v>
      </c>
      <c r="F514" s="92" t="s">
        <v>143</v>
      </c>
      <c r="G514" s="92"/>
      <c r="H514" s="724">
        <v>33</v>
      </c>
      <c r="I514" s="724">
        <v>11</v>
      </c>
      <c r="J514" s="724">
        <v>11</v>
      </c>
      <c r="K514" s="724">
        <v>11</v>
      </c>
      <c r="L514" s="724">
        <v>2018.01</v>
      </c>
      <c r="M514" s="724">
        <v>2020.12</v>
      </c>
      <c r="N514" s="724">
        <v>23.76</v>
      </c>
      <c r="O514" s="724">
        <v>7.92</v>
      </c>
      <c r="P514" s="724">
        <v>7.92</v>
      </c>
      <c r="Q514" s="724">
        <v>7.92</v>
      </c>
      <c r="R514" s="724">
        <v>23.76</v>
      </c>
      <c r="S514" s="724">
        <v>0</v>
      </c>
      <c r="T514" s="724">
        <v>0</v>
      </c>
      <c r="U514" s="724">
        <v>0</v>
      </c>
      <c r="V514" s="724">
        <v>0</v>
      </c>
      <c r="W514" s="92">
        <v>0</v>
      </c>
      <c r="X514" s="92" t="s">
        <v>326</v>
      </c>
      <c r="Y514" s="738">
        <v>3732</v>
      </c>
      <c r="Z514" s="738">
        <v>17445</v>
      </c>
      <c r="AA514" s="738">
        <v>3</v>
      </c>
      <c r="AB514" s="708"/>
      <c r="AC514" s="708"/>
      <c r="AD514" s="146" t="s">
        <v>368</v>
      </c>
      <c r="AE514" s="146" t="s">
        <v>369</v>
      </c>
      <c r="AF514" s="146" t="s">
        <v>358</v>
      </c>
      <c r="AG514" s="708"/>
    </row>
    <row r="515" s="570" customFormat="1" ht="39" customHeight="1" spans="1:33">
      <c r="A515" s="705">
        <v>63</v>
      </c>
      <c r="B515" s="706" t="s">
        <v>379</v>
      </c>
      <c r="C515" s="706"/>
      <c r="D515" s="707"/>
      <c r="E515" s="92">
        <v>0</v>
      </c>
      <c r="F515" s="92">
        <v>0</v>
      </c>
      <c r="G515" s="92"/>
      <c r="H515" s="724">
        <v>0</v>
      </c>
      <c r="I515" s="724">
        <v>0</v>
      </c>
      <c r="J515" s="724">
        <v>0</v>
      </c>
      <c r="K515" s="724">
        <v>0</v>
      </c>
      <c r="L515" s="724">
        <v>0</v>
      </c>
      <c r="M515" s="724">
        <v>0</v>
      </c>
      <c r="N515" s="724">
        <v>0</v>
      </c>
      <c r="O515" s="724">
        <v>0</v>
      </c>
      <c r="P515" s="724">
        <v>0</v>
      </c>
      <c r="Q515" s="724">
        <v>0</v>
      </c>
      <c r="R515" s="724">
        <v>0</v>
      </c>
      <c r="S515" s="724">
        <v>0</v>
      </c>
      <c r="T515" s="724">
        <v>0</v>
      </c>
      <c r="U515" s="724">
        <v>0</v>
      </c>
      <c r="V515" s="724">
        <v>0</v>
      </c>
      <c r="W515" s="92">
        <v>0</v>
      </c>
      <c r="X515" s="92">
        <v>0</v>
      </c>
      <c r="Y515" s="738">
        <v>0</v>
      </c>
      <c r="Z515" s="738">
        <v>0</v>
      </c>
      <c r="AA515" s="738">
        <v>0</v>
      </c>
      <c r="AB515" s="706"/>
      <c r="AC515" s="706"/>
      <c r="AD515" s="706"/>
      <c r="AE515" s="706"/>
      <c r="AF515" s="706"/>
      <c r="AG515" s="706" t="s">
        <v>41</v>
      </c>
    </row>
    <row r="516" s="570" customFormat="1" ht="37" customHeight="1" spans="1:33">
      <c r="A516" s="705">
        <v>64</v>
      </c>
      <c r="B516" s="708" t="s">
        <v>380</v>
      </c>
      <c r="C516" s="708"/>
      <c r="D516" s="709" t="s">
        <v>147</v>
      </c>
      <c r="E516" s="92">
        <v>0</v>
      </c>
      <c r="F516" s="92">
        <v>0</v>
      </c>
      <c r="G516" s="92"/>
      <c r="H516" s="724">
        <v>0</v>
      </c>
      <c r="I516" s="724">
        <v>0</v>
      </c>
      <c r="J516" s="724">
        <v>0</v>
      </c>
      <c r="K516" s="724">
        <v>0</v>
      </c>
      <c r="L516" s="724">
        <v>0</v>
      </c>
      <c r="M516" s="724">
        <v>0</v>
      </c>
      <c r="N516" s="724">
        <v>0</v>
      </c>
      <c r="O516" s="724">
        <v>0</v>
      </c>
      <c r="P516" s="724">
        <v>0</v>
      </c>
      <c r="Q516" s="724">
        <v>0</v>
      </c>
      <c r="R516" s="724">
        <v>0</v>
      </c>
      <c r="S516" s="724">
        <v>0</v>
      </c>
      <c r="T516" s="724">
        <v>0</v>
      </c>
      <c r="U516" s="724">
        <v>0</v>
      </c>
      <c r="V516" s="724">
        <v>0</v>
      </c>
      <c r="W516" s="92">
        <v>0</v>
      </c>
      <c r="X516" s="92">
        <v>0</v>
      </c>
      <c r="Y516" s="738">
        <v>0</v>
      </c>
      <c r="Z516" s="738">
        <v>0</v>
      </c>
      <c r="AA516" s="738">
        <v>0</v>
      </c>
      <c r="AB516" s="708"/>
      <c r="AC516" s="708"/>
      <c r="AD516" s="708"/>
      <c r="AE516" s="708"/>
      <c r="AF516" s="708" t="s">
        <v>201</v>
      </c>
      <c r="AG516" s="708" t="s">
        <v>41</v>
      </c>
    </row>
    <row r="517" s="570" customFormat="1" ht="24.95" customHeight="1" spans="1:33">
      <c r="A517" s="705" t="s">
        <v>48</v>
      </c>
      <c r="B517" s="92" t="s">
        <v>148</v>
      </c>
      <c r="C517" s="92"/>
      <c r="D517" s="76"/>
      <c r="E517" s="92">
        <v>0</v>
      </c>
      <c r="F517" s="92">
        <v>0</v>
      </c>
      <c r="G517" s="92"/>
      <c r="H517" s="724">
        <v>0</v>
      </c>
      <c r="I517" s="724">
        <v>0</v>
      </c>
      <c r="J517" s="724">
        <v>0</v>
      </c>
      <c r="K517" s="724">
        <v>0</v>
      </c>
      <c r="L517" s="724">
        <v>0</v>
      </c>
      <c r="M517" s="724">
        <v>0</v>
      </c>
      <c r="N517" s="724">
        <v>0</v>
      </c>
      <c r="O517" s="724">
        <v>0</v>
      </c>
      <c r="P517" s="724">
        <v>0</v>
      </c>
      <c r="Q517" s="724">
        <v>0</v>
      </c>
      <c r="R517" s="724">
        <v>0</v>
      </c>
      <c r="S517" s="724">
        <v>0</v>
      </c>
      <c r="T517" s="724">
        <v>0</v>
      </c>
      <c r="U517" s="724">
        <v>0</v>
      </c>
      <c r="V517" s="724">
        <v>0</v>
      </c>
      <c r="W517" s="92">
        <v>0</v>
      </c>
      <c r="X517" s="92">
        <v>0</v>
      </c>
      <c r="Y517" s="738">
        <v>0</v>
      </c>
      <c r="Z517" s="738">
        <v>0</v>
      </c>
      <c r="AA517" s="738">
        <v>0</v>
      </c>
      <c r="AB517" s="92"/>
      <c r="AC517" s="92"/>
      <c r="AD517" s="92"/>
      <c r="AE517" s="92"/>
      <c r="AF517" s="92"/>
      <c r="AG517" s="92"/>
    </row>
    <row r="518" s="570" customFormat="1" ht="24.95" customHeight="1" spans="1:33">
      <c r="A518" s="705">
        <v>65</v>
      </c>
      <c r="B518" s="706" t="s">
        <v>381</v>
      </c>
      <c r="C518" s="706"/>
      <c r="D518" s="707"/>
      <c r="E518" s="92">
        <v>84</v>
      </c>
      <c r="F518" s="92">
        <v>0</v>
      </c>
      <c r="G518" s="92"/>
      <c r="H518" s="724">
        <v>18824</v>
      </c>
      <c r="I518" s="724">
        <v>18005</v>
      </c>
      <c r="J518" s="724">
        <v>819</v>
      </c>
      <c r="K518" s="724">
        <v>0</v>
      </c>
      <c r="L518" s="724">
        <v>0</v>
      </c>
      <c r="M518" s="724">
        <v>0</v>
      </c>
      <c r="N518" s="724">
        <v>35931.2</v>
      </c>
      <c r="O518" s="724">
        <v>34211.3</v>
      </c>
      <c r="P518" s="724">
        <v>1719.9</v>
      </c>
      <c r="Q518" s="724">
        <v>0</v>
      </c>
      <c r="R518" s="724">
        <v>0</v>
      </c>
      <c r="S518" s="724">
        <v>32659.2</v>
      </c>
      <c r="T518" s="724">
        <v>3272</v>
      </c>
      <c r="U518" s="724">
        <v>0</v>
      </c>
      <c r="V518" s="724">
        <v>0</v>
      </c>
      <c r="W518" s="92">
        <v>0</v>
      </c>
      <c r="X518" s="92" t="s">
        <v>382</v>
      </c>
      <c r="Y518" s="738">
        <v>10201</v>
      </c>
      <c r="Z518" s="738">
        <v>37463.2</v>
      </c>
      <c r="AA518" s="738">
        <v>84</v>
      </c>
      <c r="AB518" s="706"/>
      <c r="AC518" s="706"/>
      <c r="AD518" s="706"/>
      <c r="AE518" s="706"/>
      <c r="AF518" s="706"/>
      <c r="AG518" s="706"/>
    </row>
    <row r="519" s="570" customFormat="1" ht="24.95" customHeight="1" spans="1:33">
      <c r="A519" s="705">
        <v>66</v>
      </c>
      <c r="B519" s="708" t="s">
        <v>383</v>
      </c>
      <c r="C519" s="708"/>
      <c r="D519" s="709" t="s">
        <v>384</v>
      </c>
      <c r="E519" s="92">
        <v>24</v>
      </c>
      <c r="F519" s="92">
        <v>0</v>
      </c>
      <c r="G519" s="92"/>
      <c r="H519" s="724">
        <v>2119</v>
      </c>
      <c r="I519" s="724">
        <v>2020</v>
      </c>
      <c r="J519" s="724">
        <v>99</v>
      </c>
      <c r="K519" s="724">
        <v>0</v>
      </c>
      <c r="L519" s="724">
        <v>0</v>
      </c>
      <c r="M519" s="724">
        <v>0</v>
      </c>
      <c r="N519" s="724">
        <v>4449.9</v>
      </c>
      <c r="O519" s="724">
        <v>4242</v>
      </c>
      <c r="P519" s="724">
        <v>207.9</v>
      </c>
      <c r="Q519" s="724">
        <v>0</v>
      </c>
      <c r="R519" s="724">
        <v>0</v>
      </c>
      <c r="S519" s="724">
        <v>4449.9</v>
      </c>
      <c r="T519" s="724">
        <v>0</v>
      </c>
      <c r="U519" s="724">
        <v>0</v>
      </c>
      <c r="V519" s="724">
        <v>0</v>
      </c>
      <c r="W519" s="92">
        <v>0</v>
      </c>
      <c r="X519" s="92" t="s">
        <v>382</v>
      </c>
      <c r="Y519" s="738">
        <v>1856</v>
      </c>
      <c r="Z519" s="738">
        <v>8001.8</v>
      </c>
      <c r="AA519" s="738">
        <v>24</v>
      </c>
      <c r="AB519" s="708"/>
      <c r="AC519" s="708"/>
      <c r="AD519" s="146" t="s">
        <v>385</v>
      </c>
      <c r="AE519" s="753" t="s">
        <v>386</v>
      </c>
      <c r="AF519" s="712" t="s">
        <v>273</v>
      </c>
      <c r="AG519" s="708"/>
    </row>
    <row r="520" s="570" customFormat="1" ht="24.95" customHeight="1" spans="1:33">
      <c r="A520" s="705"/>
      <c r="B520" s="714" t="s">
        <v>101</v>
      </c>
      <c r="C520" s="146" t="s">
        <v>52</v>
      </c>
      <c r="D520" s="152" t="s">
        <v>384</v>
      </c>
      <c r="E520" s="92">
        <v>2</v>
      </c>
      <c r="F520" s="92" t="s">
        <v>101</v>
      </c>
      <c r="G520" s="92"/>
      <c r="H520" s="724">
        <v>130</v>
      </c>
      <c r="I520" s="724">
        <v>116</v>
      </c>
      <c r="J520" s="724">
        <v>14</v>
      </c>
      <c r="K520" s="724">
        <v>0</v>
      </c>
      <c r="L520" s="724">
        <v>2018.01</v>
      </c>
      <c r="M520" s="724">
        <v>0</v>
      </c>
      <c r="N520" s="724">
        <v>273</v>
      </c>
      <c r="O520" s="724">
        <v>243.6</v>
      </c>
      <c r="P520" s="724">
        <v>29.4</v>
      </c>
      <c r="Q520" s="724">
        <v>0</v>
      </c>
      <c r="R520" s="724">
        <v>0</v>
      </c>
      <c r="S520" s="724">
        <v>273</v>
      </c>
      <c r="T520" s="724">
        <v>0</v>
      </c>
      <c r="U520" s="724">
        <v>0</v>
      </c>
      <c r="V520" s="724">
        <v>0</v>
      </c>
      <c r="W520" s="92">
        <v>0</v>
      </c>
      <c r="X520" s="92" t="s">
        <v>382</v>
      </c>
      <c r="Y520" s="738">
        <v>73</v>
      </c>
      <c r="Z520" s="738">
        <v>313</v>
      </c>
      <c r="AA520" s="738">
        <v>2</v>
      </c>
      <c r="AB520" s="708"/>
      <c r="AC520" s="708"/>
      <c r="AD520" s="146" t="s">
        <v>387</v>
      </c>
      <c r="AE520" s="146" t="s">
        <v>388</v>
      </c>
      <c r="AF520" s="438" t="s">
        <v>273</v>
      </c>
      <c r="AG520" s="708"/>
    </row>
    <row r="521" s="570" customFormat="1" ht="24.95" customHeight="1" spans="1:33">
      <c r="A521" s="705"/>
      <c r="B521" s="714" t="s">
        <v>151</v>
      </c>
      <c r="C521" s="146" t="s">
        <v>52</v>
      </c>
      <c r="D521" s="152" t="s">
        <v>384</v>
      </c>
      <c r="E521" s="92">
        <v>2</v>
      </c>
      <c r="F521" s="92" t="s">
        <v>151</v>
      </c>
      <c r="G521" s="92"/>
      <c r="H521" s="724">
        <v>53</v>
      </c>
      <c r="I521" s="724">
        <v>51</v>
      </c>
      <c r="J521" s="724">
        <v>2</v>
      </c>
      <c r="K521" s="724">
        <v>0</v>
      </c>
      <c r="L521" s="724">
        <v>2018.01</v>
      </c>
      <c r="M521" s="724">
        <v>0</v>
      </c>
      <c r="N521" s="724">
        <v>111.3</v>
      </c>
      <c r="O521" s="724">
        <v>107.1</v>
      </c>
      <c r="P521" s="724">
        <v>4.2</v>
      </c>
      <c r="Q521" s="724">
        <v>0</v>
      </c>
      <c r="R521" s="724">
        <v>0</v>
      </c>
      <c r="S521" s="724">
        <v>111.3</v>
      </c>
      <c r="T521" s="724">
        <v>0</v>
      </c>
      <c r="U521" s="724">
        <v>0</v>
      </c>
      <c r="V521" s="724">
        <v>0</v>
      </c>
      <c r="W521" s="92">
        <v>0</v>
      </c>
      <c r="X521" s="92" t="s">
        <v>382</v>
      </c>
      <c r="Y521" s="738">
        <v>49</v>
      </c>
      <c r="Z521" s="738">
        <v>84</v>
      </c>
      <c r="AA521" s="738">
        <v>2</v>
      </c>
      <c r="AB521" s="708"/>
      <c r="AC521" s="708"/>
      <c r="AD521" s="146" t="s">
        <v>389</v>
      </c>
      <c r="AE521" s="146" t="s">
        <v>390</v>
      </c>
      <c r="AF521" s="438" t="s">
        <v>273</v>
      </c>
      <c r="AG521" s="708"/>
    </row>
    <row r="522" s="570" customFormat="1" ht="24.95" customHeight="1" spans="1:33">
      <c r="A522" s="705"/>
      <c r="B522" s="714" t="s">
        <v>154</v>
      </c>
      <c r="C522" s="146" t="s">
        <v>52</v>
      </c>
      <c r="D522" s="152" t="s">
        <v>384</v>
      </c>
      <c r="E522" s="92">
        <v>2</v>
      </c>
      <c r="F522" s="92" t="s">
        <v>154</v>
      </c>
      <c r="G522" s="92"/>
      <c r="H522" s="724">
        <v>208</v>
      </c>
      <c r="I522" s="724">
        <v>203</v>
      </c>
      <c r="J522" s="724">
        <v>5</v>
      </c>
      <c r="K522" s="724">
        <v>0</v>
      </c>
      <c r="L522" s="724">
        <v>2018.01</v>
      </c>
      <c r="M522" s="724">
        <v>0</v>
      </c>
      <c r="N522" s="724">
        <v>436.8</v>
      </c>
      <c r="O522" s="724">
        <v>426.3</v>
      </c>
      <c r="P522" s="724">
        <v>10.5</v>
      </c>
      <c r="Q522" s="724">
        <v>0</v>
      </c>
      <c r="R522" s="724">
        <v>0</v>
      </c>
      <c r="S522" s="724">
        <v>436.8</v>
      </c>
      <c r="T522" s="724">
        <v>0</v>
      </c>
      <c r="U522" s="724">
        <v>0</v>
      </c>
      <c r="V522" s="724">
        <v>0</v>
      </c>
      <c r="W522" s="92">
        <v>0</v>
      </c>
      <c r="X522" s="92" t="s">
        <v>382</v>
      </c>
      <c r="Y522" s="738">
        <v>164</v>
      </c>
      <c r="Z522" s="738">
        <v>679</v>
      </c>
      <c r="AA522" s="738">
        <v>2</v>
      </c>
      <c r="AB522" s="708"/>
      <c r="AC522" s="708"/>
      <c r="AD522" s="146" t="s">
        <v>391</v>
      </c>
      <c r="AE522" s="146" t="s">
        <v>392</v>
      </c>
      <c r="AF522" s="438" t="s">
        <v>273</v>
      </c>
      <c r="AG522" s="708"/>
    </row>
    <row r="523" s="570" customFormat="1" ht="24.95" customHeight="1" spans="1:33">
      <c r="A523" s="705"/>
      <c r="B523" s="714" t="s">
        <v>81</v>
      </c>
      <c r="C523" s="146" t="s">
        <v>52</v>
      </c>
      <c r="D523" s="152" t="s">
        <v>384</v>
      </c>
      <c r="E523" s="92">
        <v>2</v>
      </c>
      <c r="F523" s="92" t="s">
        <v>81</v>
      </c>
      <c r="G523" s="92"/>
      <c r="H523" s="724">
        <v>203</v>
      </c>
      <c r="I523" s="724">
        <v>189</v>
      </c>
      <c r="J523" s="724">
        <v>14</v>
      </c>
      <c r="K523" s="724">
        <v>0</v>
      </c>
      <c r="L523" s="724">
        <v>2018.01</v>
      </c>
      <c r="M523" s="724">
        <v>0</v>
      </c>
      <c r="N523" s="724">
        <v>426.3</v>
      </c>
      <c r="O523" s="724">
        <v>396.9</v>
      </c>
      <c r="P523" s="724">
        <v>29.4</v>
      </c>
      <c r="Q523" s="724">
        <v>0</v>
      </c>
      <c r="R523" s="724">
        <v>0</v>
      </c>
      <c r="S523" s="724">
        <v>426.3</v>
      </c>
      <c r="T523" s="724">
        <v>0</v>
      </c>
      <c r="U523" s="724">
        <v>0</v>
      </c>
      <c r="V523" s="724">
        <v>0</v>
      </c>
      <c r="W523" s="92">
        <v>0</v>
      </c>
      <c r="X523" s="92" t="s">
        <v>382</v>
      </c>
      <c r="Y523" s="738">
        <v>203</v>
      </c>
      <c r="Z523" s="738">
        <v>583</v>
      </c>
      <c r="AA523" s="738">
        <v>2</v>
      </c>
      <c r="AB523" s="708"/>
      <c r="AC523" s="708"/>
      <c r="AD523" s="146" t="s">
        <v>393</v>
      </c>
      <c r="AE523" s="146" t="s">
        <v>394</v>
      </c>
      <c r="AF523" s="438" t="s">
        <v>273</v>
      </c>
      <c r="AG523" s="708"/>
    </row>
    <row r="524" s="570" customFormat="1" ht="24.95" customHeight="1" spans="1:33">
      <c r="A524" s="705"/>
      <c r="B524" s="714" t="s">
        <v>98</v>
      </c>
      <c r="C524" s="146" t="s">
        <v>52</v>
      </c>
      <c r="D524" s="152" t="s">
        <v>384</v>
      </c>
      <c r="E524" s="92">
        <v>2</v>
      </c>
      <c r="F524" s="92" t="s">
        <v>98</v>
      </c>
      <c r="G524" s="92"/>
      <c r="H524" s="724">
        <v>327</v>
      </c>
      <c r="I524" s="724">
        <v>304</v>
      </c>
      <c r="J524" s="724">
        <v>23</v>
      </c>
      <c r="K524" s="724">
        <v>0</v>
      </c>
      <c r="L524" s="724">
        <v>2018.01</v>
      </c>
      <c r="M524" s="724">
        <v>0</v>
      </c>
      <c r="N524" s="724">
        <v>686.7</v>
      </c>
      <c r="O524" s="724">
        <v>638.4</v>
      </c>
      <c r="P524" s="724">
        <v>48.3</v>
      </c>
      <c r="Q524" s="724">
        <v>0</v>
      </c>
      <c r="R524" s="724">
        <v>0</v>
      </c>
      <c r="S524" s="724">
        <v>686.7</v>
      </c>
      <c r="T524" s="724">
        <v>0</v>
      </c>
      <c r="U524" s="724">
        <v>0</v>
      </c>
      <c r="V524" s="724">
        <v>0</v>
      </c>
      <c r="W524" s="92">
        <v>0</v>
      </c>
      <c r="X524" s="92" t="s">
        <v>382</v>
      </c>
      <c r="Y524" s="738">
        <v>351</v>
      </c>
      <c r="Z524" s="738">
        <v>1572</v>
      </c>
      <c r="AA524" s="738">
        <v>2</v>
      </c>
      <c r="AB524" s="708"/>
      <c r="AC524" s="708"/>
      <c r="AD524" s="146" t="s">
        <v>395</v>
      </c>
      <c r="AE524" s="146" t="s">
        <v>396</v>
      </c>
      <c r="AF524" s="438" t="s">
        <v>273</v>
      </c>
      <c r="AG524" s="708"/>
    </row>
    <row r="525" s="570" customFormat="1" ht="24.95" customHeight="1" spans="1:33">
      <c r="A525" s="705"/>
      <c r="B525" s="714" t="s">
        <v>211</v>
      </c>
      <c r="C525" s="146" t="s">
        <v>52</v>
      </c>
      <c r="D525" s="152" t="s">
        <v>384</v>
      </c>
      <c r="E525" s="92">
        <v>2</v>
      </c>
      <c r="F525" s="92" t="s">
        <v>211</v>
      </c>
      <c r="G525" s="92"/>
      <c r="H525" s="724">
        <v>245</v>
      </c>
      <c r="I525" s="724">
        <v>241</v>
      </c>
      <c r="J525" s="724">
        <v>4</v>
      </c>
      <c r="K525" s="724">
        <v>0</v>
      </c>
      <c r="L525" s="724">
        <v>2018.01</v>
      </c>
      <c r="M525" s="724">
        <v>0</v>
      </c>
      <c r="N525" s="724">
        <v>514.5</v>
      </c>
      <c r="O525" s="724">
        <v>506.1</v>
      </c>
      <c r="P525" s="724">
        <v>8.4</v>
      </c>
      <c r="Q525" s="724">
        <v>0</v>
      </c>
      <c r="R525" s="724">
        <v>0</v>
      </c>
      <c r="S525" s="724">
        <v>514.5</v>
      </c>
      <c r="T525" s="724">
        <v>0</v>
      </c>
      <c r="U525" s="724">
        <v>0</v>
      </c>
      <c r="V525" s="724">
        <v>0</v>
      </c>
      <c r="W525" s="92">
        <v>0</v>
      </c>
      <c r="X525" s="92" t="s">
        <v>382</v>
      </c>
      <c r="Y525" s="738">
        <v>207</v>
      </c>
      <c r="Z525" s="738">
        <v>987</v>
      </c>
      <c r="AA525" s="738">
        <v>2</v>
      </c>
      <c r="AB525" s="708"/>
      <c r="AC525" s="708"/>
      <c r="AD525" s="146" t="s">
        <v>397</v>
      </c>
      <c r="AE525" s="146" t="s">
        <v>398</v>
      </c>
      <c r="AF525" s="438" t="s">
        <v>273</v>
      </c>
      <c r="AG525" s="708"/>
    </row>
    <row r="526" s="570" customFormat="1" ht="24.95" customHeight="1" spans="1:33">
      <c r="A526" s="705"/>
      <c r="B526" s="714" t="s">
        <v>155</v>
      </c>
      <c r="C526" s="146" t="s">
        <v>52</v>
      </c>
      <c r="D526" s="152" t="s">
        <v>384</v>
      </c>
      <c r="E526" s="92">
        <v>2</v>
      </c>
      <c r="F526" s="92" t="s">
        <v>155</v>
      </c>
      <c r="G526" s="92"/>
      <c r="H526" s="724">
        <v>98</v>
      </c>
      <c r="I526" s="724">
        <v>94</v>
      </c>
      <c r="J526" s="724">
        <v>4</v>
      </c>
      <c r="K526" s="724">
        <v>0</v>
      </c>
      <c r="L526" s="724">
        <v>2018.01</v>
      </c>
      <c r="M526" s="724">
        <v>0</v>
      </c>
      <c r="N526" s="724">
        <v>205.8</v>
      </c>
      <c r="O526" s="724">
        <v>197.4</v>
      </c>
      <c r="P526" s="724">
        <v>8.4</v>
      </c>
      <c r="Q526" s="724">
        <v>0</v>
      </c>
      <c r="R526" s="724">
        <v>0</v>
      </c>
      <c r="S526" s="724">
        <v>205.8</v>
      </c>
      <c r="T526" s="724">
        <v>0</v>
      </c>
      <c r="U526" s="724">
        <v>0</v>
      </c>
      <c r="V526" s="724">
        <v>0</v>
      </c>
      <c r="W526" s="92">
        <v>0</v>
      </c>
      <c r="X526" s="92" t="s">
        <v>382</v>
      </c>
      <c r="Y526" s="738">
        <v>136</v>
      </c>
      <c r="Z526" s="738">
        <v>581</v>
      </c>
      <c r="AA526" s="738">
        <v>2</v>
      </c>
      <c r="AB526" s="708"/>
      <c r="AC526" s="708"/>
      <c r="AD526" s="146" t="s">
        <v>399</v>
      </c>
      <c r="AE526" s="146" t="s">
        <v>400</v>
      </c>
      <c r="AF526" s="438" t="s">
        <v>273</v>
      </c>
      <c r="AG526" s="708"/>
    </row>
    <row r="527" s="570" customFormat="1" ht="24.95" customHeight="1" spans="1:33">
      <c r="A527" s="705"/>
      <c r="B527" s="714" t="s">
        <v>102</v>
      </c>
      <c r="C527" s="146" t="s">
        <v>52</v>
      </c>
      <c r="D527" s="152" t="s">
        <v>384</v>
      </c>
      <c r="E527" s="92">
        <v>2</v>
      </c>
      <c r="F527" s="92" t="s">
        <v>102</v>
      </c>
      <c r="G527" s="92"/>
      <c r="H527" s="724">
        <v>443</v>
      </c>
      <c r="I527" s="724">
        <v>443</v>
      </c>
      <c r="J527" s="724">
        <v>0</v>
      </c>
      <c r="K527" s="724">
        <v>0</v>
      </c>
      <c r="L527" s="724">
        <v>2018.01</v>
      </c>
      <c r="M527" s="724">
        <v>0</v>
      </c>
      <c r="N527" s="724">
        <v>930.3</v>
      </c>
      <c r="O527" s="724">
        <v>930.3</v>
      </c>
      <c r="P527" s="724">
        <v>0</v>
      </c>
      <c r="Q527" s="724">
        <v>0</v>
      </c>
      <c r="R527" s="724">
        <v>0</v>
      </c>
      <c r="S527" s="724">
        <v>930.3</v>
      </c>
      <c r="T527" s="724">
        <v>0</v>
      </c>
      <c r="U527" s="724">
        <v>0</v>
      </c>
      <c r="V527" s="724">
        <v>0</v>
      </c>
      <c r="W527" s="92">
        <v>0</v>
      </c>
      <c r="X527" s="92" t="s">
        <v>382</v>
      </c>
      <c r="Y527" s="738">
        <v>410</v>
      </c>
      <c r="Z527" s="738">
        <v>2012</v>
      </c>
      <c r="AA527" s="738">
        <v>2</v>
      </c>
      <c r="AB527" s="708"/>
      <c r="AC527" s="708"/>
      <c r="AD527" s="146" t="s">
        <v>401</v>
      </c>
      <c r="AE527" s="146" t="s">
        <v>402</v>
      </c>
      <c r="AF527" s="438" t="s">
        <v>273</v>
      </c>
      <c r="AG527" s="708"/>
    </row>
    <row r="528" s="570" customFormat="1" ht="24.95" customHeight="1" spans="1:33">
      <c r="A528" s="705"/>
      <c r="B528" s="714" t="s">
        <v>100</v>
      </c>
      <c r="C528" s="146" t="s">
        <v>52</v>
      </c>
      <c r="D528" s="152" t="s">
        <v>384</v>
      </c>
      <c r="E528" s="92">
        <v>2</v>
      </c>
      <c r="F528" s="92" t="s">
        <v>100</v>
      </c>
      <c r="G528" s="92"/>
      <c r="H528" s="724">
        <v>107</v>
      </c>
      <c r="I528" s="724">
        <v>90</v>
      </c>
      <c r="J528" s="724">
        <v>17</v>
      </c>
      <c r="K528" s="724">
        <v>0</v>
      </c>
      <c r="L528" s="724">
        <v>2018.01</v>
      </c>
      <c r="M528" s="724">
        <v>0</v>
      </c>
      <c r="N528" s="724">
        <v>224.7</v>
      </c>
      <c r="O528" s="724">
        <v>189</v>
      </c>
      <c r="P528" s="724">
        <v>35.7</v>
      </c>
      <c r="Q528" s="724">
        <v>0</v>
      </c>
      <c r="R528" s="724">
        <v>0</v>
      </c>
      <c r="S528" s="724">
        <v>224.7</v>
      </c>
      <c r="T528" s="724">
        <v>0</v>
      </c>
      <c r="U528" s="724">
        <v>0</v>
      </c>
      <c r="V528" s="724">
        <v>0</v>
      </c>
      <c r="W528" s="92">
        <v>0</v>
      </c>
      <c r="X528" s="92" t="s">
        <v>382</v>
      </c>
      <c r="Y528" s="738">
        <v>63</v>
      </c>
      <c r="Z528" s="738">
        <v>267</v>
      </c>
      <c r="AA528" s="738">
        <v>2</v>
      </c>
      <c r="AB528" s="708"/>
      <c r="AC528" s="708"/>
      <c r="AD528" s="146" t="s">
        <v>217</v>
      </c>
      <c r="AE528" s="146" t="s">
        <v>403</v>
      </c>
      <c r="AF528" s="438" t="s">
        <v>273</v>
      </c>
      <c r="AG528" s="708"/>
    </row>
    <row r="529" s="570" customFormat="1" ht="24.95" customHeight="1" spans="1:33">
      <c r="A529" s="705"/>
      <c r="B529" s="714" t="s">
        <v>259</v>
      </c>
      <c r="C529" s="146" t="s">
        <v>52</v>
      </c>
      <c r="D529" s="152" t="s">
        <v>384</v>
      </c>
      <c r="E529" s="92">
        <v>2</v>
      </c>
      <c r="F529" s="92" t="s">
        <v>259</v>
      </c>
      <c r="G529" s="92"/>
      <c r="H529" s="724">
        <v>34</v>
      </c>
      <c r="I529" s="724">
        <v>31</v>
      </c>
      <c r="J529" s="724">
        <v>3</v>
      </c>
      <c r="K529" s="724">
        <v>0</v>
      </c>
      <c r="L529" s="724">
        <v>2018.01</v>
      </c>
      <c r="M529" s="724">
        <v>0</v>
      </c>
      <c r="N529" s="724">
        <v>71.4</v>
      </c>
      <c r="O529" s="724">
        <v>65.1</v>
      </c>
      <c r="P529" s="724">
        <v>6.3</v>
      </c>
      <c r="Q529" s="724">
        <v>0</v>
      </c>
      <c r="R529" s="724">
        <v>0</v>
      </c>
      <c r="S529" s="724">
        <v>71.4</v>
      </c>
      <c r="T529" s="724">
        <v>0</v>
      </c>
      <c r="U529" s="724">
        <v>0</v>
      </c>
      <c r="V529" s="724">
        <v>0</v>
      </c>
      <c r="W529" s="92">
        <v>0</v>
      </c>
      <c r="X529" s="92" t="s">
        <v>382</v>
      </c>
      <c r="Y529" s="738">
        <v>28</v>
      </c>
      <c r="Z529" s="738">
        <v>131</v>
      </c>
      <c r="AA529" s="738">
        <v>2</v>
      </c>
      <c r="AB529" s="708"/>
      <c r="AC529" s="708"/>
      <c r="AD529" s="146" t="s">
        <v>404</v>
      </c>
      <c r="AE529" s="146" t="s">
        <v>405</v>
      </c>
      <c r="AF529" s="438" t="s">
        <v>273</v>
      </c>
      <c r="AG529" s="708"/>
    </row>
    <row r="530" s="570" customFormat="1" ht="24.95" customHeight="1" spans="1:33">
      <c r="A530" s="705"/>
      <c r="B530" s="714" t="s">
        <v>84</v>
      </c>
      <c r="C530" s="146" t="s">
        <v>52</v>
      </c>
      <c r="D530" s="152" t="s">
        <v>384</v>
      </c>
      <c r="E530" s="92">
        <v>2</v>
      </c>
      <c r="F530" s="92" t="s">
        <v>84</v>
      </c>
      <c r="G530" s="92"/>
      <c r="H530" s="724">
        <v>183</v>
      </c>
      <c r="I530" s="724">
        <v>173</v>
      </c>
      <c r="J530" s="724">
        <v>10</v>
      </c>
      <c r="K530" s="724">
        <v>0</v>
      </c>
      <c r="L530" s="724">
        <v>2018.01</v>
      </c>
      <c r="M530" s="724">
        <v>0</v>
      </c>
      <c r="N530" s="724">
        <v>384.3</v>
      </c>
      <c r="O530" s="724">
        <v>363.3</v>
      </c>
      <c r="P530" s="724">
        <v>21</v>
      </c>
      <c r="Q530" s="724">
        <v>0</v>
      </c>
      <c r="R530" s="724">
        <v>0</v>
      </c>
      <c r="S530" s="724">
        <v>384.3</v>
      </c>
      <c r="T530" s="724">
        <v>0</v>
      </c>
      <c r="U530" s="724">
        <v>0</v>
      </c>
      <c r="V530" s="724">
        <v>0</v>
      </c>
      <c r="W530" s="92">
        <v>0</v>
      </c>
      <c r="X530" s="92" t="s">
        <v>382</v>
      </c>
      <c r="Y530" s="738">
        <v>119</v>
      </c>
      <c r="Z530" s="738">
        <v>549</v>
      </c>
      <c r="AA530" s="738">
        <v>2</v>
      </c>
      <c r="AB530" s="708"/>
      <c r="AC530" s="708"/>
      <c r="AD530" s="146" t="s">
        <v>219</v>
      </c>
      <c r="AE530" s="146" t="s">
        <v>406</v>
      </c>
      <c r="AF530" s="438" t="s">
        <v>273</v>
      </c>
      <c r="AG530" s="708"/>
    </row>
    <row r="531" s="570" customFormat="1" ht="24.95" customHeight="1" spans="1:33">
      <c r="A531" s="705"/>
      <c r="B531" s="714" t="s">
        <v>143</v>
      </c>
      <c r="C531" s="146" t="s">
        <v>52</v>
      </c>
      <c r="D531" s="152" t="s">
        <v>384</v>
      </c>
      <c r="E531" s="92">
        <v>2</v>
      </c>
      <c r="F531" s="92" t="s">
        <v>143</v>
      </c>
      <c r="G531" s="92"/>
      <c r="H531" s="724">
        <v>88</v>
      </c>
      <c r="I531" s="724">
        <v>85</v>
      </c>
      <c r="J531" s="724">
        <v>3</v>
      </c>
      <c r="K531" s="724">
        <v>0</v>
      </c>
      <c r="L531" s="724">
        <v>2018.01</v>
      </c>
      <c r="M531" s="724">
        <v>0</v>
      </c>
      <c r="N531" s="724">
        <v>184.8</v>
      </c>
      <c r="O531" s="724">
        <v>178.5</v>
      </c>
      <c r="P531" s="724">
        <v>6.3</v>
      </c>
      <c r="Q531" s="724">
        <v>0</v>
      </c>
      <c r="R531" s="724">
        <v>0</v>
      </c>
      <c r="S531" s="724">
        <v>184.8</v>
      </c>
      <c r="T531" s="724">
        <v>0</v>
      </c>
      <c r="U531" s="724">
        <v>0</v>
      </c>
      <c r="V531" s="724">
        <v>0</v>
      </c>
      <c r="W531" s="92">
        <v>0</v>
      </c>
      <c r="X531" s="92" t="s">
        <v>382</v>
      </c>
      <c r="Y531" s="738">
        <v>53</v>
      </c>
      <c r="Z531" s="738">
        <v>243.8</v>
      </c>
      <c r="AA531" s="738">
        <v>2</v>
      </c>
      <c r="AB531" s="708"/>
      <c r="AC531" s="708"/>
      <c r="AD531" s="775" t="s">
        <v>221</v>
      </c>
      <c r="AE531" s="146" t="s">
        <v>407</v>
      </c>
      <c r="AF531" s="438" t="s">
        <v>273</v>
      </c>
      <c r="AG531" s="708"/>
    </row>
    <row r="532" s="570" customFormat="1" ht="24.95" customHeight="1" spans="1:33">
      <c r="A532" s="705">
        <v>67</v>
      </c>
      <c r="B532" s="708" t="s">
        <v>408</v>
      </c>
      <c r="C532" s="708"/>
      <c r="D532" s="709" t="s">
        <v>384</v>
      </c>
      <c r="E532" s="92">
        <v>24</v>
      </c>
      <c r="F532" s="92">
        <v>0</v>
      </c>
      <c r="G532" s="92"/>
      <c r="H532" s="724">
        <v>12994</v>
      </c>
      <c r="I532" s="724">
        <v>12293</v>
      </c>
      <c r="J532" s="724">
        <v>701</v>
      </c>
      <c r="K532" s="724">
        <v>0</v>
      </c>
      <c r="L532" s="724">
        <v>0</v>
      </c>
      <c r="M532" s="724">
        <v>0</v>
      </c>
      <c r="N532" s="724">
        <v>27287.4</v>
      </c>
      <c r="O532" s="724">
        <v>25815.3</v>
      </c>
      <c r="P532" s="724">
        <v>1472.1</v>
      </c>
      <c r="Q532" s="724">
        <v>0</v>
      </c>
      <c r="R532" s="724">
        <v>0</v>
      </c>
      <c r="S532" s="724">
        <v>27287.4</v>
      </c>
      <c r="T532" s="724">
        <v>0</v>
      </c>
      <c r="U532" s="724">
        <v>0</v>
      </c>
      <c r="V532" s="724">
        <v>0</v>
      </c>
      <c r="W532" s="92">
        <v>0</v>
      </c>
      <c r="X532" s="92" t="s">
        <v>382</v>
      </c>
      <c r="Y532" s="738">
        <v>7916</v>
      </c>
      <c r="Z532" s="738">
        <v>28515</v>
      </c>
      <c r="AA532" s="738">
        <v>24</v>
      </c>
      <c r="AB532" s="708"/>
      <c r="AC532" s="708"/>
      <c r="AD532" s="146" t="s">
        <v>385</v>
      </c>
      <c r="AE532" s="753" t="s">
        <v>386</v>
      </c>
      <c r="AF532" s="712" t="s">
        <v>273</v>
      </c>
      <c r="AG532" s="708"/>
    </row>
    <row r="533" s="570" customFormat="1" ht="24.95" customHeight="1" spans="1:33">
      <c r="A533" s="705"/>
      <c r="B533" s="714" t="s">
        <v>101</v>
      </c>
      <c r="C533" s="146" t="s">
        <v>409</v>
      </c>
      <c r="D533" s="152" t="s">
        <v>384</v>
      </c>
      <c r="E533" s="92">
        <v>2</v>
      </c>
      <c r="F533" s="92" t="s">
        <v>101</v>
      </c>
      <c r="G533" s="92"/>
      <c r="H533" s="724">
        <v>504</v>
      </c>
      <c r="I533" s="724">
        <v>416</v>
      </c>
      <c r="J533" s="724">
        <v>88</v>
      </c>
      <c r="K533" s="724">
        <v>0</v>
      </c>
      <c r="L533" s="724">
        <v>2018.01</v>
      </c>
      <c r="M533" s="724">
        <v>0</v>
      </c>
      <c r="N533" s="724">
        <v>1058.4</v>
      </c>
      <c r="O533" s="724">
        <v>873.6</v>
      </c>
      <c r="P533" s="724">
        <v>184.8</v>
      </c>
      <c r="Q533" s="724">
        <v>0</v>
      </c>
      <c r="R533" s="724">
        <v>0</v>
      </c>
      <c r="S533" s="724">
        <v>1058.4</v>
      </c>
      <c r="T533" s="724">
        <v>0</v>
      </c>
      <c r="U533" s="724">
        <v>0</v>
      </c>
      <c r="V533" s="724">
        <v>0</v>
      </c>
      <c r="W533" s="92">
        <v>0</v>
      </c>
      <c r="X533" s="92" t="s">
        <v>382</v>
      </c>
      <c r="Y533" s="738">
        <v>225</v>
      </c>
      <c r="Z533" s="738">
        <v>834</v>
      </c>
      <c r="AA533" s="738">
        <v>2</v>
      </c>
      <c r="AB533" s="708"/>
      <c r="AC533" s="708"/>
      <c r="AD533" s="146" t="s">
        <v>387</v>
      </c>
      <c r="AE533" s="146" t="s">
        <v>388</v>
      </c>
      <c r="AF533" s="438" t="s">
        <v>273</v>
      </c>
      <c r="AG533" s="708"/>
    </row>
    <row r="534" s="570" customFormat="1" ht="24.95" customHeight="1" spans="1:33">
      <c r="A534" s="705"/>
      <c r="B534" s="714" t="s">
        <v>151</v>
      </c>
      <c r="C534" s="146" t="s">
        <v>409</v>
      </c>
      <c r="D534" s="152" t="s">
        <v>384</v>
      </c>
      <c r="E534" s="92">
        <v>2</v>
      </c>
      <c r="F534" s="92" t="s">
        <v>151</v>
      </c>
      <c r="G534" s="92"/>
      <c r="H534" s="724">
        <v>399</v>
      </c>
      <c r="I534" s="724">
        <v>384</v>
      </c>
      <c r="J534" s="724">
        <v>15</v>
      </c>
      <c r="K534" s="724">
        <v>0</v>
      </c>
      <c r="L534" s="724">
        <v>2018.01</v>
      </c>
      <c r="M534" s="724">
        <v>0</v>
      </c>
      <c r="N534" s="724">
        <v>837.9</v>
      </c>
      <c r="O534" s="724">
        <v>806.4</v>
      </c>
      <c r="P534" s="724">
        <v>31.5</v>
      </c>
      <c r="Q534" s="724">
        <v>0</v>
      </c>
      <c r="R534" s="724">
        <v>0</v>
      </c>
      <c r="S534" s="724">
        <v>837.9</v>
      </c>
      <c r="T534" s="724">
        <v>0</v>
      </c>
      <c r="U534" s="724">
        <v>0</v>
      </c>
      <c r="V534" s="724">
        <v>0</v>
      </c>
      <c r="W534" s="92">
        <v>0</v>
      </c>
      <c r="X534" s="92" t="s">
        <v>382</v>
      </c>
      <c r="Y534" s="738">
        <v>272</v>
      </c>
      <c r="Z534" s="738">
        <v>1022</v>
      </c>
      <c r="AA534" s="738">
        <v>2</v>
      </c>
      <c r="AB534" s="708"/>
      <c r="AC534" s="708"/>
      <c r="AD534" s="146" t="s">
        <v>389</v>
      </c>
      <c r="AE534" s="146" t="s">
        <v>390</v>
      </c>
      <c r="AF534" s="438" t="s">
        <v>273</v>
      </c>
      <c r="AG534" s="708"/>
    </row>
    <row r="535" s="570" customFormat="1" ht="24.95" customHeight="1" spans="1:33">
      <c r="A535" s="705"/>
      <c r="B535" s="714" t="s">
        <v>154</v>
      </c>
      <c r="C535" s="146" t="s">
        <v>409</v>
      </c>
      <c r="D535" s="152" t="s">
        <v>384</v>
      </c>
      <c r="E535" s="92">
        <v>2</v>
      </c>
      <c r="F535" s="92" t="s">
        <v>154</v>
      </c>
      <c r="G535" s="92"/>
      <c r="H535" s="724">
        <v>1417</v>
      </c>
      <c r="I535" s="724">
        <v>1385</v>
      </c>
      <c r="J535" s="724">
        <v>32</v>
      </c>
      <c r="K535" s="724">
        <v>0</v>
      </c>
      <c r="L535" s="724">
        <v>2018.01</v>
      </c>
      <c r="M535" s="724">
        <v>0</v>
      </c>
      <c r="N535" s="724">
        <v>2975.7</v>
      </c>
      <c r="O535" s="724">
        <v>2908.5</v>
      </c>
      <c r="P535" s="724">
        <v>67.2</v>
      </c>
      <c r="Q535" s="724">
        <v>0</v>
      </c>
      <c r="R535" s="724">
        <v>0</v>
      </c>
      <c r="S535" s="724">
        <v>2975.7</v>
      </c>
      <c r="T535" s="724">
        <v>0</v>
      </c>
      <c r="U535" s="724">
        <v>0</v>
      </c>
      <c r="V535" s="724">
        <v>0</v>
      </c>
      <c r="W535" s="92">
        <v>0</v>
      </c>
      <c r="X535" s="92" t="s">
        <v>382</v>
      </c>
      <c r="Y535" s="738">
        <v>635</v>
      </c>
      <c r="Z535" s="738">
        <v>2405</v>
      </c>
      <c r="AA535" s="738">
        <v>2</v>
      </c>
      <c r="AB535" s="708"/>
      <c r="AC535" s="708"/>
      <c r="AD535" s="146" t="s">
        <v>391</v>
      </c>
      <c r="AE535" s="146" t="s">
        <v>392</v>
      </c>
      <c r="AF535" s="438" t="s">
        <v>273</v>
      </c>
      <c r="AG535" s="708"/>
    </row>
    <row r="536" s="570" customFormat="1" ht="24.95" customHeight="1" spans="1:33">
      <c r="A536" s="705"/>
      <c r="B536" s="714" t="s">
        <v>81</v>
      </c>
      <c r="C536" s="146" t="s">
        <v>409</v>
      </c>
      <c r="D536" s="152" t="s">
        <v>384</v>
      </c>
      <c r="E536" s="92">
        <v>2</v>
      </c>
      <c r="F536" s="92" t="s">
        <v>81</v>
      </c>
      <c r="G536" s="92"/>
      <c r="H536" s="724">
        <v>1328</v>
      </c>
      <c r="I536" s="724">
        <v>1282</v>
      </c>
      <c r="J536" s="724">
        <v>46</v>
      </c>
      <c r="K536" s="724">
        <v>0</v>
      </c>
      <c r="L536" s="724">
        <v>2018.01</v>
      </c>
      <c r="M536" s="724">
        <v>0</v>
      </c>
      <c r="N536" s="724">
        <v>2788.8</v>
      </c>
      <c r="O536" s="724">
        <v>2692.2</v>
      </c>
      <c r="P536" s="724">
        <v>96.6</v>
      </c>
      <c r="Q536" s="724">
        <v>0</v>
      </c>
      <c r="R536" s="724">
        <v>0</v>
      </c>
      <c r="S536" s="724">
        <v>2788.8</v>
      </c>
      <c r="T536" s="724">
        <v>0</v>
      </c>
      <c r="U536" s="724">
        <v>0</v>
      </c>
      <c r="V536" s="724">
        <v>0</v>
      </c>
      <c r="W536" s="92">
        <v>0</v>
      </c>
      <c r="X536" s="92" t="s">
        <v>382</v>
      </c>
      <c r="Y536" s="738">
        <v>1328</v>
      </c>
      <c r="Z536" s="738">
        <v>2389</v>
      </c>
      <c r="AA536" s="738">
        <v>2</v>
      </c>
      <c r="AB536" s="708"/>
      <c r="AC536" s="708"/>
      <c r="AD536" s="146" t="s">
        <v>393</v>
      </c>
      <c r="AE536" s="146" t="s">
        <v>394</v>
      </c>
      <c r="AF536" s="438" t="s">
        <v>273</v>
      </c>
      <c r="AG536" s="708"/>
    </row>
    <row r="537" s="570" customFormat="1" ht="24.95" customHeight="1" spans="1:33">
      <c r="A537" s="705"/>
      <c r="B537" s="714" t="s">
        <v>98</v>
      </c>
      <c r="C537" s="146" t="s">
        <v>409</v>
      </c>
      <c r="D537" s="152" t="s">
        <v>384</v>
      </c>
      <c r="E537" s="92">
        <v>2</v>
      </c>
      <c r="F537" s="92" t="s">
        <v>98</v>
      </c>
      <c r="G537" s="92"/>
      <c r="H537" s="724">
        <v>1716</v>
      </c>
      <c r="I537" s="724">
        <v>1575</v>
      </c>
      <c r="J537" s="724">
        <v>141</v>
      </c>
      <c r="K537" s="724">
        <v>0</v>
      </c>
      <c r="L537" s="724">
        <v>2018.01</v>
      </c>
      <c r="M537" s="724">
        <v>0</v>
      </c>
      <c r="N537" s="724">
        <v>3603.6</v>
      </c>
      <c r="O537" s="724">
        <v>3307.5</v>
      </c>
      <c r="P537" s="724">
        <v>296.1</v>
      </c>
      <c r="Q537" s="724">
        <v>0</v>
      </c>
      <c r="R537" s="724">
        <v>0</v>
      </c>
      <c r="S537" s="724">
        <v>3603.6</v>
      </c>
      <c r="T537" s="724">
        <v>0</v>
      </c>
      <c r="U537" s="724">
        <v>0</v>
      </c>
      <c r="V537" s="724">
        <v>0</v>
      </c>
      <c r="W537" s="92">
        <v>0</v>
      </c>
      <c r="X537" s="92" t="s">
        <v>382</v>
      </c>
      <c r="Y537" s="738">
        <v>1072</v>
      </c>
      <c r="Z537" s="738">
        <v>4141</v>
      </c>
      <c r="AA537" s="738">
        <v>2</v>
      </c>
      <c r="AB537" s="708"/>
      <c r="AC537" s="708"/>
      <c r="AD537" s="146" t="s">
        <v>395</v>
      </c>
      <c r="AE537" s="146" t="s">
        <v>396</v>
      </c>
      <c r="AF537" s="438" t="s">
        <v>273</v>
      </c>
      <c r="AG537" s="708"/>
    </row>
    <row r="538" s="570" customFormat="1" ht="24.95" customHeight="1" spans="1:33">
      <c r="A538" s="705"/>
      <c r="B538" s="714" t="s">
        <v>211</v>
      </c>
      <c r="C538" s="146" t="s">
        <v>409</v>
      </c>
      <c r="D538" s="152" t="s">
        <v>384</v>
      </c>
      <c r="E538" s="92">
        <v>2</v>
      </c>
      <c r="F538" s="92" t="s">
        <v>211</v>
      </c>
      <c r="G538" s="92"/>
      <c r="H538" s="724">
        <v>1472</v>
      </c>
      <c r="I538" s="724">
        <v>1426</v>
      </c>
      <c r="J538" s="724">
        <v>46</v>
      </c>
      <c r="K538" s="724">
        <v>0</v>
      </c>
      <c r="L538" s="724">
        <v>2018.01</v>
      </c>
      <c r="M538" s="724">
        <v>0</v>
      </c>
      <c r="N538" s="724">
        <v>3091.2</v>
      </c>
      <c r="O538" s="724">
        <v>2994.6</v>
      </c>
      <c r="P538" s="724">
        <v>96.6</v>
      </c>
      <c r="Q538" s="724">
        <v>0</v>
      </c>
      <c r="R538" s="724">
        <v>0</v>
      </c>
      <c r="S538" s="724">
        <v>3091.2</v>
      </c>
      <c r="T538" s="724">
        <v>0</v>
      </c>
      <c r="U538" s="724">
        <v>0</v>
      </c>
      <c r="V538" s="724">
        <v>0</v>
      </c>
      <c r="W538" s="92">
        <v>0</v>
      </c>
      <c r="X538" s="92" t="s">
        <v>382</v>
      </c>
      <c r="Y538" s="738">
        <v>918</v>
      </c>
      <c r="Z538" s="738">
        <v>3811</v>
      </c>
      <c r="AA538" s="738">
        <v>2</v>
      </c>
      <c r="AB538" s="708"/>
      <c r="AC538" s="708"/>
      <c r="AD538" s="146" t="s">
        <v>397</v>
      </c>
      <c r="AE538" s="146" t="s">
        <v>398</v>
      </c>
      <c r="AF538" s="438" t="s">
        <v>273</v>
      </c>
      <c r="AG538" s="708"/>
    </row>
    <row r="539" s="570" customFormat="1" ht="24.95" customHeight="1" spans="1:33">
      <c r="A539" s="705"/>
      <c r="B539" s="714" t="s">
        <v>155</v>
      </c>
      <c r="C539" s="146" t="s">
        <v>409</v>
      </c>
      <c r="D539" s="152" t="s">
        <v>384</v>
      </c>
      <c r="E539" s="92">
        <v>2</v>
      </c>
      <c r="F539" s="92" t="s">
        <v>155</v>
      </c>
      <c r="G539" s="92"/>
      <c r="H539" s="724">
        <v>684</v>
      </c>
      <c r="I539" s="724">
        <v>659</v>
      </c>
      <c r="J539" s="724">
        <v>25</v>
      </c>
      <c r="K539" s="724">
        <v>0</v>
      </c>
      <c r="L539" s="724">
        <v>2018.01</v>
      </c>
      <c r="M539" s="724">
        <v>0</v>
      </c>
      <c r="N539" s="724">
        <v>1436.4</v>
      </c>
      <c r="O539" s="724">
        <v>1383.9</v>
      </c>
      <c r="P539" s="724">
        <v>52.5</v>
      </c>
      <c r="Q539" s="724">
        <v>0</v>
      </c>
      <c r="R539" s="724">
        <v>0</v>
      </c>
      <c r="S539" s="724">
        <v>1436.4</v>
      </c>
      <c r="T539" s="724">
        <v>0</v>
      </c>
      <c r="U539" s="724">
        <v>0</v>
      </c>
      <c r="V539" s="724">
        <v>0</v>
      </c>
      <c r="W539" s="92">
        <v>0</v>
      </c>
      <c r="X539" s="92" t="s">
        <v>382</v>
      </c>
      <c r="Y539" s="738">
        <v>222</v>
      </c>
      <c r="Z539" s="738">
        <v>925</v>
      </c>
      <c r="AA539" s="738">
        <v>2</v>
      </c>
      <c r="AB539" s="708"/>
      <c r="AC539" s="708"/>
      <c r="AD539" s="146" t="s">
        <v>399</v>
      </c>
      <c r="AE539" s="146" t="s">
        <v>400</v>
      </c>
      <c r="AF539" s="438" t="s">
        <v>273</v>
      </c>
      <c r="AG539" s="708"/>
    </row>
    <row r="540" s="570" customFormat="1" ht="24.95" customHeight="1" spans="1:33">
      <c r="A540" s="705"/>
      <c r="B540" s="714" t="s">
        <v>102</v>
      </c>
      <c r="C540" s="146" t="s">
        <v>409</v>
      </c>
      <c r="D540" s="152" t="s">
        <v>384</v>
      </c>
      <c r="E540" s="92">
        <v>2</v>
      </c>
      <c r="F540" s="92" t="s">
        <v>102</v>
      </c>
      <c r="G540" s="92"/>
      <c r="H540" s="724">
        <v>2293</v>
      </c>
      <c r="I540" s="724">
        <v>2186</v>
      </c>
      <c r="J540" s="724">
        <v>107</v>
      </c>
      <c r="K540" s="724">
        <v>0</v>
      </c>
      <c r="L540" s="724">
        <v>2018.01</v>
      </c>
      <c r="M540" s="724">
        <v>0</v>
      </c>
      <c r="N540" s="724">
        <v>4815.3</v>
      </c>
      <c r="O540" s="724">
        <v>4590.6</v>
      </c>
      <c r="P540" s="724">
        <v>224.7</v>
      </c>
      <c r="Q540" s="724">
        <v>0</v>
      </c>
      <c r="R540" s="724">
        <v>0</v>
      </c>
      <c r="S540" s="724">
        <v>4815.3</v>
      </c>
      <c r="T540" s="724">
        <v>0</v>
      </c>
      <c r="U540" s="724">
        <v>0</v>
      </c>
      <c r="V540" s="724">
        <v>0</v>
      </c>
      <c r="W540" s="92">
        <v>0</v>
      </c>
      <c r="X540" s="92" t="s">
        <v>382</v>
      </c>
      <c r="Y540" s="738">
        <v>1596</v>
      </c>
      <c r="Z540" s="738">
        <v>6571</v>
      </c>
      <c r="AA540" s="738">
        <v>2</v>
      </c>
      <c r="AB540" s="708"/>
      <c r="AC540" s="708"/>
      <c r="AD540" s="146" t="s">
        <v>401</v>
      </c>
      <c r="AE540" s="146" t="s">
        <v>402</v>
      </c>
      <c r="AF540" s="438" t="s">
        <v>273</v>
      </c>
      <c r="AG540" s="708"/>
    </row>
    <row r="541" s="570" customFormat="1" ht="24.95" customHeight="1" spans="1:33">
      <c r="A541" s="705"/>
      <c r="B541" s="714" t="s">
        <v>100</v>
      </c>
      <c r="C541" s="146" t="s">
        <v>409</v>
      </c>
      <c r="D541" s="152" t="s">
        <v>384</v>
      </c>
      <c r="E541" s="92">
        <v>2</v>
      </c>
      <c r="F541" s="92" t="s">
        <v>100</v>
      </c>
      <c r="G541" s="92"/>
      <c r="H541" s="724">
        <v>529</v>
      </c>
      <c r="I541" s="724">
        <v>425</v>
      </c>
      <c r="J541" s="724">
        <v>104</v>
      </c>
      <c r="K541" s="724">
        <v>0</v>
      </c>
      <c r="L541" s="724">
        <v>2018.01</v>
      </c>
      <c r="M541" s="724">
        <v>0</v>
      </c>
      <c r="N541" s="724">
        <v>1110.9</v>
      </c>
      <c r="O541" s="724">
        <v>892.5</v>
      </c>
      <c r="P541" s="724">
        <v>218.4</v>
      </c>
      <c r="Q541" s="724">
        <v>0</v>
      </c>
      <c r="R541" s="724">
        <v>0</v>
      </c>
      <c r="S541" s="724">
        <v>1110.9</v>
      </c>
      <c r="T541" s="724">
        <v>0</v>
      </c>
      <c r="U541" s="724">
        <v>0</v>
      </c>
      <c r="V541" s="724">
        <v>0</v>
      </c>
      <c r="W541" s="92">
        <v>0</v>
      </c>
      <c r="X541" s="92" t="s">
        <v>382</v>
      </c>
      <c r="Y541" s="738">
        <v>270</v>
      </c>
      <c r="Z541" s="738">
        <v>927</v>
      </c>
      <c r="AA541" s="738">
        <v>2</v>
      </c>
      <c r="AB541" s="708"/>
      <c r="AC541" s="708"/>
      <c r="AD541" s="438" t="s">
        <v>217</v>
      </c>
      <c r="AE541" s="146" t="s">
        <v>403</v>
      </c>
      <c r="AF541" s="438" t="s">
        <v>273</v>
      </c>
      <c r="AG541" s="708"/>
    </row>
    <row r="542" s="570" customFormat="1" ht="24.95" customHeight="1" spans="1:33">
      <c r="A542" s="705"/>
      <c r="B542" s="714" t="s">
        <v>259</v>
      </c>
      <c r="C542" s="146" t="s">
        <v>409</v>
      </c>
      <c r="D542" s="152" t="s">
        <v>384</v>
      </c>
      <c r="E542" s="92">
        <v>2</v>
      </c>
      <c r="F542" s="92" t="s">
        <v>259</v>
      </c>
      <c r="G542" s="92"/>
      <c r="H542" s="724">
        <v>195</v>
      </c>
      <c r="I542" s="724">
        <v>176</v>
      </c>
      <c r="J542" s="724">
        <v>19</v>
      </c>
      <c r="K542" s="724">
        <v>0</v>
      </c>
      <c r="L542" s="724">
        <v>2018.01</v>
      </c>
      <c r="M542" s="724">
        <v>0</v>
      </c>
      <c r="N542" s="724">
        <v>409.5</v>
      </c>
      <c r="O542" s="724">
        <v>369.6</v>
      </c>
      <c r="P542" s="724">
        <v>39.9</v>
      </c>
      <c r="Q542" s="724">
        <v>0</v>
      </c>
      <c r="R542" s="724">
        <v>0</v>
      </c>
      <c r="S542" s="724">
        <v>409.5</v>
      </c>
      <c r="T542" s="724">
        <v>0</v>
      </c>
      <c r="U542" s="724">
        <v>0</v>
      </c>
      <c r="V542" s="724">
        <v>0</v>
      </c>
      <c r="W542" s="92">
        <v>0</v>
      </c>
      <c r="X542" s="92" t="s">
        <v>382</v>
      </c>
      <c r="Y542" s="738">
        <v>101</v>
      </c>
      <c r="Z542" s="738">
        <v>393</v>
      </c>
      <c r="AA542" s="738">
        <v>2</v>
      </c>
      <c r="AB542" s="708"/>
      <c r="AC542" s="708"/>
      <c r="AD542" s="146" t="s">
        <v>404</v>
      </c>
      <c r="AE542" s="146" t="s">
        <v>405</v>
      </c>
      <c r="AF542" s="438" t="s">
        <v>273</v>
      </c>
      <c r="AG542" s="708"/>
    </row>
    <row r="543" s="570" customFormat="1" ht="24.95" customHeight="1" spans="1:33">
      <c r="A543" s="705"/>
      <c r="B543" s="714" t="s">
        <v>84</v>
      </c>
      <c r="C543" s="146" t="s">
        <v>409</v>
      </c>
      <c r="D543" s="152" t="s">
        <v>384</v>
      </c>
      <c r="E543" s="92">
        <v>2</v>
      </c>
      <c r="F543" s="92" t="s">
        <v>84</v>
      </c>
      <c r="G543" s="92"/>
      <c r="H543" s="724">
        <v>1472</v>
      </c>
      <c r="I543" s="724">
        <v>1414</v>
      </c>
      <c r="J543" s="724">
        <v>58</v>
      </c>
      <c r="K543" s="724">
        <v>0</v>
      </c>
      <c r="L543" s="724">
        <v>2018.01</v>
      </c>
      <c r="M543" s="724">
        <v>0</v>
      </c>
      <c r="N543" s="724">
        <v>3091.2</v>
      </c>
      <c r="O543" s="724">
        <v>2969.4</v>
      </c>
      <c r="P543" s="724">
        <v>121.8</v>
      </c>
      <c r="Q543" s="724">
        <v>0</v>
      </c>
      <c r="R543" s="724">
        <v>0</v>
      </c>
      <c r="S543" s="724">
        <v>3091.2</v>
      </c>
      <c r="T543" s="724">
        <v>0</v>
      </c>
      <c r="U543" s="724">
        <v>0</v>
      </c>
      <c r="V543" s="724">
        <v>0</v>
      </c>
      <c r="W543" s="92">
        <v>0</v>
      </c>
      <c r="X543" s="92" t="s">
        <v>382</v>
      </c>
      <c r="Y543" s="738">
        <v>897</v>
      </c>
      <c r="Z543" s="738">
        <v>3349</v>
      </c>
      <c r="AA543" s="738">
        <v>2</v>
      </c>
      <c r="AB543" s="708"/>
      <c r="AC543" s="708"/>
      <c r="AD543" s="146" t="s">
        <v>219</v>
      </c>
      <c r="AE543" s="146" t="s">
        <v>406</v>
      </c>
      <c r="AF543" s="438" t="s">
        <v>273</v>
      </c>
      <c r="AG543" s="708"/>
    </row>
    <row r="544" s="570" customFormat="1" ht="24.95" customHeight="1" spans="1:33">
      <c r="A544" s="705"/>
      <c r="B544" s="714" t="s">
        <v>143</v>
      </c>
      <c r="C544" s="146" t="s">
        <v>409</v>
      </c>
      <c r="D544" s="152" t="s">
        <v>384</v>
      </c>
      <c r="E544" s="92">
        <v>2</v>
      </c>
      <c r="F544" s="92" t="s">
        <v>143</v>
      </c>
      <c r="G544" s="92"/>
      <c r="H544" s="724">
        <v>985</v>
      </c>
      <c r="I544" s="724">
        <v>965</v>
      </c>
      <c r="J544" s="724">
        <v>20</v>
      </c>
      <c r="K544" s="724">
        <v>0</v>
      </c>
      <c r="L544" s="724">
        <v>2018.01</v>
      </c>
      <c r="M544" s="724">
        <v>0</v>
      </c>
      <c r="N544" s="724">
        <v>2068.5</v>
      </c>
      <c r="O544" s="724">
        <v>2026.5</v>
      </c>
      <c r="P544" s="724">
        <v>42</v>
      </c>
      <c r="Q544" s="724">
        <v>0</v>
      </c>
      <c r="R544" s="724">
        <v>0</v>
      </c>
      <c r="S544" s="724">
        <v>2068.5</v>
      </c>
      <c r="T544" s="724">
        <v>0</v>
      </c>
      <c r="U544" s="724">
        <v>0</v>
      </c>
      <c r="V544" s="724">
        <v>0</v>
      </c>
      <c r="W544" s="92">
        <v>0</v>
      </c>
      <c r="X544" s="92" t="s">
        <v>382</v>
      </c>
      <c r="Y544" s="738">
        <v>380</v>
      </c>
      <c r="Z544" s="738">
        <v>1748</v>
      </c>
      <c r="AA544" s="738">
        <v>2</v>
      </c>
      <c r="AB544" s="708"/>
      <c r="AC544" s="708"/>
      <c r="AD544" s="775" t="s">
        <v>221</v>
      </c>
      <c r="AE544" s="146" t="s">
        <v>407</v>
      </c>
      <c r="AF544" s="438" t="s">
        <v>273</v>
      </c>
      <c r="AG544" s="708"/>
    </row>
    <row r="545" s="570" customFormat="1" ht="24.95" customHeight="1" spans="1:33">
      <c r="A545" s="705">
        <v>68</v>
      </c>
      <c r="B545" s="708" t="s">
        <v>410</v>
      </c>
      <c r="C545" s="708"/>
      <c r="D545" s="709" t="s">
        <v>384</v>
      </c>
      <c r="E545" s="92">
        <v>24</v>
      </c>
      <c r="F545" s="92">
        <v>0</v>
      </c>
      <c r="G545" s="92"/>
      <c r="H545" s="724">
        <v>439</v>
      </c>
      <c r="I545" s="724">
        <v>420</v>
      </c>
      <c r="J545" s="724">
        <v>19</v>
      </c>
      <c r="K545" s="724">
        <v>0</v>
      </c>
      <c r="L545" s="724">
        <v>0</v>
      </c>
      <c r="M545" s="724">
        <v>0</v>
      </c>
      <c r="N545" s="724">
        <v>921.9</v>
      </c>
      <c r="O545" s="724">
        <v>882</v>
      </c>
      <c r="P545" s="724">
        <v>39.9</v>
      </c>
      <c r="Q545" s="724">
        <v>0</v>
      </c>
      <c r="R545" s="724">
        <v>0</v>
      </c>
      <c r="S545" s="724">
        <v>921.9</v>
      </c>
      <c r="T545" s="724">
        <v>0</v>
      </c>
      <c r="U545" s="724">
        <v>0</v>
      </c>
      <c r="V545" s="724">
        <v>0</v>
      </c>
      <c r="W545" s="92">
        <v>0</v>
      </c>
      <c r="X545" s="92" t="s">
        <v>382</v>
      </c>
      <c r="Y545" s="738">
        <v>429</v>
      </c>
      <c r="Z545" s="738">
        <v>946.4</v>
      </c>
      <c r="AA545" s="738">
        <v>24</v>
      </c>
      <c r="AB545" s="708"/>
      <c r="AC545" s="708"/>
      <c r="AD545" s="775" t="s">
        <v>385</v>
      </c>
      <c r="AE545" s="753" t="s">
        <v>386</v>
      </c>
      <c r="AF545" s="712" t="s">
        <v>273</v>
      </c>
      <c r="AG545" s="708"/>
    </row>
    <row r="546" s="570" customFormat="1" ht="24.95" customHeight="1" spans="1:33">
      <c r="A546" s="705"/>
      <c r="B546" s="714" t="s">
        <v>101</v>
      </c>
      <c r="C546" s="146" t="s">
        <v>52</v>
      </c>
      <c r="D546" s="152" t="s">
        <v>384</v>
      </c>
      <c r="E546" s="92">
        <v>2</v>
      </c>
      <c r="F546" s="92" t="s">
        <v>101</v>
      </c>
      <c r="G546" s="92"/>
      <c r="H546" s="724">
        <v>13</v>
      </c>
      <c r="I546" s="724">
        <v>10</v>
      </c>
      <c r="J546" s="724">
        <v>3</v>
      </c>
      <c r="K546" s="724">
        <v>0</v>
      </c>
      <c r="L546" s="724">
        <v>2018.01</v>
      </c>
      <c r="M546" s="724">
        <v>0</v>
      </c>
      <c r="N546" s="724">
        <v>27.3</v>
      </c>
      <c r="O546" s="724">
        <v>21</v>
      </c>
      <c r="P546" s="724">
        <v>6.3</v>
      </c>
      <c r="Q546" s="724">
        <v>0</v>
      </c>
      <c r="R546" s="724">
        <v>0</v>
      </c>
      <c r="S546" s="724">
        <v>27.3</v>
      </c>
      <c r="T546" s="724">
        <v>0</v>
      </c>
      <c r="U546" s="724">
        <v>0</v>
      </c>
      <c r="V546" s="724">
        <v>0</v>
      </c>
      <c r="W546" s="92">
        <v>0</v>
      </c>
      <c r="X546" s="92" t="s">
        <v>382</v>
      </c>
      <c r="Y546" s="738">
        <v>22</v>
      </c>
      <c r="Z546" s="738">
        <v>60</v>
      </c>
      <c r="AA546" s="738">
        <v>2</v>
      </c>
      <c r="AB546" s="708"/>
      <c r="AC546" s="708"/>
      <c r="AD546" s="146" t="s">
        <v>387</v>
      </c>
      <c r="AE546" s="146" t="s">
        <v>388</v>
      </c>
      <c r="AF546" s="438" t="s">
        <v>273</v>
      </c>
      <c r="AG546" s="708"/>
    </row>
    <row r="547" s="570" customFormat="1" ht="24.95" customHeight="1" spans="1:33">
      <c r="A547" s="705"/>
      <c r="B547" s="714" t="s">
        <v>151</v>
      </c>
      <c r="C547" s="146" t="s">
        <v>52</v>
      </c>
      <c r="D547" s="152" t="s">
        <v>384</v>
      </c>
      <c r="E547" s="92">
        <v>2</v>
      </c>
      <c r="F547" s="92" t="s">
        <v>151</v>
      </c>
      <c r="G547" s="92"/>
      <c r="H547" s="724">
        <v>14</v>
      </c>
      <c r="I547" s="724">
        <v>13</v>
      </c>
      <c r="J547" s="724">
        <v>1</v>
      </c>
      <c r="K547" s="724">
        <v>0</v>
      </c>
      <c r="L547" s="724">
        <v>2018.01</v>
      </c>
      <c r="M547" s="724">
        <v>0</v>
      </c>
      <c r="N547" s="724">
        <v>29.4</v>
      </c>
      <c r="O547" s="724">
        <v>27.3</v>
      </c>
      <c r="P547" s="724">
        <v>2.1</v>
      </c>
      <c r="Q547" s="724">
        <v>0</v>
      </c>
      <c r="R547" s="724">
        <v>0</v>
      </c>
      <c r="S547" s="724">
        <v>29.4</v>
      </c>
      <c r="T547" s="724">
        <v>0</v>
      </c>
      <c r="U547" s="724">
        <v>0</v>
      </c>
      <c r="V547" s="724">
        <v>0</v>
      </c>
      <c r="W547" s="92">
        <v>0</v>
      </c>
      <c r="X547" s="92" t="s">
        <v>382</v>
      </c>
      <c r="Y547" s="738">
        <v>18</v>
      </c>
      <c r="Z547" s="738">
        <v>69</v>
      </c>
      <c r="AA547" s="738">
        <v>2</v>
      </c>
      <c r="AB547" s="708"/>
      <c r="AC547" s="708"/>
      <c r="AD547" s="146" t="s">
        <v>389</v>
      </c>
      <c r="AE547" s="146" t="s">
        <v>390</v>
      </c>
      <c r="AF547" s="438" t="s">
        <v>273</v>
      </c>
      <c r="AG547" s="708"/>
    </row>
    <row r="548" s="570" customFormat="1" ht="24.95" customHeight="1" spans="1:33">
      <c r="A548" s="705"/>
      <c r="B548" s="714" t="s">
        <v>154</v>
      </c>
      <c r="C548" s="146" t="s">
        <v>52</v>
      </c>
      <c r="D548" s="152" t="s">
        <v>384</v>
      </c>
      <c r="E548" s="92">
        <v>2</v>
      </c>
      <c r="F548" s="92" t="s">
        <v>154</v>
      </c>
      <c r="G548" s="92"/>
      <c r="H548" s="724">
        <v>46</v>
      </c>
      <c r="I548" s="724">
        <v>44</v>
      </c>
      <c r="J548" s="724">
        <v>2</v>
      </c>
      <c r="K548" s="724">
        <v>0</v>
      </c>
      <c r="L548" s="724">
        <v>2018.01</v>
      </c>
      <c r="M548" s="724">
        <v>0</v>
      </c>
      <c r="N548" s="724">
        <v>96.6</v>
      </c>
      <c r="O548" s="724">
        <v>92.4</v>
      </c>
      <c r="P548" s="724">
        <v>4.2</v>
      </c>
      <c r="Q548" s="724">
        <v>0</v>
      </c>
      <c r="R548" s="724">
        <v>0</v>
      </c>
      <c r="S548" s="724">
        <v>96.6</v>
      </c>
      <c r="T548" s="724">
        <v>0</v>
      </c>
      <c r="U548" s="724">
        <v>0</v>
      </c>
      <c r="V548" s="724">
        <v>0</v>
      </c>
      <c r="W548" s="92">
        <v>0</v>
      </c>
      <c r="X548" s="92" t="s">
        <v>382</v>
      </c>
      <c r="Y548" s="738">
        <v>46</v>
      </c>
      <c r="Z548" s="738">
        <v>46</v>
      </c>
      <c r="AA548" s="738">
        <v>2</v>
      </c>
      <c r="AB548" s="708"/>
      <c r="AC548" s="708"/>
      <c r="AD548" s="146" t="s">
        <v>391</v>
      </c>
      <c r="AE548" s="146" t="s">
        <v>392</v>
      </c>
      <c r="AF548" s="438" t="s">
        <v>273</v>
      </c>
      <c r="AG548" s="708"/>
    </row>
    <row r="549" s="570" customFormat="1" ht="24.95" customHeight="1" spans="1:33">
      <c r="A549" s="705"/>
      <c r="B549" s="714" t="s">
        <v>81</v>
      </c>
      <c r="C549" s="146" t="s">
        <v>52</v>
      </c>
      <c r="D549" s="152" t="s">
        <v>384</v>
      </c>
      <c r="E549" s="92">
        <v>2</v>
      </c>
      <c r="F549" s="92" t="s">
        <v>81</v>
      </c>
      <c r="G549" s="92"/>
      <c r="H549" s="724">
        <v>43</v>
      </c>
      <c r="I549" s="724">
        <v>43</v>
      </c>
      <c r="J549" s="724">
        <v>0</v>
      </c>
      <c r="K549" s="724">
        <v>0</v>
      </c>
      <c r="L549" s="724">
        <v>2018.01</v>
      </c>
      <c r="M549" s="724">
        <v>0</v>
      </c>
      <c r="N549" s="724">
        <v>90.3</v>
      </c>
      <c r="O549" s="724">
        <v>90.3</v>
      </c>
      <c r="P549" s="724">
        <v>0</v>
      </c>
      <c r="Q549" s="724">
        <v>0</v>
      </c>
      <c r="R549" s="724">
        <v>0</v>
      </c>
      <c r="S549" s="724">
        <v>90.3</v>
      </c>
      <c r="T549" s="724">
        <v>0</v>
      </c>
      <c r="U549" s="724">
        <v>0</v>
      </c>
      <c r="V549" s="724">
        <v>0</v>
      </c>
      <c r="W549" s="92">
        <v>0</v>
      </c>
      <c r="X549" s="92" t="s">
        <v>382</v>
      </c>
      <c r="Y549" s="738">
        <v>43</v>
      </c>
      <c r="Z549" s="738">
        <v>43</v>
      </c>
      <c r="AA549" s="738">
        <v>2</v>
      </c>
      <c r="AB549" s="708"/>
      <c r="AC549" s="708"/>
      <c r="AD549" s="790" t="s">
        <v>393</v>
      </c>
      <c r="AE549" s="790" t="s">
        <v>394</v>
      </c>
      <c r="AF549" s="790" t="s">
        <v>273</v>
      </c>
      <c r="AG549" s="708"/>
    </row>
    <row r="550" s="570" customFormat="1" ht="24.95" customHeight="1" spans="1:33">
      <c r="A550" s="705"/>
      <c r="B550" s="714" t="s">
        <v>98</v>
      </c>
      <c r="C550" s="146" t="s">
        <v>52</v>
      </c>
      <c r="D550" s="152" t="s">
        <v>384</v>
      </c>
      <c r="E550" s="92">
        <v>2</v>
      </c>
      <c r="F550" s="92" t="s">
        <v>98</v>
      </c>
      <c r="G550" s="92"/>
      <c r="H550" s="724">
        <v>31</v>
      </c>
      <c r="I550" s="724">
        <v>26</v>
      </c>
      <c r="J550" s="724">
        <v>5</v>
      </c>
      <c r="K550" s="724">
        <v>0</v>
      </c>
      <c r="L550" s="724">
        <v>2018.01</v>
      </c>
      <c r="M550" s="724">
        <v>0</v>
      </c>
      <c r="N550" s="724">
        <v>65.1</v>
      </c>
      <c r="O550" s="724">
        <v>54.6</v>
      </c>
      <c r="P550" s="724">
        <v>10.5</v>
      </c>
      <c r="Q550" s="724">
        <v>0</v>
      </c>
      <c r="R550" s="724">
        <v>0</v>
      </c>
      <c r="S550" s="724">
        <v>65.1</v>
      </c>
      <c r="T550" s="724">
        <v>0</v>
      </c>
      <c r="U550" s="724">
        <v>0</v>
      </c>
      <c r="V550" s="724">
        <v>0</v>
      </c>
      <c r="W550" s="92">
        <v>0</v>
      </c>
      <c r="X550" s="92" t="s">
        <v>382</v>
      </c>
      <c r="Y550" s="738">
        <v>34</v>
      </c>
      <c r="Z550" s="738">
        <v>81</v>
      </c>
      <c r="AA550" s="738">
        <v>2</v>
      </c>
      <c r="AB550" s="708"/>
      <c r="AC550" s="708"/>
      <c r="AD550" s="146" t="s">
        <v>395</v>
      </c>
      <c r="AE550" s="146" t="s">
        <v>396</v>
      </c>
      <c r="AF550" s="438" t="s">
        <v>273</v>
      </c>
      <c r="AG550" s="708"/>
    </row>
    <row r="551" s="570" customFormat="1" ht="24.95" customHeight="1" spans="1:33">
      <c r="A551" s="705"/>
      <c r="B551" s="714" t="s">
        <v>211</v>
      </c>
      <c r="C551" s="146" t="s">
        <v>52</v>
      </c>
      <c r="D551" s="152" t="s">
        <v>384</v>
      </c>
      <c r="E551" s="92">
        <v>2</v>
      </c>
      <c r="F551" s="92" t="s">
        <v>211</v>
      </c>
      <c r="G551" s="92"/>
      <c r="H551" s="724">
        <v>66</v>
      </c>
      <c r="I551" s="724">
        <v>66</v>
      </c>
      <c r="J551" s="724">
        <v>0</v>
      </c>
      <c r="K551" s="724">
        <v>0</v>
      </c>
      <c r="L551" s="724">
        <v>2018.01</v>
      </c>
      <c r="M551" s="724">
        <v>0</v>
      </c>
      <c r="N551" s="724">
        <v>138.6</v>
      </c>
      <c r="O551" s="724">
        <v>138.6</v>
      </c>
      <c r="P551" s="724">
        <v>0</v>
      </c>
      <c r="Q551" s="724">
        <v>0</v>
      </c>
      <c r="R551" s="724">
        <v>0</v>
      </c>
      <c r="S551" s="724">
        <v>138.6</v>
      </c>
      <c r="T551" s="724">
        <v>0</v>
      </c>
      <c r="U551" s="724">
        <v>0</v>
      </c>
      <c r="V551" s="724">
        <v>0</v>
      </c>
      <c r="W551" s="92">
        <v>0</v>
      </c>
      <c r="X551" s="92" t="s">
        <v>382</v>
      </c>
      <c r="Y551" s="738">
        <v>45</v>
      </c>
      <c r="Z551" s="738">
        <v>117</v>
      </c>
      <c r="AA551" s="738">
        <v>2</v>
      </c>
      <c r="AB551" s="708"/>
      <c r="AC551" s="708"/>
      <c r="AD551" s="146" t="s">
        <v>397</v>
      </c>
      <c r="AE551" s="146" t="s">
        <v>398</v>
      </c>
      <c r="AF551" s="438" t="s">
        <v>273</v>
      </c>
      <c r="AG551" s="708"/>
    </row>
    <row r="552" s="570" customFormat="1" ht="24.95" customHeight="1" spans="1:33">
      <c r="A552" s="705"/>
      <c r="B552" s="714" t="s">
        <v>155</v>
      </c>
      <c r="C552" s="146" t="s">
        <v>52</v>
      </c>
      <c r="D552" s="152" t="s">
        <v>384</v>
      </c>
      <c r="E552" s="92">
        <v>2</v>
      </c>
      <c r="F552" s="92" t="s">
        <v>155</v>
      </c>
      <c r="G552" s="92"/>
      <c r="H552" s="724">
        <v>31</v>
      </c>
      <c r="I552" s="724">
        <v>30</v>
      </c>
      <c r="J552" s="724">
        <v>1</v>
      </c>
      <c r="K552" s="724">
        <v>0</v>
      </c>
      <c r="L552" s="724">
        <v>2018.01</v>
      </c>
      <c r="M552" s="724">
        <v>0</v>
      </c>
      <c r="N552" s="724">
        <v>65.1</v>
      </c>
      <c r="O552" s="724">
        <v>63</v>
      </c>
      <c r="P552" s="724">
        <v>2.1</v>
      </c>
      <c r="Q552" s="724">
        <v>0</v>
      </c>
      <c r="R552" s="724">
        <v>0</v>
      </c>
      <c r="S552" s="724">
        <v>65.1</v>
      </c>
      <c r="T552" s="724">
        <v>0</v>
      </c>
      <c r="U552" s="724">
        <v>0</v>
      </c>
      <c r="V552" s="724">
        <v>0</v>
      </c>
      <c r="W552" s="92">
        <v>0</v>
      </c>
      <c r="X552" s="92" t="s">
        <v>382</v>
      </c>
      <c r="Y552" s="738">
        <v>30</v>
      </c>
      <c r="Z552" s="738">
        <v>30</v>
      </c>
      <c r="AA552" s="738">
        <v>2</v>
      </c>
      <c r="AB552" s="708"/>
      <c r="AC552" s="708"/>
      <c r="AD552" s="146" t="s">
        <v>399</v>
      </c>
      <c r="AE552" s="146" t="s">
        <v>400</v>
      </c>
      <c r="AF552" s="438" t="s">
        <v>273</v>
      </c>
      <c r="AG552" s="708"/>
    </row>
    <row r="553" s="570" customFormat="1" ht="24.95" customHeight="1" spans="1:33">
      <c r="A553" s="705"/>
      <c r="B553" s="714" t="s">
        <v>102</v>
      </c>
      <c r="C553" s="146" t="s">
        <v>52</v>
      </c>
      <c r="D553" s="152" t="s">
        <v>384</v>
      </c>
      <c r="E553" s="92">
        <v>2</v>
      </c>
      <c r="F553" s="92" t="s">
        <v>102</v>
      </c>
      <c r="G553" s="92"/>
      <c r="H553" s="724">
        <v>135</v>
      </c>
      <c r="I553" s="724">
        <v>135</v>
      </c>
      <c r="J553" s="724">
        <v>0</v>
      </c>
      <c r="K553" s="724">
        <v>0</v>
      </c>
      <c r="L553" s="724">
        <v>2018.01</v>
      </c>
      <c r="M553" s="724">
        <v>0</v>
      </c>
      <c r="N553" s="724">
        <v>283.5</v>
      </c>
      <c r="O553" s="724">
        <v>283.5</v>
      </c>
      <c r="P553" s="724">
        <v>0</v>
      </c>
      <c r="Q553" s="724">
        <v>0</v>
      </c>
      <c r="R553" s="724">
        <v>0</v>
      </c>
      <c r="S553" s="724">
        <v>283.5</v>
      </c>
      <c r="T553" s="724">
        <v>0</v>
      </c>
      <c r="U553" s="724">
        <v>0</v>
      </c>
      <c r="V553" s="724">
        <v>0</v>
      </c>
      <c r="W553" s="92">
        <v>0</v>
      </c>
      <c r="X553" s="92" t="s">
        <v>382</v>
      </c>
      <c r="Y553" s="738">
        <v>121</v>
      </c>
      <c r="Z553" s="738">
        <v>310</v>
      </c>
      <c r="AA553" s="738">
        <v>2</v>
      </c>
      <c r="AB553" s="708"/>
      <c r="AC553" s="708"/>
      <c r="AD553" s="146" t="s">
        <v>401</v>
      </c>
      <c r="AE553" s="146" t="s">
        <v>402</v>
      </c>
      <c r="AF553" s="438" t="s">
        <v>273</v>
      </c>
      <c r="AG553" s="708"/>
    </row>
    <row r="554" s="570" customFormat="1" ht="24.95" customHeight="1" spans="1:33">
      <c r="A554" s="705"/>
      <c r="B554" s="714" t="s">
        <v>100</v>
      </c>
      <c r="C554" s="146" t="s">
        <v>52</v>
      </c>
      <c r="D554" s="152" t="s">
        <v>384</v>
      </c>
      <c r="E554" s="92">
        <v>2</v>
      </c>
      <c r="F554" s="92" t="s">
        <v>100</v>
      </c>
      <c r="G554" s="92"/>
      <c r="H554" s="724">
        <v>15</v>
      </c>
      <c r="I554" s="724">
        <v>12</v>
      </c>
      <c r="J554" s="724">
        <v>3</v>
      </c>
      <c r="K554" s="724">
        <v>0</v>
      </c>
      <c r="L554" s="724">
        <v>2018.01</v>
      </c>
      <c r="M554" s="724">
        <v>0</v>
      </c>
      <c r="N554" s="724">
        <v>31.5</v>
      </c>
      <c r="O554" s="724">
        <v>25.2</v>
      </c>
      <c r="P554" s="724">
        <v>6.3</v>
      </c>
      <c r="Q554" s="724">
        <v>0</v>
      </c>
      <c r="R554" s="724">
        <v>0</v>
      </c>
      <c r="S554" s="724">
        <v>31.5</v>
      </c>
      <c r="T554" s="724">
        <v>0</v>
      </c>
      <c r="U554" s="724">
        <v>0</v>
      </c>
      <c r="V554" s="724">
        <v>0</v>
      </c>
      <c r="W554" s="92">
        <v>0</v>
      </c>
      <c r="X554" s="92" t="s">
        <v>382</v>
      </c>
      <c r="Y554" s="738">
        <v>12</v>
      </c>
      <c r="Z554" s="738">
        <v>12</v>
      </c>
      <c r="AA554" s="738">
        <v>2</v>
      </c>
      <c r="AB554" s="708"/>
      <c r="AC554" s="708"/>
      <c r="AD554" s="438" t="s">
        <v>217</v>
      </c>
      <c r="AE554" s="146" t="s">
        <v>403</v>
      </c>
      <c r="AF554" s="438" t="s">
        <v>273</v>
      </c>
      <c r="AG554" s="708"/>
    </row>
    <row r="555" s="570" customFormat="1" ht="24.95" customHeight="1" spans="1:33">
      <c r="A555" s="705"/>
      <c r="B555" s="714" t="s">
        <v>259</v>
      </c>
      <c r="C555" s="146" t="s">
        <v>52</v>
      </c>
      <c r="D555" s="152" t="s">
        <v>384</v>
      </c>
      <c r="E555" s="92">
        <v>2</v>
      </c>
      <c r="F555" s="92" t="s">
        <v>259</v>
      </c>
      <c r="G555" s="92"/>
      <c r="H555" s="724">
        <v>5</v>
      </c>
      <c r="I555" s="724">
        <v>4</v>
      </c>
      <c r="J555" s="724">
        <v>1</v>
      </c>
      <c r="K555" s="724">
        <v>0</v>
      </c>
      <c r="L555" s="724">
        <v>2018.01</v>
      </c>
      <c r="M555" s="724">
        <v>0</v>
      </c>
      <c r="N555" s="724">
        <v>10.5</v>
      </c>
      <c r="O555" s="724">
        <v>8.4</v>
      </c>
      <c r="P555" s="724">
        <v>2.1</v>
      </c>
      <c r="Q555" s="724">
        <v>0</v>
      </c>
      <c r="R555" s="724">
        <v>0</v>
      </c>
      <c r="S555" s="724">
        <v>10.5</v>
      </c>
      <c r="T555" s="724">
        <v>0</v>
      </c>
      <c r="U555" s="724">
        <v>0</v>
      </c>
      <c r="V555" s="724">
        <v>0</v>
      </c>
      <c r="W555" s="92">
        <v>0</v>
      </c>
      <c r="X555" s="92" t="s">
        <v>382</v>
      </c>
      <c r="Y555" s="738">
        <v>8</v>
      </c>
      <c r="Z555" s="738">
        <v>27</v>
      </c>
      <c r="AA555" s="738">
        <v>2</v>
      </c>
      <c r="AB555" s="708"/>
      <c r="AC555" s="708"/>
      <c r="AD555" s="146" t="s">
        <v>404</v>
      </c>
      <c r="AE555" s="146" t="s">
        <v>405</v>
      </c>
      <c r="AF555" s="438" t="s">
        <v>273</v>
      </c>
      <c r="AG555" s="708"/>
    </row>
    <row r="556" s="570" customFormat="1" ht="24.95" customHeight="1" spans="1:33">
      <c r="A556" s="705"/>
      <c r="B556" s="714" t="s">
        <v>84</v>
      </c>
      <c r="C556" s="146" t="s">
        <v>52</v>
      </c>
      <c r="D556" s="152" t="s">
        <v>384</v>
      </c>
      <c r="E556" s="92">
        <v>2</v>
      </c>
      <c r="F556" s="92" t="s">
        <v>84</v>
      </c>
      <c r="G556" s="92"/>
      <c r="H556" s="724">
        <v>29</v>
      </c>
      <c r="I556" s="724">
        <v>27</v>
      </c>
      <c r="J556" s="724">
        <v>2</v>
      </c>
      <c r="K556" s="724">
        <v>0</v>
      </c>
      <c r="L556" s="724">
        <v>2018.01</v>
      </c>
      <c r="M556" s="724">
        <v>0</v>
      </c>
      <c r="N556" s="724">
        <v>60.9</v>
      </c>
      <c r="O556" s="724">
        <v>56.7</v>
      </c>
      <c r="P556" s="724">
        <v>4.2</v>
      </c>
      <c r="Q556" s="724">
        <v>0</v>
      </c>
      <c r="R556" s="724">
        <v>0</v>
      </c>
      <c r="S556" s="724">
        <v>60.9</v>
      </c>
      <c r="T556" s="724">
        <v>0</v>
      </c>
      <c r="U556" s="724">
        <v>0</v>
      </c>
      <c r="V556" s="724">
        <v>0</v>
      </c>
      <c r="W556" s="92">
        <v>0</v>
      </c>
      <c r="X556" s="92" t="s">
        <v>382</v>
      </c>
      <c r="Y556" s="738">
        <v>31</v>
      </c>
      <c r="Z556" s="738">
        <v>64</v>
      </c>
      <c r="AA556" s="738">
        <v>2</v>
      </c>
      <c r="AB556" s="708"/>
      <c r="AC556" s="708"/>
      <c r="AD556" s="146" t="s">
        <v>219</v>
      </c>
      <c r="AE556" s="146" t="s">
        <v>406</v>
      </c>
      <c r="AF556" s="438" t="s">
        <v>273</v>
      </c>
      <c r="AG556" s="708"/>
    </row>
    <row r="557" s="570" customFormat="1" ht="24.95" customHeight="1" spans="1:33">
      <c r="A557" s="705"/>
      <c r="B557" s="714" t="s">
        <v>143</v>
      </c>
      <c r="C557" s="146" t="s">
        <v>52</v>
      </c>
      <c r="D557" s="152" t="s">
        <v>384</v>
      </c>
      <c r="E557" s="92">
        <v>2</v>
      </c>
      <c r="F557" s="92" t="s">
        <v>143</v>
      </c>
      <c r="G557" s="92"/>
      <c r="H557" s="724">
        <v>11</v>
      </c>
      <c r="I557" s="724">
        <v>10</v>
      </c>
      <c r="J557" s="724">
        <v>1</v>
      </c>
      <c r="K557" s="724">
        <v>0</v>
      </c>
      <c r="L557" s="724">
        <v>2018.01</v>
      </c>
      <c r="M557" s="724">
        <v>0</v>
      </c>
      <c r="N557" s="724">
        <v>23.1</v>
      </c>
      <c r="O557" s="724">
        <v>21</v>
      </c>
      <c r="P557" s="724">
        <v>2.1</v>
      </c>
      <c r="Q557" s="724">
        <v>0</v>
      </c>
      <c r="R557" s="724">
        <v>0</v>
      </c>
      <c r="S557" s="724">
        <v>23.1</v>
      </c>
      <c r="T557" s="724">
        <v>0</v>
      </c>
      <c r="U557" s="724">
        <v>0</v>
      </c>
      <c r="V557" s="724">
        <v>0</v>
      </c>
      <c r="W557" s="92">
        <v>0</v>
      </c>
      <c r="X557" s="92" t="s">
        <v>382</v>
      </c>
      <c r="Y557" s="738">
        <v>19</v>
      </c>
      <c r="Z557" s="738">
        <v>87.4</v>
      </c>
      <c r="AA557" s="738">
        <v>2</v>
      </c>
      <c r="AB557" s="708"/>
      <c r="AC557" s="708"/>
      <c r="AD557" s="775" t="s">
        <v>221</v>
      </c>
      <c r="AE557" s="146" t="s">
        <v>407</v>
      </c>
      <c r="AF557" s="438" t="s">
        <v>273</v>
      </c>
      <c r="AG557" s="708"/>
    </row>
    <row r="558" s="570" customFormat="1" ht="24" spans="1:33">
      <c r="A558" s="705">
        <v>69</v>
      </c>
      <c r="B558" s="708" t="s">
        <v>411</v>
      </c>
      <c r="C558" s="708"/>
      <c r="D558" s="709" t="s">
        <v>384</v>
      </c>
      <c r="E558" s="92">
        <v>12</v>
      </c>
      <c r="F558" s="92">
        <v>0</v>
      </c>
      <c r="G558" s="92"/>
      <c r="H558" s="724">
        <v>3272</v>
      </c>
      <c r="I558" s="724">
        <v>3272</v>
      </c>
      <c r="J558" s="724">
        <v>0</v>
      </c>
      <c r="K558" s="724">
        <v>0</v>
      </c>
      <c r="L558" s="724">
        <v>0</v>
      </c>
      <c r="M558" s="724">
        <v>0</v>
      </c>
      <c r="N558" s="724">
        <v>3272</v>
      </c>
      <c r="O558" s="724">
        <v>3272</v>
      </c>
      <c r="P558" s="724">
        <v>0</v>
      </c>
      <c r="Q558" s="724">
        <v>0</v>
      </c>
      <c r="R558" s="724">
        <v>0</v>
      </c>
      <c r="S558" s="724">
        <v>0</v>
      </c>
      <c r="T558" s="724">
        <v>3272</v>
      </c>
      <c r="U558" s="724">
        <v>0</v>
      </c>
      <c r="V558" s="724">
        <v>0</v>
      </c>
      <c r="W558" s="92">
        <v>0</v>
      </c>
      <c r="X558" s="92" t="s">
        <v>382</v>
      </c>
      <c r="Y558" s="738">
        <v>0</v>
      </c>
      <c r="Z558" s="738">
        <v>0</v>
      </c>
      <c r="AA558" s="738">
        <v>12</v>
      </c>
      <c r="AB558" s="708"/>
      <c r="AC558" s="708"/>
      <c r="AD558" s="775"/>
      <c r="AE558" s="753"/>
      <c r="AF558" s="712"/>
      <c r="AG558" s="708"/>
    </row>
    <row r="559" s="570" customFormat="1" ht="30" customHeight="1" spans="1:33">
      <c r="A559" s="705"/>
      <c r="B559" s="714" t="s">
        <v>101</v>
      </c>
      <c r="C559" s="146" t="s">
        <v>52</v>
      </c>
      <c r="D559" s="152" t="s">
        <v>384</v>
      </c>
      <c r="E559" s="92">
        <v>1</v>
      </c>
      <c r="F559" s="92" t="s">
        <v>101</v>
      </c>
      <c r="G559" s="92"/>
      <c r="H559" s="724">
        <v>143</v>
      </c>
      <c r="I559" s="724">
        <v>143</v>
      </c>
      <c r="J559" s="724">
        <v>0</v>
      </c>
      <c r="K559" s="724">
        <v>0</v>
      </c>
      <c r="L559" s="724">
        <v>2018.01</v>
      </c>
      <c r="M559" s="724">
        <v>0</v>
      </c>
      <c r="N559" s="724">
        <v>143</v>
      </c>
      <c r="O559" s="724">
        <v>143</v>
      </c>
      <c r="P559" s="724">
        <v>0</v>
      </c>
      <c r="Q559" s="724">
        <v>0</v>
      </c>
      <c r="R559" s="724">
        <v>0</v>
      </c>
      <c r="S559" s="724">
        <v>0</v>
      </c>
      <c r="T559" s="724">
        <v>143</v>
      </c>
      <c r="U559" s="724">
        <v>0</v>
      </c>
      <c r="V559" s="724">
        <v>0</v>
      </c>
      <c r="W559" s="92">
        <v>0</v>
      </c>
      <c r="X559" s="92" t="s">
        <v>382</v>
      </c>
      <c r="Y559" s="738">
        <v>0</v>
      </c>
      <c r="Z559" s="738">
        <v>0</v>
      </c>
      <c r="AA559" s="738">
        <v>1</v>
      </c>
      <c r="AB559" s="708"/>
      <c r="AC559" s="708"/>
      <c r="AD559" s="146"/>
      <c r="AE559" s="146"/>
      <c r="AF559" s="438"/>
      <c r="AG559" s="708"/>
    </row>
    <row r="560" s="570" customFormat="1" ht="30" customHeight="1" spans="1:33">
      <c r="A560" s="705"/>
      <c r="B560" s="714" t="s">
        <v>151</v>
      </c>
      <c r="C560" s="146" t="s">
        <v>52</v>
      </c>
      <c r="D560" s="152" t="s">
        <v>384</v>
      </c>
      <c r="E560" s="92">
        <v>1</v>
      </c>
      <c r="F560" s="92" t="s">
        <v>151</v>
      </c>
      <c r="G560" s="92"/>
      <c r="H560" s="724">
        <v>52</v>
      </c>
      <c r="I560" s="724">
        <v>52</v>
      </c>
      <c r="J560" s="724">
        <v>0</v>
      </c>
      <c r="K560" s="724">
        <v>0</v>
      </c>
      <c r="L560" s="724">
        <v>2018.01</v>
      </c>
      <c r="M560" s="724">
        <v>0</v>
      </c>
      <c r="N560" s="724">
        <v>52</v>
      </c>
      <c r="O560" s="724">
        <v>52</v>
      </c>
      <c r="P560" s="724">
        <v>0</v>
      </c>
      <c r="Q560" s="724">
        <v>0</v>
      </c>
      <c r="R560" s="724">
        <v>0</v>
      </c>
      <c r="S560" s="724">
        <v>0</v>
      </c>
      <c r="T560" s="724">
        <v>52</v>
      </c>
      <c r="U560" s="724">
        <v>0</v>
      </c>
      <c r="V560" s="724">
        <v>0</v>
      </c>
      <c r="W560" s="92">
        <v>0</v>
      </c>
      <c r="X560" s="92" t="s">
        <v>382</v>
      </c>
      <c r="Y560" s="738">
        <v>0</v>
      </c>
      <c r="Z560" s="738">
        <v>0</v>
      </c>
      <c r="AA560" s="738">
        <v>1</v>
      </c>
      <c r="AB560" s="708"/>
      <c r="AC560" s="708"/>
      <c r="AD560" s="146"/>
      <c r="AE560" s="146"/>
      <c r="AF560" s="438"/>
      <c r="AG560" s="708"/>
    </row>
    <row r="561" s="570" customFormat="1" ht="30" customHeight="1" spans="1:33">
      <c r="A561" s="705"/>
      <c r="B561" s="714" t="s">
        <v>154</v>
      </c>
      <c r="C561" s="146" t="s">
        <v>52</v>
      </c>
      <c r="D561" s="152" t="s">
        <v>384</v>
      </c>
      <c r="E561" s="92">
        <v>1</v>
      </c>
      <c r="F561" s="92" t="s">
        <v>154</v>
      </c>
      <c r="G561" s="92"/>
      <c r="H561" s="724">
        <v>130</v>
      </c>
      <c r="I561" s="724">
        <v>130</v>
      </c>
      <c r="J561" s="724">
        <v>0</v>
      </c>
      <c r="K561" s="724">
        <v>0</v>
      </c>
      <c r="L561" s="724">
        <v>2018.01</v>
      </c>
      <c r="M561" s="724">
        <v>0</v>
      </c>
      <c r="N561" s="724">
        <v>130</v>
      </c>
      <c r="O561" s="724">
        <v>130</v>
      </c>
      <c r="P561" s="724">
        <v>0</v>
      </c>
      <c r="Q561" s="724">
        <v>0</v>
      </c>
      <c r="R561" s="724">
        <v>0</v>
      </c>
      <c r="S561" s="724">
        <v>0</v>
      </c>
      <c r="T561" s="724">
        <v>130</v>
      </c>
      <c r="U561" s="724">
        <v>0</v>
      </c>
      <c r="V561" s="724">
        <v>0</v>
      </c>
      <c r="W561" s="92">
        <v>0</v>
      </c>
      <c r="X561" s="92" t="s">
        <v>382</v>
      </c>
      <c r="Y561" s="738">
        <v>0</v>
      </c>
      <c r="Z561" s="738">
        <v>0</v>
      </c>
      <c r="AA561" s="738">
        <v>1</v>
      </c>
      <c r="AB561" s="708"/>
      <c r="AC561" s="708"/>
      <c r="AD561" s="146"/>
      <c r="AE561" s="146"/>
      <c r="AF561" s="438"/>
      <c r="AG561" s="708"/>
    </row>
    <row r="562" s="570" customFormat="1" ht="30" customHeight="1" spans="1:33">
      <c r="A562" s="705"/>
      <c r="B562" s="714" t="s">
        <v>81</v>
      </c>
      <c r="C562" s="146" t="s">
        <v>52</v>
      </c>
      <c r="D562" s="152" t="s">
        <v>384</v>
      </c>
      <c r="E562" s="92">
        <v>1</v>
      </c>
      <c r="F562" s="92" t="s">
        <v>81</v>
      </c>
      <c r="G562" s="92"/>
      <c r="H562" s="724">
        <v>442</v>
      </c>
      <c r="I562" s="724">
        <v>442</v>
      </c>
      <c r="J562" s="724">
        <v>0</v>
      </c>
      <c r="K562" s="724">
        <v>0</v>
      </c>
      <c r="L562" s="724">
        <v>2018.01</v>
      </c>
      <c r="M562" s="724">
        <v>0</v>
      </c>
      <c r="N562" s="724">
        <v>442</v>
      </c>
      <c r="O562" s="724">
        <v>442</v>
      </c>
      <c r="P562" s="724">
        <v>0</v>
      </c>
      <c r="Q562" s="724">
        <v>0</v>
      </c>
      <c r="R562" s="724">
        <v>0</v>
      </c>
      <c r="S562" s="724">
        <v>0</v>
      </c>
      <c r="T562" s="724">
        <v>442</v>
      </c>
      <c r="U562" s="724">
        <v>0</v>
      </c>
      <c r="V562" s="724">
        <v>0</v>
      </c>
      <c r="W562" s="92">
        <v>0</v>
      </c>
      <c r="X562" s="92" t="s">
        <v>382</v>
      </c>
      <c r="Y562" s="738">
        <v>0</v>
      </c>
      <c r="Z562" s="738">
        <v>0</v>
      </c>
      <c r="AA562" s="738">
        <v>1</v>
      </c>
      <c r="AB562" s="708"/>
      <c r="AC562" s="708"/>
      <c r="AD562" s="146"/>
      <c r="AE562" s="146"/>
      <c r="AF562" s="146"/>
      <c r="AG562" s="708"/>
    </row>
    <row r="563" s="570" customFormat="1" ht="30" customHeight="1" spans="1:33">
      <c r="A563" s="705"/>
      <c r="B563" s="714" t="s">
        <v>98</v>
      </c>
      <c r="C563" s="146" t="s">
        <v>52</v>
      </c>
      <c r="D563" s="152" t="s">
        <v>384</v>
      </c>
      <c r="E563" s="92">
        <v>1</v>
      </c>
      <c r="F563" s="92" t="s">
        <v>98</v>
      </c>
      <c r="G563" s="92"/>
      <c r="H563" s="724">
        <v>514</v>
      </c>
      <c r="I563" s="724">
        <v>514</v>
      </c>
      <c r="J563" s="724">
        <v>0</v>
      </c>
      <c r="K563" s="724">
        <v>0</v>
      </c>
      <c r="L563" s="724">
        <v>2018.01</v>
      </c>
      <c r="M563" s="724">
        <v>0</v>
      </c>
      <c r="N563" s="724">
        <v>514</v>
      </c>
      <c r="O563" s="724">
        <v>514</v>
      </c>
      <c r="P563" s="724">
        <v>0</v>
      </c>
      <c r="Q563" s="724">
        <v>0</v>
      </c>
      <c r="R563" s="724">
        <v>0</v>
      </c>
      <c r="S563" s="724">
        <v>0</v>
      </c>
      <c r="T563" s="724">
        <v>514</v>
      </c>
      <c r="U563" s="724">
        <v>0</v>
      </c>
      <c r="V563" s="724">
        <v>0</v>
      </c>
      <c r="W563" s="92">
        <v>0</v>
      </c>
      <c r="X563" s="92" t="s">
        <v>382</v>
      </c>
      <c r="Y563" s="738">
        <v>0</v>
      </c>
      <c r="Z563" s="738">
        <v>0</v>
      </c>
      <c r="AA563" s="738">
        <v>1</v>
      </c>
      <c r="AB563" s="708"/>
      <c r="AC563" s="708"/>
      <c r="AD563" s="146"/>
      <c r="AE563" s="146"/>
      <c r="AF563" s="438"/>
      <c r="AG563" s="708"/>
    </row>
    <row r="564" s="570" customFormat="1" ht="30" customHeight="1" spans="1:33">
      <c r="A564" s="705"/>
      <c r="B564" s="714" t="s">
        <v>211</v>
      </c>
      <c r="C564" s="146" t="s">
        <v>52</v>
      </c>
      <c r="D564" s="152" t="s">
        <v>384</v>
      </c>
      <c r="E564" s="92">
        <v>1</v>
      </c>
      <c r="F564" s="92" t="s">
        <v>211</v>
      </c>
      <c r="G564" s="92"/>
      <c r="H564" s="724">
        <v>198</v>
      </c>
      <c r="I564" s="724">
        <v>198</v>
      </c>
      <c r="J564" s="724">
        <v>0</v>
      </c>
      <c r="K564" s="724">
        <v>0</v>
      </c>
      <c r="L564" s="724">
        <v>2018.01</v>
      </c>
      <c r="M564" s="724">
        <v>0</v>
      </c>
      <c r="N564" s="724">
        <v>198</v>
      </c>
      <c r="O564" s="724">
        <v>198</v>
      </c>
      <c r="P564" s="724">
        <v>0</v>
      </c>
      <c r="Q564" s="724">
        <v>0</v>
      </c>
      <c r="R564" s="724">
        <v>0</v>
      </c>
      <c r="S564" s="724">
        <v>0</v>
      </c>
      <c r="T564" s="724">
        <v>198</v>
      </c>
      <c r="U564" s="724">
        <v>0</v>
      </c>
      <c r="V564" s="724">
        <v>0</v>
      </c>
      <c r="W564" s="92">
        <v>0</v>
      </c>
      <c r="X564" s="92" t="s">
        <v>382</v>
      </c>
      <c r="Y564" s="738">
        <v>0</v>
      </c>
      <c r="Z564" s="738">
        <v>0</v>
      </c>
      <c r="AA564" s="738">
        <v>1</v>
      </c>
      <c r="AB564" s="708"/>
      <c r="AC564" s="708"/>
      <c r="AD564" s="146"/>
      <c r="AE564" s="146"/>
      <c r="AF564" s="438"/>
      <c r="AG564" s="708"/>
    </row>
    <row r="565" s="570" customFormat="1" ht="30" customHeight="1" spans="1:33">
      <c r="A565" s="705"/>
      <c r="B565" s="714" t="s">
        <v>155</v>
      </c>
      <c r="C565" s="146" t="s">
        <v>52</v>
      </c>
      <c r="D565" s="152" t="s">
        <v>384</v>
      </c>
      <c r="E565" s="92">
        <v>1</v>
      </c>
      <c r="F565" s="92" t="s">
        <v>155</v>
      </c>
      <c r="G565" s="92"/>
      <c r="H565" s="724">
        <v>143</v>
      </c>
      <c r="I565" s="724">
        <v>143</v>
      </c>
      <c r="J565" s="724">
        <v>0</v>
      </c>
      <c r="K565" s="724">
        <v>0</v>
      </c>
      <c r="L565" s="724">
        <v>2018.01</v>
      </c>
      <c r="M565" s="724">
        <v>0</v>
      </c>
      <c r="N565" s="724">
        <v>143</v>
      </c>
      <c r="O565" s="724">
        <v>143</v>
      </c>
      <c r="P565" s="724">
        <v>0</v>
      </c>
      <c r="Q565" s="724">
        <v>0</v>
      </c>
      <c r="R565" s="724">
        <v>0</v>
      </c>
      <c r="S565" s="724">
        <v>0</v>
      </c>
      <c r="T565" s="724">
        <v>143</v>
      </c>
      <c r="U565" s="724">
        <v>0</v>
      </c>
      <c r="V565" s="724">
        <v>0</v>
      </c>
      <c r="W565" s="92">
        <v>0</v>
      </c>
      <c r="X565" s="92" t="s">
        <v>382</v>
      </c>
      <c r="Y565" s="738">
        <v>0</v>
      </c>
      <c r="Z565" s="738">
        <v>0</v>
      </c>
      <c r="AA565" s="738">
        <v>1</v>
      </c>
      <c r="AB565" s="708"/>
      <c r="AC565" s="708"/>
      <c r="AD565" s="146"/>
      <c r="AE565" s="146"/>
      <c r="AF565" s="438"/>
      <c r="AG565" s="708"/>
    </row>
    <row r="566" s="570" customFormat="1" ht="30" customHeight="1" spans="1:33">
      <c r="A566" s="705"/>
      <c r="B566" s="714" t="s">
        <v>102</v>
      </c>
      <c r="C566" s="146" t="s">
        <v>52</v>
      </c>
      <c r="D566" s="152" t="s">
        <v>384</v>
      </c>
      <c r="E566" s="92">
        <v>1</v>
      </c>
      <c r="F566" s="92" t="s">
        <v>102</v>
      </c>
      <c r="G566" s="92"/>
      <c r="H566" s="724">
        <v>525</v>
      </c>
      <c r="I566" s="724">
        <v>525</v>
      </c>
      <c r="J566" s="724">
        <v>0</v>
      </c>
      <c r="K566" s="724">
        <v>0</v>
      </c>
      <c r="L566" s="724">
        <v>2018.01</v>
      </c>
      <c r="M566" s="724">
        <v>0</v>
      </c>
      <c r="N566" s="724">
        <v>525</v>
      </c>
      <c r="O566" s="724">
        <v>525</v>
      </c>
      <c r="P566" s="724">
        <v>0</v>
      </c>
      <c r="Q566" s="724">
        <v>0</v>
      </c>
      <c r="R566" s="724">
        <v>0</v>
      </c>
      <c r="S566" s="724">
        <v>0</v>
      </c>
      <c r="T566" s="724">
        <v>525</v>
      </c>
      <c r="U566" s="724">
        <v>0</v>
      </c>
      <c r="V566" s="724">
        <v>0</v>
      </c>
      <c r="W566" s="92">
        <v>0</v>
      </c>
      <c r="X566" s="92" t="s">
        <v>382</v>
      </c>
      <c r="Y566" s="738">
        <v>0</v>
      </c>
      <c r="Z566" s="738">
        <v>0</v>
      </c>
      <c r="AA566" s="738">
        <v>1</v>
      </c>
      <c r="AB566" s="708"/>
      <c r="AC566" s="708"/>
      <c r="AD566" s="146"/>
      <c r="AE566" s="146"/>
      <c r="AF566" s="438"/>
      <c r="AG566" s="708"/>
    </row>
    <row r="567" s="570" customFormat="1" ht="30" customHeight="1" spans="1:33">
      <c r="A567" s="705"/>
      <c r="B567" s="714" t="s">
        <v>100</v>
      </c>
      <c r="C567" s="146" t="s">
        <v>52</v>
      </c>
      <c r="D567" s="152" t="s">
        <v>384</v>
      </c>
      <c r="E567" s="92">
        <v>1</v>
      </c>
      <c r="F567" s="92" t="s">
        <v>100</v>
      </c>
      <c r="G567" s="92"/>
      <c r="H567" s="724">
        <v>267</v>
      </c>
      <c r="I567" s="724">
        <v>267</v>
      </c>
      <c r="J567" s="724">
        <v>0</v>
      </c>
      <c r="K567" s="724">
        <v>0</v>
      </c>
      <c r="L567" s="724">
        <v>2018.01</v>
      </c>
      <c r="M567" s="724">
        <v>0</v>
      </c>
      <c r="N567" s="724">
        <v>267</v>
      </c>
      <c r="O567" s="724">
        <v>267</v>
      </c>
      <c r="P567" s="724">
        <v>0</v>
      </c>
      <c r="Q567" s="724">
        <v>0</v>
      </c>
      <c r="R567" s="724">
        <v>0</v>
      </c>
      <c r="S567" s="724">
        <v>0</v>
      </c>
      <c r="T567" s="724">
        <v>267</v>
      </c>
      <c r="U567" s="724">
        <v>0</v>
      </c>
      <c r="V567" s="724">
        <v>0</v>
      </c>
      <c r="W567" s="92">
        <v>0</v>
      </c>
      <c r="X567" s="92" t="s">
        <v>382</v>
      </c>
      <c r="Y567" s="738">
        <v>0</v>
      </c>
      <c r="Z567" s="738">
        <v>0</v>
      </c>
      <c r="AA567" s="738">
        <v>1</v>
      </c>
      <c r="AB567" s="708"/>
      <c r="AC567" s="708"/>
      <c r="AD567" s="146"/>
      <c r="AE567" s="146"/>
      <c r="AF567" s="438"/>
      <c r="AG567" s="708"/>
    </row>
    <row r="568" s="570" customFormat="1" ht="30" customHeight="1" spans="1:33">
      <c r="A568" s="705"/>
      <c r="B568" s="714" t="s">
        <v>84</v>
      </c>
      <c r="C568" s="146" t="s">
        <v>52</v>
      </c>
      <c r="D568" s="152" t="s">
        <v>384</v>
      </c>
      <c r="E568" s="92">
        <v>1</v>
      </c>
      <c r="F568" s="92" t="s">
        <v>84</v>
      </c>
      <c r="G568" s="92"/>
      <c r="H568" s="724">
        <v>119</v>
      </c>
      <c r="I568" s="724">
        <v>119</v>
      </c>
      <c r="J568" s="724">
        <v>0</v>
      </c>
      <c r="K568" s="724">
        <v>0</v>
      </c>
      <c r="L568" s="724">
        <v>2018.01</v>
      </c>
      <c r="M568" s="724">
        <v>0</v>
      </c>
      <c r="N568" s="724">
        <v>119</v>
      </c>
      <c r="O568" s="724">
        <v>119</v>
      </c>
      <c r="P568" s="724">
        <v>0</v>
      </c>
      <c r="Q568" s="724">
        <v>0</v>
      </c>
      <c r="R568" s="724">
        <v>0</v>
      </c>
      <c r="S568" s="724">
        <v>0</v>
      </c>
      <c r="T568" s="724">
        <v>119</v>
      </c>
      <c r="U568" s="724">
        <v>0</v>
      </c>
      <c r="V568" s="724">
        <v>0</v>
      </c>
      <c r="W568" s="92">
        <v>0</v>
      </c>
      <c r="X568" s="92" t="s">
        <v>382</v>
      </c>
      <c r="Y568" s="738">
        <v>0</v>
      </c>
      <c r="Z568" s="738">
        <v>0</v>
      </c>
      <c r="AA568" s="738">
        <v>1</v>
      </c>
      <c r="AB568" s="708"/>
      <c r="AC568" s="708"/>
      <c r="AD568" s="146"/>
      <c r="AE568" s="146"/>
      <c r="AF568" s="438"/>
      <c r="AG568" s="708"/>
    </row>
    <row r="569" s="570" customFormat="1" ht="30" customHeight="1" spans="1:33">
      <c r="A569" s="705"/>
      <c r="B569" s="714" t="s">
        <v>259</v>
      </c>
      <c r="C569" s="146" t="s">
        <v>52</v>
      </c>
      <c r="D569" s="152" t="s">
        <v>384</v>
      </c>
      <c r="E569" s="92">
        <v>1</v>
      </c>
      <c r="F569" s="92" t="s">
        <v>259</v>
      </c>
      <c r="G569" s="92"/>
      <c r="H569" s="724">
        <v>300</v>
      </c>
      <c r="I569" s="724">
        <v>300</v>
      </c>
      <c r="J569" s="724">
        <v>0</v>
      </c>
      <c r="K569" s="724">
        <v>0</v>
      </c>
      <c r="L569" s="724">
        <v>2018.01</v>
      </c>
      <c r="M569" s="724">
        <v>0</v>
      </c>
      <c r="N569" s="724">
        <v>300</v>
      </c>
      <c r="O569" s="724">
        <v>300</v>
      </c>
      <c r="P569" s="724">
        <v>0</v>
      </c>
      <c r="Q569" s="724">
        <v>0</v>
      </c>
      <c r="R569" s="724">
        <v>0</v>
      </c>
      <c r="S569" s="724">
        <v>0</v>
      </c>
      <c r="T569" s="724">
        <v>300</v>
      </c>
      <c r="U569" s="724">
        <v>0</v>
      </c>
      <c r="V569" s="724">
        <v>0</v>
      </c>
      <c r="W569" s="92">
        <v>0</v>
      </c>
      <c r="X569" s="92" t="s">
        <v>382</v>
      </c>
      <c r="Y569" s="738">
        <v>0</v>
      </c>
      <c r="Z569" s="738">
        <v>0</v>
      </c>
      <c r="AA569" s="738">
        <v>1</v>
      </c>
      <c r="AB569" s="708"/>
      <c r="AC569" s="708"/>
      <c r="AD569" s="146"/>
      <c r="AE569" s="146"/>
      <c r="AF569" s="438"/>
      <c r="AG569" s="708"/>
    </row>
    <row r="570" s="570" customFormat="1" ht="30" customHeight="1" spans="1:33">
      <c r="A570" s="705"/>
      <c r="B570" s="714" t="s">
        <v>143</v>
      </c>
      <c r="C570" s="146" t="s">
        <v>52</v>
      </c>
      <c r="D570" s="152" t="s">
        <v>384</v>
      </c>
      <c r="E570" s="92">
        <v>1</v>
      </c>
      <c r="F570" s="92" t="s">
        <v>143</v>
      </c>
      <c r="G570" s="92"/>
      <c r="H570" s="724">
        <v>439</v>
      </c>
      <c r="I570" s="724">
        <v>439</v>
      </c>
      <c r="J570" s="724">
        <v>0</v>
      </c>
      <c r="K570" s="724">
        <v>0</v>
      </c>
      <c r="L570" s="724">
        <v>2018.01</v>
      </c>
      <c r="M570" s="724">
        <v>0</v>
      </c>
      <c r="N570" s="724">
        <v>439</v>
      </c>
      <c r="O570" s="724">
        <v>439</v>
      </c>
      <c r="P570" s="724">
        <v>0</v>
      </c>
      <c r="Q570" s="724">
        <v>0</v>
      </c>
      <c r="R570" s="724">
        <v>0</v>
      </c>
      <c r="S570" s="724">
        <v>0</v>
      </c>
      <c r="T570" s="724">
        <v>439</v>
      </c>
      <c r="U570" s="724">
        <v>0</v>
      </c>
      <c r="V570" s="724">
        <v>0</v>
      </c>
      <c r="W570" s="92">
        <v>0</v>
      </c>
      <c r="X570" s="92" t="s">
        <v>382</v>
      </c>
      <c r="Y570" s="738">
        <v>0</v>
      </c>
      <c r="Z570" s="738">
        <v>0</v>
      </c>
      <c r="AA570" s="738">
        <v>1</v>
      </c>
      <c r="AB570" s="708"/>
      <c r="AC570" s="708"/>
      <c r="AD570" s="775"/>
      <c r="AE570" s="146"/>
      <c r="AF570" s="438"/>
      <c r="AG570" s="708"/>
    </row>
    <row r="571" s="570" customFormat="1" ht="32.1" customHeight="1" spans="1:33">
      <c r="A571" s="705">
        <v>70</v>
      </c>
      <c r="B571" s="706" t="s">
        <v>412</v>
      </c>
      <c r="C571" s="706"/>
      <c r="D571" s="707"/>
      <c r="E571" s="92">
        <v>54</v>
      </c>
      <c r="F571" s="92">
        <v>0</v>
      </c>
      <c r="G571" s="92"/>
      <c r="H571" s="724">
        <v>10675</v>
      </c>
      <c r="I571" s="724">
        <v>4525</v>
      </c>
      <c r="J571" s="724">
        <v>5575</v>
      </c>
      <c r="K571" s="724">
        <v>575</v>
      </c>
      <c r="L571" s="724">
        <v>0</v>
      </c>
      <c r="M571" s="724">
        <v>0</v>
      </c>
      <c r="N571" s="724">
        <v>2376</v>
      </c>
      <c r="O571" s="724">
        <v>856</v>
      </c>
      <c r="P571" s="724">
        <v>1060</v>
      </c>
      <c r="Q571" s="724">
        <v>460</v>
      </c>
      <c r="R571" s="724">
        <v>0</v>
      </c>
      <c r="S571" s="724">
        <v>2376</v>
      </c>
      <c r="T571" s="724">
        <v>0</v>
      </c>
      <c r="U571" s="724">
        <v>0</v>
      </c>
      <c r="V571" s="724">
        <v>0</v>
      </c>
      <c r="W571" s="92">
        <v>0</v>
      </c>
      <c r="X571" s="92">
        <v>0</v>
      </c>
      <c r="Y571" s="738">
        <v>6582</v>
      </c>
      <c r="Z571" s="738">
        <v>28303.5</v>
      </c>
      <c r="AA571" s="738">
        <v>54</v>
      </c>
      <c r="AB571" s="706"/>
      <c r="AC571" s="706"/>
      <c r="AD571" s="706"/>
      <c r="AE571" s="706"/>
      <c r="AF571" s="706"/>
      <c r="AG571" s="706" t="s">
        <v>41</v>
      </c>
    </row>
    <row r="572" s="570" customFormat="1" ht="24.95" customHeight="1" spans="1:33">
      <c r="A572" s="705">
        <v>71</v>
      </c>
      <c r="B572" s="708" t="s">
        <v>413</v>
      </c>
      <c r="C572" s="708"/>
      <c r="D572" s="709" t="s">
        <v>45</v>
      </c>
      <c r="E572" s="92">
        <v>1</v>
      </c>
      <c r="F572" s="92">
        <v>0</v>
      </c>
      <c r="G572" s="92"/>
      <c r="H572" s="724">
        <v>100</v>
      </c>
      <c r="I572" s="724">
        <v>100</v>
      </c>
      <c r="J572" s="724">
        <v>0</v>
      </c>
      <c r="K572" s="724">
        <v>0</v>
      </c>
      <c r="L572" s="724">
        <v>0</v>
      </c>
      <c r="M572" s="724">
        <v>0</v>
      </c>
      <c r="N572" s="724">
        <v>16</v>
      </c>
      <c r="O572" s="724">
        <v>16</v>
      </c>
      <c r="P572" s="724">
        <v>0</v>
      </c>
      <c r="Q572" s="724">
        <v>0</v>
      </c>
      <c r="R572" s="724">
        <v>0</v>
      </c>
      <c r="S572" s="724">
        <v>16</v>
      </c>
      <c r="T572" s="724">
        <v>0</v>
      </c>
      <c r="U572" s="724">
        <v>0</v>
      </c>
      <c r="V572" s="724">
        <v>0</v>
      </c>
      <c r="W572" s="92">
        <v>0</v>
      </c>
      <c r="X572" s="92" t="s">
        <v>47</v>
      </c>
      <c r="Y572" s="738">
        <v>7</v>
      </c>
      <c r="Z572" s="738">
        <v>31</v>
      </c>
      <c r="AA572" s="738">
        <v>1</v>
      </c>
      <c r="AB572" s="708"/>
      <c r="AC572" s="708"/>
      <c r="AD572" s="146"/>
      <c r="AE572" s="146"/>
      <c r="AF572" s="146"/>
      <c r="AG572" s="708" t="s">
        <v>41</v>
      </c>
    </row>
    <row r="573" s="570" customFormat="1" ht="24.95" customHeight="1" spans="1:33">
      <c r="A573" s="705"/>
      <c r="B573" s="708" t="s">
        <v>91</v>
      </c>
      <c r="C573" s="708" t="s">
        <v>52</v>
      </c>
      <c r="D573" s="709" t="s">
        <v>45</v>
      </c>
      <c r="E573" s="92">
        <v>1</v>
      </c>
      <c r="F573" s="92" t="s">
        <v>91</v>
      </c>
      <c r="G573" s="92"/>
      <c r="H573" s="724">
        <v>100</v>
      </c>
      <c r="I573" s="724">
        <v>100</v>
      </c>
      <c r="J573" s="724">
        <v>0</v>
      </c>
      <c r="K573" s="724">
        <v>0</v>
      </c>
      <c r="L573" s="724">
        <v>2018.01</v>
      </c>
      <c r="M573" s="724">
        <v>0</v>
      </c>
      <c r="N573" s="724">
        <v>16</v>
      </c>
      <c r="O573" s="724">
        <v>16</v>
      </c>
      <c r="P573" s="724">
        <v>0</v>
      </c>
      <c r="Q573" s="724">
        <v>0</v>
      </c>
      <c r="R573" s="724">
        <v>0</v>
      </c>
      <c r="S573" s="724">
        <v>16</v>
      </c>
      <c r="T573" s="724">
        <v>0</v>
      </c>
      <c r="U573" s="724">
        <v>0</v>
      </c>
      <c r="V573" s="724">
        <v>0</v>
      </c>
      <c r="W573" s="92">
        <v>0</v>
      </c>
      <c r="X573" s="92" t="s">
        <v>47</v>
      </c>
      <c r="Y573" s="738">
        <v>7</v>
      </c>
      <c r="Z573" s="738">
        <v>31</v>
      </c>
      <c r="AA573" s="738">
        <v>1</v>
      </c>
      <c r="AB573" s="708"/>
      <c r="AC573" s="708"/>
      <c r="AD573" s="146"/>
      <c r="AE573" s="146"/>
      <c r="AF573" s="146"/>
      <c r="AG573" s="708"/>
    </row>
    <row r="574" s="570" customFormat="1" ht="24.95" customHeight="1" spans="1:33">
      <c r="A574" s="705"/>
      <c r="B574" s="750" t="s">
        <v>414</v>
      </c>
      <c r="C574" s="146" t="s">
        <v>52</v>
      </c>
      <c r="D574" s="152" t="s">
        <v>45</v>
      </c>
      <c r="E574" s="92">
        <v>5</v>
      </c>
      <c r="F574" s="92">
        <v>0</v>
      </c>
      <c r="G574" s="92"/>
      <c r="H574" s="724">
        <v>4000</v>
      </c>
      <c r="I574" s="724">
        <v>2000</v>
      </c>
      <c r="J574" s="724">
        <v>2000</v>
      </c>
      <c r="K574" s="724">
        <v>0</v>
      </c>
      <c r="L574" s="724">
        <v>0</v>
      </c>
      <c r="M574" s="724">
        <v>0</v>
      </c>
      <c r="N574" s="724">
        <v>600</v>
      </c>
      <c r="O574" s="724">
        <v>300</v>
      </c>
      <c r="P574" s="724">
        <v>300</v>
      </c>
      <c r="Q574" s="724">
        <v>0</v>
      </c>
      <c r="R574" s="724">
        <v>0</v>
      </c>
      <c r="S574" s="724">
        <v>600</v>
      </c>
      <c r="T574" s="724">
        <v>0</v>
      </c>
      <c r="U574" s="724">
        <v>0</v>
      </c>
      <c r="V574" s="724">
        <v>0</v>
      </c>
      <c r="W574" s="92">
        <v>0</v>
      </c>
      <c r="X574" s="92" t="s">
        <v>47</v>
      </c>
      <c r="Y574" s="738">
        <v>0</v>
      </c>
      <c r="Z574" s="738">
        <v>0</v>
      </c>
      <c r="AA574" s="738">
        <v>5</v>
      </c>
      <c r="AB574" s="708"/>
      <c r="AC574" s="708"/>
      <c r="AD574" s="146" t="s">
        <v>415</v>
      </c>
      <c r="AE574" s="146" t="s">
        <v>416</v>
      </c>
      <c r="AF574" s="146" t="s">
        <v>417</v>
      </c>
      <c r="AG574" s="708"/>
    </row>
    <row r="575" s="570" customFormat="1" ht="24.95" customHeight="1" spans="1:33">
      <c r="A575" s="705"/>
      <c r="B575" s="714" t="s">
        <v>78</v>
      </c>
      <c r="C575" s="146" t="s">
        <v>52</v>
      </c>
      <c r="D575" s="152" t="s">
        <v>45</v>
      </c>
      <c r="E575" s="92">
        <v>1</v>
      </c>
      <c r="F575" s="92" t="s">
        <v>78</v>
      </c>
      <c r="G575" s="92"/>
      <c r="H575" s="724">
        <v>1940</v>
      </c>
      <c r="I575" s="724">
        <v>1940</v>
      </c>
      <c r="J575" s="724">
        <v>0</v>
      </c>
      <c r="K575" s="724">
        <v>0</v>
      </c>
      <c r="L575" s="724">
        <v>2018.01</v>
      </c>
      <c r="M575" s="724">
        <v>0</v>
      </c>
      <c r="N575" s="724">
        <v>291</v>
      </c>
      <c r="O575" s="724">
        <v>291</v>
      </c>
      <c r="P575" s="724">
        <v>0</v>
      </c>
      <c r="Q575" s="724">
        <v>0</v>
      </c>
      <c r="R575" s="724">
        <v>0</v>
      </c>
      <c r="S575" s="724">
        <v>291</v>
      </c>
      <c r="T575" s="724">
        <v>0</v>
      </c>
      <c r="U575" s="724">
        <v>0</v>
      </c>
      <c r="V575" s="724">
        <v>0</v>
      </c>
      <c r="W575" s="92">
        <v>0</v>
      </c>
      <c r="X575" s="92" t="s">
        <v>47</v>
      </c>
      <c r="Y575" s="738">
        <v>0</v>
      </c>
      <c r="Z575" s="738">
        <v>0</v>
      </c>
      <c r="AA575" s="738">
        <v>1</v>
      </c>
      <c r="AB575" s="708"/>
      <c r="AC575" s="708"/>
      <c r="AD575" s="86"/>
      <c r="AE575" s="71"/>
      <c r="AF575" s="146"/>
      <c r="AG575" s="708"/>
    </row>
    <row r="576" s="570" customFormat="1" ht="24.95" customHeight="1" spans="1:33">
      <c r="A576" s="705"/>
      <c r="B576" s="714" t="s">
        <v>55</v>
      </c>
      <c r="C576" s="715" t="s">
        <v>52</v>
      </c>
      <c r="D576" s="716" t="s">
        <v>45</v>
      </c>
      <c r="E576" s="92">
        <v>1</v>
      </c>
      <c r="F576" s="92" t="s">
        <v>55</v>
      </c>
      <c r="G576" s="92"/>
      <c r="H576" s="724">
        <v>60</v>
      </c>
      <c r="I576" s="724">
        <v>60</v>
      </c>
      <c r="J576" s="724">
        <v>0</v>
      </c>
      <c r="K576" s="724">
        <v>0</v>
      </c>
      <c r="L576" s="724">
        <v>2018.01</v>
      </c>
      <c r="M576" s="724">
        <v>0</v>
      </c>
      <c r="N576" s="724">
        <v>9</v>
      </c>
      <c r="O576" s="724">
        <v>9</v>
      </c>
      <c r="P576" s="724">
        <v>0</v>
      </c>
      <c r="Q576" s="724">
        <v>0</v>
      </c>
      <c r="R576" s="724">
        <v>0</v>
      </c>
      <c r="S576" s="724">
        <v>9</v>
      </c>
      <c r="T576" s="724">
        <v>0</v>
      </c>
      <c r="U576" s="724">
        <v>0</v>
      </c>
      <c r="V576" s="724">
        <v>0</v>
      </c>
      <c r="W576" s="92">
        <v>0</v>
      </c>
      <c r="X576" s="92" t="s">
        <v>47</v>
      </c>
      <c r="Y576" s="738">
        <v>0</v>
      </c>
      <c r="Z576" s="738">
        <v>0</v>
      </c>
      <c r="AA576" s="738">
        <v>1</v>
      </c>
      <c r="AB576" s="708"/>
      <c r="AC576" s="708"/>
      <c r="AD576" s="146"/>
      <c r="AE576" s="146"/>
      <c r="AF576" s="146"/>
      <c r="AG576" s="708"/>
    </row>
    <row r="577" s="570" customFormat="1" ht="24.95" customHeight="1" spans="1:33">
      <c r="A577" s="705"/>
      <c r="B577" s="714" t="s">
        <v>91</v>
      </c>
      <c r="C577" s="146" t="s">
        <v>52</v>
      </c>
      <c r="D577" s="152" t="s">
        <v>45</v>
      </c>
      <c r="E577" s="92">
        <v>1</v>
      </c>
      <c r="F577" s="92" t="s">
        <v>91</v>
      </c>
      <c r="G577" s="92"/>
      <c r="H577" s="724">
        <v>1000</v>
      </c>
      <c r="I577" s="724">
        <v>0</v>
      </c>
      <c r="J577" s="724">
        <v>1000</v>
      </c>
      <c r="K577" s="724">
        <v>0</v>
      </c>
      <c r="L577" s="724">
        <v>0</v>
      </c>
      <c r="M577" s="724">
        <v>0</v>
      </c>
      <c r="N577" s="724">
        <v>150</v>
      </c>
      <c r="O577" s="724">
        <v>0</v>
      </c>
      <c r="P577" s="724">
        <v>150</v>
      </c>
      <c r="Q577" s="724">
        <v>0</v>
      </c>
      <c r="R577" s="724">
        <v>0</v>
      </c>
      <c r="S577" s="724">
        <v>150</v>
      </c>
      <c r="T577" s="724">
        <v>0</v>
      </c>
      <c r="U577" s="724">
        <v>0</v>
      </c>
      <c r="V577" s="724">
        <v>0</v>
      </c>
      <c r="W577" s="92">
        <v>0</v>
      </c>
      <c r="X577" s="92" t="s">
        <v>47</v>
      </c>
      <c r="Y577" s="738">
        <v>0</v>
      </c>
      <c r="Z577" s="738">
        <v>0</v>
      </c>
      <c r="AA577" s="738">
        <v>1</v>
      </c>
      <c r="AB577" s="708"/>
      <c r="AC577" s="708"/>
      <c r="AD577" s="146" t="s">
        <v>418</v>
      </c>
      <c r="AE577" s="146" t="s">
        <v>419</v>
      </c>
      <c r="AF577" s="146" t="s">
        <v>417</v>
      </c>
      <c r="AG577" s="708"/>
    </row>
    <row r="578" s="570" customFormat="1" ht="24.95" customHeight="1" spans="1:33">
      <c r="A578" s="705"/>
      <c r="B578" s="714" t="s">
        <v>92</v>
      </c>
      <c r="C578" s="146" t="s">
        <v>52</v>
      </c>
      <c r="D578" s="152" t="s">
        <v>45</v>
      </c>
      <c r="E578" s="92">
        <v>1</v>
      </c>
      <c r="F578" s="92" t="s">
        <v>92</v>
      </c>
      <c r="G578" s="92"/>
      <c r="H578" s="724">
        <v>500</v>
      </c>
      <c r="I578" s="724">
        <v>0</v>
      </c>
      <c r="J578" s="724">
        <v>500</v>
      </c>
      <c r="K578" s="724">
        <v>0</v>
      </c>
      <c r="L578" s="724">
        <v>0</v>
      </c>
      <c r="M578" s="724">
        <v>0</v>
      </c>
      <c r="N578" s="724">
        <v>75</v>
      </c>
      <c r="O578" s="724">
        <v>0</v>
      </c>
      <c r="P578" s="724">
        <v>75</v>
      </c>
      <c r="Q578" s="724">
        <v>0</v>
      </c>
      <c r="R578" s="724">
        <v>0</v>
      </c>
      <c r="S578" s="724">
        <v>75</v>
      </c>
      <c r="T578" s="724">
        <v>0</v>
      </c>
      <c r="U578" s="724">
        <v>0</v>
      </c>
      <c r="V578" s="724">
        <v>0</v>
      </c>
      <c r="W578" s="92">
        <v>0</v>
      </c>
      <c r="X578" s="92" t="s">
        <v>47</v>
      </c>
      <c r="Y578" s="738">
        <v>0</v>
      </c>
      <c r="Z578" s="738">
        <v>0</v>
      </c>
      <c r="AA578" s="738">
        <v>1</v>
      </c>
      <c r="AB578" s="708"/>
      <c r="AC578" s="708"/>
      <c r="AD578" s="86" t="s">
        <v>93</v>
      </c>
      <c r="AE578" s="86" t="s">
        <v>420</v>
      </c>
      <c r="AF578" s="146" t="s">
        <v>417</v>
      </c>
      <c r="AG578" s="708"/>
    </row>
    <row r="579" s="570" customFormat="1" ht="24.95" customHeight="1" spans="1:33">
      <c r="A579" s="705"/>
      <c r="B579" s="714" t="s">
        <v>61</v>
      </c>
      <c r="C579" s="146" t="s">
        <v>52</v>
      </c>
      <c r="D579" s="152" t="s">
        <v>45</v>
      </c>
      <c r="E579" s="92">
        <v>1</v>
      </c>
      <c r="F579" s="92" t="s">
        <v>61</v>
      </c>
      <c r="G579" s="92"/>
      <c r="H579" s="724">
        <v>500</v>
      </c>
      <c r="I579" s="724">
        <v>0</v>
      </c>
      <c r="J579" s="724">
        <v>500</v>
      </c>
      <c r="K579" s="724">
        <v>0</v>
      </c>
      <c r="L579" s="724">
        <v>0</v>
      </c>
      <c r="M579" s="724">
        <v>0</v>
      </c>
      <c r="N579" s="724">
        <v>75</v>
      </c>
      <c r="O579" s="724">
        <v>0</v>
      </c>
      <c r="P579" s="724">
        <v>75</v>
      </c>
      <c r="Q579" s="724">
        <v>0</v>
      </c>
      <c r="R579" s="724">
        <v>0</v>
      </c>
      <c r="S579" s="724">
        <v>75</v>
      </c>
      <c r="T579" s="724">
        <v>0</v>
      </c>
      <c r="U579" s="724">
        <v>0</v>
      </c>
      <c r="V579" s="724">
        <v>0</v>
      </c>
      <c r="W579" s="92">
        <v>0</v>
      </c>
      <c r="X579" s="92" t="s">
        <v>47</v>
      </c>
      <c r="Y579" s="738">
        <v>0</v>
      </c>
      <c r="Z579" s="738">
        <v>0</v>
      </c>
      <c r="AA579" s="738">
        <v>1</v>
      </c>
      <c r="AB579" s="708"/>
      <c r="AC579" s="708"/>
      <c r="AD579" s="146" t="s">
        <v>421</v>
      </c>
      <c r="AE579" s="146" t="s">
        <v>422</v>
      </c>
      <c r="AF579" s="146" t="s">
        <v>417</v>
      </c>
      <c r="AG579" s="708"/>
    </row>
    <row r="580" s="570" customFormat="1" ht="24.95" customHeight="1" spans="1:33">
      <c r="A580" s="705">
        <v>73</v>
      </c>
      <c r="B580" s="791" t="s">
        <v>423</v>
      </c>
      <c r="C580" s="708"/>
      <c r="D580" s="709" t="s">
        <v>147</v>
      </c>
      <c r="E580" s="92">
        <v>24</v>
      </c>
      <c r="F580" s="92">
        <v>0</v>
      </c>
      <c r="G580" s="92"/>
      <c r="H580" s="724">
        <v>1575</v>
      </c>
      <c r="I580" s="724">
        <v>425</v>
      </c>
      <c r="J580" s="724">
        <v>575</v>
      </c>
      <c r="K580" s="724">
        <v>575</v>
      </c>
      <c r="L580" s="724">
        <v>0</v>
      </c>
      <c r="M580" s="724">
        <v>0</v>
      </c>
      <c r="N580" s="724">
        <v>1260</v>
      </c>
      <c r="O580" s="724">
        <v>340</v>
      </c>
      <c r="P580" s="724">
        <v>460</v>
      </c>
      <c r="Q580" s="724">
        <v>460</v>
      </c>
      <c r="R580" s="724">
        <v>0</v>
      </c>
      <c r="S580" s="724">
        <v>1260</v>
      </c>
      <c r="T580" s="724">
        <v>0</v>
      </c>
      <c r="U580" s="724">
        <v>0</v>
      </c>
      <c r="V580" s="724">
        <v>0</v>
      </c>
      <c r="W580" s="92">
        <v>0</v>
      </c>
      <c r="X580" s="92" t="s">
        <v>47</v>
      </c>
      <c r="Y580" s="738">
        <v>1575</v>
      </c>
      <c r="Z580" s="738">
        <v>6772.5</v>
      </c>
      <c r="AA580" s="738">
        <v>24</v>
      </c>
      <c r="AB580" s="708"/>
      <c r="AC580" s="708"/>
      <c r="AD580" s="146" t="s">
        <v>415</v>
      </c>
      <c r="AE580" s="146" t="s">
        <v>424</v>
      </c>
      <c r="AF580" s="146" t="s">
        <v>417</v>
      </c>
      <c r="AG580" s="708" t="s">
        <v>41</v>
      </c>
    </row>
    <row r="581" s="570" customFormat="1" ht="24.95" customHeight="1" spans="1:33">
      <c r="A581" s="705"/>
      <c r="B581" s="199" t="s">
        <v>69</v>
      </c>
      <c r="C581" s="146" t="s">
        <v>52</v>
      </c>
      <c r="D581" s="141" t="s">
        <v>147</v>
      </c>
      <c r="E581" s="92">
        <v>3</v>
      </c>
      <c r="F581" s="92" t="s">
        <v>69</v>
      </c>
      <c r="G581" s="92"/>
      <c r="H581" s="724">
        <v>402</v>
      </c>
      <c r="I581" s="724">
        <v>134</v>
      </c>
      <c r="J581" s="724">
        <v>134</v>
      </c>
      <c r="K581" s="724">
        <v>134</v>
      </c>
      <c r="L581" s="724">
        <v>2018.01</v>
      </c>
      <c r="M581" s="724">
        <v>2020.12</v>
      </c>
      <c r="N581" s="724">
        <v>321.6</v>
      </c>
      <c r="O581" s="724">
        <v>107.2</v>
      </c>
      <c r="P581" s="724">
        <v>107.2</v>
      </c>
      <c r="Q581" s="724">
        <v>107.2</v>
      </c>
      <c r="R581" s="724">
        <v>0</v>
      </c>
      <c r="S581" s="724">
        <v>321.6</v>
      </c>
      <c r="T581" s="724">
        <v>0</v>
      </c>
      <c r="U581" s="724">
        <v>0</v>
      </c>
      <c r="V581" s="724">
        <v>0</v>
      </c>
      <c r="W581" s="92">
        <v>0</v>
      </c>
      <c r="X581" s="92" t="s">
        <v>47</v>
      </c>
      <c r="Y581" s="738">
        <v>402</v>
      </c>
      <c r="Z581" s="738">
        <v>1728.6</v>
      </c>
      <c r="AA581" s="738">
        <v>3</v>
      </c>
      <c r="AB581" s="708"/>
      <c r="AC581" s="708"/>
      <c r="AD581" s="146" t="s">
        <v>425</v>
      </c>
      <c r="AE581" s="146" t="s">
        <v>426</v>
      </c>
      <c r="AF581" s="146" t="s">
        <v>417</v>
      </c>
      <c r="AG581" s="708"/>
    </row>
    <row r="582" s="570" customFormat="1" ht="24.95" customHeight="1" spans="1:33">
      <c r="A582" s="705"/>
      <c r="B582" s="199" t="s">
        <v>51</v>
      </c>
      <c r="C582" s="146" t="s">
        <v>52</v>
      </c>
      <c r="D582" s="141" t="s">
        <v>147</v>
      </c>
      <c r="E582" s="92">
        <v>3</v>
      </c>
      <c r="F582" s="92" t="s">
        <v>51</v>
      </c>
      <c r="G582" s="92"/>
      <c r="H582" s="724">
        <v>252</v>
      </c>
      <c r="I582" s="724">
        <v>84</v>
      </c>
      <c r="J582" s="724">
        <v>84</v>
      </c>
      <c r="K582" s="724">
        <v>84</v>
      </c>
      <c r="L582" s="724">
        <v>2018.01</v>
      </c>
      <c r="M582" s="724">
        <v>2020.12</v>
      </c>
      <c r="N582" s="724">
        <v>201.6</v>
      </c>
      <c r="O582" s="724">
        <v>67.2</v>
      </c>
      <c r="P582" s="724">
        <v>67.2</v>
      </c>
      <c r="Q582" s="724">
        <v>67.2</v>
      </c>
      <c r="R582" s="724">
        <v>0</v>
      </c>
      <c r="S582" s="724">
        <v>201.6</v>
      </c>
      <c r="T582" s="724">
        <v>0</v>
      </c>
      <c r="U582" s="724">
        <v>0</v>
      </c>
      <c r="V582" s="724">
        <v>0</v>
      </c>
      <c r="W582" s="92">
        <v>0</v>
      </c>
      <c r="X582" s="92" t="s">
        <v>47</v>
      </c>
      <c r="Y582" s="738">
        <v>252</v>
      </c>
      <c r="Z582" s="738">
        <v>1083.6</v>
      </c>
      <c r="AA582" s="738">
        <v>3</v>
      </c>
      <c r="AB582" s="708"/>
      <c r="AC582" s="708"/>
      <c r="AD582" s="71" t="s">
        <v>53</v>
      </c>
      <c r="AE582" s="71" t="s">
        <v>427</v>
      </c>
      <c r="AF582" s="146" t="s">
        <v>417</v>
      </c>
      <c r="AG582" s="708"/>
    </row>
    <row r="583" s="570" customFormat="1" ht="24.95" customHeight="1" spans="1:33">
      <c r="A583" s="705"/>
      <c r="B583" s="199" t="s">
        <v>72</v>
      </c>
      <c r="C583" s="146" t="s">
        <v>52</v>
      </c>
      <c r="D583" s="141" t="s">
        <v>147</v>
      </c>
      <c r="E583" s="92">
        <v>3</v>
      </c>
      <c r="F583" s="92" t="s">
        <v>72</v>
      </c>
      <c r="G583" s="92"/>
      <c r="H583" s="724">
        <v>309</v>
      </c>
      <c r="I583" s="724">
        <v>103</v>
      </c>
      <c r="J583" s="724">
        <v>103</v>
      </c>
      <c r="K583" s="724">
        <v>103</v>
      </c>
      <c r="L583" s="724">
        <v>2018.01</v>
      </c>
      <c r="M583" s="724">
        <v>2020.12</v>
      </c>
      <c r="N583" s="724">
        <v>247.2</v>
      </c>
      <c r="O583" s="724">
        <v>82.4</v>
      </c>
      <c r="P583" s="724">
        <v>82.4</v>
      </c>
      <c r="Q583" s="724">
        <v>82.4</v>
      </c>
      <c r="R583" s="724">
        <v>0</v>
      </c>
      <c r="S583" s="724">
        <v>247.2</v>
      </c>
      <c r="T583" s="724">
        <v>0</v>
      </c>
      <c r="U583" s="724">
        <v>0</v>
      </c>
      <c r="V583" s="724">
        <v>0</v>
      </c>
      <c r="W583" s="92">
        <v>0</v>
      </c>
      <c r="X583" s="92" t="s">
        <v>47</v>
      </c>
      <c r="Y583" s="738">
        <v>309</v>
      </c>
      <c r="Z583" s="738">
        <v>1328.7</v>
      </c>
      <c r="AA583" s="738">
        <v>3</v>
      </c>
      <c r="AB583" s="708"/>
      <c r="AC583" s="708"/>
      <c r="AD583" s="146" t="s">
        <v>428</v>
      </c>
      <c r="AE583" s="146" t="s">
        <v>429</v>
      </c>
      <c r="AF583" s="146" t="s">
        <v>417</v>
      </c>
      <c r="AG583" s="708"/>
    </row>
    <row r="584" s="570" customFormat="1" ht="24.95" customHeight="1" spans="1:33">
      <c r="A584" s="705"/>
      <c r="B584" s="199" t="s">
        <v>58</v>
      </c>
      <c r="C584" s="146" t="s">
        <v>52</v>
      </c>
      <c r="D584" s="141" t="s">
        <v>147</v>
      </c>
      <c r="E584" s="92">
        <v>3</v>
      </c>
      <c r="F584" s="92" t="s">
        <v>58</v>
      </c>
      <c r="G584" s="92"/>
      <c r="H584" s="724">
        <v>21</v>
      </c>
      <c r="I584" s="724">
        <v>7</v>
      </c>
      <c r="J584" s="724">
        <v>7</v>
      </c>
      <c r="K584" s="724">
        <v>7</v>
      </c>
      <c r="L584" s="724">
        <v>2018.01</v>
      </c>
      <c r="M584" s="724">
        <v>2020.12</v>
      </c>
      <c r="N584" s="724">
        <v>16.8</v>
      </c>
      <c r="O584" s="724">
        <v>5.6</v>
      </c>
      <c r="P584" s="724">
        <v>5.6</v>
      </c>
      <c r="Q584" s="724">
        <v>5.6</v>
      </c>
      <c r="R584" s="724">
        <v>0</v>
      </c>
      <c r="S584" s="724">
        <v>16.8</v>
      </c>
      <c r="T584" s="724">
        <v>0</v>
      </c>
      <c r="U584" s="724">
        <v>0</v>
      </c>
      <c r="V584" s="724">
        <v>0</v>
      </c>
      <c r="W584" s="92">
        <v>0</v>
      </c>
      <c r="X584" s="92" t="s">
        <v>47</v>
      </c>
      <c r="Y584" s="738">
        <v>21</v>
      </c>
      <c r="Z584" s="738">
        <v>90.3</v>
      </c>
      <c r="AA584" s="738">
        <v>3</v>
      </c>
      <c r="AB584" s="708"/>
      <c r="AC584" s="708"/>
      <c r="AD584" s="86" t="s">
        <v>399</v>
      </c>
      <c r="AE584" s="86" t="s">
        <v>430</v>
      </c>
      <c r="AF584" s="146" t="s">
        <v>417</v>
      </c>
      <c r="AG584" s="708"/>
    </row>
    <row r="585" s="570" customFormat="1" ht="24.95" customHeight="1" spans="1:33">
      <c r="A585" s="705"/>
      <c r="B585" s="199" t="s">
        <v>78</v>
      </c>
      <c r="C585" s="146" t="s">
        <v>52</v>
      </c>
      <c r="D585" s="141" t="s">
        <v>147</v>
      </c>
      <c r="E585" s="92">
        <v>3</v>
      </c>
      <c r="F585" s="92" t="s">
        <v>78</v>
      </c>
      <c r="G585" s="92"/>
      <c r="H585" s="724">
        <v>261</v>
      </c>
      <c r="I585" s="724">
        <v>87</v>
      </c>
      <c r="J585" s="724">
        <v>87</v>
      </c>
      <c r="K585" s="724">
        <v>87</v>
      </c>
      <c r="L585" s="724">
        <v>2018.01</v>
      </c>
      <c r="M585" s="724">
        <v>2020.12</v>
      </c>
      <c r="N585" s="724">
        <v>208.8</v>
      </c>
      <c r="O585" s="724">
        <v>69.6</v>
      </c>
      <c r="P585" s="724">
        <v>69.6</v>
      </c>
      <c r="Q585" s="724">
        <v>69.6</v>
      </c>
      <c r="R585" s="724">
        <v>0</v>
      </c>
      <c r="S585" s="724">
        <v>208.8</v>
      </c>
      <c r="T585" s="724">
        <v>0</v>
      </c>
      <c r="U585" s="724">
        <v>0</v>
      </c>
      <c r="V585" s="724">
        <v>0</v>
      </c>
      <c r="W585" s="92">
        <v>0</v>
      </c>
      <c r="X585" s="92" t="s">
        <v>47</v>
      </c>
      <c r="Y585" s="738">
        <v>261</v>
      </c>
      <c r="Z585" s="738">
        <v>1122.3</v>
      </c>
      <c r="AA585" s="738">
        <v>3</v>
      </c>
      <c r="AB585" s="708"/>
      <c r="AC585" s="708"/>
      <c r="AD585" s="86" t="s">
        <v>217</v>
      </c>
      <c r="AE585" s="71" t="s">
        <v>431</v>
      </c>
      <c r="AF585" s="146" t="s">
        <v>417</v>
      </c>
      <c r="AG585" s="708"/>
    </row>
    <row r="586" s="570" customFormat="1" ht="24.95" customHeight="1" spans="1:33">
      <c r="A586" s="705"/>
      <c r="B586" s="199" t="s">
        <v>92</v>
      </c>
      <c r="C586" s="146" t="s">
        <v>52</v>
      </c>
      <c r="D586" s="141" t="s">
        <v>147</v>
      </c>
      <c r="E586" s="92">
        <v>3</v>
      </c>
      <c r="F586" s="92" t="s">
        <v>92</v>
      </c>
      <c r="G586" s="92"/>
      <c r="H586" s="724">
        <v>30</v>
      </c>
      <c r="I586" s="724">
        <v>10</v>
      </c>
      <c r="J586" s="724">
        <v>10</v>
      </c>
      <c r="K586" s="724">
        <v>10</v>
      </c>
      <c r="L586" s="724">
        <v>2018.01</v>
      </c>
      <c r="M586" s="724">
        <v>2020.12</v>
      </c>
      <c r="N586" s="724">
        <v>24</v>
      </c>
      <c r="O586" s="724">
        <v>8</v>
      </c>
      <c r="P586" s="724">
        <v>8</v>
      </c>
      <c r="Q586" s="724">
        <v>8</v>
      </c>
      <c r="R586" s="724">
        <v>0</v>
      </c>
      <c r="S586" s="724">
        <v>24</v>
      </c>
      <c r="T586" s="724">
        <v>0</v>
      </c>
      <c r="U586" s="724">
        <v>0</v>
      </c>
      <c r="V586" s="724">
        <v>0</v>
      </c>
      <c r="W586" s="92">
        <v>0</v>
      </c>
      <c r="X586" s="92" t="s">
        <v>47</v>
      </c>
      <c r="Y586" s="738">
        <v>30</v>
      </c>
      <c r="Z586" s="738">
        <v>129</v>
      </c>
      <c r="AA586" s="738">
        <v>3</v>
      </c>
      <c r="AB586" s="708"/>
      <c r="AC586" s="708"/>
      <c r="AD586" s="86" t="s">
        <v>93</v>
      </c>
      <c r="AE586" s="86" t="s">
        <v>420</v>
      </c>
      <c r="AF586" s="146" t="s">
        <v>417</v>
      </c>
      <c r="AG586" s="708"/>
    </row>
    <row r="587" s="570" customFormat="1" ht="24.95" customHeight="1" spans="1:33">
      <c r="A587" s="705"/>
      <c r="B587" s="199" t="s">
        <v>61</v>
      </c>
      <c r="C587" s="146" t="s">
        <v>52</v>
      </c>
      <c r="D587" s="141" t="s">
        <v>147</v>
      </c>
      <c r="E587" s="92">
        <v>2</v>
      </c>
      <c r="F587" s="92" t="s">
        <v>61</v>
      </c>
      <c r="G587" s="92"/>
      <c r="H587" s="724">
        <v>160</v>
      </c>
      <c r="I587" s="724">
        <v>0</v>
      </c>
      <c r="J587" s="724">
        <v>80</v>
      </c>
      <c r="K587" s="724">
        <v>80</v>
      </c>
      <c r="L587" s="724">
        <v>0</v>
      </c>
      <c r="M587" s="724">
        <v>2020.12</v>
      </c>
      <c r="N587" s="724">
        <v>128</v>
      </c>
      <c r="O587" s="724">
        <v>0</v>
      </c>
      <c r="P587" s="724">
        <v>64</v>
      </c>
      <c r="Q587" s="724">
        <v>64</v>
      </c>
      <c r="R587" s="724">
        <v>0</v>
      </c>
      <c r="S587" s="724">
        <v>128</v>
      </c>
      <c r="T587" s="724">
        <v>0</v>
      </c>
      <c r="U587" s="724">
        <v>0</v>
      </c>
      <c r="V587" s="724">
        <v>0</v>
      </c>
      <c r="W587" s="92">
        <v>0</v>
      </c>
      <c r="X587" s="92" t="s">
        <v>47</v>
      </c>
      <c r="Y587" s="738">
        <v>160</v>
      </c>
      <c r="Z587" s="738">
        <v>688</v>
      </c>
      <c r="AA587" s="738">
        <v>2</v>
      </c>
      <c r="AB587" s="708"/>
      <c r="AC587" s="708"/>
      <c r="AD587" s="146" t="s">
        <v>421</v>
      </c>
      <c r="AE587" s="146" t="s">
        <v>422</v>
      </c>
      <c r="AF587" s="146" t="s">
        <v>417</v>
      </c>
      <c r="AG587" s="708"/>
    </row>
    <row r="588" s="570" customFormat="1" ht="24.95" customHeight="1" spans="1:33">
      <c r="A588" s="705"/>
      <c r="B588" s="199" t="s">
        <v>64</v>
      </c>
      <c r="C588" s="146" t="s">
        <v>52</v>
      </c>
      <c r="D588" s="141" t="s">
        <v>147</v>
      </c>
      <c r="E588" s="92">
        <v>2</v>
      </c>
      <c r="F588" s="92" t="s">
        <v>64</v>
      </c>
      <c r="G588" s="92"/>
      <c r="H588" s="724">
        <v>120</v>
      </c>
      <c r="I588" s="724">
        <v>0</v>
      </c>
      <c r="J588" s="724">
        <v>60</v>
      </c>
      <c r="K588" s="724">
        <v>60</v>
      </c>
      <c r="L588" s="724">
        <v>0</v>
      </c>
      <c r="M588" s="724">
        <v>2020.12</v>
      </c>
      <c r="N588" s="724">
        <v>96</v>
      </c>
      <c r="O588" s="724">
        <v>0</v>
      </c>
      <c r="P588" s="724">
        <v>48</v>
      </c>
      <c r="Q588" s="724">
        <v>48</v>
      </c>
      <c r="R588" s="724">
        <v>0</v>
      </c>
      <c r="S588" s="724">
        <v>96</v>
      </c>
      <c r="T588" s="724">
        <v>0</v>
      </c>
      <c r="U588" s="724">
        <v>0</v>
      </c>
      <c r="V588" s="724">
        <v>0</v>
      </c>
      <c r="W588" s="92">
        <v>0</v>
      </c>
      <c r="X588" s="92" t="s">
        <v>47</v>
      </c>
      <c r="Y588" s="738">
        <v>120</v>
      </c>
      <c r="Z588" s="738">
        <v>516</v>
      </c>
      <c r="AA588" s="738">
        <v>2</v>
      </c>
      <c r="AB588" s="708"/>
      <c r="AC588" s="708"/>
      <c r="AD588" s="146" t="s">
        <v>185</v>
      </c>
      <c r="AE588" s="146" t="s">
        <v>432</v>
      </c>
      <c r="AF588" s="146" t="s">
        <v>417</v>
      </c>
      <c r="AG588" s="708"/>
    </row>
    <row r="589" s="570" customFormat="1" ht="24.95" customHeight="1" spans="1:33">
      <c r="A589" s="705"/>
      <c r="B589" s="199" t="s">
        <v>114</v>
      </c>
      <c r="C589" s="146" t="s">
        <v>52</v>
      </c>
      <c r="D589" s="141" t="s">
        <v>147</v>
      </c>
      <c r="E589" s="92">
        <v>2</v>
      </c>
      <c r="F589" s="92" t="s">
        <v>114</v>
      </c>
      <c r="G589" s="92"/>
      <c r="H589" s="724">
        <v>20</v>
      </c>
      <c r="I589" s="724">
        <v>0</v>
      </c>
      <c r="J589" s="724">
        <v>10</v>
      </c>
      <c r="K589" s="724">
        <v>10</v>
      </c>
      <c r="L589" s="724">
        <v>0</v>
      </c>
      <c r="M589" s="724">
        <v>2020.12</v>
      </c>
      <c r="N589" s="724">
        <v>16</v>
      </c>
      <c r="O589" s="724">
        <v>0</v>
      </c>
      <c r="P589" s="724">
        <v>8</v>
      </c>
      <c r="Q589" s="724">
        <v>8</v>
      </c>
      <c r="R589" s="724">
        <v>0</v>
      </c>
      <c r="S589" s="724">
        <v>16</v>
      </c>
      <c r="T589" s="724">
        <v>0</v>
      </c>
      <c r="U589" s="724">
        <v>0</v>
      </c>
      <c r="V589" s="724">
        <v>0</v>
      </c>
      <c r="W589" s="92">
        <v>0</v>
      </c>
      <c r="X589" s="92" t="s">
        <v>47</v>
      </c>
      <c r="Y589" s="738">
        <v>20</v>
      </c>
      <c r="Z589" s="738">
        <v>86</v>
      </c>
      <c r="AA589" s="738">
        <v>2</v>
      </c>
      <c r="AB589" s="708"/>
      <c r="AC589" s="708"/>
      <c r="AD589" s="146" t="s">
        <v>115</v>
      </c>
      <c r="AE589" s="146" t="s">
        <v>433</v>
      </c>
      <c r="AF589" s="146" t="s">
        <v>417</v>
      </c>
      <c r="AG589" s="708"/>
    </row>
    <row r="590" s="570" customFormat="1" ht="24.95" customHeight="1" spans="1:33">
      <c r="A590" s="705">
        <v>74</v>
      </c>
      <c r="B590" s="791" t="s">
        <v>434</v>
      </c>
      <c r="C590" s="708"/>
      <c r="D590" s="709" t="s">
        <v>147</v>
      </c>
      <c r="E590" s="92">
        <v>0</v>
      </c>
      <c r="F590" s="92">
        <v>0</v>
      </c>
      <c r="G590" s="92"/>
      <c r="H590" s="724">
        <v>0</v>
      </c>
      <c r="I590" s="724">
        <v>0</v>
      </c>
      <c r="J590" s="724">
        <v>0</v>
      </c>
      <c r="K590" s="724">
        <v>0</v>
      </c>
      <c r="L590" s="724">
        <v>0</v>
      </c>
      <c r="M590" s="724">
        <v>0</v>
      </c>
      <c r="N590" s="724">
        <v>0</v>
      </c>
      <c r="O590" s="724">
        <v>0</v>
      </c>
      <c r="P590" s="724">
        <v>0</v>
      </c>
      <c r="Q590" s="724">
        <v>0</v>
      </c>
      <c r="R590" s="724">
        <v>0</v>
      </c>
      <c r="S590" s="724">
        <v>0</v>
      </c>
      <c r="T590" s="724">
        <v>0</v>
      </c>
      <c r="U590" s="724">
        <v>0</v>
      </c>
      <c r="V590" s="724">
        <v>0</v>
      </c>
      <c r="W590" s="92">
        <v>0</v>
      </c>
      <c r="X590" s="92">
        <v>0</v>
      </c>
      <c r="Y590" s="738">
        <v>0</v>
      </c>
      <c r="Z590" s="738">
        <v>0</v>
      </c>
      <c r="AA590" s="738">
        <v>0</v>
      </c>
      <c r="AB590" s="708"/>
      <c r="AC590" s="708"/>
      <c r="AD590" s="708"/>
      <c r="AE590" s="708"/>
      <c r="AF590" s="708" t="s">
        <v>435</v>
      </c>
      <c r="AG590" s="708" t="s">
        <v>41</v>
      </c>
    </row>
    <row r="591" s="570" customFormat="1" ht="24.95" customHeight="1" spans="1:33">
      <c r="A591" s="705" t="s">
        <v>48</v>
      </c>
      <c r="B591" s="92" t="s">
        <v>148</v>
      </c>
      <c r="C591" s="92"/>
      <c r="D591" s="76"/>
      <c r="E591" s="92">
        <v>0</v>
      </c>
      <c r="F591" s="92">
        <v>0</v>
      </c>
      <c r="G591" s="92"/>
      <c r="H591" s="724">
        <v>0</v>
      </c>
      <c r="I591" s="724">
        <v>0</v>
      </c>
      <c r="J591" s="724">
        <v>0</v>
      </c>
      <c r="K591" s="724">
        <v>0</v>
      </c>
      <c r="L591" s="724">
        <v>0</v>
      </c>
      <c r="M591" s="724">
        <v>0</v>
      </c>
      <c r="N591" s="724">
        <v>0</v>
      </c>
      <c r="O591" s="724">
        <v>0</v>
      </c>
      <c r="P591" s="724">
        <v>0</v>
      </c>
      <c r="Q591" s="724">
        <v>0</v>
      </c>
      <c r="R591" s="724">
        <v>0</v>
      </c>
      <c r="S591" s="724">
        <v>0</v>
      </c>
      <c r="T591" s="724">
        <v>0</v>
      </c>
      <c r="U591" s="724">
        <v>0</v>
      </c>
      <c r="V591" s="724">
        <v>0</v>
      </c>
      <c r="W591" s="92">
        <v>0</v>
      </c>
      <c r="X591" s="92">
        <v>0</v>
      </c>
      <c r="Y591" s="738">
        <v>0</v>
      </c>
      <c r="Z591" s="738">
        <v>0</v>
      </c>
      <c r="AA591" s="738">
        <v>0</v>
      </c>
      <c r="AB591" s="92"/>
      <c r="AC591" s="92"/>
      <c r="AD591" s="92"/>
      <c r="AE591" s="92"/>
      <c r="AF591" s="92"/>
      <c r="AG591" s="92"/>
    </row>
    <row r="592" s="570" customFormat="1" ht="41" customHeight="1" spans="1:33">
      <c r="A592" s="705">
        <v>75</v>
      </c>
      <c r="B592" s="708" t="s">
        <v>436</v>
      </c>
      <c r="C592" s="708"/>
      <c r="D592" s="709" t="s">
        <v>150</v>
      </c>
      <c r="E592" s="92">
        <v>0</v>
      </c>
      <c r="F592" s="92">
        <v>0</v>
      </c>
      <c r="G592" s="92"/>
      <c r="H592" s="724">
        <v>0</v>
      </c>
      <c r="I592" s="724">
        <v>0</v>
      </c>
      <c r="J592" s="724">
        <v>0</v>
      </c>
      <c r="K592" s="724">
        <v>0</v>
      </c>
      <c r="L592" s="724">
        <v>0</v>
      </c>
      <c r="M592" s="724">
        <v>0</v>
      </c>
      <c r="N592" s="724">
        <v>0</v>
      </c>
      <c r="O592" s="724">
        <v>0</v>
      </c>
      <c r="P592" s="724">
        <v>0</v>
      </c>
      <c r="Q592" s="724">
        <v>0</v>
      </c>
      <c r="R592" s="724">
        <v>0</v>
      </c>
      <c r="S592" s="724">
        <v>0</v>
      </c>
      <c r="T592" s="724">
        <v>0</v>
      </c>
      <c r="U592" s="724">
        <v>0</v>
      </c>
      <c r="V592" s="724">
        <v>0</v>
      </c>
      <c r="W592" s="92">
        <v>0</v>
      </c>
      <c r="X592" s="92">
        <v>0</v>
      </c>
      <c r="Y592" s="738">
        <v>0</v>
      </c>
      <c r="Z592" s="738">
        <v>0</v>
      </c>
      <c r="AA592" s="738">
        <v>0</v>
      </c>
      <c r="AB592" s="708"/>
      <c r="AC592" s="708"/>
      <c r="AD592" s="708"/>
      <c r="AE592" s="708"/>
      <c r="AF592" s="708" t="s">
        <v>417</v>
      </c>
      <c r="AG592" s="708" t="s">
        <v>41</v>
      </c>
    </row>
    <row r="593" s="570" customFormat="1" ht="24.95" customHeight="1" spans="1:33">
      <c r="A593" s="705" t="s">
        <v>48</v>
      </c>
      <c r="B593" s="92" t="s">
        <v>148</v>
      </c>
      <c r="C593" s="92"/>
      <c r="D593" s="76"/>
      <c r="E593" s="92">
        <v>0</v>
      </c>
      <c r="F593" s="92">
        <v>0</v>
      </c>
      <c r="G593" s="92"/>
      <c r="H593" s="724">
        <v>0</v>
      </c>
      <c r="I593" s="724">
        <v>0</v>
      </c>
      <c r="J593" s="724">
        <v>0</v>
      </c>
      <c r="K593" s="724">
        <v>0</v>
      </c>
      <c r="L593" s="724">
        <v>0</v>
      </c>
      <c r="M593" s="724">
        <v>0</v>
      </c>
      <c r="N593" s="724">
        <v>0</v>
      </c>
      <c r="O593" s="724">
        <v>0</v>
      </c>
      <c r="P593" s="724">
        <v>0</v>
      </c>
      <c r="Q593" s="724">
        <v>0</v>
      </c>
      <c r="R593" s="724">
        <v>0</v>
      </c>
      <c r="S593" s="724">
        <v>0</v>
      </c>
      <c r="T593" s="724">
        <v>0</v>
      </c>
      <c r="U593" s="724">
        <v>0</v>
      </c>
      <c r="V593" s="724">
        <v>0</v>
      </c>
      <c r="W593" s="92">
        <v>0</v>
      </c>
      <c r="X593" s="92">
        <v>0</v>
      </c>
      <c r="Y593" s="738">
        <v>0</v>
      </c>
      <c r="Z593" s="738">
        <v>0</v>
      </c>
      <c r="AA593" s="738">
        <v>0</v>
      </c>
      <c r="AB593" s="92"/>
      <c r="AC593" s="92"/>
      <c r="AD593" s="92"/>
      <c r="AE593" s="92"/>
      <c r="AF593" s="92"/>
      <c r="AG593" s="92"/>
    </row>
    <row r="594" customFormat="1" ht="24.95" customHeight="1" spans="1:33">
      <c r="A594" s="705"/>
      <c r="B594" s="711" t="s">
        <v>437</v>
      </c>
      <c r="C594" s="141" t="s">
        <v>52</v>
      </c>
      <c r="D594" s="141" t="s">
        <v>438</v>
      </c>
      <c r="E594" s="92">
        <v>24</v>
      </c>
      <c r="F594" s="92">
        <v>0</v>
      </c>
      <c r="G594" s="92"/>
      <c r="H594" s="724">
        <v>5000</v>
      </c>
      <c r="I594" s="724">
        <v>2000</v>
      </c>
      <c r="J594" s="724">
        <v>3000</v>
      </c>
      <c r="K594" s="724">
        <v>0</v>
      </c>
      <c r="L594" s="724">
        <v>0</v>
      </c>
      <c r="M594" s="724">
        <v>0</v>
      </c>
      <c r="N594" s="724">
        <v>500</v>
      </c>
      <c r="O594" s="724">
        <v>200</v>
      </c>
      <c r="P594" s="724">
        <v>300</v>
      </c>
      <c r="Q594" s="724">
        <v>0</v>
      </c>
      <c r="R594" s="724">
        <v>0</v>
      </c>
      <c r="S594" s="724">
        <v>500</v>
      </c>
      <c r="T594" s="724">
        <v>0</v>
      </c>
      <c r="U594" s="724">
        <v>0</v>
      </c>
      <c r="V594" s="724">
        <v>0</v>
      </c>
      <c r="W594" s="92">
        <v>0</v>
      </c>
      <c r="X594" s="92" t="s">
        <v>439</v>
      </c>
      <c r="Y594" s="738">
        <v>5000</v>
      </c>
      <c r="Z594" s="738">
        <v>21500</v>
      </c>
      <c r="AA594" s="738">
        <v>24</v>
      </c>
      <c r="AB594" s="92"/>
      <c r="AC594" s="92"/>
      <c r="AD594" s="146" t="s">
        <v>415</v>
      </c>
      <c r="AE594" s="146" t="s">
        <v>440</v>
      </c>
      <c r="AF594" s="146" t="s">
        <v>417</v>
      </c>
      <c r="AG594" s="92"/>
    </row>
    <row r="595" customFormat="1" ht="24.95" customHeight="1" spans="1:33">
      <c r="A595" s="705"/>
      <c r="B595" s="199" t="s">
        <v>69</v>
      </c>
      <c r="C595" s="141" t="s">
        <v>52</v>
      </c>
      <c r="D595" s="141" t="s">
        <v>438</v>
      </c>
      <c r="E595" s="92">
        <v>2</v>
      </c>
      <c r="F595" s="92" t="s">
        <v>69</v>
      </c>
      <c r="G595" s="92"/>
      <c r="H595" s="724">
        <v>300</v>
      </c>
      <c r="I595" s="724">
        <v>100</v>
      </c>
      <c r="J595" s="724">
        <v>200</v>
      </c>
      <c r="K595" s="724">
        <v>0</v>
      </c>
      <c r="L595" s="724">
        <v>2018.01</v>
      </c>
      <c r="M595" s="724">
        <v>0</v>
      </c>
      <c r="N595" s="724">
        <v>30</v>
      </c>
      <c r="O595" s="724">
        <v>10</v>
      </c>
      <c r="P595" s="724">
        <v>20</v>
      </c>
      <c r="Q595" s="724">
        <v>0</v>
      </c>
      <c r="R595" s="724">
        <v>0</v>
      </c>
      <c r="S595" s="724">
        <v>30</v>
      </c>
      <c r="T595" s="724">
        <v>0</v>
      </c>
      <c r="U595" s="724">
        <v>0</v>
      </c>
      <c r="V595" s="724">
        <v>0</v>
      </c>
      <c r="W595" s="92">
        <v>0</v>
      </c>
      <c r="X595" s="92" t="s">
        <v>439</v>
      </c>
      <c r="Y595" s="738">
        <v>300</v>
      </c>
      <c r="Z595" s="738">
        <v>1290</v>
      </c>
      <c r="AA595" s="738">
        <v>2</v>
      </c>
      <c r="AB595" s="92"/>
      <c r="AC595" s="92"/>
      <c r="AD595" s="146" t="s">
        <v>425</v>
      </c>
      <c r="AE595" s="146" t="s">
        <v>426</v>
      </c>
      <c r="AF595" s="146" t="s">
        <v>417</v>
      </c>
      <c r="AG595" s="92"/>
    </row>
    <row r="596" customFormat="1" ht="24.95" customHeight="1" spans="1:33">
      <c r="A596" s="705"/>
      <c r="B596" s="199" t="s">
        <v>51</v>
      </c>
      <c r="C596" s="141" t="s">
        <v>52</v>
      </c>
      <c r="D596" s="141" t="s">
        <v>438</v>
      </c>
      <c r="E596" s="92">
        <v>2</v>
      </c>
      <c r="F596" s="92" t="s">
        <v>51</v>
      </c>
      <c r="G596" s="92"/>
      <c r="H596" s="724">
        <v>300</v>
      </c>
      <c r="I596" s="724">
        <v>100</v>
      </c>
      <c r="J596" s="724">
        <v>200</v>
      </c>
      <c r="K596" s="724">
        <v>0</v>
      </c>
      <c r="L596" s="724">
        <v>2018.01</v>
      </c>
      <c r="M596" s="724">
        <v>0</v>
      </c>
      <c r="N596" s="724">
        <v>30</v>
      </c>
      <c r="O596" s="724">
        <v>10</v>
      </c>
      <c r="P596" s="724">
        <v>20</v>
      </c>
      <c r="Q596" s="724">
        <v>0</v>
      </c>
      <c r="R596" s="724">
        <v>0</v>
      </c>
      <c r="S596" s="724">
        <v>30</v>
      </c>
      <c r="T596" s="724">
        <v>0</v>
      </c>
      <c r="U596" s="724">
        <v>0</v>
      </c>
      <c r="V596" s="724">
        <v>0</v>
      </c>
      <c r="W596" s="92">
        <v>0</v>
      </c>
      <c r="X596" s="92" t="s">
        <v>439</v>
      </c>
      <c r="Y596" s="738">
        <v>300</v>
      </c>
      <c r="Z596" s="738">
        <v>1290</v>
      </c>
      <c r="AA596" s="738">
        <v>2</v>
      </c>
      <c r="AB596" s="92"/>
      <c r="AC596" s="92"/>
      <c r="AD596" s="71" t="s">
        <v>53</v>
      </c>
      <c r="AE596" s="71" t="s">
        <v>427</v>
      </c>
      <c r="AF596" s="146" t="s">
        <v>417</v>
      </c>
      <c r="AG596" s="92"/>
    </row>
    <row r="597" customFormat="1" ht="24.95" customHeight="1" spans="1:33">
      <c r="A597" s="705"/>
      <c r="B597" s="199" t="s">
        <v>72</v>
      </c>
      <c r="C597" s="141" t="s">
        <v>52</v>
      </c>
      <c r="D597" s="141" t="s">
        <v>438</v>
      </c>
      <c r="E597" s="92">
        <v>2</v>
      </c>
      <c r="F597" s="92" t="s">
        <v>72</v>
      </c>
      <c r="G597" s="92"/>
      <c r="H597" s="724">
        <v>350</v>
      </c>
      <c r="I597" s="724">
        <v>150</v>
      </c>
      <c r="J597" s="724">
        <v>200</v>
      </c>
      <c r="K597" s="724">
        <v>0</v>
      </c>
      <c r="L597" s="724">
        <v>2018.01</v>
      </c>
      <c r="M597" s="724">
        <v>0</v>
      </c>
      <c r="N597" s="724">
        <v>35</v>
      </c>
      <c r="O597" s="724">
        <v>15</v>
      </c>
      <c r="P597" s="724">
        <v>20</v>
      </c>
      <c r="Q597" s="724">
        <v>0</v>
      </c>
      <c r="R597" s="724">
        <v>0</v>
      </c>
      <c r="S597" s="724">
        <v>35</v>
      </c>
      <c r="T597" s="724">
        <v>0</v>
      </c>
      <c r="U597" s="724">
        <v>0</v>
      </c>
      <c r="V597" s="724">
        <v>0</v>
      </c>
      <c r="W597" s="92">
        <v>0</v>
      </c>
      <c r="X597" s="92" t="s">
        <v>439</v>
      </c>
      <c r="Y597" s="738">
        <v>350</v>
      </c>
      <c r="Z597" s="738">
        <v>1505</v>
      </c>
      <c r="AA597" s="738">
        <v>2</v>
      </c>
      <c r="AB597" s="92"/>
      <c r="AC597" s="92"/>
      <c r="AD597" s="146" t="s">
        <v>428</v>
      </c>
      <c r="AE597" s="146" t="s">
        <v>429</v>
      </c>
      <c r="AF597" s="146" t="s">
        <v>417</v>
      </c>
      <c r="AG597" s="92"/>
    </row>
    <row r="598" customFormat="1" ht="24.95" customHeight="1" spans="1:33">
      <c r="A598" s="705"/>
      <c r="B598" s="199" t="s">
        <v>55</v>
      </c>
      <c r="C598" s="141" t="s">
        <v>52</v>
      </c>
      <c r="D598" s="141" t="s">
        <v>438</v>
      </c>
      <c r="E598" s="92">
        <v>2</v>
      </c>
      <c r="F598" s="92" t="s">
        <v>55</v>
      </c>
      <c r="G598" s="92"/>
      <c r="H598" s="724">
        <v>350</v>
      </c>
      <c r="I598" s="724">
        <v>150</v>
      </c>
      <c r="J598" s="724">
        <v>200</v>
      </c>
      <c r="K598" s="724">
        <v>0</v>
      </c>
      <c r="L598" s="724">
        <v>2018.01</v>
      </c>
      <c r="M598" s="724">
        <v>0</v>
      </c>
      <c r="N598" s="724">
        <v>35</v>
      </c>
      <c r="O598" s="724">
        <v>15</v>
      </c>
      <c r="P598" s="724">
        <v>20</v>
      </c>
      <c r="Q598" s="724">
        <v>0</v>
      </c>
      <c r="R598" s="724">
        <v>0</v>
      </c>
      <c r="S598" s="724">
        <v>35</v>
      </c>
      <c r="T598" s="724">
        <v>0</v>
      </c>
      <c r="U598" s="724">
        <v>0</v>
      </c>
      <c r="V598" s="724">
        <v>0</v>
      </c>
      <c r="W598" s="92">
        <v>0</v>
      </c>
      <c r="X598" s="92" t="s">
        <v>439</v>
      </c>
      <c r="Y598" s="738">
        <v>350</v>
      </c>
      <c r="Z598" s="738">
        <v>1505</v>
      </c>
      <c r="AA598" s="738">
        <v>2</v>
      </c>
      <c r="AB598" s="92"/>
      <c r="AC598" s="92"/>
      <c r="AD598" s="146" t="s">
        <v>395</v>
      </c>
      <c r="AE598" s="146" t="s">
        <v>441</v>
      </c>
      <c r="AF598" s="146" t="s">
        <v>417</v>
      </c>
      <c r="AG598" s="92"/>
    </row>
    <row r="599" customFormat="1" ht="24.95" customHeight="1" spans="1:33">
      <c r="A599" s="705"/>
      <c r="B599" s="199" t="s">
        <v>91</v>
      </c>
      <c r="C599" s="141" t="s">
        <v>52</v>
      </c>
      <c r="D599" s="141" t="s">
        <v>438</v>
      </c>
      <c r="E599" s="92">
        <v>2</v>
      </c>
      <c r="F599" s="92" t="s">
        <v>91</v>
      </c>
      <c r="G599" s="92"/>
      <c r="H599" s="724">
        <v>550</v>
      </c>
      <c r="I599" s="724">
        <v>250</v>
      </c>
      <c r="J599" s="724">
        <v>300</v>
      </c>
      <c r="K599" s="724">
        <v>0</v>
      </c>
      <c r="L599" s="724">
        <v>2018.01</v>
      </c>
      <c r="M599" s="724">
        <v>0</v>
      </c>
      <c r="N599" s="724">
        <v>55</v>
      </c>
      <c r="O599" s="724">
        <v>25</v>
      </c>
      <c r="P599" s="724">
        <v>30</v>
      </c>
      <c r="Q599" s="724">
        <v>0</v>
      </c>
      <c r="R599" s="724">
        <v>0</v>
      </c>
      <c r="S599" s="724">
        <v>55</v>
      </c>
      <c r="T599" s="724">
        <v>0</v>
      </c>
      <c r="U599" s="724">
        <v>0</v>
      </c>
      <c r="V599" s="724">
        <v>0</v>
      </c>
      <c r="W599" s="92">
        <v>0</v>
      </c>
      <c r="X599" s="92" t="s">
        <v>439</v>
      </c>
      <c r="Y599" s="738">
        <v>550</v>
      </c>
      <c r="Z599" s="738">
        <v>2365</v>
      </c>
      <c r="AA599" s="738">
        <v>2</v>
      </c>
      <c r="AB599" s="92"/>
      <c r="AC599" s="92"/>
      <c r="AD599" s="146" t="s">
        <v>418</v>
      </c>
      <c r="AE599" s="146" t="s">
        <v>419</v>
      </c>
      <c r="AF599" s="146" t="s">
        <v>417</v>
      </c>
      <c r="AG599" s="92"/>
    </row>
    <row r="600" customFormat="1" ht="24.95" customHeight="1" spans="1:33">
      <c r="A600" s="705"/>
      <c r="B600" s="199" t="s">
        <v>75</v>
      </c>
      <c r="C600" s="141" t="s">
        <v>52</v>
      </c>
      <c r="D600" s="141" t="s">
        <v>438</v>
      </c>
      <c r="E600" s="92">
        <v>2</v>
      </c>
      <c r="F600" s="92" t="s">
        <v>75</v>
      </c>
      <c r="G600" s="92"/>
      <c r="H600" s="724">
        <v>300</v>
      </c>
      <c r="I600" s="724">
        <v>100</v>
      </c>
      <c r="J600" s="724">
        <v>200</v>
      </c>
      <c r="K600" s="724">
        <v>0</v>
      </c>
      <c r="L600" s="724">
        <v>2018.01</v>
      </c>
      <c r="M600" s="724">
        <v>0</v>
      </c>
      <c r="N600" s="724">
        <v>30</v>
      </c>
      <c r="O600" s="724">
        <v>10</v>
      </c>
      <c r="P600" s="724">
        <v>20</v>
      </c>
      <c r="Q600" s="724">
        <v>0</v>
      </c>
      <c r="R600" s="724">
        <v>0</v>
      </c>
      <c r="S600" s="724">
        <v>30</v>
      </c>
      <c r="T600" s="724">
        <v>0</v>
      </c>
      <c r="U600" s="724">
        <v>0</v>
      </c>
      <c r="V600" s="724">
        <v>0</v>
      </c>
      <c r="W600" s="92">
        <v>0</v>
      </c>
      <c r="X600" s="92" t="s">
        <v>439</v>
      </c>
      <c r="Y600" s="738">
        <v>300</v>
      </c>
      <c r="Z600" s="738">
        <v>1290</v>
      </c>
      <c r="AA600" s="738">
        <v>2</v>
      </c>
      <c r="AB600" s="92"/>
      <c r="AC600" s="92"/>
      <c r="AD600" s="86" t="s">
        <v>76</v>
      </c>
      <c r="AE600" s="86"/>
      <c r="AF600" s="146" t="s">
        <v>417</v>
      </c>
      <c r="AG600" s="92"/>
    </row>
    <row r="601" customFormat="1" ht="24.95" customHeight="1" spans="1:33">
      <c r="A601" s="705"/>
      <c r="B601" s="199" t="s">
        <v>58</v>
      </c>
      <c r="C601" s="141" t="s">
        <v>52</v>
      </c>
      <c r="D601" s="141" t="s">
        <v>438</v>
      </c>
      <c r="E601" s="92">
        <v>2</v>
      </c>
      <c r="F601" s="92" t="s">
        <v>58</v>
      </c>
      <c r="G601" s="92"/>
      <c r="H601" s="724">
        <v>450</v>
      </c>
      <c r="I601" s="724">
        <v>150</v>
      </c>
      <c r="J601" s="724">
        <v>300</v>
      </c>
      <c r="K601" s="724">
        <v>0</v>
      </c>
      <c r="L601" s="724">
        <v>2018.01</v>
      </c>
      <c r="M601" s="724">
        <v>0</v>
      </c>
      <c r="N601" s="724">
        <v>45</v>
      </c>
      <c r="O601" s="724">
        <v>15</v>
      </c>
      <c r="P601" s="724">
        <v>30</v>
      </c>
      <c r="Q601" s="724">
        <v>0</v>
      </c>
      <c r="R601" s="724">
        <v>0</v>
      </c>
      <c r="S601" s="724">
        <v>45</v>
      </c>
      <c r="T601" s="724">
        <v>0</v>
      </c>
      <c r="U601" s="724">
        <v>0</v>
      </c>
      <c r="V601" s="724">
        <v>0</v>
      </c>
      <c r="W601" s="92">
        <v>0</v>
      </c>
      <c r="X601" s="92" t="s">
        <v>439</v>
      </c>
      <c r="Y601" s="738">
        <v>450</v>
      </c>
      <c r="Z601" s="738">
        <v>1935</v>
      </c>
      <c r="AA601" s="738">
        <v>2</v>
      </c>
      <c r="AB601" s="92"/>
      <c r="AC601" s="92"/>
      <c r="AD601" s="86" t="s">
        <v>399</v>
      </c>
      <c r="AE601" s="86" t="s">
        <v>430</v>
      </c>
      <c r="AF601" s="146" t="s">
        <v>417</v>
      </c>
      <c r="AG601" s="92"/>
    </row>
    <row r="602" customFormat="1" ht="24.95" customHeight="1" spans="1:33">
      <c r="A602" s="705"/>
      <c r="B602" s="199" t="s">
        <v>61</v>
      </c>
      <c r="C602" s="141" t="s">
        <v>52</v>
      </c>
      <c r="D602" s="141" t="s">
        <v>438</v>
      </c>
      <c r="E602" s="92">
        <v>2</v>
      </c>
      <c r="F602" s="92" t="s">
        <v>61</v>
      </c>
      <c r="G602" s="92"/>
      <c r="H602" s="724">
        <v>870</v>
      </c>
      <c r="I602" s="724">
        <v>350</v>
      </c>
      <c r="J602" s="724">
        <v>520</v>
      </c>
      <c r="K602" s="724">
        <v>0</v>
      </c>
      <c r="L602" s="724">
        <v>2018.01</v>
      </c>
      <c r="M602" s="724">
        <v>0</v>
      </c>
      <c r="N602" s="724">
        <v>87</v>
      </c>
      <c r="O602" s="724">
        <v>35</v>
      </c>
      <c r="P602" s="724">
        <v>52</v>
      </c>
      <c r="Q602" s="724">
        <v>0</v>
      </c>
      <c r="R602" s="724">
        <v>0</v>
      </c>
      <c r="S602" s="724">
        <v>87</v>
      </c>
      <c r="T602" s="724">
        <v>0</v>
      </c>
      <c r="U602" s="724">
        <v>0</v>
      </c>
      <c r="V602" s="724">
        <v>0</v>
      </c>
      <c r="W602" s="92">
        <v>0</v>
      </c>
      <c r="X602" s="92" t="s">
        <v>439</v>
      </c>
      <c r="Y602" s="738">
        <v>870</v>
      </c>
      <c r="Z602" s="738">
        <v>3741</v>
      </c>
      <c r="AA602" s="738">
        <v>2</v>
      </c>
      <c r="AB602" s="92"/>
      <c r="AC602" s="92"/>
      <c r="AD602" s="146" t="s">
        <v>421</v>
      </c>
      <c r="AE602" s="146" t="s">
        <v>422</v>
      </c>
      <c r="AF602" s="146" t="s">
        <v>417</v>
      </c>
      <c r="AG602" s="92"/>
    </row>
    <row r="603" customFormat="1" ht="24.95" customHeight="1" spans="1:33">
      <c r="A603" s="705"/>
      <c r="B603" s="199" t="s">
        <v>78</v>
      </c>
      <c r="C603" s="141" t="s">
        <v>52</v>
      </c>
      <c r="D603" s="141" t="s">
        <v>438</v>
      </c>
      <c r="E603" s="92">
        <v>2</v>
      </c>
      <c r="F603" s="92" t="s">
        <v>78</v>
      </c>
      <c r="G603" s="92"/>
      <c r="H603" s="724">
        <v>300</v>
      </c>
      <c r="I603" s="724">
        <v>100</v>
      </c>
      <c r="J603" s="724">
        <v>200</v>
      </c>
      <c r="K603" s="724">
        <v>0</v>
      </c>
      <c r="L603" s="724">
        <v>2018.01</v>
      </c>
      <c r="M603" s="724">
        <v>0</v>
      </c>
      <c r="N603" s="724">
        <v>30</v>
      </c>
      <c r="O603" s="724">
        <v>10</v>
      </c>
      <c r="P603" s="724">
        <v>20</v>
      </c>
      <c r="Q603" s="724">
        <v>0</v>
      </c>
      <c r="R603" s="724">
        <v>0</v>
      </c>
      <c r="S603" s="724">
        <v>30</v>
      </c>
      <c r="T603" s="724">
        <v>0</v>
      </c>
      <c r="U603" s="724">
        <v>0</v>
      </c>
      <c r="V603" s="724">
        <v>0</v>
      </c>
      <c r="W603" s="92">
        <v>0</v>
      </c>
      <c r="X603" s="92" t="s">
        <v>439</v>
      </c>
      <c r="Y603" s="738">
        <v>300</v>
      </c>
      <c r="Z603" s="738">
        <v>1290</v>
      </c>
      <c r="AA603" s="738">
        <v>2</v>
      </c>
      <c r="AB603" s="92"/>
      <c r="AC603" s="92"/>
      <c r="AD603" s="86" t="s">
        <v>217</v>
      </c>
      <c r="AE603" s="71" t="s">
        <v>431</v>
      </c>
      <c r="AF603" s="146" t="s">
        <v>417</v>
      </c>
      <c r="AG603" s="92"/>
    </row>
    <row r="604" customFormat="1" ht="24.95" customHeight="1" spans="1:33">
      <c r="A604" s="705"/>
      <c r="B604" s="199" t="s">
        <v>114</v>
      </c>
      <c r="C604" s="141" t="s">
        <v>52</v>
      </c>
      <c r="D604" s="141" t="s">
        <v>438</v>
      </c>
      <c r="E604" s="92">
        <v>2</v>
      </c>
      <c r="F604" s="92" t="s">
        <v>114</v>
      </c>
      <c r="G604" s="92"/>
      <c r="H604" s="724">
        <v>280</v>
      </c>
      <c r="I604" s="724">
        <v>100</v>
      </c>
      <c r="J604" s="724">
        <v>180</v>
      </c>
      <c r="K604" s="724">
        <v>0</v>
      </c>
      <c r="L604" s="724">
        <v>2018.01</v>
      </c>
      <c r="M604" s="724">
        <v>0</v>
      </c>
      <c r="N604" s="724">
        <v>28</v>
      </c>
      <c r="O604" s="724">
        <v>10</v>
      </c>
      <c r="P604" s="724">
        <v>18</v>
      </c>
      <c r="Q604" s="724">
        <v>0</v>
      </c>
      <c r="R604" s="724">
        <v>0</v>
      </c>
      <c r="S604" s="724">
        <v>28</v>
      </c>
      <c r="T604" s="724">
        <v>0</v>
      </c>
      <c r="U604" s="724">
        <v>0</v>
      </c>
      <c r="V604" s="724">
        <v>0</v>
      </c>
      <c r="W604" s="92">
        <v>0</v>
      </c>
      <c r="X604" s="92" t="s">
        <v>439</v>
      </c>
      <c r="Y604" s="738">
        <v>280</v>
      </c>
      <c r="Z604" s="738">
        <v>1204</v>
      </c>
      <c r="AA604" s="738">
        <v>2</v>
      </c>
      <c r="AB604" s="92"/>
      <c r="AC604" s="92"/>
      <c r="AD604" s="146" t="s">
        <v>115</v>
      </c>
      <c r="AE604" s="146" t="s">
        <v>433</v>
      </c>
      <c r="AF604" s="146" t="s">
        <v>417</v>
      </c>
      <c r="AG604" s="92"/>
    </row>
    <row r="605" customFormat="1" ht="24.95" customHeight="1" spans="1:33">
      <c r="A605" s="705"/>
      <c r="B605" s="199" t="s">
        <v>64</v>
      </c>
      <c r="C605" s="141" t="s">
        <v>52</v>
      </c>
      <c r="D605" s="141" t="s">
        <v>438</v>
      </c>
      <c r="E605" s="92">
        <v>2</v>
      </c>
      <c r="F605" s="92" t="s">
        <v>64</v>
      </c>
      <c r="G605" s="92"/>
      <c r="H605" s="724">
        <v>550</v>
      </c>
      <c r="I605" s="724">
        <v>250</v>
      </c>
      <c r="J605" s="724">
        <v>300</v>
      </c>
      <c r="K605" s="724">
        <v>0</v>
      </c>
      <c r="L605" s="724">
        <v>2018.01</v>
      </c>
      <c r="M605" s="724">
        <v>0</v>
      </c>
      <c r="N605" s="724">
        <v>55</v>
      </c>
      <c r="O605" s="724">
        <v>25</v>
      </c>
      <c r="P605" s="724">
        <v>30</v>
      </c>
      <c r="Q605" s="724">
        <v>0</v>
      </c>
      <c r="R605" s="724">
        <v>0</v>
      </c>
      <c r="S605" s="724">
        <v>55</v>
      </c>
      <c r="T605" s="724">
        <v>0</v>
      </c>
      <c r="U605" s="724">
        <v>0</v>
      </c>
      <c r="V605" s="724">
        <v>0</v>
      </c>
      <c r="W605" s="92">
        <v>0</v>
      </c>
      <c r="X605" s="92" t="s">
        <v>439</v>
      </c>
      <c r="Y605" s="738">
        <v>550</v>
      </c>
      <c r="Z605" s="738">
        <v>2365</v>
      </c>
      <c r="AA605" s="738">
        <v>2</v>
      </c>
      <c r="AB605" s="92"/>
      <c r="AC605" s="92"/>
      <c r="AD605" s="146" t="s">
        <v>185</v>
      </c>
      <c r="AE605" s="146" t="s">
        <v>432</v>
      </c>
      <c r="AF605" s="146" t="s">
        <v>417</v>
      </c>
      <c r="AG605" s="92"/>
    </row>
    <row r="606" customFormat="1" ht="24.95" customHeight="1" spans="1:33">
      <c r="A606" s="705"/>
      <c r="B606" s="199" t="s">
        <v>92</v>
      </c>
      <c r="C606" s="141" t="s">
        <v>52</v>
      </c>
      <c r="D606" s="141" t="s">
        <v>438</v>
      </c>
      <c r="E606" s="92">
        <v>2</v>
      </c>
      <c r="F606" s="92" t="s">
        <v>92</v>
      </c>
      <c r="G606" s="92"/>
      <c r="H606" s="724">
        <v>400</v>
      </c>
      <c r="I606" s="724">
        <v>200</v>
      </c>
      <c r="J606" s="724">
        <v>200</v>
      </c>
      <c r="K606" s="724">
        <v>0</v>
      </c>
      <c r="L606" s="724">
        <v>2018.01</v>
      </c>
      <c r="M606" s="724">
        <v>0</v>
      </c>
      <c r="N606" s="724">
        <v>40</v>
      </c>
      <c r="O606" s="724">
        <v>20</v>
      </c>
      <c r="P606" s="724">
        <v>20</v>
      </c>
      <c r="Q606" s="724">
        <v>0</v>
      </c>
      <c r="R606" s="724">
        <v>0</v>
      </c>
      <c r="S606" s="724">
        <v>40</v>
      </c>
      <c r="T606" s="724">
        <v>0</v>
      </c>
      <c r="U606" s="724">
        <v>0</v>
      </c>
      <c r="V606" s="724">
        <v>0</v>
      </c>
      <c r="W606" s="92">
        <v>0</v>
      </c>
      <c r="X606" s="92" t="s">
        <v>439</v>
      </c>
      <c r="Y606" s="738">
        <v>400</v>
      </c>
      <c r="Z606" s="738">
        <v>1720</v>
      </c>
      <c r="AA606" s="738">
        <v>2</v>
      </c>
      <c r="AB606" s="92"/>
      <c r="AC606" s="92"/>
      <c r="AD606" s="86" t="s">
        <v>93</v>
      </c>
      <c r="AE606" s="86" t="s">
        <v>420</v>
      </c>
      <c r="AF606" s="146" t="s">
        <v>417</v>
      </c>
      <c r="AG606" s="92"/>
    </row>
    <row r="607" s="570" customFormat="1" ht="32.1" customHeight="1" spans="1:33">
      <c r="A607" s="705">
        <v>76</v>
      </c>
      <c r="B607" s="706" t="s">
        <v>442</v>
      </c>
      <c r="C607" s="706"/>
      <c r="D607" s="707"/>
      <c r="E607" s="92">
        <v>111</v>
      </c>
      <c r="F607" s="92">
        <v>0</v>
      </c>
      <c r="G607" s="92"/>
      <c r="H607" s="724">
        <v>22596</v>
      </c>
      <c r="I607" s="724">
        <v>7532</v>
      </c>
      <c r="J607" s="724">
        <v>7532</v>
      </c>
      <c r="K607" s="724">
        <v>7532</v>
      </c>
      <c r="L607" s="724">
        <v>0</v>
      </c>
      <c r="M607" s="724">
        <v>0</v>
      </c>
      <c r="N607" s="724">
        <v>455.004</v>
      </c>
      <c r="O607" s="724">
        <v>151.668</v>
      </c>
      <c r="P607" s="724">
        <v>151.668</v>
      </c>
      <c r="Q607" s="724">
        <v>151.668</v>
      </c>
      <c r="R607" s="724">
        <v>455.004</v>
      </c>
      <c r="S607" s="724">
        <v>0</v>
      </c>
      <c r="T607" s="724">
        <v>0</v>
      </c>
      <c r="U607" s="724">
        <v>0</v>
      </c>
      <c r="V607" s="724">
        <v>0</v>
      </c>
      <c r="W607" s="92">
        <v>0</v>
      </c>
      <c r="X607" s="92">
        <v>0</v>
      </c>
      <c r="Y607" s="738">
        <v>22596</v>
      </c>
      <c r="Z607" s="738">
        <v>65190</v>
      </c>
      <c r="AA607" s="738">
        <v>111</v>
      </c>
      <c r="AB607" s="706"/>
      <c r="AC607" s="706"/>
      <c r="AD607" s="706"/>
      <c r="AE607" s="706"/>
      <c r="AF607" s="706"/>
      <c r="AG607" s="706" t="s">
        <v>41</v>
      </c>
    </row>
    <row r="608" s="570" customFormat="1" ht="24.95" customHeight="1" spans="1:33">
      <c r="A608" s="705">
        <v>77</v>
      </c>
      <c r="B608" s="708" t="s">
        <v>443</v>
      </c>
      <c r="C608" s="708"/>
      <c r="D608" s="709" t="s">
        <v>384</v>
      </c>
      <c r="E608" s="92">
        <v>36</v>
      </c>
      <c r="F608" s="92">
        <v>0</v>
      </c>
      <c r="G608" s="92"/>
      <c r="H608" s="724">
        <v>17904</v>
      </c>
      <c r="I608" s="724">
        <v>5968</v>
      </c>
      <c r="J608" s="724">
        <v>5968</v>
      </c>
      <c r="K608" s="724">
        <v>5968</v>
      </c>
      <c r="L608" s="724">
        <v>0</v>
      </c>
      <c r="M608" s="724">
        <v>0</v>
      </c>
      <c r="N608" s="724">
        <v>0</v>
      </c>
      <c r="O608" s="724">
        <v>0</v>
      </c>
      <c r="P608" s="724">
        <v>0</v>
      </c>
      <c r="Q608" s="724">
        <v>0</v>
      </c>
      <c r="R608" s="724">
        <v>0</v>
      </c>
      <c r="S608" s="724">
        <v>0</v>
      </c>
      <c r="T608" s="724">
        <v>0</v>
      </c>
      <c r="U608" s="724">
        <v>0</v>
      </c>
      <c r="V608" s="724">
        <v>0</v>
      </c>
      <c r="W608" s="92">
        <v>0</v>
      </c>
      <c r="X608" s="92" t="s">
        <v>444</v>
      </c>
      <c r="Y608" s="738">
        <v>17904</v>
      </c>
      <c r="Z608" s="738">
        <v>47418</v>
      </c>
      <c r="AA608" s="738">
        <v>36</v>
      </c>
      <c r="AB608" s="708"/>
      <c r="AC608" s="708"/>
      <c r="AD608" s="146" t="s">
        <v>336</v>
      </c>
      <c r="AE608" s="146" t="s">
        <v>337</v>
      </c>
      <c r="AF608" s="146" t="s">
        <v>338</v>
      </c>
      <c r="AG608" s="708" t="s">
        <v>41</v>
      </c>
    </row>
    <row r="609" s="694" customFormat="1" ht="24.95" customHeight="1" spans="1:33">
      <c r="A609" s="705"/>
      <c r="B609" s="714" t="s">
        <v>101</v>
      </c>
      <c r="C609" s="146" t="s">
        <v>52</v>
      </c>
      <c r="D609" s="152" t="s">
        <v>384</v>
      </c>
      <c r="E609" s="92">
        <v>3</v>
      </c>
      <c r="F609" s="92" t="s">
        <v>101</v>
      </c>
      <c r="G609" s="92"/>
      <c r="H609" s="724">
        <v>675</v>
      </c>
      <c r="I609" s="724">
        <v>225</v>
      </c>
      <c r="J609" s="724">
        <v>225</v>
      </c>
      <c r="K609" s="724">
        <v>225</v>
      </c>
      <c r="L609" s="724">
        <v>2018.01</v>
      </c>
      <c r="M609" s="724">
        <v>2020.12</v>
      </c>
      <c r="N609" s="724">
        <v>0</v>
      </c>
      <c r="O609" s="724">
        <v>0</v>
      </c>
      <c r="P609" s="724">
        <v>0</v>
      </c>
      <c r="Q609" s="724">
        <v>0</v>
      </c>
      <c r="R609" s="724">
        <v>0</v>
      </c>
      <c r="S609" s="724">
        <v>0</v>
      </c>
      <c r="T609" s="724">
        <v>0</v>
      </c>
      <c r="U609" s="724">
        <v>0</v>
      </c>
      <c r="V609" s="724">
        <v>0</v>
      </c>
      <c r="W609" s="92">
        <v>0</v>
      </c>
      <c r="X609" s="92" t="s">
        <v>444</v>
      </c>
      <c r="Y609" s="738">
        <v>675</v>
      </c>
      <c r="Z609" s="738">
        <v>1617</v>
      </c>
      <c r="AA609" s="738">
        <v>3</v>
      </c>
      <c r="AB609" s="708"/>
      <c r="AC609" s="708"/>
      <c r="AD609" s="146" t="s">
        <v>244</v>
      </c>
      <c r="AE609" s="146" t="s">
        <v>333</v>
      </c>
      <c r="AF609" s="146" t="s">
        <v>338</v>
      </c>
      <c r="AG609" s="708"/>
    </row>
    <row r="610" s="694" customFormat="1" ht="24.95" customHeight="1" spans="1:33">
      <c r="A610" s="705"/>
      <c r="B610" s="714" t="s">
        <v>151</v>
      </c>
      <c r="C610" s="146" t="s">
        <v>52</v>
      </c>
      <c r="D610" s="152" t="s">
        <v>384</v>
      </c>
      <c r="E610" s="92">
        <v>3</v>
      </c>
      <c r="F610" s="92" t="s">
        <v>151</v>
      </c>
      <c r="G610" s="92"/>
      <c r="H610" s="724">
        <v>846</v>
      </c>
      <c r="I610" s="724">
        <v>282</v>
      </c>
      <c r="J610" s="724">
        <v>282</v>
      </c>
      <c r="K610" s="724">
        <v>282</v>
      </c>
      <c r="L610" s="724">
        <v>2018.01</v>
      </c>
      <c r="M610" s="724">
        <v>2020.12</v>
      </c>
      <c r="N610" s="724">
        <v>0</v>
      </c>
      <c r="O610" s="724">
        <v>0</v>
      </c>
      <c r="P610" s="724">
        <v>0</v>
      </c>
      <c r="Q610" s="724">
        <v>0</v>
      </c>
      <c r="R610" s="724">
        <v>0</v>
      </c>
      <c r="S610" s="724">
        <v>0</v>
      </c>
      <c r="T610" s="724">
        <v>0</v>
      </c>
      <c r="U610" s="724">
        <v>0</v>
      </c>
      <c r="V610" s="724">
        <v>0</v>
      </c>
      <c r="W610" s="92">
        <v>0</v>
      </c>
      <c r="X610" s="92" t="s">
        <v>444</v>
      </c>
      <c r="Y610" s="738">
        <v>846</v>
      </c>
      <c r="Z610" s="738">
        <v>1881</v>
      </c>
      <c r="AA610" s="738">
        <v>3</v>
      </c>
      <c r="AB610" s="708"/>
      <c r="AC610" s="708"/>
      <c r="AD610" s="146" t="s">
        <v>339</v>
      </c>
      <c r="AE610" s="146" t="s">
        <v>445</v>
      </c>
      <c r="AF610" s="146" t="s">
        <v>338</v>
      </c>
      <c r="AG610" s="708"/>
    </row>
    <row r="611" s="694" customFormat="1" ht="24.95" customHeight="1" spans="1:33">
      <c r="A611" s="705"/>
      <c r="B611" s="714" t="s">
        <v>154</v>
      </c>
      <c r="C611" s="146" t="s">
        <v>52</v>
      </c>
      <c r="D611" s="152" t="s">
        <v>384</v>
      </c>
      <c r="E611" s="92">
        <v>3</v>
      </c>
      <c r="F611" s="92" t="s">
        <v>154</v>
      </c>
      <c r="G611" s="92"/>
      <c r="H611" s="724">
        <v>2244</v>
      </c>
      <c r="I611" s="724">
        <v>748</v>
      </c>
      <c r="J611" s="724">
        <v>748</v>
      </c>
      <c r="K611" s="724">
        <v>748</v>
      </c>
      <c r="L611" s="724">
        <v>2018.01</v>
      </c>
      <c r="M611" s="724">
        <v>2020.12</v>
      </c>
      <c r="N611" s="724">
        <v>0</v>
      </c>
      <c r="O611" s="724">
        <v>0</v>
      </c>
      <c r="P611" s="724">
        <v>0</v>
      </c>
      <c r="Q611" s="724">
        <v>0</v>
      </c>
      <c r="R611" s="724">
        <v>0</v>
      </c>
      <c r="S611" s="724">
        <v>0</v>
      </c>
      <c r="T611" s="724">
        <v>0</v>
      </c>
      <c r="U611" s="724">
        <v>0</v>
      </c>
      <c r="V611" s="724">
        <v>0</v>
      </c>
      <c r="W611" s="92">
        <v>0</v>
      </c>
      <c r="X611" s="92" t="s">
        <v>444</v>
      </c>
      <c r="Y611" s="738">
        <v>2244</v>
      </c>
      <c r="Z611" s="738">
        <v>6516</v>
      </c>
      <c r="AA611" s="738">
        <v>3</v>
      </c>
      <c r="AB611" s="708"/>
      <c r="AC611" s="708"/>
      <c r="AD611" s="146" t="s">
        <v>247</v>
      </c>
      <c r="AE611" s="146" t="s">
        <v>341</v>
      </c>
      <c r="AF611" s="146" t="s">
        <v>338</v>
      </c>
      <c r="AG611" s="708"/>
    </row>
    <row r="612" s="694" customFormat="1" ht="24.95" customHeight="1" spans="1:33">
      <c r="A612" s="705"/>
      <c r="B612" s="714" t="s">
        <v>81</v>
      </c>
      <c r="C612" s="146" t="s">
        <v>52</v>
      </c>
      <c r="D612" s="152" t="s">
        <v>384</v>
      </c>
      <c r="E612" s="92">
        <v>3</v>
      </c>
      <c r="F612" s="92" t="s">
        <v>81</v>
      </c>
      <c r="G612" s="92"/>
      <c r="H612" s="724">
        <v>1878</v>
      </c>
      <c r="I612" s="724">
        <v>626</v>
      </c>
      <c r="J612" s="724">
        <v>626</v>
      </c>
      <c r="K612" s="724">
        <v>626</v>
      </c>
      <c r="L612" s="724">
        <v>2018.01</v>
      </c>
      <c r="M612" s="724">
        <v>2020.12</v>
      </c>
      <c r="N612" s="724">
        <v>0</v>
      </c>
      <c r="O612" s="724">
        <v>0</v>
      </c>
      <c r="P612" s="724">
        <v>0</v>
      </c>
      <c r="Q612" s="724">
        <v>0</v>
      </c>
      <c r="R612" s="724">
        <v>0</v>
      </c>
      <c r="S612" s="724">
        <v>0</v>
      </c>
      <c r="T612" s="724">
        <v>0</v>
      </c>
      <c r="U612" s="724">
        <v>0</v>
      </c>
      <c r="V612" s="724">
        <v>0</v>
      </c>
      <c r="W612" s="92">
        <v>0</v>
      </c>
      <c r="X612" s="92" t="s">
        <v>444</v>
      </c>
      <c r="Y612" s="738">
        <v>1878</v>
      </c>
      <c r="Z612" s="738">
        <v>4743</v>
      </c>
      <c r="AA612" s="738">
        <v>3</v>
      </c>
      <c r="AB612" s="708"/>
      <c r="AC612" s="708"/>
      <c r="AD612" s="146" t="s">
        <v>342</v>
      </c>
      <c r="AE612" s="146" t="s">
        <v>343</v>
      </c>
      <c r="AF612" s="146" t="s">
        <v>338</v>
      </c>
      <c r="AG612" s="708"/>
    </row>
    <row r="613" s="694" customFormat="1" ht="24.95" customHeight="1" spans="1:33">
      <c r="A613" s="705"/>
      <c r="B613" s="714" t="s">
        <v>98</v>
      </c>
      <c r="C613" s="146" t="s">
        <v>52</v>
      </c>
      <c r="D613" s="152" t="s">
        <v>384</v>
      </c>
      <c r="E613" s="92">
        <v>3</v>
      </c>
      <c r="F613" s="92" t="s">
        <v>98</v>
      </c>
      <c r="G613" s="92"/>
      <c r="H613" s="724">
        <v>2895</v>
      </c>
      <c r="I613" s="724">
        <v>965</v>
      </c>
      <c r="J613" s="724">
        <v>965</v>
      </c>
      <c r="K613" s="724">
        <v>965</v>
      </c>
      <c r="L613" s="724">
        <v>2018.01</v>
      </c>
      <c r="M613" s="724">
        <v>2020.12</v>
      </c>
      <c r="N613" s="724">
        <v>0</v>
      </c>
      <c r="O613" s="724">
        <v>0</v>
      </c>
      <c r="P613" s="724">
        <v>0</v>
      </c>
      <c r="Q613" s="724">
        <v>0</v>
      </c>
      <c r="R613" s="724">
        <v>0</v>
      </c>
      <c r="S613" s="724">
        <v>0</v>
      </c>
      <c r="T613" s="724">
        <v>0</v>
      </c>
      <c r="U613" s="724">
        <v>0</v>
      </c>
      <c r="V613" s="724">
        <v>0</v>
      </c>
      <c r="W613" s="92">
        <v>0</v>
      </c>
      <c r="X613" s="92" t="s">
        <v>444</v>
      </c>
      <c r="Y613" s="738">
        <v>2895</v>
      </c>
      <c r="Z613" s="738">
        <v>7515</v>
      </c>
      <c r="AA613" s="738">
        <v>3</v>
      </c>
      <c r="AB613" s="708"/>
      <c r="AC613" s="708"/>
      <c r="AD613" s="146" t="s">
        <v>344</v>
      </c>
      <c r="AE613" s="146" t="s">
        <v>345</v>
      </c>
      <c r="AF613" s="146" t="s">
        <v>338</v>
      </c>
      <c r="AG613" s="708"/>
    </row>
    <row r="614" s="694" customFormat="1" ht="24.95" customHeight="1" spans="1:33">
      <c r="A614" s="705"/>
      <c r="B614" s="714" t="s">
        <v>211</v>
      </c>
      <c r="C614" s="146" t="s">
        <v>52</v>
      </c>
      <c r="D614" s="152" t="s">
        <v>384</v>
      </c>
      <c r="E614" s="92">
        <v>3</v>
      </c>
      <c r="F614" s="92" t="s">
        <v>211</v>
      </c>
      <c r="G614" s="92"/>
      <c r="H614" s="724">
        <v>1791</v>
      </c>
      <c r="I614" s="724">
        <v>597</v>
      </c>
      <c r="J614" s="724">
        <v>597</v>
      </c>
      <c r="K614" s="724">
        <v>597</v>
      </c>
      <c r="L614" s="724">
        <v>2018.01</v>
      </c>
      <c r="M614" s="724">
        <v>2020.12</v>
      </c>
      <c r="N614" s="724">
        <v>0</v>
      </c>
      <c r="O614" s="724">
        <v>0</v>
      </c>
      <c r="P614" s="724">
        <v>0</v>
      </c>
      <c r="Q614" s="724">
        <v>0</v>
      </c>
      <c r="R614" s="724">
        <v>0</v>
      </c>
      <c r="S614" s="724">
        <v>0</v>
      </c>
      <c r="T614" s="724">
        <v>0</v>
      </c>
      <c r="U614" s="724">
        <v>0</v>
      </c>
      <c r="V614" s="724">
        <v>0</v>
      </c>
      <c r="W614" s="92">
        <v>0</v>
      </c>
      <c r="X614" s="92" t="s">
        <v>444</v>
      </c>
      <c r="Y614" s="738">
        <v>1791</v>
      </c>
      <c r="Z614" s="738">
        <v>4239</v>
      </c>
      <c r="AA614" s="738">
        <v>3</v>
      </c>
      <c r="AB614" s="708"/>
      <c r="AC614" s="708"/>
      <c r="AD614" s="146" t="s">
        <v>346</v>
      </c>
      <c r="AE614" s="146" t="s">
        <v>347</v>
      </c>
      <c r="AF614" s="146" t="s">
        <v>338</v>
      </c>
      <c r="AG614" s="708"/>
    </row>
    <row r="615" s="694" customFormat="1" ht="24.95" customHeight="1" spans="1:33">
      <c r="A615" s="705"/>
      <c r="B615" s="714" t="s">
        <v>155</v>
      </c>
      <c r="C615" s="146" t="s">
        <v>52</v>
      </c>
      <c r="D615" s="152" t="s">
        <v>384</v>
      </c>
      <c r="E615" s="92">
        <v>3</v>
      </c>
      <c r="F615" s="92" t="s">
        <v>155</v>
      </c>
      <c r="G615" s="92"/>
      <c r="H615" s="724">
        <v>684</v>
      </c>
      <c r="I615" s="724">
        <v>228</v>
      </c>
      <c r="J615" s="724">
        <v>228</v>
      </c>
      <c r="K615" s="724">
        <v>228</v>
      </c>
      <c r="L615" s="724">
        <v>2018.01</v>
      </c>
      <c r="M615" s="724">
        <v>2020.12</v>
      </c>
      <c r="N615" s="724">
        <v>0</v>
      </c>
      <c r="O615" s="724">
        <v>0</v>
      </c>
      <c r="P615" s="724">
        <v>0</v>
      </c>
      <c r="Q615" s="724">
        <v>0</v>
      </c>
      <c r="R615" s="724">
        <v>0</v>
      </c>
      <c r="S615" s="724">
        <v>0</v>
      </c>
      <c r="T615" s="724">
        <v>0</v>
      </c>
      <c r="U615" s="724">
        <v>0</v>
      </c>
      <c r="V615" s="724">
        <v>0</v>
      </c>
      <c r="W615" s="92">
        <v>0</v>
      </c>
      <c r="X615" s="92" t="s">
        <v>444</v>
      </c>
      <c r="Y615" s="738">
        <v>684</v>
      </c>
      <c r="Z615" s="738">
        <v>1842</v>
      </c>
      <c r="AA615" s="738">
        <v>3</v>
      </c>
      <c r="AB615" s="708"/>
      <c r="AC615" s="708"/>
      <c r="AD615" s="146" t="s">
        <v>253</v>
      </c>
      <c r="AE615" s="146" t="s">
        <v>348</v>
      </c>
      <c r="AF615" s="146" t="s">
        <v>338</v>
      </c>
      <c r="AG615" s="708"/>
    </row>
    <row r="616" s="694" customFormat="1" ht="24.95" customHeight="1" spans="1:33">
      <c r="A616" s="705"/>
      <c r="B616" s="714" t="s">
        <v>102</v>
      </c>
      <c r="C616" s="146" t="s">
        <v>52</v>
      </c>
      <c r="D616" s="152" t="s">
        <v>384</v>
      </c>
      <c r="E616" s="92">
        <v>3</v>
      </c>
      <c r="F616" s="92" t="s">
        <v>102</v>
      </c>
      <c r="G616" s="92"/>
      <c r="H616" s="724">
        <v>2430</v>
      </c>
      <c r="I616" s="724">
        <v>810</v>
      </c>
      <c r="J616" s="724">
        <v>810</v>
      </c>
      <c r="K616" s="724">
        <v>810</v>
      </c>
      <c r="L616" s="724">
        <v>2018.01</v>
      </c>
      <c r="M616" s="724">
        <v>2020.12</v>
      </c>
      <c r="N616" s="724">
        <v>0</v>
      </c>
      <c r="O616" s="724">
        <v>0</v>
      </c>
      <c r="P616" s="724">
        <v>0</v>
      </c>
      <c r="Q616" s="724">
        <v>0</v>
      </c>
      <c r="R616" s="724">
        <v>0</v>
      </c>
      <c r="S616" s="724">
        <v>0</v>
      </c>
      <c r="T616" s="724">
        <v>0</v>
      </c>
      <c r="U616" s="724">
        <v>0</v>
      </c>
      <c r="V616" s="724">
        <v>0</v>
      </c>
      <c r="W616" s="92">
        <v>0</v>
      </c>
      <c r="X616" s="92" t="s">
        <v>444</v>
      </c>
      <c r="Y616" s="738">
        <v>2430</v>
      </c>
      <c r="Z616" s="738">
        <v>7320</v>
      </c>
      <c r="AA616" s="738">
        <v>3</v>
      </c>
      <c r="AB616" s="708"/>
      <c r="AC616" s="708"/>
      <c r="AD616" s="146" t="s">
        <v>255</v>
      </c>
      <c r="AE616" s="146" t="s">
        <v>349</v>
      </c>
      <c r="AF616" s="146" t="s">
        <v>338</v>
      </c>
      <c r="AG616" s="708"/>
    </row>
    <row r="617" s="694" customFormat="1" ht="24.95" customHeight="1" spans="1:33">
      <c r="A617" s="705"/>
      <c r="B617" s="714" t="s">
        <v>100</v>
      </c>
      <c r="C617" s="146" t="s">
        <v>52</v>
      </c>
      <c r="D617" s="152" t="s">
        <v>384</v>
      </c>
      <c r="E617" s="92">
        <v>3</v>
      </c>
      <c r="F617" s="92" t="s">
        <v>100</v>
      </c>
      <c r="G617" s="92"/>
      <c r="H617" s="724">
        <v>1020</v>
      </c>
      <c r="I617" s="724">
        <v>340</v>
      </c>
      <c r="J617" s="724">
        <v>340</v>
      </c>
      <c r="K617" s="724">
        <v>340</v>
      </c>
      <c r="L617" s="724">
        <v>2018.01</v>
      </c>
      <c r="M617" s="724">
        <v>2020.12</v>
      </c>
      <c r="N617" s="724">
        <v>0</v>
      </c>
      <c r="O617" s="724">
        <v>0</v>
      </c>
      <c r="P617" s="724">
        <v>0</v>
      </c>
      <c r="Q617" s="724">
        <v>0</v>
      </c>
      <c r="R617" s="724">
        <v>0</v>
      </c>
      <c r="S617" s="724">
        <v>0</v>
      </c>
      <c r="T617" s="724">
        <v>0</v>
      </c>
      <c r="U617" s="724">
        <v>0</v>
      </c>
      <c r="V617" s="724">
        <v>0</v>
      </c>
      <c r="W617" s="92">
        <v>0</v>
      </c>
      <c r="X617" s="92" t="s">
        <v>444</v>
      </c>
      <c r="Y617" s="738">
        <v>1020</v>
      </c>
      <c r="Z617" s="738">
        <v>2391</v>
      </c>
      <c r="AA617" s="738">
        <v>3</v>
      </c>
      <c r="AB617" s="708"/>
      <c r="AC617" s="708"/>
      <c r="AD617" s="146" t="s">
        <v>312</v>
      </c>
      <c r="AE617" s="146" t="s">
        <v>352</v>
      </c>
      <c r="AF617" s="146" t="s">
        <v>338</v>
      </c>
      <c r="AG617" s="708"/>
    </row>
    <row r="618" s="694" customFormat="1" ht="24.95" customHeight="1" spans="1:33">
      <c r="A618" s="705"/>
      <c r="B618" s="714" t="s">
        <v>84</v>
      </c>
      <c r="C618" s="146" t="s">
        <v>52</v>
      </c>
      <c r="D618" s="152" t="s">
        <v>384</v>
      </c>
      <c r="E618" s="92">
        <v>3</v>
      </c>
      <c r="F618" s="92" t="s">
        <v>84</v>
      </c>
      <c r="G618" s="92"/>
      <c r="H618" s="724">
        <v>2076</v>
      </c>
      <c r="I618" s="724">
        <v>692</v>
      </c>
      <c r="J618" s="724">
        <v>692</v>
      </c>
      <c r="K618" s="724">
        <v>692</v>
      </c>
      <c r="L618" s="724">
        <v>2018.01</v>
      </c>
      <c r="M618" s="724">
        <v>2020.12</v>
      </c>
      <c r="N618" s="724">
        <v>0</v>
      </c>
      <c r="O618" s="724">
        <v>0</v>
      </c>
      <c r="P618" s="724">
        <v>0</v>
      </c>
      <c r="Q618" s="724">
        <v>0</v>
      </c>
      <c r="R618" s="724">
        <v>0</v>
      </c>
      <c r="S618" s="724">
        <v>0</v>
      </c>
      <c r="T618" s="724">
        <v>0</v>
      </c>
      <c r="U618" s="724">
        <v>0</v>
      </c>
      <c r="V618" s="724">
        <v>0</v>
      </c>
      <c r="W618" s="92">
        <v>0</v>
      </c>
      <c r="X618" s="92" t="s">
        <v>444</v>
      </c>
      <c r="Y618" s="738">
        <v>2076</v>
      </c>
      <c r="Z618" s="738">
        <v>5076</v>
      </c>
      <c r="AA618" s="738">
        <v>3</v>
      </c>
      <c r="AB618" s="708"/>
      <c r="AC618" s="708"/>
      <c r="AD618" s="146" t="s">
        <v>350</v>
      </c>
      <c r="AE618" s="146" t="s">
        <v>351</v>
      </c>
      <c r="AF618" s="146" t="s">
        <v>338</v>
      </c>
      <c r="AG618" s="708"/>
    </row>
    <row r="619" s="694" customFormat="1" ht="24.95" customHeight="1" spans="1:33">
      <c r="A619" s="705"/>
      <c r="B619" s="714" t="s">
        <v>259</v>
      </c>
      <c r="C619" s="146" t="s">
        <v>52</v>
      </c>
      <c r="D619" s="152" t="s">
        <v>384</v>
      </c>
      <c r="E619" s="92">
        <v>3</v>
      </c>
      <c r="F619" s="92" t="s">
        <v>259</v>
      </c>
      <c r="G619" s="92"/>
      <c r="H619" s="724">
        <v>273</v>
      </c>
      <c r="I619" s="724">
        <v>91</v>
      </c>
      <c r="J619" s="724">
        <v>91</v>
      </c>
      <c r="K619" s="724">
        <v>91</v>
      </c>
      <c r="L619" s="724">
        <v>2018.01</v>
      </c>
      <c r="M619" s="724">
        <v>2020.12</v>
      </c>
      <c r="N619" s="724">
        <v>0</v>
      </c>
      <c r="O619" s="724">
        <v>0</v>
      </c>
      <c r="P619" s="724">
        <v>0</v>
      </c>
      <c r="Q619" s="724">
        <v>0</v>
      </c>
      <c r="R619" s="724">
        <v>0</v>
      </c>
      <c r="S619" s="724">
        <v>0</v>
      </c>
      <c r="T619" s="724">
        <v>0</v>
      </c>
      <c r="U619" s="724">
        <v>0</v>
      </c>
      <c r="V619" s="724">
        <v>0</v>
      </c>
      <c r="W619" s="92">
        <v>0</v>
      </c>
      <c r="X619" s="92" t="s">
        <v>444</v>
      </c>
      <c r="Y619" s="738">
        <v>273</v>
      </c>
      <c r="Z619" s="738">
        <v>753</v>
      </c>
      <c r="AA619" s="738">
        <v>3</v>
      </c>
      <c r="AB619" s="708"/>
      <c r="AC619" s="708"/>
      <c r="AD619" s="146" t="s">
        <v>183</v>
      </c>
      <c r="AE619" s="146" t="s">
        <v>353</v>
      </c>
      <c r="AF619" s="146" t="s">
        <v>338</v>
      </c>
      <c r="AG619" s="708"/>
    </row>
    <row r="620" s="694" customFormat="1" ht="24.95" customHeight="1" spans="1:33">
      <c r="A620" s="705"/>
      <c r="B620" s="714" t="s">
        <v>143</v>
      </c>
      <c r="C620" s="146" t="s">
        <v>52</v>
      </c>
      <c r="D620" s="152" t="s">
        <v>384</v>
      </c>
      <c r="E620" s="92">
        <v>3</v>
      </c>
      <c r="F620" s="92" t="s">
        <v>143</v>
      </c>
      <c r="G620" s="92"/>
      <c r="H620" s="724">
        <v>1092</v>
      </c>
      <c r="I620" s="724">
        <v>364</v>
      </c>
      <c r="J620" s="724">
        <v>364</v>
      </c>
      <c r="K620" s="724">
        <v>364</v>
      </c>
      <c r="L620" s="724">
        <v>2018.01</v>
      </c>
      <c r="M620" s="724">
        <v>2020.12</v>
      </c>
      <c r="N620" s="724">
        <v>0</v>
      </c>
      <c r="O620" s="724">
        <v>0</v>
      </c>
      <c r="P620" s="724">
        <v>0</v>
      </c>
      <c r="Q620" s="724">
        <v>0</v>
      </c>
      <c r="R620" s="724">
        <v>0</v>
      </c>
      <c r="S620" s="724">
        <v>0</v>
      </c>
      <c r="T620" s="724">
        <v>0</v>
      </c>
      <c r="U620" s="724">
        <v>0</v>
      </c>
      <c r="V620" s="724">
        <v>0</v>
      </c>
      <c r="W620" s="92">
        <v>0</v>
      </c>
      <c r="X620" s="92" t="s">
        <v>444</v>
      </c>
      <c r="Y620" s="738">
        <v>1092</v>
      </c>
      <c r="Z620" s="738">
        <v>3525</v>
      </c>
      <c r="AA620" s="738">
        <v>3</v>
      </c>
      <c r="AB620" s="708"/>
      <c r="AC620" s="708"/>
      <c r="AD620" s="146" t="s">
        <v>354</v>
      </c>
      <c r="AE620" s="146" t="s">
        <v>263</v>
      </c>
      <c r="AF620" s="146" t="s">
        <v>338</v>
      </c>
      <c r="AG620" s="708"/>
    </row>
    <row r="621" s="570" customFormat="1" ht="51" customHeight="1" spans="1:33">
      <c r="A621" s="705">
        <v>78</v>
      </c>
      <c r="B621" s="708" t="s">
        <v>446</v>
      </c>
      <c r="C621" s="708"/>
      <c r="D621" s="709" t="s">
        <v>147</v>
      </c>
      <c r="E621" s="92">
        <v>39</v>
      </c>
      <c r="F621" s="92">
        <v>0</v>
      </c>
      <c r="G621" s="92"/>
      <c r="H621" s="724">
        <v>951</v>
      </c>
      <c r="I621" s="724">
        <v>317</v>
      </c>
      <c r="J621" s="724">
        <v>317</v>
      </c>
      <c r="K621" s="724">
        <v>317</v>
      </c>
      <c r="L621" s="724">
        <v>0</v>
      </c>
      <c r="M621" s="724">
        <v>0</v>
      </c>
      <c r="N621" s="724">
        <v>0</v>
      </c>
      <c r="O621" s="724">
        <v>0</v>
      </c>
      <c r="P621" s="724">
        <v>0</v>
      </c>
      <c r="Q621" s="724">
        <v>0</v>
      </c>
      <c r="R621" s="724">
        <v>0</v>
      </c>
      <c r="S621" s="724">
        <v>0</v>
      </c>
      <c r="T621" s="724">
        <v>0</v>
      </c>
      <c r="U621" s="724">
        <v>0</v>
      </c>
      <c r="V621" s="724">
        <v>0</v>
      </c>
      <c r="W621" s="92">
        <v>0</v>
      </c>
      <c r="X621" s="92" t="s">
        <v>444</v>
      </c>
      <c r="Y621" s="738">
        <v>951</v>
      </c>
      <c r="Z621" s="738">
        <v>951</v>
      </c>
      <c r="AA621" s="738">
        <v>39</v>
      </c>
      <c r="AB621" s="708"/>
      <c r="AC621" s="708"/>
      <c r="AD621" s="708"/>
      <c r="AE621" s="708"/>
      <c r="AF621" s="708" t="s">
        <v>338</v>
      </c>
      <c r="AG621" s="708" t="s">
        <v>41</v>
      </c>
    </row>
    <row r="622" s="570" customFormat="1" ht="24.95" customHeight="1" spans="1:33">
      <c r="A622" s="705">
        <v>79</v>
      </c>
      <c r="B622" s="750" t="s">
        <v>447</v>
      </c>
      <c r="C622" s="146" t="s">
        <v>52</v>
      </c>
      <c r="D622" s="152" t="s">
        <v>147</v>
      </c>
      <c r="E622" s="92">
        <v>33</v>
      </c>
      <c r="F622" s="92">
        <v>0</v>
      </c>
      <c r="G622" s="92"/>
      <c r="H622" s="724">
        <v>942</v>
      </c>
      <c r="I622" s="724">
        <v>314</v>
      </c>
      <c r="J622" s="724">
        <v>314</v>
      </c>
      <c r="K622" s="724">
        <v>314</v>
      </c>
      <c r="L622" s="724">
        <v>0</v>
      </c>
      <c r="M622" s="724">
        <v>0</v>
      </c>
      <c r="N622" s="724">
        <v>0</v>
      </c>
      <c r="O622" s="724">
        <v>0</v>
      </c>
      <c r="P622" s="724">
        <v>0</v>
      </c>
      <c r="Q622" s="724">
        <v>0</v>
      </c>
      <c r="R622" s="724">
        <v>0</v>
      </c>
      <c r="S622" s="724">
        <v>0</v>
      </c>
      <c r="T622" s="724">
        <v>0</v>
      </c>
      <c r="U622" s="724">
        <v>0</v>
      </c>
      <c r="V622" s="724">
        <v>0</v>
      </c>
      <c r="W622" s="92">
        <v>0</v>
      </c>
      <c r="X622" s="92" t="s">
        <v>444</v>
      </c>
      <c r="Y622" s="738">
        <v>942</v>
      </c>
      <c r="Z622" s="738">
        <v>942</v>
      </c>
      <c r="AA622" s="738">
        <v>33</v>
      </c>
      <c r="AB622" s="92"/>
      <c r="AC622" s="92"/>
      <c r="AD622" s="146" t="s">
        <v>336</v>
      </c>
      <c r="AE622" s="146" t="s">
        <v>337</v>
      </c>
      <c r="AF622" s="146" t="s">
        <v>338</v>
      </c>
      <c r="AG622" s="92" t="s">
        <v>41</v>
      </c>
    </row>
    <row r="623" s="694" customFormat="1" ht="24.95" customHeight="1" spans="1:33">
      <c r="A623" s="705"/>
      <c r="B623" s="714" t="s">
        <v>101</v>
      </c>
      <c r="C623" s="146" t="s">
        <v>52</v>
      </c>
      <c r="D623" s="152" t="s">
        <v>147</v>
      </c>
      <c r="E623" s="92">
        <v>3</v>
      </c>
      <c r="F623" s="92" t="s">
        <v>101</v>
      </c>
      <c r="G623" s="92"/>
      <c r="H623" s="724">
        <v>69</v>
      </c>
      <c r="I623" s="724">
        <v>23</v>
      </c>
      <c r="J623" s="724">
        <v>23</v>
      </c>
      <c r="K623" s="724">
        <v>23</v>
      </c>
      <c r="L623" s="724">
        <v>2018.01</v>
      </c>
      <c r="M623" s="724">
        <v>2020.12</v>
      </c>
      <c r="N623" s="724">
        <v>0</v>
      </c>
      <c r="O623" s="724">
        <v>0</v>
      </c>
      <c r="P623" s="724">
        <v>0</v>
      </c>
      <c r="Q623" s="724">
        <v>0</v>
      </c>
      <c r="R623" s="724">
        <v>0</v>
      </c>
      <c r="S623" s="724">
        <v>0</v>
      </c>
      <c r="T623" s="724">
        <v>0</v>
      </c>
      <c r="U623" s="724">
        <v>0</v>
      </c>
      <c r="V623" s="724">
        <v>0</v>
      </c>
      <c r="W623" s="92">
        <v>0</v>
      </c>
      <c r="X623" s="92" t="s">
        <v>444</v>
      </c>
      <c r="Y623" s="738">
        <v>69</v>
      </c>
      <c r="Z623" s="738">
        <v>69</v>
      </c>
      <c r="AA623" s="738">
        <v>3</v>
      </c>
      <c r="AB623" s="92"/>
      <c r="AC623" s="92"/>
      <c r="AD623" s="146" t="s">
        <v>244</v>
      </c>
      <c r="AE623" s="146" t="s">
        <v>333</v>
      </c>
      <c r="AF623" s="146" t="s">
        <v>338</v>
      </c>
      <c r="AG623" s="92"/>
    </row>
    <row r="624" s="694" customFormat="1" ht="24.95" customHeight="1" spans="1:33">
      <c r="A624" s="705"/>
      <c r="B624" s="714" t="s">
        <v>151</v>
      </c>
      <c r="C624" s="146" t="s">
        <v>52</v>
      </c>
      <c r="D624" s="152" t="s">
        <v>147</v>
      </c>
      <c r="E624" s="92">
        <v>3</v>
      </c>
      <c r="F624" s="92" t="s">
        <v>151</v>
      </c>
      <c r="G624" s="92"/>
      <c r="H624" s="724">
        <v>15</v>
      </c>
      <c r="I624" s="724">
        <v>5</v>
      </c>
      <c r="J624" s="724">
        <v>5</v>
      </c>
      <c r="K624" s="724">
        <v>5</v>
      </c>
      <c r="L624" s="724">
        <v>2018.01</v>
      </c>
      <c r="M624" s="724">
        <v>2020.12</v>
      </c>
      <c r="N624" s="724">
        <v>0</v>
      </c>
      <c r="O624" s="724">
        <v>0</v>
      </c>
      <c r="P624" s="724">
        <v>0</v>
      </c>
      <c r="Q624" s="724">
        <v>0</v>
      </c>
      <c r="R624" s="724">
        <v>0</v>
      </c>
      <c r="S624" s="724">
        <v>0</v>
      </c>
      <c r="T624" s="724">
        <v>0</v>
      </c>
      <c r="U624" s="724">
        <v>0</v>
      </c>
      <c r="V624" s="724">
        <v>0</v>
      </c>
      <c r="W624" s="92">
        <v>0</v>
      </c>
      <c r="X624" s="92" t="s">
        <v>444</v>
      </c>
      <c r="Y624" s="738">
        <v>15</v>
      </c>
      <c r="Z624" s="738">
        <v>15</v>
      </c>
      <c r="AA624" s="738">
        <v>3</v>
      </c>
      <c r="AB624" s="92"/>
      <c r="AC624" s="92"/>
      <c r="AD624" s="146" t="s">
        <v>339</v>
      </c>
      <c r="AE624" s="146" t="s">
        <v>445</v>
      </c>
      <c r="AF624" s="146" t="s">
        <v>338</v>
      </c>
      <c r="AG624" s="92"/>
    </row>
    <row r="625" s="694" customFormat="1" ht="24.95" customHeight="1" spans="1:33">
      <c r="A625" s="705"/>
      <c r="B625" s="714" t="s">
        <v>154</v>
      </c>
      <c r="C625" s="146" t="s">
        <v>52</v>
      </c>
      <c r="D625" s="152" t="s">
        <v>147</v>
      </c>
      <c r="E625" s="92">
        <v>3</v>
      </c>
      <c r="F625" s="92" t="s">
        <v>154</v>
      </c>
      <c r="G625" s="92"/>
      <c r="H625" s="724">
        <v>42</v>
      </c>
      <c r="I625" s="724">
        <v>14</v>
      </c>
      <c r="J625" s="724">
        <v>14</v>
      </c>
      <c r="K625" s="724">
        <v>14</v>
      </c>
      <c r="L625" s="724">
        <v>2018.01</v>
      </c>
      <c r="M625" s="724">
        <v>2020.12</v>
      </c>
      <c r="N625" s="724">
        <v>0</v>
      </c>
      <c r="O625" s="724">
        <v>0</v>
      </c>
      <c r="P625" s="724">
        <v>0</v>
      </c>
      <c r="Q625" s="724">
        <v>0</v>
      </c>
      <c r="R625" s="724">
        <v>0</v>
      </c>
      <c r="S625" s="724">
        <v>0</v>
      </c>
      <c r="T625" s="724">
        <v>0</v>
      </c>
      <c r="U625" s="724">
        <v>0</v>
      </c>
      <c r="V625" s="724">
        <v>0</v>
      </c>
      <c r="W625" s="92">
        <v>0</v>
      </c>
      <c r="X625" s="92" t="s">
        <v>444</v>
      </c>
      <c r="Y625" s="738">
        <v>42</v>
      </c>
      <c r="Z625" s="738">
        <v>42</v>
      </c>
      <c r="AA625" s="738">
        <v>3</v>
      </c>
      <c r="AB625" s="92"/>
      <c r="AC625" s="92"/>
      <c r="AD625" s="146" t="s">
        <v>247</v>
      </c>
      <c r="AE625" s="146" t="s">
        <v>341</v>
      </c>
      <c r="AF625" s="146" t="s">
        <v>338</v>
      </c>
      <c r="AG625" s="92"/>
    </row>
    <row r="626" s="694" customFormat="1" ht="24.95" customHeight="1" spans="1:33">
      <c r="A626" s="705"/>
      <c r="B626" s="714" t="s">
        <v>81</v>
      </c>
      <c r="C626" s="146" t="s">
        <v>52</v>
      </c>
      <c r="D626" s="152" t="s">
        <v>147</v>
      </c>
      <c r="E626" s="92">
        <v>3</v>
      </c>
      <c r="F626" s="92" t="s">
        <v>81</v>
      </c>
      <c r="G626" s="92"/>
      <c r="H626" s="724">
        <v>21</v>
      </c>
      <c r="I626" s="724">
        <v>7</v>
      </c>
      <c r="J626" s="724">
        <v>7</v>
      </c>
      <c r="K626" s="724">
        <v>7</v>
      </c>
      <c r="L626" s="724">
        <v>2018.01</v>
      </c>
      <c r="M626" s="724">
        <v>2020.12</v>
      </c>
      <c r="N626" s="724">
        <v>0</v>
      </c>
      <c r="O626" s="724">
        <v>0</v>
      </c>
      <c r="P626" s="724">
        <v>0</v>
      </c>
      <c r="Q626" s="724">
        <v>0</v>
      </c>
      <c r="R626" s="724">
        <v>0</v>
      </c>
      <c r="S626" s="724">
        <v>0</v>
      </c>
      <c r="T626" s="724">
        <v>0</v>
      </c>
      <c r="U626" s="724">
        <v>0</v>
      </c>
      <c r="V626" s="724">
        <v>0</v>
      </c>
      <c r="W626" s="92">
        <v>0</v>
      </c>
      <c r="X626" s="92" t="s">
        <v>444</v>
      </c>
      <c r="Y626" s="738">
        <v>21</v>
      </c>
      <c r="Z626" s="738">
        <v>21</v>
      </c>
      <c r="AA626" s="738">
        <v>3</v>
      </c>
      <c r="AB626" s="92"/>
      <c r="AC626" s="92"/>
      <c r="AD626" s="146" t="s">
        <v>342</v>
      </c>
      <c r="AE626" s="146" t="s">
        <v>343</v>
      </c>
      <c r="AF626" s="146" t="s">
        <v>338</v>
      </c>
      <c r="AG626" s="92"/>
    </row>
    <row r="627" s="694" customFormat="1" ht="24.95" customHeight="1" spans="1:33">
      <c r="A627" s="705"/>
      <c r="B627" s="714" t="s">
        <v>98</v>
      </c>
      <c r="C627" s="146" t="s">
        <v>52</v>
      </c>
      <c r="D627" s="152" t="s">
        <v>147</v>
      </c>
      <c r="E627" s="92">
        <v>3</v>
      </c>
      <c r="F627" s="92" t="s">
        <v>98</v>
      </c>
      <c r="G627" s="92"/>
      <c r="H627" s="724">
        <v>114</v>
      </c>
      <c r="I627" s="724">
        <v>38</v>
      </c>
      <c r="J627" s="724">
        <v>38</v>
      </c>
      <c r="K627" s="724">
        <v>38</v>
      </c>
      <c r="L627" s="724">
        <v>2018.01</v>
      </c>
      <c r="M627" s="724">
        <v>2020.12</v>
      </c>
      <c r="N627" s="724">
        <v>0</v>
      </c>
      <c r="O627" s="724">
        <v>0</v>
      </c>
      <c r="P627" s="724">
        <v>0</v>
      </c>
      <c r="Q627" s="724">
        <v>0</v>
      </c>
      <c r="R627" s="724">
        <v>0</v>
      </c>
      <c r="S627" s="724">
        <v>0</v>
      </c>
      <c r="T627" s="724">
        <v>0</v>
      </c>
      <c r="U627" s="724">
        <v>0</v>
      </c>
      <c r="V627" s="724">
        <v>0</v>
      </c>
      <c r="W627" s="92">
        <v>0</v>
      </c>
      <c r="X627" s="92" t="s">
        <v>444</v>
      </c>
      <c r="Y627" s="738">
        <v>114</v>
      </c>
      <c r="Z627" s="738">
        <v>114</v>
      </c>
      <c r="AA627" s="738">
        <v>3</v>
      </c>
      <c r="AB627" s="92"/>
      <c r="AC627" s="92"/>
      <c r="AD627" s="146" t="s">
        <v>344</v>
      </c>
      <c r="AE627" s="146" t="s">
        <v>345</v>
      </c>
      <c r="AF627" s="146" t="s">
        <v>338</v>
      </c>
      <c r="AG627" s="92"/>
    </row>
    <row r="628" s="694" customFormat="1" ht="24.95" customHeight="1" spans="1:33">
      <c r="A628" s="705"/>
      <c r="B628" s="714" t="s">
        <v>211</v>
      </c>
      <c r="C628" s="146" t="s">
        <v>52</v>
      </c>
      <c r="D628" s="152" t="s">
        <v>147</v>
      </c>
      <c r="E628" s="92">
        <v>3</v>
      </c>
      <c r="F628" s="92" t="s">
        <v>211</v>
      </c>
      <c r="G628" s="92"/>
      <c r="H628" s="724">
        <v>84</v>
      </c>
      <c r="I628" s="724">
        <v>28</v>
      </c>
      <c r="J628" s="724">
        <v>28</v>
      </c>
      <c r="K628" s="724">
        <v>28</v>
      </c>
      <c r="L628" s="724">
        <v>2018.01</v>
      </c>
      <c r="M628" s="724">
        <v>2020.12</v>
      </c>
      <c r="N628" s="724">
        <v>0</v>
      </c>
      <c r="O628" s="724">
        <v>0</v>
      </c>
      <c r="P628" s="724">
        <v>0</v>
      </c>
      <c r="Q628" s="724">
        <v>0</v>
      </c>
      <c r="R628" s="724">
        <v>0</v>
      </c>
      <c r="S628" s="724">
        <v>0</v>
      </c>
      <c r="T628" s="724">
        <v>0</v>
      </c>
      <c r="U628" s="724">
        <v>0</v>
      </c>
      <c r="V628" s="724">
        <v>0</v>
      </c>
      <c r="W628" s="92">
        <v>0</v>
      </c>
      <c r="X628" s="92" t="s">
        <v>444</v>
      </c>
      <c r="Y628" s="738">
        <v>84</v>
      </c>
      <c r="Z628" s="738">
        <v>84</v>
      </c>
      <c r="AA628" s="738">
        <v>3</v>
      </c>
      <c r="AB628" s="92"/>
      <c r="AC628" s="92"/>
      <c r="AD628" s="146" t="s">
        <v>346</v>
      </c>
      <c r="AE628" s="146" t="s">
        <v>347</v>
      </c>
      <c r="AF628" s="146" t="s">
        <v>338</v>
      </c>
      <c r="AG628" s="92"/>
    </row>
    <row r="629" s="694" customFormat="1" ht="24.95" customHeight="1" spans="1:33">
      <c r="A629" s="705"/>
      <c r="B629" s="714" t="s">
        <v>155</v>
      </c>
      <c r="C629" s="146" t="s">
        <v>52</v>
      </c>
      <c r="D629" s="152" t="s">
        <v>147</v>
      </c>
      <c r="E629" s="92">
        <v>3</v>
      </c>
      <c r="F629" s="92" t="s">
        <v>155</v>
      </c>
      <c r="G629" s="92"/>
      <c r="H629" s="724">
        <v>18</v>
      </c>
      <c r="I629" s="724">
        <v>6</v>
      </c>
      <c r="J629" s="724">
        <v>6</v>
      </c>
      <c r="K629" s="724">
        <v>6</v>
      </c>
      <c r="L629" s="724">
        <v>2018.01</v>
      </c>
      <c r="M629" s="724">
        <v>2020.12</v>
      </c>
      <c r="N629" s="724">
        <v>0</v>
      </c>
      <c r="O629" s="724">
        <v>0</v>
      </c>
      <c r="P629" s="724">
        <v>0</v>
      </c>
      <c r="Q629" s="724">
        <v>0</v>
      </c>
      <c r="R629" s="724">
        <v>0</v>
      </c>
      <c r="S629" s="724">
        <v>0</v>
      </c>
      <c r="T629" s="724">
        <v>0</v>
      </c>
      <c r="U629" s="724">
        <v>0</v>
      </c>
      <c r="V629" s="724">
        <v>0</v>
      </c>
      <c r="W629" s="92">
        <v>0</v>
      </c>
      <c r="X629" s="92" t="s">
        <v>444</v>
      </c>
      <c r="Y629" s="738">
        <v>18</v>
      </c>
      <c r="Z629" s="738">
        <v>18</v>
      </c>
      <c r="AA629" s="738">
        <v>3</v>
      </c>
      <c r="AB629" s="92"/>
      <c r="AC629" s="92"/>
      <c r="AD629" s="146" t="s">
        <v>253</v>
      </c>
      <c r="AE629" s="146" t="s">
        <v>348</v>
      </c>
      <c r="AF629" s="146" t="s">
        <v>338</v>
      </c>
      <c r="AG629" s="92"/>
    </row>
    <row r="630" s="694" customFormat="1" ht="24.95" customHeight="1" spans="1:33">
      <c r="A630" s="705"/>
      <c r="B630" s="714" t="s">
        <v>102</v>
      </c>
      <c r="C630" s="146" t="s">
        <v>52</v>
      </c>
      <c r="D630" s="152" t="s">
        <v>147</v>
      </c>
      <c r="E630" s="92">
        <v>3</v>
      </c>
      <c r="F630" s="92" t="s">
        <v>102</v>
      </c>
      <c r="G630" s="92"/>
      <c r="H630" s="724">
        <v>357</v>
      </c>
      <c r="I630" s="724">
        <v>119</v>
      </c>
      <c r="J630" s="724">
        <v>119</v>
      </c>
      <c r="K630" s="724">
        <v>119</v>
      </c>
      <c r="L630" s="724">
        <v>2018.01</v>
      </c>
      <c r="M630" s="724">
        <v>2020.12</v>
      </c>
      <c r="N630" s="724">
        <v>0</v>
      </c>
      <c r="O630" s="724">
        <v>0</v>
      </c>
      <c r="P630" s="724">
        <v>0</v>
      </c>
      <c r="Q630" s="724">
        <v>0</v>
      </c>
      <c r="R630" s="724">
        <v>0</v>
      </c>
      <c r="S630" s="724">
        <v>0</v>
      </c>
      <c r="T630" s="724">
        <v>0</v>
      </c>
      <c r="U630" s="724">
        <v>0</v>
      </c>
      <c r="V630" s="724">
        <v>0</v>
      </c>
      <c r="W630" s="92">
        <v>0</v>
      </c>
      <c r="X630" s="92" t="s">
        <v>444</v>
      </c>
      <c r="Y630" s="738">
        <v>357</v>
      </c>
      <c r="Z630" s="738">
        <v>357</v>
      </c>
      <c r="AA630" s="738">
        <v>3</v>
      </c>
      <c r="AB630" s="92"/>
      <c r="AC630" s="92"/>
      <c r="AD630" s="787" t="s">
        <v>255</v>
      </c>
      <c r="AE630" s="792" t="s">
        <v>349</v>
      </c>
      <c r="AF630" s="146" t="s">
        <v>338</v>
      </c>
      <c r="AG630" s="92"/>
    </row>
    <row r="631" s="694" customFormat="1" ht="24.95" customHeight="1" spans="1:33">
      <c r="A631" s="705"/>
      <c r="B631" s="714" t="s">
        <v>100</v>
      </c>
      <c r="C631" s="146" t="s">
        <v>52</v>
      </c>
      <c r="D631" s="152" t="s">
        <v>147</v>
      </c>
      <c r="E631" s="92">
        <v>3</v>
      </c>
      <c r="F631" s="92" t="s">
        <v>100</v>
      </c>
      <c r="G631" s="92"/>
      <c r="H631" s="724">
        <v>81</v>
      </c>
      <c r="I631" s="724">
        <v>27</v>
      </c>
      <c r="J631" s="724">
        <v>27</v>
      </c>
      <c r="K631" s="724">
        <v>27</v>
      </c>
      <c r="L631" s="724">
        <v>2018.01</v>
      </c>
      <c r="M631" s="724">
        <v>2020.12</v>
      </c>
      <c r="N631" s="724">
        <v>0</v>
      </c>
      <c r="O631" s="724">
        <v>0</v>
      </c>
      <c r="P631" s="724">
        <v>0</v>
      </c>
      <c r="Q631" s="724">
        <v>0</v>
      </c>
      <c r="R631" s="724">
        <v>0</v>
      </c>
      <c r="S631" s="724">
        <v>0</v>
      </c>
      <c r="T631" s="724">
        <v>0</v>
      </c>
      <c r="U631" s="724">
        <v>0</v>
      </c>
      <c r="V631" s="724">
        <v>0</v>
      </c>
      <c r="W631" s="92">
        <v>0</v>
      </c>
      <c r="X631" s="92" t="s">
        <v>444</v>
      </c>
      <c r="Y631" s="738">
        <v>81</v>
      </c>
      <c r="Z631" s="738">
        <v>81</v>
      </c>
      <c r="AA631" s="738">
        <v>3</v>
      </c>
      <c r="AB631" s="92"/>
      <c r="AC631" s="92"/>
      <c r="AD631" s="146" t="s">
        <v>312</v>
      </c>
      <c r="AE631" s="146" t="s">
        <v>352</v>
      </c>
      <c r="AF631" s="146" t="s">
        <v>338</v>
      </c>
      <c r="AG631" s="92"/>
    </row>
    <row r="632" s="694" customFormat="1" ht="24.95" customHeight="1" spans="1:33">
      <c r="A632" s="705"/>
      <c r="B632" s="714" t="s">
        <v>84</v>
      </c>
      <c r="C632" s="146" t="s">
        <v>52</v>
      </c>
      <c r="D632" s="152" t="s">
        <v>147</v>
      </c>
      <c r="E632" s="92">
        <v>3</v>
      </c>
      <c r="F632" s="92" t="s">
        <v>84</v>
      </c>
      <c r="G632" s="92"/>
      <c r="H632" s="724">
        <v>42</v>
      </c>
      <c r="I632" s="724">
        <v>14</v>
      </c>
      <c r="J632" s="724">
        <v>14</v>
      </c>
      <c r="K632" s="724">
        <v>14</v>
      </c>
      <c r="L632" s="724">
        <v>2018.01</v>
      </c>
      <c r="M632" s="724">
        <v>2020.12</v>
      </c>
      <c r="N632" s="724">
        <v>0</v>
      </c>
      <c r="O632" s="724">
        <v>0</v>
      </c>
      <c r="P632" s="724">
        <v>0</v>
      </c>
      <c r="Q632" s="724">
        <v>0</v>
      </c>
      <c r="R632" s="724">
        <v>0</v>
      </c>
      <c r="S632" s="724">
        <v>0</v>
      </c>
      <c r="T632" s="724">
        <v>0</v>
      </c>
      <c r="U632" s="724">
        <v>0</v>
      </c>
      <c r="V632" s="724">
        <v>0</v>
      </c>
      <c r="W632" s="92">
        <v>0</v>
      </c>
      <c r="X632" s="92" t="s">
        <v>444</v>
      </c>
      <c r="Y632" s="738">
        <v>42</v>
      </c>
      <c r="Z632" s="738">
        <v>42</v>
      </c>
      <c r="AA632" s="738">
        <v>3</v>
      </c>
      <c r="AB632" s="92"/>
      <c r="AC632" s="92"/>
      <c r="AD632" s="146" t="s">
        <v>350</v>
      </c>
      <c r="AE632" s="146" t="s">
        <v>351</v>
      </c>
      <c r="AF632" s="146" t="s">
        <v>338</v>
      </c>
      <c r="AG632" s="92"/>
    </row>
    <row r="633" s="694" customFormat="1" ht="24.95" customHeight="1" spans="1:33">
      <c r="A633" s="705"/>
      <c r="B633" s="714" t="s">
        <v>143</v>
      </c>
      <c r="C633" s="146" t="s">
        <v>52</v>
      </c>
      <c r="D633" s="152" t="s">
        <v>147</v>
      </c>
      <c r="E633" s="92">
        <v>3</v>
      </c>
      <c r="F633" s="92" t="s">
        <v>143</v>
      </c>
      <c r="G633" s="92"/>
      <c r="H633" s="724">
        <v>99</v>
      </c>
      <c r="I633" s="724">
        <v>33</v>
      </c>
      <c r="J633" s="724">
        <v>33</v>
      </c>
      <c r="K633" s="724">
        <v>33</v>
      </c>
      <c r="L633" s="724">
        <v>2018.01</v>
      </c>
      <c r="M633" s="724">
        <v>2020.12</v>
      </c>
      <c r="N633" s="724">
        <v>0</v>
      </c>
      <c r="O633" s="724">
        <v>0</v>
      </c>
      <c r="P633" s="724">
        <v>0</v>
      </c>
      <c r="Q633" s="724">
        <v>0</v>
      </c>
      <c r="R633" s="724">
        <v>0</v>
      </c>
      <c r="S633" s="724">
        <v>0</v>
      </c>
      <c r="T633" s="724">
        <v>0</v>
      </c>
      <c r="U633" s="724">
        <v>0</v>
      </c>
      <c r="V633" s="724">
        <v>0</v>
      </c>
      <c r="W633" s="92">
        <v>0</v>
      </c>
      <c r="X633" s="92" t="s">
        <v>444</v>
      </c>
      <c r="Y633" s="738">
        <v>99</v>
      </c>
      <c r="Z633" s="738">
        <v>99</v>
      </c>
      <c r="AA633" s="738">
        <v>3</v>
      </c>
      <c r="AB633" s="92"/>
      <c r="AC633" s="92"/>
      <c r="AD633" s="146" t="s">
        <v>354</v>
      </c>
      <c r="AE633" s="146" t="s">
        <v>263</v>
      </c>
      <c r="AF633" s="146" t="s">
        <v>338</v>
      </c>
      <c r="AG633" s="92"/>
    </row>
    <row r="634" s="570" customFormat="1" ht="24.95" customHeight="1" spans="1:33">
      <c r="A634" s="705">
        <v>80</v>
      </c>
      <c r="B634" s="750" t="s">
        <v>448</v>
      </c>
      <c r="C634" s="146" t="s">
        <v>52</v>
      </c>
      <c r="D634" s="152" t="s">
        <v>147</v>
      </c>
      <c r="E634" s="92">
        <v>6</v>
      </c>
      <c r="F634" s="92">
        <v>0</v>
      </c>
      <c r="G634" s="92"/>
      <c r="H634" s="724">
        <v>9</v>
      </c>
      <c r="I634" s="724">
        <v>3</v>
      </c>
      <c r="J634" s="724">
        <v>3</v>
      </c>
      <c r="K634" s="724">
        <v>3</v>
      </c>
      <c r="L634" s="724">
        <v>0</v>
      </c>
      <c r="M634" s="724">
        <v>0</v>
      </c>
      <c r="N634" s="724">
        <v>0</v>
      </c>
      <c r="O634" s="724">
        <v>0</v>
      </c>
      <c r="P634" s="724">
        <v>0</v>
      </c>
      <c r="Q634" s="724">
        <v>0</v>
      </c>
      <c r="R634" s="724">
        <v>0</v>
      </c>
      <c r="S634" s="724">
        <v>0</v>
      </c>
      <c r="T634" s="724">
        <v>0</v>
      </c>
      <c r="U634" s="724">
        <v>0</v>
      </c>
      <c r="V634" s="724">
        <v>0</v>
      </c>
      <c r="W634" s="92">
        <v>0</v>
      </c>
      <c r="X634" s="92" t="s">
        <v>444</v>
      </c>
      <c r="Y634" s="738">
        <v>9</v>
      </c>
      <c r="Z634" s="738">
        <v>9</v>
      </c>
      <c r="AA634" s="738">
        <v>6</v>
      </c>
      <c r="AB634" s="92"/>
      <c r="AC634" s="92"/>
      <c r="AD634" s="146" t="s">
        <v>336</v>
      </c>
      <c r="AE634" s="146" t="s">
        <v>337</v>
      </c>
      <c r="AF634" s="146" t="s">
        <v>338</v>
      </c>
      <c r="AG634" s="92" t="s">
        <v>41</v>
      </c>
    </row>
    <row r="635" s="694" customFormat="1" ht="24.95" customHeight="1" spans="1:33">
      <c r="A635" s="705"/>
      <c r="B635" s="714" t="s">
        <v>101</v>
      </c>
      <c r="C635" s="146" t="s">
        <v>52</v>
      </c>
      <c r="D635" s="152" t="s">
        <v>147</v>
      </c>
      <c r="E635" s="92">
        <v>3</v>
      </c>
      <c r="F635" s="92" t="s">
        <v>101</v>
      </c>
      <c r="G635" s="92"/>
      <c r="H635" s="724">
        <v>3</v>
      </c>
      <c r="I635" s="724">
        <v>1</v>
      </c>
      <c r="J635" s="724">
        <v>1</v>
      </c>
      <c r="K635" s="724">
        <v>1</v>
      </c>
      <c r="L635" s="724">
        <v>2018.01</v>
      </c>
      <c r="M635" s="724">
        <v>2020.12</v>
      </c>
      <c r="N635" s="724">
        <v>0</v>
      </c>
      <c r="O635" s="724">
        <v>0</v>
      </c>
      <c r="P635" s="724">
        <v>0</v>
      </c>
      <c r="Q635" s="724">
        <v>0</v>
      </c>
      <c r="R635" s="724">
        <v>0</v>
      </c>
      <c r="S635" s="724">
        <v>0</v>
      </c>
      <c r="T635" s="724">
        <v>0</v>
      </c>
      <c r="U635" s="724">
        <v>0</v>
      </c>
      <c r="V635" s="724">
        <v>0</v>
      </c>
      <c r="W635" s="92">
        <v>0</v>
      </c>
      <c r="X635" s="92" t="s">
        <v>444</v>
      </c>
      <c r="Y635" s="738">
        <v>3</v>
      </c>
      <c r="Z635" s="738">
        <v>3</v>
      </c>
      <c r="AA635" s="738">
        <v>3</v>
      </c>
      <c r="AB635" s="92"/>
      <c r="AC635" s="92"/>
      <c r="AD635" s="146" t="s">
        <v>244</v>
      </c>
      <c r="AE635" s="146" t="s">
        <v>333</v>
      </c>
      <c r="AF635" s="146" t="s">
        <v>338</v>
      </c>
      <c r="AG635" s="92"/>
    </row>
    <row r="636" s="694" customFormat="1" ht="24.95" customHeight="1" spans="1:33">
      <c r="A636" s="705"/>
      <c r="B636" s="714" t="s">
        <v>143</v>
      </c>
      <c r="C636" s="146" t="s">
        <v>52</v>
      </c>
      <c r="D636" s="152" t="s">
        <v>147</v>
      </c>
      <c r="E636" s="92">
        <v>3</v>
      </c>
      <c r="F636" s="92" t="s">
        <v>143</v>
      </c>
      <c r="G636" s="92"/>
      <c r="H636" s="724">
        <v>6</v>
      </c>
      <c r="I636" s="724">
        <v>2</v>
      </c>
      <c r="J636" s="724">
        <v>2</v>
      </c>
      <c r="K636" s="724">
        <v>2</v>
      </c>
      <c r="L636" s="724">
        <v>2018.01</v>
      </c>
      <c r="M636" s="724">
        <v>2020.12</v>
      </c>
      <c r="N636" s="724">
        <v>0</v>
      </c>
      <c r="O636" s="724">
        <v>0</v>
      </c>
      <c r="P636" s="724">
        <v>0</v>
      </c>
      <c r="Q636" s="724">
        <v>0</v>
      </c>
      <c r="R636" s="724">
        <v>0</v>
      </c>
      <c r="S636" s="724">
        <v>0</v>
      </c>
      <c r="T636" s="724">
        <v>0</v>
      </c>
      <c r="U636" s="724">
        <v>0</v>
      </c>
      <c r="V636" s="724">
        <v>0</v>
      </c>
      <c r="W636" s="92">
        <v>0</v>
      </c>
      <c r="X636" s="92" t="s">
        <v>444</v>
      </c>
      <c r="Y636" s="738">
        <v>6</v>
      </c>
      <c r="Z636" s="738">
        <v>6</v>
      </c>
      <c r="AA636" s="738">
        <v>3</v>
      </c>
      <c r="AB636" s="92"/>
      <c r="AC636" s="92"/>
      <c r="AD636" s="146" t="s">
        <v>354</v>
      </c>
      <c r="AE636" s="146" t="s">
        <v>263</v>
      </c>
      <c r="AF636" s="146" t="s">
        <v>338</v>
      </c>
      <c r="AG636" s="92"/>
    </row>
    <row r="637" s="570" customFormat="1" ht="24.95" customHeight="1" spans="1:33">
      <c r="A637" s="705">
        <v>81</v>
      </c>
      <c r="B637" s="708" t="s">
        <v>449</v>
      </c>
      <c r="C637" s="708"/>
      <c r="D637" s="709" t="s">
        <v>147</v>
      </c>
      <c r="E637" s="92">
        <v>36</v>
      </c>
      <c r="F637" s="92">
        <v>0</v>
      </c>
      <c r="G637" s="92"/>
      <c r="H637" s="724">
        <v>3741</v>
      </c>
      <c r="I637" s="724">
        <v>1247</v>
      </c>
      <c r="J637" s="724">
        <v>1247</v>
      </c>
      <c r="K637" s="724">
        <v>1247</v>
      </c>
      <c r="L637" s="724">
        <v>0</v>
      </c>
      <c r="M637" s="724">
        <v>0</v>
      </c>
      <c r="N637" s="724">
        <v>455.004</v>
      </c>
      <c r="O637" s="724">
        <v>151.668</v>
      </c>
      <c r="P637" s="724">
        <v>151.668</v>
      </c>
      <c r="Q637" s="724">
        <v>151.668</v>
      </c>
      <c r="R637" s="724">
        <v>455.004</v>
      </c>
      <c r="S637" s="724">
        <v>0</v>
      </c>
      <c r="T637" s="724">
        <v>0</v>
      </c>
      <c r="U637" s="724">
        <v>0</v>
      </c>
      <c r="V637" s="724">
        <v>0</v>
      </c>
      <c r="W637" s="92">
        <v>0</v>
      </c>
      <c r="X637" s="92" t="s">
        <v>444</v>
      </c>
      <c r="Y637" s="738">
        <v>3741</v>
      </c>
      <c r="Z637" s="738">
        <v>16821</v>
      </c>
      <c r="AA637" s="738">
        <v>36</v>
      </c>
      <c r="AB637" s="708"/>
      <c r="AC637" s="708"/>
      <c r="AD637" s="146" t="s">
        <v>450</v>
      </c>
      <c r="AE637" s="146" t="s">
        <v>451</v>
      </c>
      <c r="AF637" s="146" t="s">
        <v>452</v>
      </c>
      <c r="AG637" s="708" t="s">
        <v>41</v>
      </c>
    </row>
    <row r="638" s="694" customFormat="1" ht="24.95" customHeight="1" spans="1:33">
      <c r="A638" s="705"/>
      <c r="B638" s="714" t="s">
        <v>101</v>
      </c>
      <c r="C638" s="146" t="s">
        <v>52</v>
      </c>
      <c r="D638" s="152" t="s">
        <v>147</v>
      </c>
      <c r="E638" s="92">
        <v>3</v>
      </c>
      <c r="F638" s="92" t="s">
        <v>101</v>
      </c>
      <c r="G638" s="92"/>
      <c r="H638" s="724">
        <v>231</v>
      </c>
      <c r="I638" s="724">
        <v>77</v>
      </c>
      <c r="J638" s="724">
        <v>77</v>
      </c>
      <c r="K638" s="724">
        <v>77</v>
      </c>
      <c r="L638" s="724">
        <v>2018.01</v>
      </c>
      <c r="M638" s="724">
        <v>2020.12</v>
      </c>
      <c r="N638" s="724">
        <v>27.108</v>
      </c>
      <c r="O638" s="724">
        <v>9.036</v>
      </c>
      <c r="P638" s="724">
        <v>9.036</v>
      </c>
      <c r="Q638" s="724">
        <v>9.036</v>
      </c>
      <c r="R638" s="724">
        <v>27.108</v>
      </c>
      <c r="S638" s="724">
        <v>0</v>
      </c>
      <c r="T638" s="724">
        <v>0</v>
      </c>
      <c r="U638" s="724">
        <v>0</v>
      </c>
      <c r="V638" s="724">
        <v>0</v>
      </c>
      <c r="W638" s="92">
        <v>0</v>
      </c>
      <c r="X638" s="92" t="s">
        <v>444</v>
      </c>
      <c r="Y638" s="738">
        <v>231</v>
      </c>
      <c r="Z638" s="738">
        <v>1038</v>
      </c>
      <c r="AA638" s="738">
        <v>3</v>
      </c>
      <c r="AB638" s="708"/>
      <c r="AC638" s="708"/>
      <c r="AD638" s="146" t="s">
        <v>244</v>
      </c>
      <c r="AE638" s="146" t="s">
        <v>333</v>
      </c>
      <c r="AF638" s="146" t="s">
        <v>452</v>
      </c>
      <c r="AG638" s="708"/>
    </row>
    <row r="639" s="694" customFormat="1" ht="24.95" customHeight="1" spans="1:33">
      <c r="A639" s="705"/>
      <c r="B639" s="714" t="s">
        <v>151</v>
      </c>
      <c r="C639" s="146" t="s">
        <v>52</v>
      </c>
      <c r="D639" s="152" t="s">
        <v>147</v>
      </c>
      <c r="E639" s="92">
        <v>3</v>
      </c>
      <c r="F639" s="92" t="s">
        <v>151</v>
      </c>
      <c r="G639" s="92"/>
      <c r="H639" s="724">
        <v>279</v>
      </c>
      <c r="I639" s="724">
        <v>93</v>
      </c>
      <c r="J639" s="724">
        <v>93</v>
      </c>
      <c r="K639" s="724">
        <v>93</v>
      </c>
      <c r="L639" s="724">
        <v>2018.01</v>
      </c>
      <c r="M639" s="724">
        <v>2020.12</v>
      </c>
      <c r="N639" s="724">
        <v>33.804</v>
      </c>
      <c r="O639" s="724">
        <v>11.268</v>
      </c>
      <c r="P639" s="724">
        <v>11.268</v>
      </c>
      <c r="Q639" s="724">
        <v>11.268</v>
      </c>
      <c r="R639" s="724">
        <v>33.804</v>
      </c>
      <c r="S639" s="724">
        <v>0</v>
      </c>
      <c r="T639" s="724">
        <v>0</v>
      </c>
      <c r="U639" s="724">
        <v>0</v>
      </c>
      <c r="V639" s="724">
        <v>0</v>
      </c>
      <c r="W639" s="92">
        <v>0</v>
      </c>
      <c r="X639" s="92" t="s">
        <v>444</v>
      </c>
      <c r="Y639" s="738">
        <v>279</v>
      </c>
      <c r="Z639" s="738">
        <v>1254</v>
      </c>
      <c r="AA639" s="738">
        <v>3</v>
      </c>
      <c r="AB639" s="708"/>
      <c r="AC639" s="708"/>
      <c r="AD639" s="146" t="s">
        <v>339</v>
      </c>
      <c r="AE639" s="146" t="s">
        <v>340</v>
      </c>
      <c r="AF639" s="146" t="s">
        <v>452</v>
      </c>
      <c r="AG639" s="708"/>
    </row>
    <row r="640" s="694" customFormat="1" ht="24.95" customHeight="1" spans="1:33">
      <c r="A640" s="705"/>
      <c r="B640" s="714" t="s">
        <v>154</v>
      </c>
      <c r="C640" s="146" t="s">
        <v>52</v>
      </c>
      <c r="D640" s="152" t="s">
        <v>147</v>
      </c>
      <c r="E640" s="92">
        <v>3</v>
      </c>
      <c r="F640" s="92" t="s">
        <v>154</v>
      </c>
      <c r="G640" s="92"/>
      <c r="H640" s="724">
        <v>405</v>
      </c>
      <c r="I640" s="724">
        <v>135</v>
      </c>
      <c r="J640" s="724">
        <v>135</v>
      </c>
      <c r="K640" s="724">
        <v>135</v>
      </c>
      <c r="L640" s="724">
        <v>2018.01</v>
      </c>
      <c r="M640" s="724">
        <v>2020.12</v>
      </c>
      <c r="N640" s="724">
        <v>48.708</v>
      </c>
      <c r="O640" s="724">
        <v>16.236</v>
      </c>
      <c r="P640" s="724">
        <v>16.236</v>
      </c>
      <c r="Q640" s="724">
        <v>16.236</v>
      </c>
      <c r="R640" s="724">
        <v>48.708</v>
      </c>
      <c r="S640" s="724">
        <v>0</v>
      </c>
      <c r="T640" s="724">
        <v>0</v>
      </c>
      <c r="U640" s="724">
        <v>0</v>
      </c>
      <c r="V640" s="724">
        <v>0</v>
      </c>
      <c r="W640" s="92">
        <v>0</v>
      </c>
      <c r="X640" s="92" t="s">
        <v>444</v>
      </c>
      <c r="Y640" s="738">
        <v>405</v>
      </c>
      <c r="Z640" s="738">
        <v>1821</v>
      </c>
      <c r="AA640" s="738">
        <v>3</v>
      </c>
      <c r="AB640" s="708"/>
      <c r="AC640" s="708"/>
      <c r="AD640" s="146" t="s">
        <v>453</v>
      </c>
      <c r="AE640" s="146" t="s">
        <v>454</v>
      </c>
      <c r="AF640" s="146" t="s">
        <v>452</v>
      </c>
      <c r="AG640" s="708"/>
    </row>
    <row r="641" s="694" customFormat="1" ht="24.95" customHeight="1" spans="1:33">
      <c r="A641" s="705"/>
      <c r="B641" s="714" t="s">
        <v>81</v>
      </c>
      <c r="C641" s="146" t="s">
        <v>52</v>
      </c>
      <c r="D641" s="152" t="s">
        <v>147</v>
      </c>
      <c r="E641" s="92">
        <v>3</v>
      </c>
      <c r="F641" s="92" t="s">
        <v>81</v>
      </c>
      <c r="G641" s="92"/>
      <c r="H641" s="724">
        <v>285</v>
      </c>
      <c r="I641" s="724">
        <v>95</v>
      </c>
      <c r="J641" s="724">
        <v>95</v>
      </c>
      <c r="K641" s="724">
        <v>95</v>
      </c>
      <c r="L641" s="724">
        <v>2018.01</v>
      </c>
      <c r="M641" s="724">
        <v>2020.12</v>
      </c>
      <c r="N641" s="724">
        <v>36.18</v>
      </c>
      <c r="O641" s="724">
        <v>12.06</v>
      </c>
      <c r="P641" s="724">
        <v>12.06</v>
      </c>
      <c r="Q641" s="724">
        <v>12.06</v>
      </c>
      <c r="R641" s="724">
        <v>36.18</v>
      </c>
      <c r="S641" s="724">
        <v>0</v>
      </c>
      <c r="T641" s="724">
        <v>0</v>
      </c>
      <c r="U641" s="724">
        <v>0</v>
      </c>
      <c r="V641" s="724">
        <v>0</v>
      </c>
      <c r="W641" s="92">
        <v>0</v>
      </c>
      <c r="X641" s="92" t="s">
        <v>444</v>
      </c>
      <c r="Y641" s="738">
        <v>285</v>
      </c>
      <c r="Z641" s="738">
        <v>1281</v>
      </c>
      <c r="AA641" s="738">
        <v>3</v>
      </c>
      <c r="AB641" s="708"/>
      <c r="AC641" s="708"/>
      <c r="AD641" s="146" t="s">
        <v>305</v>
      </c>
      <c r="AE641" s="146" t="s">
        <v>362</v>
      </c>
      <c r="AF641" s="146" t="s">
        <v>452</v>
      </c>
      <c r="AG641" s="708"/>
    </row>
    <row r="642" s="694" customFormat="1" ht="24.95" customHeight="1" spans="1:33">
      <c r="A642" s="705"/>
      <c r="B642" s="714" t="s">
        <v>98</v>
      </c>
      <c r="C642" s="146" t="s">
        <v>52</v>
      </c>
      <c r="D642" s="152" t="s">
        <v>147</v>
      </c>
      <c r="E642" s="92">
        <v>3</v>
      </c>
      <c r="F642" s="92" t="s">
        <v>98</v>
      </c>
      <c r="G642" s="92"/>
      <c r="H642" s="724">
        <v>561</v>
      </c>
      <c r="I642" s="724">
        <v>187</v>
      </c>
      <c r="J642" s="724">
        <v>187</v>
      </c>
      <c r="K642" s="724">
        <v>187</v>
      </c>
      <c r="L642" s="724">
        <v>2018.01</v>
      </c>
      <c r="M642" s="724">
        <v>2020.12</v>
      </c>
      <c r="N642" s="724">
        <v>66.636</v>
      </c>
      <c r="O642" s="724">
        <v>22.212</v>
      </c>
      <c r="P642" s="724">
        <v>22.212</v>
      </c>
      <c r="Q642" s="724">
        <v>22.212</v>
      </c>
      <c r="R642" s="724">
        <v>66.636</v>
      </c>
      <c r="S642" s="724">
        <v>0</v>
      </c>
      <c r="T642" s="724">
        <v>0</v>
      </c>
      <c r="U642" s="724">
        <v>0</v>
      </c>
      <c r="V642" s="724">
        <v>0</v>
      </c>
      <c r="W642" s="92">
        <v>0</v>
      </c>
      <c r="X642" s="92" t="s">
        <v>444</v>
      </c>
      <c r="Y642" s="738">
        <v>561</v>
      </c>
      <c r="Z642" s="738">
        <v>2523</v>
      </c>
      <c r="AA642" s="738">
        <v>3</v>
      </c>
      <c r="AB642" s="708"/>
      <c r="AC642" s="708"/>
      <c r="AD642" s="146" t="s">
        <v>344</v>
      </c>
      <c r="AE642" s="146" t="s">
        <v>455</v>
      </c>
      <c r="AF642" s="146" t="s">
        <v>452</v>
      </c>
      <c r="AG642" s="708"/>
    </row>
    <row r="643" s="694" customFormat="1" ht="24.95" customHeight="1" spans="1:33">
      <c r="A643" s="705"/>
      <c r="B643" s="714" t="s">
        <v>211</v>
      </c>
      <c r="C643" s="146" t="s">
        <v>52</v>
      </c>
      <c r="D643" s="152" t="s">
        <v>147</v>
      </c>
      <c r="E643" s="92">
        <v>3</v>
      </c>
      <c r="F643" s="92" t="s">
        <v>211</v>
      </c>
      <c r="G643" s="92"/>
      <c r="H643" s="724">
        <v>336</v>
      </c>
      <c r="I643" s="724">
        <v>112</v>
      </c>
      <c r="J643" s="724">
        <v>112</v>
      </c>
      <c r="K643" s="724">
        <v>112</v>
      </c>
      <c r="L643" s="724">
        <v>2018.01</v>
      </c>
      <c r="M643" s="724">
        <v>2020.12</v>
      </c>
      <c r="N643" s="724">
        <v>41.04</v>
      </c>
      <c r="O643" s="724">
        <v>13.68</v>
      </c>
      <c r="P643" s="724">
        <v>13.68</v>
      </c>
      <c r="Q643" s="724">
        <v>13.68</v>
      </c>
      <c r="R643" s="724">
        <v>41.04</v>
      </c>
      <c r="S643" s="724">
        <v>0</v>
      </c>
      <c r="T643" s="724">
        <v>0</v>
      </c>
      <c r="U643" s="724">
        <v>0</v>
      </c>
      <c r="V643" s="724">
        <v>0</v>
      </c>
      <c r="W643" s="92">
        <v>0</v>
      </c>
      <c r="X643" s="92" t="s">
        <v>444</v>
      </c>
      <c r="Y643" s="738">
        <v>336</v>
      </c>
      <c r="Z643" s="738">
        <v>1512</v>
      </c>
      <c r="AA643" s="738">
        <v>3</v>
      </c>
      <c r="AB643" s="708"/>
      <c r="AC643" s="708"/>
      <c r="AD643" s="146" t="s">
        <v>346</v>
      </c>
      <c r="AE643" s="146" t="s">
        <v>347</v>
      </c>
      <c r="AF643" s="146" t="s">
        <v>452</v>
      </c>
      <c r="AG643" s="708"/>
    </row>
    <row r="644" s="694" customFormat="1" ht="24.95" customHeight="1" spans="1:33">
      <c r="A644" s="705"/>
      <c r="B644" s="714" t="s">
        <v>155</v>
      </c>
      <c r="C644" s="146" t="s">
        <v>52</v>
      </c>
      <c r="D644" s="152" t="s">
        <v>147</v>
      </c>
      <c r="E644" s="92">
        <v>3</v>
      </c>
      <c r="F644" s="92" t="s">
        <v>155</v>
      </c>
      <c r="G644" s="92"/>
      <c r="H644" s="724">
        <v>81</v>
      </c>
      <c r="I644" s="724">
        <v>27</v>
      </c>
      <c r="J644" s="724">
        <v>27</v>
      </c>
      <c r="K644" s="724">
        <v>27</v>
      </c>
      <c r="L644" s="724">
        <v>2018.01</v>
      </c>
      <c r="M644" s="724">
        <v>2020.12</v>
      </c>
      <c r="N644" s="724">
        <v>10.044</v>
      </c>
      <c r="O644" s="724">
        <v>3.348</v>
      </c>
      <c r="P644" s="724">
        <v>3.348</v>
      </c>
      <c r="Q644" s="724">
        <v>3.348</v>
      </c>
      <c r="R644" s="724">
        <v>10.044</v>
      </c>
      <c r="S644" s="724">
        <v>0</v>
      </c>
      <c r="T644" s="724">
        <v>0</v>
      </c>
      <c r="U644" s="724">
        <v>0</v>
      </c>
      <c r="V644" s="724">
        <v>0</v>
      </c>
      <c r="W644" s="92">
        <v>0</v>
      </c>
      <c r="X644" s="92" t="s">
        <v>444</v>
      </c>
      <c r="Y644" s="738">
        <v>81</v>
      </c>
      <c r="Z644" s="738">
        <v>363</v>
      </c>
      <c r="AA644" s="738">
        <v>3</v>
      </c>
      <c r="AB644" s="708"/>
      <c r="AC644" s="708"/>
      <c r="AD644" s="146" t="s">
        <v>253</v>
      </c>
      <c r="AE644" s="146" t="s">
        <v>348</v>
      </c>
      <c r="AF644" s="146" t="s">
        <v>452</v>
      </c>
      <c r="AG644" s="708"/>
    </row>
    <row r="645" s="694" customFormat="1" ht="24.95" customHeight="1" spans="1:33">
      <c r="A645" s="705"/>
      <c r="B645" s="714" t="s">
        <v>102</v>
      </c>
      <c r="C645" s="146" t="s">
        <v>52</v>
      </c>
      <c r="D645" s="152" t="s">
        <v>147</v>
      </c>
      <c r="E645" s="92">
        <v>3</v>
      </c>
      <c r="F645" s="92" t="s">
        <v>102</v>
      </c>
      <c r="G645" s="92"/>
      <c r="H645" s="724">
        <v>519</v>
      </c>
      <c r="I645" s="724">
        <v>173</v>
      </c>
      <c r="J645" s="724">
        <v>173</v>
      </c>
      <c r="K645" s="724">
        <v>173</v>
      </c>
      <c r="L645" s="724">
        <v>2018.01</v>
      </c>
      <c r="M645" s="724">
        <v>2020.12</v>
      </c>
      <c r="N645" s="724">
        <v>64.692</v>
      </c>
      <c r="O645" s="724">
        <v>21.564</v>
      </c>
      <c r="P645" s="724">
        <v>21.564</v>
      </c>
      <c r="Q645" s="724">
        <v>21.564</v>
      </c>
      <c r="R645" s="724">
        <v>64.692</v>
      </c>
      <c r="S645" s="724">
        <v>0</v>
      </c>
      <c r="T645" s="724">
        <v>0</v>
      </c>
      <c r="U645" s="724">
        <v>0</v>
      </c>
      <c r="V645" s="724">
        <v>0</v>
      </c>
      <c r="W645" s="92">
        <v>0</v>
      </c>
      <c r="X645" s="92" t="s">
        <v>444</v>
      </c>
      <c r="Y645" s="738">
        <v>519</v>
      </c>
      <c r="Z645" s="738">
        <v>2334</v>
      </c>
      <c r="AA645" s="738">
        <v>3</v>
      </c>
      <c r="AB645" s="708"/>
      <c r="AC645" s="708"/>
      <c r="AD645" s="146" t="s">
        <v>255</v>
      </c>
      <c r="AE645" s="146" t="s">
        <v>456</v>
      </c>
      <c r="AF645" s="146" t="s">
        <v>452</v>
      </c>
      <c r="AG645" s="708"/>
    </row>
    <row r="646" s="694" customFormat="1" ht="24.95" customHeight="1" spans="1:33">
      <c r="A646" s="705"/>
      <c r="B646" s="714" t="s">
        <v>100</v>
      </c>
      <c r="C646" s="146" t="s">
        <v>52</v>
      </c>
      <c r="D646" s="152" t="s">
        <v>147</v>
      </c>
      <c r="E646" s="92">
        <v>3</v>
      </c>
      <c r="F646" s="92" t="s">
        <v>100</v>
      </c>
      <c r="G646" s="92"/>
      <c r="H646" s="724">
        <v>459</v>
      </c>
      <c r="I646" s="724">
        <v>153</v>
      </c>
      <c r="J646" s="724">
        <v>153</v>
      </c>
      <c r="K646" s="724">
        <v>153</v>
      </c>
      <c r="L646" s="724">
        <v>2018.01</v>
      </c>
      <c r="M646" s="724">
        <v>2020.12</v>
      </c>
      <c r="N646" s="724">
        <v>55.512</v>
      </c>
      <c r="O646" s="724">
        <v>18.504</v>
      </c>
      <c r="P646" s="724">
        <v>18.504</v>
      </c>
      <c r="Q646" s="724">
        <v>18.504</v>
      </c>
      <c r="R646" s="724">
        <v>55.512</v>
      </c>
      <c r="S646" s="724">
        <v>0</v>
      </c>
      <c r="T646" s="724">
        <v>0</v>
      </c>
      <c r="U646" s="724">
        <v>0</v>
      </c>
      <c r="V646" s="724">
        <v>0</v>
      </c>
      <c r="W646" s="92">
        <v>0</v>
      </c>
      <c r="X646" s="92" t="s">
        <v>444</v>
      </c>
      <c r="Y646" s="738">
        <v>459</v>
      </c>
      <c r="Z646" s="738">
        <v>2064</v>
      </c>
      <c r="AA646" s="738">
        <v>3</v>
      </c>
      <c r="AB646" s="708"/>
      <c r="AC646" s="708"/>
      <c r="AD646" s="146" t="s">
        <v>312</v>
      </c>
      <c r="AE646" s="146" t="s">
        <v>352</v>
      </c>
      <c r="AF646" s="146" t="s">
        <v>452</v>
      </c>
      <c r="AG646" s="708"/>
    </row>
    <row r="647" s="694" customFormat="1" ht="24.95" customHeight="1" spans="1:33">
      <c r="A647" s="705"/>
      <c r="B647" s="714" t="s">
        <v>259</v>
      </c>
      <c r="C647" s="146" t="s">
        <v>52</v>
      </c>
      <c r="D647" s="152" t="s">
        <v>147</v>
      </c>
      <c r="E647" s="92">
        <v>3</v>
      </c>
      <c r="F647" s="92" t="s">
        <v>259</v>
      </c>
      <c r="G647" s="92"/>
      <c r="H647" s="724">
        <v>33</v>
      </c>
      <c r="I647" s="724">
        <v>11</v>
      </c>
      <c r="J647" s="724">
        <v>11</v>
      </c>
      <c r="K647" s="724">
        <v>11</v>
      </c>
      <c r="L647" s="724">
        <v>2018.01</v>
      </c>
      <c r="M647" s="724">
        <v>2020.12</v>
      </c>
      <c r="N647" s="724">
        <v>3.78</v>
      </c>
      <c r="O647" s="724">
        <v>1.26</v>
      </c>
      <c r="P647" s="724">
        <v>1.26</v>
      </c>
      <c r="Q647" s="724">
        <v>1.26</v>
      </c>
      <c r="R647" s="724">
        <v>3.78</v>
      </c>
      <c r="S647" s="724">
        <v>0</v>
      </c>
      <c r="T647" s="724">
        <v>0</v>
      </c>
      <c r="U647" s="724">
        <v>0</v>
      </c>
      <c r="V647" s="724">
        <v>0</v>
      </c>
      <c r="W647" s="92">
        <v>0</v>
      </c>
      <c r="X647" s="92" t="s">
        <v>444</v>
      </c>
      <c r="Y647" s="738">
        <v>33</v>
      </c>
      <c r="Z647" s="738">
        <v>147</v>
      </c>
      <c r="AA647" s="738">
        <v>3</v>
      </c>
      <c r="AB647" s="708"/>
      <c r="AC647" s="708"/>
      <c r="AD647" s="146" t="s">
        <v>183</v>
      </c>
      <c r="AE647" s="146" t="s">
        <v>184</v>
      </c>
      <c r="AF647" s="146" t="s">
        <v>452</v>
      </c>
      <c r="AG647" s="708"/>
    </row>
    <row r="648" s="694" customFormat="1" ht="24.95" customHeight="1" spans="1:33">
      <c r="A648" s="705"/>
      <c r="B648" s="714" t="s">
        <v>84</v>
      </c>
      <c r="C648" s="146" t="s">
        <v>52</v>
      </c>
      <c r="D648" s="152" t="s">
        <v>147</v>
      </c>
      <c r="E648" s="92">
        <v>3</v>
      </c>
      <c r="F648" s="92" t="s">
        <v>84</v>
      </c>
      <c r="G648" s="92"/>
      <c r="H648" s="724">
        <v>408</v>
      </c>
      <c r="I648" s="724">
        <v>136</v>
      </c>
      <c r="J648" s="724">
        <v>136</v>
      </c>
      <c r="K648" s="724">
        <v>136</v>
      </c>
      <c r="L648" s="724">
        <v>2018.01</v>
      </c>
      <c r="M648" s="724">
        <v>2020.12</v>
      </c>
      <c r="N648" s="724">
        <v>50.112</v>
      </c>
      <c r="O648" s="724">
        <v>16.704</v>
      </c>
      <c r="P648" s="724">
        <v>16.704</v>
      </c>
      <c r="Q648" s="724">
        <v>16.704</v>
      </c>
      <c r="R648" s="724">
        <v>50.112</v>
      </c>
      <c r="S648" s="724">
        <v>0</v>
      </c>
      <c r="T648" s="724">
        <v>0</v>
      </c>
      <c r="U648" s="724">
        <v>0</v>
      </c>
      <c r="V648" s="724">
        <v>0</v>
      </c>
      <c r="W648" s="92">
        <v>0</v>
      </c>
      <c r="X648" s="92" t="s">
        <v>444</v>
      </c>
      <c r="Y648" s="738">
        <v>408</v>
      </c>
      <c r="Z648" s="738">
        <v>1836</v>
      </c>
      <c r="AA648" s="738">
        <v>3</v>
      </c>
      <c r="AB648" s="708"/>
      <c r="AC648" s="708"/>
      <c r="AD648" s="146" t="s">
        <v>350</v>
      </c>
      <c r="AE648" s="146" t="s">
        <v>351</v>
      </c>
      <c r="AF648" s="146" t="s">
        <v>452</v>
      </c>
      <c r="AG648" s="708"/>
    </row>
    <row r="649" s="694" customFormat="1" ht="24.95" customHeight="1" spans="1:33">
      <c r="A649" s="705"/>
      <c r="B649" s="714" t="s">
        <v>143</v>
      </c>
      <c r="C649" s="146" t="s">
        <v>52</v>
      </c>
      <c r="D649" s="152" t="s">
        <v>147</v>
      </c>
      <c r="E649" s="92">
        <v>3</v>
      </c>
      <c r="F649" s="92" t="s">
        <v>143</v>
      </c>
      <c r="G649" s="92"/>
      <c r="H649" s="724">
        <v>144</v>
      </c>
      <c r="I649" s="724">
        <v>48</v>
      </c>
      <c r="J649" s="724">
        <v>48</v>
      </c>
      <c r="K649" s="724">
        <v>48</v>
      </c>
      <c r="L649" s="724">
        <v>2018.01</v>
      </c>
      <c r="M649" s="724">
        <v>2020.12</v>
      </c>
      <c r="N649" s="724">
        <v>17.388</v>
      </c>
      <c r="O649" s="724">
        <v>5.796</v>
      </c>
      <c r="P649" s="724">
        <v>5.796</v>
      </c>
      <c r="Q649" s="724">
        <v>5.796</v>
      </c>
      <c r="R649" s="724">
        <v>17.388</v>
      </c>
      <c r="S649" s="724">
        <v>0</v>
      </c>
      <c r="T649" s="724">
        <v>0</v>
      </c>
      <c r="U649" s="724">
        <v>0</v>
      </c>
      <c r="V649" s="724">
        <v>0</v>
      </c>
      <c r="W649" s="92">
        <v>0</v>
      </c>
      <c r="X649" s="92" t="s">
        <v>444</v>
      </c>
      <c r="Y649" s="738">
        <v>144</v>
      </c>
      <c r="Z649" s="738">
        <v>648</v>
      </c>
      <c r="AA649" s="738">
        <v>3</v>
      </c>
      <c r="AB649" s="708"/>
      <c r="AC649" s="708"/>
      <c r="AD649" s="777" t="s">
        <v>262</v>
      </c>
      <c r="AE649" s="777" t="s">
        <v>263</v>
      </c>
      <c r="AF649" s="146" t="s">
        <v>452</v>
      </c>
      <c r="AG649" s="708"/>
    </row>
    <row r="650" s="570" customFormat="1" ht="24.95" customHeight="1" spans="1:33">
      <c r="A650" s="705">
        <v>82</v>
      </c>
      <c r="B650" s="708" t="s">
        <v>457</v>
      </c>
      <c r="C650" s="708"/>
      <c r="D650" s="709"/>
      <c r="E650" s="92">
        <v>0</v>
      </c>
      <c r="F650" s="92">
        <v>0</v>
      </c>
      <c r="G650" s="92"/>
      <c r="H650" s="724">
        <v>0</v>
      </c>
      <c r="I650" s="724">
        <v>0</v>
      </c>
      <c r="J650" s="724">
        <v>0</v>
      </c>
      <c r="K650" s="724">
        <v>0</v>
      </c>
      <c r="L650" s="724">
        <v>0</v>
      </c>
      <c r="M650" s="724">
        <v>0</v>
      </c>
      <c r="N650" s="724">
        <v>0</v>
      </c>
      <c r="O650" s="724">
        <v>0</v>
      </c>
      <c r="P650" s="724">
        <v>0</v>
      </c>
      <c r="Q650" s="724">
        <v>0</v>
      </c>
      <c r="R650" s="724">
        <v>0</v>
      </c>
      <c r="S650" s="724">
        <v>0</v>
      </c>
      <c r="T650" s="724">
        <v>0</v>
      </c>
      <c r="U650" s="724">
        <v>0</v>
      </c>
      <c r="V650" s="724">
        <v>0</v>
      </c>
      <c r="W650" s="92">
        <v>0</v>
      </c>
      <c r="X650" s="92">
        <v>0</v>
      </c>
      <c r="Y650" s="738">
        <v>0</v>
      </c>
      <c r="Z650" s="738">
        <v>0</v>
      </c>
      <c r="AA650" s="738">
        <v>0</v>
      </c>
      <c r="AB650" s="708"/>
      <c r="AC650" s="708"/>
      <c r="AD650" s="708"/>
      <c r="AE650" s="708"/>
      <c r="AF650" s="708"/>
      <c r="AG650" s="708" t="s">
        <v>41</v>
      </c>
    </row>
    <row r="651" s="570" customFormat="1" ht="24.95" customHeight="1" spans="1:33">
      <c r="A651" s="705">
        <v>83</v>
      </c>
      <c r="B651" s="92" t="s">
        <v>458</v>
      </c>
      <c r="C651" s="92"/>
      <c r="D651" s="76" t="s">
        <v>147</v>
      </c>
      <c r="E651" s="92">
        <v>0</v>
      </c>
      <c r="F651" s="92">
        <v>0</v>
      </c>
      <c r="G651" s="92"/>
      <c r="H651" s="724">
        <v>0</v>
      </c>
      <c r="I651" s="724">
        <v>0</v>
      </c>
      <c r="J651" s="724">
        <v>0</v>
      </c>
      <c r="K651" s="724">
        <v>0</v>
      </c>
      <c r="L651" s="724">
        <v>0</v>
      </c>
      <c r="M651" s="724">
        <v>0</v>
      </c>
      <c r="N651" s="724">
        <v>0</v>
      </c>
      <c r="O651" s="724">
        <v>0</v>
      </c>
      <c r="P651" s="724">
        <v>0</v>
      </c>
      <c r="Q651" s="724">
        <v>0</v>
      </c>
      <c r="R651" s="724">
        <v>0</v>
      </c>
      <c r="S651" s="724">
        <v>0</v>
      </c>
      <c r="T651" s="724">
        <v>0</v>
      </c>
      <c r="U651" s="724">
        <v>0</v>
      </c>
      <c r="V651" s="724">
        <v>0</v>
      </c>
      <c r="W651" s="92">
        <v>0</v>
      </c>
      <c r="X651" s="92">
        <v>0</v>
      </c>
      <c r="Y651" s="738">
        <v>0</v>
      </c>
      <c r="Z651" s="738">
        <v>0</v>
      </c>
      <c r="AA651" s="738">
        <v>0</v>
      </c>
      <c r="AB651" s="92"/>
      <c r="AC651" s="92"/>
      <c r="AD651" s="92"/>
      <c r="AE651" s="92"/>
      <c r="AF651" s="92" t="s">
        <v>338</v>
      </c>
      <c r="AG651" s="92" t="s">
        <v>41</v>
      </c>
    </row>
    <row r="652" s="570" customFormat="1" ht="24.95" customHeight="1" spans="1:33">
      <c r="A652" s="705" t="s">
        <v>48</v>
      </c>
      <c r="B652" s="92" t="s">
        <v>148</v>
      </c>
      <c r="C652" s="92"/>
      <c r="D652" s="76"/>
      <c r="E652" s="92">
        <v>0</v>
      </c>
      <c r="F652" s="92">
        <v>0</v>
      </c>
      <c r="G652" s="92"/>
      <c r="H652" s="724">
        <v>0</v>
      </c>
      <c r="I652" s="724">
        <v>0</v>
      </c>
      <c r="J652" s="724">
        <v>0</v>
      </c>
      <c r="K652" s="724">
        <v>0</v>
      </c>
      <c r="L652" s="724">
        <v>0</v>
      </c>
      <c r="M652" s="724">
        <v>0</v>
      </c>
      <c r="N652" s="724">
        <v>0</v>
      </c>
      <c r="O652" s="724">
        <v>0</v>
      </c>
      <c r="P652" s="724">
        <v>0</v>
      </c>
      <c r="Q652" s="724">
        <v>0</v>
      </c>
      <c r="R652" s="724">
        <v>0</v>
      </c>
      <c r="S652" s="724">
        <v>0</v>
      </c>
      <c r="T652" s="724">
        <v>0</v>
      </c>
      <c r="U652" s="724">
        <v>0</v>
      </c>
      <c r="V652" s="724">
        <v>0</v>
      </c>
      <c r="W652" s="92">
        <v>0</v>
      </c>
      <c r="X652" s="92">
        <v>0</v>
      </c>
      <c r="Y652" s="738">
        <v>0</v>
      </c>
      <c r="Z652" s="738">
        <v>0</v>
      </c>
      <c r="AA652" s="738">
        <v>0</v>
      </c>
      <c r="AB652" s="92"/>
      <c r="AC652" s="92"/>
      <c r="AD652" s="92"/>
      <c r="AE652" s="92"/>
      <c r="AF652" s="92"/>
      <c r="AG652" s="92"/>
    </row>
    <row r="653" s="570" customFormat="1" ht="24.95" customHeight="1" spans="1:33">
      <c r="A653" s="705">
        <v>84</v>
      </c>
      <c r="B653" s="92" t="s">
        <v>459</v>
      </c>
      <c r="C653" s="92"/>
      <c r="D653" s="76" t="s">
        <v>147</v>
      </c>
      <c r="E653" s="92">
        <v>0</v>
      </c>
      <c r="F653" s="92">
        <v>0</v>
      </c>
      <c r="G653" s="92"/>
      <c r="H653" s="724">
        <v>0</v>
      </c>
      <c r="I653" s="724">
        <v>0</v>
      </c>
      <c r="J653" s="724">
        <v>0</v>
      </c>
      <c r="K653" s="724">
        <v>0</v>
      </c>
      <c r="L653" s="724">
        <v>0</v>
      </c>
      <c r="M653" s="724">
        <v>0</v>
      </c>
      <c r="N653" s="724">
        <v>0</v>
      </c>
      <c r="O653" s="724">
        <v>0</v>
      </c>
      <c r="P653" s="724">
        <v>0</v>
      </c>
      <c r="Q653" s="724">
        <v>0</v>
      </c>
      <c r="R653" s="724">
        <v>0</v>
      </c>
      <c r="S653" s="724">
        <v>0</v>
      </c>
      <c r="T653" s="724">
        <v>0</v>
      </c>
      <c r="U653" s="724">
        <v>0</v>
      </c>
      <c r="V653" s="724">
        <v>0</v>
      </c>
      <c r="W653" s="92">
        <v>0</v>
      </c>
      <c r="X653" s="92">
        <v>0</v>
      </c>
      <c r="Y653" s="738">
        <v>0</v>
      </c>
      <c r="Z653" s="738">
        <v>0</v>
      </c>
      <c r="AA653" s="738">
        <v>0</v>
      </c>
      <c r="AB653" s="92"/>
      <c r="AC653" s="92"/>
      <c r="AD653" s="92"/>
      <c r="AE653" s="92"/>
      <c r="AF653" s="92" t="s">
        <v>338</v>
      </c>
      <c r="AG653" s="92" t="s">
        <v>41</v>
      </c>
    </row>
    <row r="654" s="570" customFormat="1" ht="24.95" customHeight="1" spans="1:33">
      <c r="A654" s="705" t="s">
        <v>48</v>
      </c>
      <c r="B654" s="92" t="s">
        <v>148</v>
      </c>
      <c r="C654" s="92"/>
      <c r="D654" s="76"/>
      <c r="E654" s="92">
        <v>0</v>
      </c>
      <c r="F654" s="92">
        <v>0</v>
      </c>
      <c r="G654" s="92"/>
      <c r="H654" s="724">
        <v>0</v>
      </c>
      <c r="I654" s="724">
        <v>0</v>
      </c>
      <c r="J654" s="724">
        <v>0</v>
      </c>
      <c r="K654" s="724">
        <v>0</v>
      </c>
      <c r="L654" s="724">
        <v>0</v>
      </c>
      <c r="M654" s="724">
        <v>0</v>
      </c>
      <c r="N654" s="724">
        <v>0</v>
      </c>
      <c r="O654" s="724">
        <v>0</v>
      </c>
      <c r="P654" s="724">
        <v>0</v>
      </c>
      <c r="Q654" s="724">
        <v>0</v>
      </c>
      <c r="R654" s="724">
        <v>0</v>
      </c>
      <c r="S654" s="724">
        <v>0</v>
      </c>
      <c r="T654" s="724">
        <v>0</v>
      </c>
      <c r="U654" s="724">
        <v>0</v>
      </c>
      <c r="V654" s="724">
        <v>0</v>
      </c>
      <c r="W654" s="92">
        <v>0</v>
      </c>
      <c r="X654" s="92">
        <v>0</v>
      </c>
      <c r="Y654" s="738">
        <v>0</v>
      </c>
      <c r="Z654" s="738">
        <v>0</v>
      </c>
      <c r="AA654" s="738">
        <v>0</v>
      </c>
      <c r="AB654" s="92"/>
      <c r="AC654" s="92"/>
      <c r="AD654" s="92"/>
      <c r="AE654" s="92"/>
      <c r="AF654" s="92"/>
      <c r="AG654" s="92"/>
    </row>
    <row r="655" s="570" customFormat="1" ht="32.1" customHeight="1" spans="1:33">
      <c r="A655" s="705">
        <v>85</v>
      </c>
      <c r="B655" s="706" t="s">
        <v>460</v>
      </c>
      <c r="C655" s="706"/>
      <c r="D655" s="707"/>
      <c r="E655" s="92">
        <v>1313</v>
      </c>
      <c r="F655" s="92">
        <v>0</v>
      </c>
      <c r="G655" s="92"/>
      <c r="H655" s="724">
        <v>932783.054</v>
      </c>
      <c r="I655" s="724">
        <v>860960.064</v>
      </c>
      <c r="J655" s="724">
        <v>54276.38</v>
      </c>
      <c r="K655" s="724">
        <v>19813.61</v>
      </c>
      <c r="L655" s="724">
        <v>0</v>
      </c>
      <c r="M655" s="724">
        <v>0</v>
      </c>
      <c r="N655" s="724">
        <v>90335.360864</v>
      </c>
      <c r="O655" s="724">
        <v>49030.936364</v>
      </c>
      <c r="P655" s="724">
        <v>24622.64</v>
      </c>
      <c r="Q655" s="724">
        <v>16681.7845</v>
      </c>
      <c r="R655" s="872">
        <v>29773.9655</v>
      </c>
      <c r="S655" s="872">
        <v>58761.395364</v>
      </c>
      <c r="T655" s="872">
        <v>0</v>
      </c>
      <c r="U655" s="724">
        <v>1800</v>
      </c>
      <c r="V655" s="724">
        <v>0</v>
      </c>
      <c r="W655" s="92">
        <v>0</v>
      </c>
      <c r="X655" s="92">
        <v>0</v>
      </c>
      <c r="Y655" s="738">
        <v>226362.894736842</v>
      </c>
      <c r="Z655" s="738">
        <v>951879</v>
      </c>
      <c r="AA655" s="738">
        <v>1313</v>
      </c>
      <c r="AB655" s="706"/>
      <c r="AC655" s="706"/>
      <c r="AD655" s="706"/>
      <c r="AE655" s="706"/>
      <c r="AF655" s="706"/>
      <c r="AG655" s="706" t="s">
        <v>41</v>
      </c>
    </row>
    <row r="656" s="570" customFormat="1" ht="24.95" customHeight="1" spans="1:33">
      <c r="A656" s="705">
        <v>86</v>
      </c>
      <c r="B656" s="791" t="s">
        <v>461</v>
      </c>
      <c r="C656" s="708"/>
      <c r="D656" s="709"/>
      <c r="E656" s="92">
        <v>0</v>
      </c>
      <c r="F656" s="92">
        <v>0</v>
      </c>
      <c r="G656" s="92"/>
      <c r="H656" s="724">
        <v>0</v>
      </c>
      <c r="I656" s="724">
        <v>0</v>
      </c>
      <c r="J656" s="724">
        <v>0</v>
      </c>
      <c r="K656" s="724">
        <v>0</v>
      </c>
      <c r="L656" s="724">
        <v>0</v>
      </c>
      <c r="M656" s="724">
        <v>0</v>
      </c>
      <c r="N656" s="724">
        <v>0</v>
      </c>
      <c r="O656" s="724">
        <v>0</v>
      </c>
      <c r="P656" s="724">
        <v>0</v>
      </c>
      <c r="Q656" s="724">
        <v>0</v>
      </c>
      <c r="R656" s="724">
        <v>0</v>
      </c>
      <c r="S656" s="724">
        <v>0</v>
      </c>
      <c r="T656" s="724">
        <v>0</v>
      </c>
      <c r="U656" s="724">
        <v>0</v>
      </c>
      <c r="V656" s="724">
        <v>0</v>
      </c>
      <c r="W656" s="92">
        <v>0</v>
      </c>
      <c r="X656" s="92">
        <v>0</v>
      </c>
      <c r="Y656" s="738">
        <v>0</v>
      </c>
      <c r="Z656" s="738">
        <v>0</v>
      </c>
      <c r="AA656" s="738">
        <v>0</v>
      </c>
      <c r="AB656" s="708"/>
      <c r="AC656" s="708"/>
      <c r="AD656" s="708"/>
      <c r="AE656" s="708"/>
      <c r="AF656" s="708"/>
      <c r="AG656" s="708"/>
    </row>
    <row r="657" s="570" customFormat="1" ht="24.95" customHeight="1" spans="1:33">
      <c r="A657" s="705" t="s">
        <v>48</v>
      </c>
      <c r="B657" s="92" t="s">
        <v>148</v>
      </c>
      <c r="C657" s="92"/>
      <c r="D657" s="76"/>
      <c r="E657" s="92">
        <v>0</v>
      </c>
      <c r="F657" s="92">
        <v>0</v>
      </c>
      <c r="G657" s="92"/>
      <c r="H657" s="724">
        <v>0</v>
      </c>
      <c r="I657" s="724">
        <v>0</v>
      </c>
      <c r="J657" s="724">
        <v>0</v>
      </c>
      <c r="K657" s="724">
        <v>0</v>
      </c>
      <c r="L657" s="724">
        <v>0</v>
      </c>
      <c r="M657" s="724">
        <v>0</v>
      </c>
      <c r="N657" s="724">
        <v>0</v>
      </c>
      <c r="O657" s="724">
        <v>0</v>
      </c>
      <c r="P657" s="724">
        <v>0</v>
      </c>
      <c r="Q657" s="724">
        <v>0</v>
      </c>
      <c r="R657" s="724">
        <v>0</v>
      </c>
      <c r="S657" s="724">
        <v>0</v>
      </c>
      <c r="T657" s="724">
        <v>0</v>
      </c>
      <c r="U657" s="724">
        <v>0</v>
      </c>
      <c r="V657" s="724">
        <v>0</v>
      </c>
      <c r="W657" s="92">
        <v>0</v>
      </c>
      <c r="X657" s="92">
        <v>0</v>
      </c>
      <c r="Y657" s="738">
        <v>0</v>
      </c>
      <c r="Z657" s="738">
        <v>0</v>
      </c>
      <c r="AA657" s="738">
        <v>0</v>
      </c>
      <c r="AB657" s="92"/>
      <c r="AC657" s="92"/>
      <c r="AD657" s="92"/>
      <c r="AE657" s="92"/>
      <c r="AF657" s="92"/>
      <c r="AG657" s="92"/>
    </row>
    <row r="658" s="570" customFormat="1" ht="24.95" customHeight="1" spans="1:33">
      <c r="A658" s="705">
        <v>87</v>
      </c>
      <c r="B658" s="791" t="s">
        <v>462</v>
      </c>
      <c r="C658" s="708"/>
      <c r="D658" s="709" t="s">
        <v>192</v>
      </c>
      <c r="E658" s="92">
        <v>76</v>
      </c>
      <c r="F658" s="92">
        <v>0</v>
      </c>
      <c r="G658" s="92"/>
      <c r="H658" s="724">
        <v>847412.223</v>
      </c>
      <c r="I658" s="724">
        <v>846479.233</v>
      </c>
      <c r="J658" s="724">
        <v>573.38</v>
      </c>
      <c r="K658" s="724">
        <v>359.61</v>
      </c>
      <c r="L658" s="724">
        <v>0</v>
      </c>
      <c r="M658" s="724">
        <v>0</v>
      </c>
      <c r="N658" s="724">
        <v>38152.110864</v>
      </c>
      <c r="O658" s="724">
        <v>18488.590864</v>
      </c>
      <c r="P658" s="724">
        <v>12374</v>
      </c>
      <c r="Q658" s="724">
        <v>7289.52</v>
      </c>
      <c r="R658" s="724">
        <v>0</v>
      </c>
      <c r="S658" s="724">
        <v>38152.110864</v>
      </c>
      <c r="T658" s="724">
        <v>0</v>
      </c>
      <c r="U658" s="724">
        <v>0</v>
      </c>
      <c r="V658" s="724">
        <v>0</v>
      </c>
      <c r="W658" s="92">
        <v>0</v>
      </c>
      <c r="X658" s="92" t="s">
        <v>463</v>
      </c>
      <c r="Y658" s="738">
        <v>88750</v>
      </c>
      <c r="Z658" s="738">
        <v>378340</v>
      </c>
      <c r="AA658" s="738">
        <v>76</v>
      </c>
      <c r="AB658" s="708"/>
      <c r="AC658" s="708"/>
      <c r="AD658" s="708"/>
      <c r="AE658" s="708"/>
      <c r="AF658" s="708" t="s">
        <v>271</v>
      </c>
      <c r="AG658" s="708" t="s">
        <v>41</v>
      </c>
    </row>
    <row r="659" s="570" customFormat="1" ht="36" spans="1:33">
      <c r="A659" s="705">
        <v>88</v>
      </c>
      <c r="B659" s="95" t="s">
        <v>464</v>
      </c>
      <c r="C659" s="92"/>
      <c r="D659" s="76" t="s">
        <v>192</v>
      </c>
      <c r="E659" s="92">
        <v>27</v>
      </c>
      <c r="F659" s="92">
        <v>0</v>
      </c>
      <c r="G659" s="92"/>
      <c r="H659" s="724">
        <v>768.84</v>
      </c>
      <c r="I659" s="724">
        <v>195.86</v>
      </c>
      <c r="J659" s="724">
        <v>358</v>
      </c>
      <c r="K659" s="724">
        <v>214.98</v>
      </c>
      <c r="L659" s="724">
        <v>0</v>
      </c>
      <c r="M659" s="724">
        <v>0</v>
      </c>
      <c r="N659" s="724">
        <v>5381.817</v>
      </c>
      <c r="O659" s="724">
        <v>1370.817</v>
      </c>
      <c r="P659" s="724">
        <v>2506</v>
      </c>
      <c r="Q659" s="724">
        <v>1505</v>
      </c>
      <c r="R659" s="724">
        <v>0</v>
      </c>
      <c r="S659" s="724">
        <v>5381.817</v>
      </c>
      <c r="T659" s="724">
        <v>0</v>
      </c>
      <c r="U659" s="724">
        <v>0</v>
      </c>
      <c r="V659" s="724">
        <v>0</v>
      </c>
      <c r="W659" s="92">
        <v>0</v>
      </c>
      <c r="X659" s="92" t="s">
        <v>463</v>
      </c>
      <c r="Y659" s="738">
        <v>29351</v>
      </c>
      <c r="Z659" s="738">
        <v>125899</v>
      </c>
      <c r="AA659" s="738">
        <v>27</v>
      </c>
      <c r="AB659" s="92"/>
      <c r="AC659" s="92"/>
      <c r="AD659" s="753" t="s">
        <v>465</v>
      </c>
      <c r="AE659" s="753" t="s">
        <v>466</v>
      </c>
      <c r="AF659" s="712" t="s">
        <v>271</v>
      </c>
      <c r="AG659" s="92" t="s">
        <v>41</v>
      </c>
    </row>
    <row r="660" s="570" customFormat="1" ht="29" customHeight="1" spans="1:33">
      <c r="A660" s="705"/>
      <c r="B660" s="97" t="s">
        <v>69</v>
      </c>
      <c r="C660" s="71" t="s">
        <v>52</v>
      </c>
      <c r="D660" s="71" t="s">
        <v>192</v>
      </c>
      <c r="E660" s="92">
        <v>1</v>
      </c>
      <c r="F660" s="92" t="s">
        <v>69</v>
      </c>
      <c r="G660" s="92"/>
      <c r="H660" s="724">
        <v>24.01</v>
      </c>
      <c r="I660" s="724">
        <v>0</v>
      </c>
      <c r="J660" s="724">
        <v>24.01</v>
      </c>
      <c r="K660" s="724">
        <v>0</v>
      </c>
      <c r="L660" s="724">
        <v>0</v>
      </c>
      <c r="M660" s="724">
        <v>0</v>
      </c>
      <c r="N660" s="724">
        <v>168.063</v>
      </c>
      <c r="O660" s="724">
        <v>0</v>
      </c>
      <c r="P660" s="724">
        <v>168.063</v>
      </c>
      <c r="Q660" s="724">
        <v>0</v>
      </c>
      <c r="R660" s="724">
        <v>0</v>
      </c>
      <c r="S660" s="724">
        <v>168.063</v>
      </c>
      <c r="T660" s="724">
        <v>0</v>
      </c>
      <c r="U660" s="724">
        <v>0</v>
      </c>
      <c r="V660" s="724">
        <v>0</v>
      </c>
      <c r="W660" s="92">
        <v>0</v>
      </c>
      <c r="X660" s="92" t="s">
        <v>463</v>
      </c>
      <c r="Y660" s="738">
        <v>2416</v>
      </c>
      <c r="Z660" s="738">
        <v>10430</v>
      </c>
      <c r="AA660" s="738">
        <v>1</v>
      </c>
      <c r="AB660" s="92"/>
      <c r="AC660" s="92"/>
      <c r="AD660" s="146" t="s">
        <v>425</v>
      </c>
      <c r="AE660" s="146" t="s">
        <v>467</v>
      </c>
      <c r="AF660" s="712" t="s">
        <v>271</v>
      </c>
      <c r="AG660" s="92"/>
    </row>
    <row r="661" s="570" customFormat="1" ht="29" customHeight="1" spans="1:33">
      <c r="A661" s="705"/>
      <c r="B661" s="97" t="s">
        <v>51</v>
      </c>
      <c r="C661" s="71" t="s">
        <v>52</v>
      </c>
      <c r="D661" s="71" t="s">
        <v>192</v>
      </c>
      <c r="E661" s="92">
        <v>1</v>
      </c>
      <c r="F661" s="92" t="s">
        <v>51</v>
      </c>
      <c r="G661" s="92"/>
      <c r="H661" s="724">
        <v>6.8</v>
      </c>
      <c r="I661" s="724">
        <v>0</v>
      </c>
      <c r="J661" s="724">
        <v>6.8</v>
      </c>
      <c r="K661" s="724">
        <v>0</v>
      </c>
      <c r="L661" s="724">
        <v>0</v>
      </c>
      <c r="M661" s="724">
        <v>0</v>
      </c>
      <c r="N661" s="724">
        <v>47.6</v>
      </c>
      <c r="O661" s="724">
        <v>0</v>
      </c>
      <c r="P661" s="724">
        <v>47.6</v>
      </c>
      <c r="Q661" s="724">
        <v>0</v>
      </c>
      <c r="R661" s="724">
        <v>0</v>
      </c>
      <c r="S661" s="724">
        <v>47.6</v>
      </c>
      <c r="T661" s="724">
        <v>0</v>
      </c>
      <c r="U661" s="724">
        <v>0</v>
      </c>
      <c r="V661" s="724">
        <v>0</v>
      </c>
      <c r="W661" s="92">
        <v>0</v>
      </c>
      <c r="X661" s="92" t="s">
        <v>463</v>
      </c>
      <c r="Y661" s="738">
        <v>315</v>
      </c>
      <c r="Z661" s="738">
        <v>1303</v>
      </c>
      <c r="AA661" s="738">
        <v>1</v>
      </c>
      <c r="AB661" s="92"/>
      <c r="AC661" s="92"/>
      <c r="AD661" s="146" t="s">
        <v>389</v>
      </c>
      <c r="AE661" s="146" t="s">
        <v>468</v>
      </c>
      <c r="AF661" s="712" t="s">
        <v>271</v>
      </c>
      <c r="AG661" s="92"/>
    </row>
    <row r="662" s="570" customFormat="1" ht="29" customHeight="1" spans="1:33">
      <c r="A662" s="705"/>
      <c r="B662" s="97" t="s">
        <v>72</v>
      </c>
      <c r="C662" s="71" t="s">
        <v>52</v>
      </c>
      <c r="D662" s="71" t="s">
        <v>192</v>
      </c>
      <c r="E662" s="92">
        <v>3</v>
      </c>
      <c r="F662" s="92" t="s">
        <v>72</v>
      </c>
      <c r="G662" s="92"/>
      <c r="H662" s="724">
        <v>68.51</v>
      </c>
      <c r="I662" s="724">
        <v>6.2</v>
      </c>
      <c r="J662" s="724">
        <v>17.89</v>
      </c>
      <c r="K662" s="724">
        <v>44.42</v>
      </c>
      <c r="L662" s="724">
        <v>2018.01</v>
      </c>
      <c r="M662" s="724">
        <v>2020.12</v>
      </c>
      <c r="N662" s="724">
        <v>479.57</v>
      </c>
      <c r="O662" s="724">
        <v>43.4</v>
      </c>
      <c r="P662" s="724">
        <v>125.23</v>
      </c>
      <c r="Q662" s="724">
        <v>310.94</v>
      </c>
      <c r="R662" s="724">
        <v>0</v>
      </c>
      <c r="S662" s="724">
        <v>479.57</v>
      </c>
      <c r="T662" s="724">
        <v>0</v>
      </c>
      <c r="U662" s="724">
        <v>0</v>
      </c>
      <c r="V662" s="724">
        <v>0</v>
      </c>
      <c r="W662" s="92">
        <v>0</v>
      </c>
      <c r="X662" s="92" t="s">
        <v>463</v>
      </c>
      <c r="Y662" s="738">
        <v>2133</v>
      </c>
      <c r="Z662" s="738">
        <v>8982</v>
      </c>
      <c r="AA662" s="738">
        <v>3</v>
      </c>
      <c r="AB662" s="92"/>
      <c r="AC662" s="92"/>
      <c r="AD662" s="146" t="s">
        <v>469</v>
      </c>
      <c r="AE662" s="146" t="s">
        <v>470</v>
      </c>
      <c r="AF662" s="712" t="s">
        <v>271</v>
      </c>
      <c r="AG662" s="92"/>
    </row>
    <row r="663" s="570" customFormat="1" ht="29" customHeight="1" spans="1:33">
      <c r="A663" s="705"/>
      <c r="B663" s="97" t="s">
        <v>91</v>
      </c>
      <c r="C663" s="71" t="s">
        <v>52</v>
      </c>
      <c r="D663" s="71" t="s">
        <v>192</v>
      </c>
      <c r="E663" s="92">
        <v>2</v>
      </c>
      <c r="F663" s="92" t="s">
        <v>91</v>
      </c>
      <c r="G663" s="92"/>
      <c r="H663" s="724">
        <v>69.03</v>
      </c>
      <c r="I663" s="724">
        <v>7.72</v>
      </c>
      <c r="J663" s="724">
        <v>61.31</v>
      </c>
      <c r="K663" s="724">
        <v>0</v>
      </c>
      <c r="L663" s="724">
        <v>2018.01</v>
      </c>
      <c r="M663" s="724">
        <v>0</v>
      </c>
      <c r="N663" s="724">
        <v>483.203</v>
      </c>
      <c r="O663" s="724">
        <v>54.012</v>
      </c>
      <c r="P663" s="724">
        <v>429.191</v>
      </c>
      <c r="Q663" s="724">
        <v>0</v>
      </c>
      <c r="R663" s="724">
        <v>0</v>
      </c>
      <c r="S663" s="724">
        <v>483.203</v>
      </c>
      <c r="T663" s="724">
        <v>0</v>
      </c>
      <c r="U663" s="724">
        <v>0</v>
      </c>
      <c r="V663" s="724">
        <v>0</v>
      </c>
      <c r="W663" s="92">
        <v>0</v>
      </c>
      <c r="X663" s="92" t="s">
        <v>463</v>
      </c>
      <c r="Y663" s="738">
        <v>2090</v>
      </c>
      <c r="Z663" s="738">
        <v>8308</v>
      </c>
      <c r="AA663" s="738">
        <v>2</v>
      </c>
      <c r="AB663" s="92"/>
      <c r="AC663" s="92"/>
      <c r="AD663" s="146" t="s">
        <v>471</v>
      </c>
      <c r="AE663" s="146" t="s">
        <v>472</v>
      </c>
      <c r="AF663" s="712" t="s">
        <v>271</v>
      </c>
      <c r="AG663" s="92"/>
    </row>
    <row r="664" s="570" customFormat="1" ht="29" customHeight="1" spans="1:33">
      <c r="A664" s="705"/>
      <c r="B664" s="97" t="s">
        <v>55</v>
      </c>
      <c r="C664" s="71" t="s">
        <v>52</v>
      </c>
      <c r="D664" s="71" t="s">
        <v>192</v>
      </c>
      <c r="E664" s="92">
        <v>3</v>
      </c>
      <c r="F664" s="92" t="s">
        <v>55</v>
      </c>
      <c r="G664" s="92"/>
      <c r="H664" s="724">
        <v>113.1</v>
      </c>
      <c r="I664" s="724">
        <v>23</v>
      </c>
      <c r="J664" s="724">
        <v>48.57</v>
      </c>
      <c r="K664" s="724">
        <v>41.53</v>
      </c>
      <c r="L664" s="724">
        <v>2018.01</v>
      </c>
      <c r="M664" s="724">
        <v>2020.12</v>
      </c>
      <c r="N664" s="724">
        <v>791.679</v>
      </c>
      <c r="O664" s="724">
        <v>160.888</v>
      </c>
      <c r="P664" s="724">
        <v>339.962</v>
      </c>
      <c r="Q664" s="724">
        <v>290.829</v>
      </c>
      <c r="R664" s="724">
        <v>0</v>
      </c>
      <c r="S664" s="724">
        <v>791.679</v>
      </c>
      <c r="T664" s="724">
        <v>0</v>
      </c>
      <c r="U664" s="724">
        <v>0</v>
      </c>
      <c r="V664" s="724">
        <v>0</v>
      </c>
      <c r="W664" s="92">
        <v>0</v>
      </c>
      <c r="X664" s="92" t="s">
        <v>463</v>
      </c>
      <c r="Y664" s="738">
        <v>8760</v>
      </c>
      <c r="Z664" s="738">
        <v>36915</v>
      </c>
      <c r="AA664" s="738">
        <v>3</v>
      </c>
      <c r="AB664" s="92"/>
      <c r="AC664" s="92"/>
      <c r="AD664" s="146" t="s">
        <v>473</v>
      </c>
      <c r="AE664" s="146" t="s">
        <v>474</v>
      </c>
      <c r="AF664" s="712" t="s">
        <v>271</v>
      </c>
      <c r="AG664" s="92"/>
    </row>
    <row r="665" s="570" customFormat="1" ht="29" customHeight="1" spans="1:33">
      <c r="A665" s="705"/>
      <c r="B665" s="97" t="s">
        <v>75</v>
      </c>
      <c r="C665" s="71" t="s">
        <v>52</v>
      </c>
      <c r="D665" s="71" t="s">
        <v>192</v>
      </c>
      <c r="E665" s="92">
        <v>1</v>
      </c>
      <c r="F665" s="92" t="s">
        <v>75</v>
      </c>
      <c r="G665" s="92"/>
      <c r="H665" s="724">
        <v>52.78</v>
      </c>
      <c r="I665" s="724">
        <v>0</v>
      </c>
      <c r="J665" s="724">
        <v>52.78</v>
      </c>
      <c r="K665" s="724">
        <v>0</v>
      </c>
      <c r="L665" s="724">
        <v>0</v>
      </c>
      <c r="M665" s="724">
        <v>0</v>
      </c>
      <c r="N665" s="724">
        <v>369.432</v>
      </c>
      <c r="O665" s="724">
        <v>0</v>
      </c>
      <c r="P665" s="724">
        <v>369.432</v>
      </c>
      <c r="Q665" s="724">
        <v>0</v>
      </c>
      <c r="R665" s="724">
        <v>0</v>
      </c>
      <c r="S665" s="724">
        <v>369.432</v>
      </c>
      <c r="T665" s="724">
        <v>0</v>
      </c>
      <c r="U665" s="724">
        <v>0</v>
      </c>
      <c r="V665" s="724">
        <v>0</v>
      </c>
      <c r="W665" s="92">
        <v>0</v>
      </c>
      <c r="X665" s="92" t="s">
        <v>463</v>
      </c>
      <c r="Y665" s="738">
        <v>2818</v>
      </c>
      <c r="Z665" s="738">
        <v>12718</v>
      </c>
      <c r="AA665" s="738">
        <v>1</v>
      </c>
      <c r="AB665" s="92"/>
      <c r="AC665" s="92"/>
      <c r="AD665" s="146" t="s">
        <v>329</v>
      </c>
      <c r="AE665" s="146" t="s">
        <v>475</v>
      </c>
      <c r="AF665" s="712" t="s">
        <v>271</v>
      </c>
      <c r="AG665" s="92"/>
    </row>
    <row r="666" s="570" customFormat="1" ht="29" customHeight="1" spans="1:33">
      <c r="A666" s="705"/>
      <c r="B666" s="97" t="s">
        <v>58</v>
      </c>
      <c r="C666" s="71" t="s">
        <v>52</v>
      </c>
      <c r="D666" s="71" t="s">
        <v>192</v>
      </c>
      <c r="E666" s="92">
        <v>3</v>
      </c>
      <c r="F666" s="92" t="s">
        <v>58</v>
      </c>
      <c r="G666" s="92"/>
      <c r="H666" s="724">
        <v>69.55</v>
      </c>
      <c r="I666" s="724">
        <v>12.41</v>
      </c>
      <c r="J666" s="724">
        <v>38.41</v>
      </c>
      <c r="K666" s="724">
        <v>18.73</v>
      </c>
      <c r="L666" s="724">
        <v>2018.01</v>
      </c>
      <c r="M666" s="724">
        <v>2020.12</v>
      </c>
      <c r="N666" s="724">
        <v>486.829</v>
      </c>
      <c r="O666" s="724">
        <v>86.877</v>
      </c>
      <c r="P666" s="724">
        <v>268.877</v>
      </c>
      <c r="Q666" s="724">
        <v>131.075</v>
      </c>
      <c r="R666" s="724">
        <v>0</v>
      </c>
      <c r="S666" s="724">
        <v>486.829</v>
      </c>
      <c r="T666" s="724">
        <v>0</v>
      </c>
      <c r="U666" s="724">
        <v>0</v>
      </c>
      <c r="V666" s="724">
        <v>0</v>
      </c>
      <c r="W666" s="92">
        <v>0</v>
      </c>
      <c r="X666" s="92" t="s">
        <v>463</v>
      </c>
      <c r="Y666" s="738">
        <v>1872</v>
      </c>
      <c r="Z666" s="738">
        <v>7950</v>
      </c>
      <c r="AA666" s="738">
        <v>3</v>
      </c>
      <c r="AB666" s="92"/>
      <c r="AC666" s="92"/>
      <c r="AD666" s="146" t="s">
        <v>476</v>
      </c>
      <c r="AE666" s="146" t="s">
        <v>477</v>
      </c>
      <c r="AF666" s="712" t="s">
        <v>271</v>
      </c>
      <c r="AG666" s="92"/>
    </row>
    <row r="667" s="570" customFormat="1" ht="29" customHeight="1" spans="1:33">
      <c r="A667" s="705"/>
      <c r="B667" s="97" t="s">
        <v>61</v>
      </c>
      <c r="C667" s="71" t="s">
        <v>52</v>
      </c>
      <c r="D667" s="71" t="s">
        <v>192</v>
      </c>
      <c r="E667" s="92">
        <v>2</v>
      </c>
      <c r="F667" s="92" t="s">
        <v>61</v>
      </c>
      <c r="G667" s="92"/>
      <c r="H667" s="724">
        <v>83.93</v>
      </c>
      <c r="I667" s="724">
        <v>40.34</v>
      </c>
      <c r="J667" s="724">
        <v>43.59</v>
      </c>
      <c r="K667" s="724">
        <v>0</v>
      </c>
      <c r="L667" s="724">
        <v>2018.01</v>
      </c>
      <c r="M667" s="724">
        <v>0</v>
      </c>
      <c r="N667" s="724">
        <v>587.531</v>
      </c>
      <c r="O667" s="724">
        <v>282.387</v>
      </c>
      <c r="P667" s="724">
        <v>305.144</v>
      </c>
      <c r="Q667" s="724">
        <v>0</v>
      </c>
      <c r="R667" s="724">
        <v>0</v>
      </c>
      <c r="S667" s="724">
        <v>587.531</v>
      </c>
      <c r="T667" s="724">
        <v>0</v>
      </c>
      <c r="U667" s="724">
        <v>0</v>
      </c>
      <c r="V667" s="724">
        <v>0</v>
      </c>
      <c r="W667" s="92">
        <v>0</v>
      </c>
      <c r="X667" s="92" t="s">
        <v>463</v>
      </c>
      <c r="Y667" s="738">
        <v>2542</v>
      </c>
      <c r="Z667" s="738">
        <v>11500</v>
      </c>
      <c r="AA667" s="738">
        <v>2</v>
      </c>
      <c r="AB667" s="92"/>
      <c r="AC667" s="92"/>
      <c r="AD667" s="146" t="s">
        <v>478</v>
      </c>
      <c r="AE667" s="146" t="s">
        <v>479</v>
      </c>
      <c r="AF667" s="712" t="s">
        <v>271</v>
      </c>
      <c r="AG667" s="92"/>
    </row>
    <row r="668" s="570" customFormat="1" ht="29" customHeight="1" spans="1:33">
      <c r="A668" s="705"/>
      <c r="B668" s="97" t="s">
        <v>92</v>
      </c>
      <c r="C668" s="71" t="s">
        <v>52</v>
      </c>
      <c r="D668" s="71" t="s">
        <v>192</v>
      </c>
      <c r="E668" s="92">
        <v>3</v>
      </c>
      <c r="F668" s="92" t="s">
        <v>92</v>
      </c>
      <c r="G668" s="92"/>
      <c r="H668" s="724">
        <v>95.7</v>
      </c>
      <c r="I668" s="724">
        <v>8.69</v>
      </c>
      <c r="J668" s="724">
        <v>30.6</v>
      </c>
      <c r="K668" s="724">
        <v>56.41</v>
      </c>
      <c r="L668" s="724">
        <v>2018.01</v>
      </c>
      <c r="M668" s="724">
        <v>2020.12</v>
      </c>
      <c r="N668" s="724">
        <v>669.9</v>
      </c>
      <c r="O668" s="724">
        <v>60.823</v>
      </c>
      <c r="P668" s="724">
        <v>214.2</v>
      </c>
      <c r="Q668" s="724">
        <v>394.877</v>
      </c>
      <c r="R668" s="724">
        <v>0</v>
      </c>
      <c r="S668" s="724">
        <v>669.9</v>
      </c>
      <c r="T668" s="724">
        <v>0</v>
      </c>
      <c r="U668" s="724">
        <v>0</v>
      </c>
      <c r="V668" s="724">
        <v>0</v>
      </c>
      <c r="W668" s="92">
        <v>0</v>
      </c>
      <c r="X668" s="92" t="s">
        <v>463</v>
      </c>
      <c r="Y668" s="738">
        <v>2781</v>
      </c>
      <c r="Z668" s="738">
        <v>12978</v>
      </c>
      <c r="AA668" s="738">
        <v>3</v>
      </c>
      <c r="AB668" s="92"/>
      <c r="AC668" s="92"/>
      <c r="AD668" s="146" t="s">
        <v>480</v>
      </c>
      <c r="AE668" s="146" t="s">
        <v>481</v>
      </c>
      <c r="AF668" s="712" t="s">
        <v>271</v>
      </c>
      <c r="AG668" s="92"/>
    </row>
    <row r="669" s="570" customFormat="1" ht="29" customHeight="1" spans="1:33">
      <c r="A669" s="705"/>
      <c r="B669" s="97" t="s">
        <v>114</v>
      </c>
      <c r="C669" s="71" t="s">
        <v>52</v>
      </c>
      <c r="D669" s="71" t="s">
        <v>192</v>
      </c>
      <c r="E669" s="92">
        <v>2</v>
      </c>
      <c r="F669" s="92" t="s">
        <v>114</v>
      </c>
      <c r="G669" s="92"/>
      <c r="H669" s="724">
        <v>24.99</v>
      </c>
      <c r="I669" s="724">
        <v>22.88</v>
      </c>
      <c r="J669" s="724">
        <v>2.11</v>
      </c>
      <c r="K669" s="724">
        <v>0</v>
      </c>
      <c r="L669" s="724">
        <v>2018.01</v>
      </c>
      <c r="M669" s="724">
        <v>0</v>
      </c>
      <c r="N669" s="724">
        <v>174.909</v>
      </c>
      <c r="O669" s="724">
        <v>160.139</v>
      </c>
      <c r="P669" s="724">
        <v>14.77</v>
      </c>
      <c r="Q669" s="724">
        <v>0</v>
      </c>
      <c r="R669" s="724">
        <v>0</v>
      </c>
      <c r="S669" s="724">
        <v>174.909</v>
      </c>
      <c r="T669" s="724">
        <v>0</v>
      </c>
      <c r="U669" s="724">
        <v>0</v>
      </c>
      <c r="V669" s="724">
        <v>0</v>
      </c>
      <c r="W669" s="92">
        <v>0</v>
      </c>
      <c r="X669" s="92" t="s">
        <v>463</v>
      </c>
      <c r="Y669" s="738">
        <v>1140</v>
      </c>
      <c r="Z669" s="738">
        <v>4708</v>
      </c>
      <c r="AA669" s="738">
        <v>2</v>
      </c>
      <c r="AB669" s="92"/>
      <c r="AC669" s="92"/>
      <c r="AD669" s="146" t="s">
        <v>315</v>
      </c>
      <c r="AE669" s="146" t="s">
        <v>482</v>
      </c>
      <c r="AF669" s="712" t="s">
        <v>271</v>
      </c>
      <c r="AG669" s="92"/>
    </row>
    <row r="670" s="570" customFormat="1" ht="29" customHeight="1" spans="1:33">
      <c r="A670" s="705"/>
      <c r="B670" s="97" t="s">
        <v>78</v>
      </c>
      <c r="C670" s="71" t="s">
        <v>52</v>
      </c>
      <c r="D670" s="71" t="s">
        <v>192</v>
      </c>
      <c r="E670" s="92">
        <v>3</v>
      </c>
      <c r="F670" s="92" t="s">
        <v>78</v>
      </c>
      <c r="G670" s="92"/>
      <c r="H670" s="724">
        <v>45.43</v>
      </c>
      <c r="I670" s="724">
        <v>21.63</v>
      </c>
      <c r="J670" s="724">
        <v>7.88</v>
      </c>
      <c r="K670" s="724">
        <v>15.92</v>
      </c>
      <c r="L670" s="724">
        <v>2018.01</v>
      </c>
      <c r="M670" s="724">
        <v>2020.12</v>
      </c>
      <c r="N670" s="724">
        <v>318.017</v>
      </c>
      <c r="O670" s="724">
        <v>151.396</v>
      </c>
      <c r="P670" s="724">
        <v>55.153</v>
      </c>
      <c r="Q670" s="724">
        <v>111.468</v>
      </c>
      <c r="R670" s="724">
        <v>0</v>
      </c>
      <c r="S670" s="724">
        <v>318.017</v>
      </c>
      <c r="T670" s="724">
        <v>0</v>
      </c>
      <c r="U670" s="724">
        <v>0</v>
      </c>
      <c r="V670" s="724">
        <v>0</v>
      </c>
      <c r="W670" s="92">
        <v>0</v>
      </c>
      <c r="X670" s="92" t="s">
        <v>463</v>
      </c>
      <c r="Y670" s="738">
        <v>432</v>
      </c>
      <c r="Z670" s="738">
        <v>2067</v>
      </c>
      <c r="AA670" s="738">
        <v>3</v>
      </c>
      <c r="AB670" s="92"/>
      <c r="AC670" s="92"/>
      <c r="AD670" s="146" t="s">
        <v>483</v>
      </c>
      <c r="AE670" s="146" t="s">
        <v>484</v>
      </c>
      <c r="AF670" s="712" t="s">
        <v>271</v>
      </c>
      <c r="AG670" s="92"/>
    </row>
    <row r="671" s="570" customFormat="1" ht="29" customHeight="1" spans="1:33">
      <c r="A671" s="705"/>
      <c r="B671" s="793" t="s">
        <v>64</v>
      </c>
      <c r="C671" s="71" t="s">
        <v>52</v>
      </c>
      <c r="D671" s="71" t="s">
        <v>192</v>
      </c>
      <c r="E671" s="92">
        <v>3</v>
      </c>
      <c r="F671" s="92" t="s">
        <v>64</v>
      </c>
      <c r="G671" s="92"/>
      <c r="H671" s="724">
        <v>115.01</v>
      </c>
      <c r="I671" s="724">
        <v>52.99</v>
      </c>
      <c r="J671" s="724">
        <v>24.05</v>
      </c>
      <c r="K671" s="724">
        <v>37.97</v>
      </c>
      <c r="L671" s="724">
        <v>2018.01</v>
      </c>
      <c r="M671" s="724">
        <v>2020.12</v>
      </c>
      <c r="N671" s="724">
        <v>805.084</v>
      </c>
      <c r="O671" s="724">
        <v>370.895</v>
      </c>
      <c r="P671" s="724">
        <v>168.378</v>
      </c>
      <c r="Q671" s="724">
        <v>265.811</v>
      </c>
      <c r="R671" s="724">
        <v>0</v>
      </c>
      <c r="S671" s="724">
        <v>805.084</v>
      </c>
      <c r="T671" s="724">
        <v>0</v>
      </c>
      <c r="U671" s="724">
        <v>0</v>
      </c>
      <c r="V671" s="724">
        <v>0</v>
      </c>
      <c r="W671" s="92">
        <v>0</v>
      </c>
      <c r="X671" s="92" t="s">
        <v>463</v>
      </c>
      <c r="Y671" s="738">
        <v>2052</v>
      </c>
      <c r="Z671" s="738">
        <v>8040</v>
      </c>
      <c r="AA671" s="738">
        <v>3</v>
      </c>
      <c r="AB671" s="92"/>
      <c r="AC671" s="92"/>
      <c r="AD671" s="146" t="s">
        <v>485</v>
      </c>
      <c r="AE671" s="146" t="s">
        <v>486</v>
      </c>
      <c r="AF671" s="712" t="s">
        <v>271</v>
      </c>
      <c r="AG671" s="92"/>
    </row>
    <row r="672" s="570" customFormat="1" ht="24.95" customHeight="1" spans="1:33">
      <c r="A672" s="794">
        <v>89</v>
      </c>
      <c r="B672" s="95" t="s">
        <v>487</v>
      </c>
      <c r="C672" s="95"/>
      <c r="D672" s="795"/>
      <c r="E672" s="92">
        <v>32</v>
      </c>
      <c r="F672" s="92">
        <v>0</v>
      </c>
      <c r="G672" s="92"/>
      <c r="H672" s="724">
        <v>539.5</v>
      </c>
      <c r="I672" s="724">
        <v>204.39</v>
      </c>
      <c r="J672" s="724">
        <v>190.48</v>
      </c>
      <c r="K672" s="724">
        <v>144.63</v>
      </c>
      <c r="L672" s="724">
        <v>0</v>
      </c>
      <c r="M672" s="724">
        <v>0</v>
      </c>
      <c r="N672" s="724">
        <v>25525.67</v>
      </c>
      <c r="O672" s="724">
        <v>10219.15</v>
      </c>
      <c r="P672" s="724">
        <v>9522</v>
      </c>
      <c r="Q672" s="724">
        <v>5784.52</v>
      </c>
      <c r="R672" s="724">
        <v>0</v>
      </c>
      <c r="S672" s="724">
        <v>25525.67</v>
      </c>
      <c r="T672" s="724">
        <v>0</v>
      </c>
      <c r="U672" s="724">
        <v>0</v>
      </c>
      <c r="V672" s="724">
        <v>0</v>
      </c>
      <c r="W672" s="92">
        <v>0</v>
      </c>
      <c r="X672" s="92" t="s">
        <v>463</v>
      </c>
      <c r="Y672" s="738">
        <v>40190</v>
      </c>
      <c r="Z672" s="738">
        <v>171087</v>
      </c>
      <c r="AA672" s="738">
        <v>32</v>
      </c>
      <c r="AB672" s="92"/>
      <c r="AC672" s="95"/>
      <c r="AD672" s="753" t="s">
        <v>465</v>
      </c>
      <c r="AE672" s="753" t="s">
        <v>466</v>
      </c>
      <c r="AF672" s="712" t="s">
        <v>271</v>
      </c>
      <c r="AG672" s="95"/>
    </row>
    <row r="673" s="570" customFormat="1" ht="24.95" customHeight="1" spans="1:33">
      <c r="A673" s="794"/>
      <c r="B673" s="785" t="s">
        <v>69</v>
      </c>
      <c r="C673" s="71" t="s">
        <v>488</v>
      </c>
      <c r="D673" s="71" t="s">
        <v>192</v>
      </c>
      <c r="E673" s="92">
        <v>3</v>
      </c>
      <c r="F673" s="92" t="s">
        <v>69</v>
      </c>
      <c r="G673" s="92"/>
      <c r="H673" s="724">
        <v>29.62</v>
      </c>
      <c r="I673" s="724">
        <v>0.9</v>
      </c>
      <c r="J673" s="724">
        <v>17</v>
      </c>
      <c r="K673" s="724">
        <v>11.72</v>
      </c>
      <c r="L673" s="724">
        <v>2018.01</v>
      </c>
      <c r="M673" s="724">
        <v>2020.12</v>
      </c>
      <c r="N673" s="724">
        <v>1365.84</v>
      </c>
      <c r="O673" s="724">
        <v>45</v>
      </c>
      <c r="P673" s="724">
        <v>852</v>
      </c>
      <c r="Q673" s="724">
        <v>468.84</v>
      </c>
      <c r="R673" s="724">
        <v>0</v>
      </c>
      <c r="S673" s="724">
        <v>1365.84</v>
      </c>
      <c r="T673" s="724">
        <v>0</v>
      </c>
      <c r="U673" s="724">
        <v>0</v>
      </c>
      <c r="V673" s="724">
        <v>0</v>
      </c>
      <c r="W673" s="92">
        <v>0</v>
      </c>
      <c r="X673" s="92" t="s">
        <v>463</v>
      </c>
      <c r="Y673" s="738">
        <v>4476</v>
      </c>
      <c r="Z673" s="738">
        <v>19407</v>
      </c>
      <c r="AA673" s="738">
        <v>3</v>
      </c>
      <c r="AB673" s="92"/>
      <c r="AC673" s="95"/>
      <c r="AD673" s="146" t="s">
        <v>425</v>
      </c>
      <c r="AE673" s="146" t="s">
        <v>467</v>
      </c>
      <c r="AF673" s="712" t="s">
        <v>271</v>
      </c>
      <c r="AG673" s="95"/>
    </row>
    <row r="674" s="570" customFormat="1" ht="24.95" customHeight="1" spans="1:33">
      <c r="A674" s="794"/>
      <c r="B674" s="785" t="s">
        <v>51</v>
      </c>
      <c r="C674" s="71" t="s">
        <v>488</v>
      </c>
      <c r="D674" s="71" t="s">
        <v>192</v>
      </c>
      <c r="E674" s="92">
        <v>2</v>
      </c>
      <c r="F674" s="92" t="s">
        <v>51</v>
      </c>
      <c r="G674" s="92"/>
      <c r="H674" s="724">
        <v>14.43</v>
      </c>
      <c r="I674" s="724">
        <v>0</v>
      </c>
      <c r="J674" s="724">
        <v>12.7</v>
      </c>
      <c r="K674" s="724">
        <v>1.73</v>
      </c>
      <c r="L674" s="724">
        <v>0</v>
      </c>
      <c r="M674" s="724">
        <v>2020.12</v>
      </c>
      <c r="N674" s="724">
        <v>705.08</v>
      </c>
      <c r="O674" s="724">
        <v>0</v>
      </c>
      <c r="P674" s="724">
        <v>636</v>
      </c>
      <c r="Q674" s="724">
        <v>69.08</v>
      </c>
      <c r="R674" s="724">
        <v>0</v>
      </c>
      <c r="S674" s="724">
        <v>705.08</v>
      </c>
      <c r="T674" s="724">
        <v>0</v>
      </c>
      <c r="U674" s="724">
        <v>0</v>
      </c>
      <c r="V674" s="724">
        <v>0</v>
      </c>
      <c r="W674" s="92">
        <v>0</v>
      </c>
      <c r="X674" s="92" t="s">
        <v>463</v>
      </c>
      <c r="Y674" s="738">
        <v>3520</v>
      </c>
      <c r="Z674" s="738">
        <v>14538</v>
      </c>
      <c r="AA674" s="738">
        <v>2</v>
      </c>
      <c r="AB674" s="92"/>
      <c r="AC674" s="95"/>
      <c r="AD674" s="146" t="s">
        <v>389</v>
      </c>
      <c r="AE674" s="146" t="s">
        <v>468</v>
      </c>
      <c r="AF674" s="712" t="s">
        <v>271</v>
      </c>
      <c r="AG674" s="95"/>
    </row>
    <row r="675" s="570" customFormat="1" ht="24.95" customHeight="1" spans="1:33">
      <c r="A675" s="794"/>
      <c r="B675" s="785" t="s">
        <v>72</v>
      </c>
      <c r="C675" s="71" t="s">
        <v>488</v>
      </c>
      <c r="D675" s="71" t="s">
        <v>192</v>
      </c>
      <c r="E675" s="92">
        <v>3</v>
      </c>
      <c r="F675" s="92" t="s">
        <v>72</v>
      </c>
      <c r="G675" s="92"/>
      <c r="H675" s="724">
        <v>89.7</v>
      </c>
      <c r="I675" s="724">
        <v>14</v>
      </c>
      <c r="J675" s="724">
        <v>30.24</v>
      </c>
      <c r="K675" s="724">
        <v>45.46</v>
      </c>
      <c r="L675" s="724">
        <v>2018.01</v>
      </c>
      <c r="M675" s="724">
        <v>2020.12</v>
      </c>
      <c r="N675" s="724">
        <v>4030.2</v>
      </c>
      <c r="O675" s="724">
        <v>700</v>
      </c>
      <c r="P675" s="724">
        <v>1512</v>
      </c>
      <c r="Q675" s="724">
        <v>1818.2</v>
      </c>
      <c r="R675" s="724">
        <v>0</v>
      </c>
      <c r="S675" s="724">
        <v>4030.2</v>
      </c>
      <c r="T675" s="724">
        <v>0</v>
      </c>
      <c r="U675" s="724">
        <v>0</v>
      </c>
      <c r="V675" s="724">
        <v>0</v>
      </c>
      <c r="W675" s="92">
        <v>0</v>
      </c>
      <c r="X675" s="92" t="s">
        <v>463</v>
      </c>
      <c r="Y675" s="738">
        <v>1362</v>
      </c>
      <c r="Z675" s="738">
        <v>5766</v>
      </c>
      <c r="AA675" s="738">
        <v>3</v>
      </c>
      <c r="AB675" s="92"/>
      <c r="AC675" s="95"/>
      <c r="AD675" s="146" t="s">
        <v>469</v>
      </c>
      <c r="AE675" s="146" t="s">
        <v>470</v>
      </c>
      <c r="AF675" s="712" t="s">
        <v>271</v>
      </c>
      <c r="AG675" s="95"/>
    </row>
    <row r="676" s="570" customFormat="1" ht="24.95" customHeight="1" spans="1:33">
      <c r="A676" s="794"/>
      <c r="B676" s="785" t="s">
        <v>91</v>
      </c>
      <c r="C676" s="71" t="s">
        <v>488</v>
      </c>
      <c r="D676" s="71" t="s">
        <v>192</v>
      </c>
      <c r="E676" s="92">
        <v>2</v>
      </c>
      <c r="F676" s="92" t="s">
        <v>91</v>
      </c>
      <c r="G676" s="92"/>
      <c r="H676" s="724">
        <v>51.2</v>
      </c>
      <c r="I676" s="724">
        <v>32.8</v>
      </c>
      <c r="J676" s="724">
        <v>18.4</v>
      </c>
      <c r="K676" s="724">
        <v>0</v>
      </c>
      <c r="L676" s="724">
        <v>2018.01</v>
      </c>
      <c r="M676" s="724">
        <v>0</v>
      </c>
      <c r="N676" s="724">
        <v>2563.85</v>
      </c>
      <c r="O676" s="724">
        <v>1639.85</v>
      </c>
      <c r="P676" s="724">
        <v>924</v>
      </c>
      <c r="Q676" s="724">
        <v>0</v>
      </c>
      <c r="R676" s="724">
        <v>0</v>
      </c>
      <c r="S676" s="724">
        <v>2563.85</v>
      </c>
      <c r="T676" s="724">
        <v>0</v>
      </c>
      <c r="U676" s="724">
        <v>0</v>
      </c>
      <c r="V676" s="724">
        <v>0</v>
      </c>
      <c r="W676" s="92">
        <v>0</v>
      </c>
      <c r="X676" s="92" t="s">
        <v>463</v>
      </c>
      <c r="Y676" s="738">
        <v>1460</v>
      </c>
      <c r="Z676" s="738">
        <v>4704</v>
      </c>
      <c r="AA676" s="738">
        <v>2</v>
      </c>
      <c r="AB676" s="92"/>
      <c r="AC676" s="95"/>
      <c r="AD676" s="146" t="s">
        <v>471</v>
      </c>
      <c r="AE676" s="146" t="s">
        <v>472</v>
      </c>
      <c r="AF676" s="712" t="s">
        <v>271</v>
      </c>
      <c r="AG676" s="95"/>
    </row>
    <row r="677" s="570" customFormat="1" ht="24.95" customHeight="1" spans="1:33">
      <c r="A677" s="794"/>
      <c r="B677" s="785" t="s">
        <v>55</v>
      </c>
      <c r="C677" s="71" t="s">
        <v>488</v>
      </c>
      <c r="D677" s="71" t="s">
        <v>192</v>
      </c>
      <c r="E677" s="92">
        <v>3</v>
      </c>
      <c r="F677" s="92" t="s">
        <v>55</v>
      </c>
      <c r="G677" s="92"/>
      <c r="H677" s="724">
        <v>62.54</v>
      </c>
      <c r="I677" s="724">
        <v>38.21</v>
      </c>
      <c r="J677" s="724">
        <v>10.8</v>
      </c>
      <c r="K677" s="724">
        <v>13.53</v>
      </c>
      <c r="L677" s="724">
        <v>2018.01</v>
      </c>
      <c r="M677" s="724">
        <v>2020.12</v>
      </c>
      <c r="N677" s="724">
        <v>2991.54</v>
      </c>
      <c r="O677" s="724">
        <v>1910.5</v>
      </c>
      <c r="P677" s="724">
        <v>540</v>
      </c>
      <c r="Q677" s="724">
        <v>541.04</v>
      </c>
      <c r="R677" s="724">
        <v>0</v>
      </c>
      <c r="S677" s="724">
        <v>2991.54</v>
      </c>
      <c r="T677" s="724">
        <v>0</v>
      </c>
      <c r="U677" s="724">
        <v>0</v>
      </c>
      <c r="V677" s="724">
        <v>0</v>
      </c>
      <c r="W677" s="92">
        <v>0</v>
      </c>
      <c r="X677" s="92" t="s">
        <v>463</v>
      </c>
      <c r="Y677" s="738">
        <v>10137</v>
      </c>
      <c r="Z677" s="738">
        <v>42789</v>
      </c>
      <c r="AA677" s="738">
        <v>3</v>
      </c>
      <c r="AB677" s="92"/>
      <c r="AC677" s="95"/>
      <c r="AD677" s="146" t="s">
        <v>473</v>
      </c>
      <c r="AE677" s="146" t="s">
        <v>474</v>
      </c>
      <c r="AF677" s="712" t="s">
        <v>271</v>
      </c>
      <c r="AG677" s="95"/>
    </row>
    <row r="678" s="570" customFormat="1" ht="24.95" customHeight="1" spans="1:33">
      <c r="A678" s="794"/>
      <c r="B678" s="785" t="s">
        <v>75</v>
      </c>
      <c r="C678" s="71" t="s">
        <v>488</v>
      </c>
      <c r="D678" s="71" t="s">
        <v>192</v>
      </c>
      <c r="E678" s="92">
        <v>3</v>
      </c>
      <c r="F678" s="92" t="s">
        <v>75</v>
      </c>
      <c r="G678" s="92"/>
      <c r="H678" s="724">
        <v>49.37</v>
      </c>
      <c r="I678" s="724">
        <v>4.3</v>
      </c>
      <c r="J678" s="724">
        <v>16.44</v>
      </c>
      <c r="K678" s="724">
        <v>28.63</v>
      </c>
      <c r="L678" s="724">
        <v>2018.01</v>
      </c>
      <c r="M678" s="724">
        <v>2020.12</v>
      </c>
      <c r="N678" s="724">
        <v>2182.28</v>
      </c>
      <c r="O678" s="724">
        <v>215</v>
      </c>
      <c r="P678" s="724">
        <v>822</v>
      </c>
      <c r="Q678" s="724">
        <v>1145.28</v>
      </c>
      <c r="R678" s="724">
        <v>0</v>
      </c>
      <c r="S678" s="724">
        <v>2182.28</v>
      </c>
      <c r="T678" s="724">
        <v>0</v>
      </c>
      <c r="U678" s="724">
        <v>0</v>
      </c>
      <c r="V678" s="724">
        <v>0</v>
      </c>
      <c r="W678" s="92">
        <v>0</v>
      </c>
      <c r="X678" s="92" t="s">
        <v>463</v>
      </c>
      <c r="Y678" s="738">
        <v>2511</v>
      </c>
      <c r="Z678" s="738">
        <v>11157</v>
      </c>
      <c r="AA678" s="738">
        <v>3</v>
      </c>
      <c r="AB678" s="92"/>
      <c r="AC678" s="95"/>
      <c r="AD678" s="146" t="s">
        <v>329</v>
      </c>
      <c r="AE678" s="146" t="s">
        <v>475</v>
      </c>
      <c r="AF678" s="712" t="s">
        <v>271</v>
      </c>
      <c r="AG678" s="95"/>
    </row>
    <row r="679" s="570" customFormat="1" ht="24.95" customHeight="1" spans="1:33">
      <c r="A679" s="794"/>
      <c r="B679" s="785" t="s">
        <v>58</v>
      </c>
      <c r="C679" s="71" t="s">
        <v>488</v>
      </c>
      <c r="D679" s="71" t="s">
        <v>192</v>
      </c>
      <c r="E679" s="92">
        <v>3</v>
      </c>
      <c r="F679" s="92" t="s">
        <v>58</v>
      </c>
      <c r="G679" s="92"/>
      <c r="H679" s="724">
        <v>40.89</v>
      </c>
      <c r="I679" s="724">
        <v>28.28</v>
      </c>
      <c r="J679" s="724">
        <v>6.6</v>
      </c>
      <c r="K679" s="724">
        <v>6.01</v>
      </c>
      <c r="L679" s="724">
        <v>2018.01</v>
      </c>
      <c r="M679" s="724">
        <v>2020.12</v>
      </c>
      <c r="N679" s="724">
        <v>1984.3</v>
      </c>
      <c r="O679" s="724">
        <v>1414.1</v>
      </c>
      <c r="P679" s="724">
        <v>330</v>
      </c>
      <c r="Q679" s="724">
        <v>240.2</v>
      </c>
      <c r="R679" s="724">
        <v>0</v>
      </c>
      <c r="S679" s="724">
        <v>1984.3</v>
      </c>
      <c r="T679" s="724">
        <v>0</v>
      </c>
      <c r="U679" s="724">
        <v>0</v>
      </c>
      <c r="V679" s="724">
        <v>0</v>
      </c>
      <c r="W679" s="92">
        <v>0</v>
      </c>
      <c r="X679" s="92" t="s">
        <v>463</v>
      </c>
      <c r="Y679" s="738">
        <v>1314</v>
      </c>
      <c r="Z679" s="738">
        <v>5766</v>
      </c>
      <c r="AA679" s="738">
        <v>3</v>
      </c>
      <c r="AB679" s="92"/>
      <c r="AC679" s="95"/>
      <c r="AD679" s="146" t="s">
        <v>476</v>
      </c>
      <c r="AE679" s="146" t="s">
        <v>477</v>
      </c>
      <c r="AF679" s="712" t="s">
        <v>271</v>
      </c>
      <c r="AG679" s="95"/>
    </row>
    <row r="680" s="570" customFormat="1" ht="24.95" customHeight="1" spans="1:33">
      <c r="A680" s="794"/>
      <c r="B680" s="785" t="s">
        <v>61</v>
      </c>
      <c r="C680" s="71" t="s">
        <v>488</v>
      </c>
      <c r="D680" s="71" t="s">
        <v>192</v>
      </c>
      <c r="E680" s="92">
        <v>3</v>
      </c>
      <c r="F680" s="92" t="s">
        <v>61</v>
      </c>
      <c r="G680" s="92"/>
      <c r="H680" s="724">
        <v>58.82</v>
      </c>
      <c r="I680" s="724">
        <v>32.66</v>
      </c>
      <c r="J680" s="724">
        <v>18.48</v>
      </c>
      <c r="K680" s="724">
        <v>7.68</v>
      </c>
      <c r="L680" s="724">
        <v>2018.01</v>
      </c>
      <c r="M680" s="724">
        <v>2020.12</v>
      </c>
      <c r="N680" s="724">
        <v>2864.03</v>
      </c>
      <c r="O680" s="724">
        <v>1632.95</v>
      </c>
      <c r="P680" s="724">
        <v>924</v>
      </c>
      <c r="Q680" s="724">
        <v>307.08</v>
      </c>
      <c r="R680" s="724">
        <v>0</v>
      </c>
      <c r="S680" s="724">
        <v>2864.03</v>
      </c>
      <c r="T680" s="724">
        <v>0</v>
      </c>
      <c r="U680" s="724">
        <v>0</v>
      </c>
      <c r="V680" s="724">
        <v>0</v>
      </c>
      <c r="W680" s="92">
        <v>0</v>
      </c>
      <c r="X680" s="92" t="s">
        <v>463</v>
      </c>
      <c r="Y680" s="738">
        <v>8103</v>
      </c>
      <c r="Z680" s="738">
        <v>36132</v>
      </c>
      <c r="AA680" s="738">
        <v>3</v>
      </c>
      <c r="AB680" s="92"/>
      <c r="AC680" s="95"/>
      <c r="AD680" s="146" t="s">
        <v>478</v>
      </c>
      <c r="AE680" s="146" t="s">
        <v>479</v>
      </c>
      <c r="AF680" s="712" t="s">
        <v>271</v>
      </c>
      <c r="AG680" s="95"/>
    </row>
    <row r="681" s="570" customFormat="1" ht="24.95" customHeight="1" spans="1:33">
      <c r="A681" s="794"/>
      <c r="B681" s="785" t="s">
        <v>92</v>
      </c>
      <c r="C681" s="71" t="s">
        <v>488</v>
      </c>
      <c r="D681" s="71" t="s">
        <v>192</v>
      </c>
      <c r="E681" s="92">
        <v>2</v>
      </c>
      <c r="F681" s="92" t="s">
        <v>92</v>
      </c>
      <c r="G681" s="92"/>
      <c r="H681" s="724">
        <v>36.53</v>
      </c>
      <c r="I681" s="724">
        <v>17.57</v>
      </c>
      <c r="J681" s="724">
        <v>18.96</v>
      </c>
      <c r="K681" s="724">
        <v>0</v>
      </c>
      <c r="L681" s="724">
        <v>2018.01</v>
      </c>
      <c r="M681" s="724">
        <v>0</v>
      </c>
      <c r="N681" s="724">
        <v>1826.25</v>
      </c>
      <c r="O681" s="724">
        <v>878.25</v>
      </c>
      <c r="P681" s="724">
        <v>948</v>
      </c>
      <c r="Q681" s="724">
        <v>0</v>
      </c>
      <c r="R681" s="724">
        <v>0</v>
      </c>
      <c r="S681" s="724">
        <v>1826.25</v>
      </c>
      <c r="T681" s="724">
        <v>0</v>
      </c>
      <c r="U681" s="724">
        <v>0</v>
      </c>
      <c r="V681" s="724">
        <v>0</v>
      </c>
      <c r="W681" s="92">
        <v>0</v>
      </c>
      <c r="X681" s="92" t="s">
        <v>463</v>
      </c>
      <c r="Y681" s="738">
        <v>2488</v>
      </c>
      <c r="Z681" s="738">
        <v>11630</v>
      </c>
      <c r="AA681" s="738">
        <v>2</v>
      </c>
      <c r="AB681" s="92"/>
      <c r="AC681" s="95"/>
      <c r="AD681" s="146" t="s">
        <v>480</v>
      </c>
      <c r="AE681" s="146" t="s">
        <v>481</v>
      </c>
      <c r="AF681" s="712" t="s">
        <v>271</v>
      </c>
      <c r="AG681" s="95"/>
    </row>
    <row r="682" s="570" customFormat="1" ht="24.95" customHeight="1" spans="1:33">
      <c r="A682" s="794"/>
      <c r="B682" s="785" t="s">
        <v>114</v>
      </c>
      <c r="C682" s="71" t="s">
        <v>488</v>
      </c>
      <c r="D682" s="71" t="s">
        <v>192</v>
      </c>
      <c r="E682" s="92">
        <v>2</v>
      </c>
      <c r="F682" s="92" t="s">
        <v>114</v>
      </c>
      <c r="G682" s="92"/>
      <c r="H682" s="724">
        <v>18.39</v>
      </c>
      <c r="I682" s="724">
        <v>0</v>
      </c>
      <c r="J682" s="724">
        <v>7.5</v>
      </c>
      <c r="K682" s="724">
        <v>10.89</v>
      </c>
      <c r="L682" s="724">
        <v>0</v>
      </c>
      <c r="M682" s="724">
        <v>2020.12</v>
      </c>
      <c r="N682" s="724">
        <v>801.68</v>
      </c>
      <c r="O682" s="724">
        <v>0</v>
      </c>
      <c r="P682" s="724">
        <v>366</v>
      </c>
      <c r="Q682" s="724">
        <v>435.68</v>
      </c>
      <c r="R682" s="724">
        <v>0</v>
      </c>
      <c r="S682" s="724">
        <v>801.68</v>
      </c>
      <c r="T682" s="724">
        <v>0</v>
      </c>
      <c r="U682" s="724">
        <v>0</v>
      </c>
      <c r="V682" s="724">
        <v>0</v>
      </c>
      <c r="W682" s="92">
        <v>0</v>
      </c>
      <c r="X682" s="92" t="s">
        <v>463</v>
      </c>
      <c r="Y682" s="738">
        <v>736</v>
      </c>
      <c r="Z682" s="738">
        <v>3046</v>
      </c>
      <c r="AA682" s="738">
        <v>2</v>
      </c>
      <c r="AB682" s="92"/>
      <c r="AC682" s="95"/>
      <c r="AD682" s="146" t="s">
        <v>315</v>
      </c>
      <c r="AE682" s="146" t="s">
        <v>482</v>
      </c>
      <c r="AF682" s="712" t="s">
        <v>271</v>
      </c>
      <c r="AG682" s="95"/>
    </row>
    <row r="683" s="570" customFormat="1" ht="24.95" customHeight="1" spans="1:33">
      <c r="A683" s="794"/>
      <c r="B683" s="785" t="s">
        <v>78</v>
      </c>
      <c r="C683" s="71" t="s">
        <v>488</v>
      </c>
      <c r="D683" s="71" t="s">
        <v>192</v>
      </c>
      <c r="E683" s="92">
        <v>3</v>
      </c>
      <c r="F683" s="92" t="s">
        <v>78</v>
      </c>
      <c r="G683" s="92"/>
      <c r="H683" s="724">
        <v>21.42</v>
      </c>
      <c r="I683" s="724">
        <v>4.24</v>
      </c>
      <c r="J683" s="724">
        <v>7.44</v>
      </c>
      <c r="K683" s="724">
        <v>9.74</v>
      </c>
      <c r="L683" s="724">
        <v>2018.01</v>
      </c>
      <c r="M683" s="724">
        <v>2020.12</v>
      </c>
      <c r="N683" s="724">
        <v>973.56</v>
      </c>
      <c r="O683" s="724">
        <v>212</v>
      </c>
      <c r="P683" s="724">
        <v>372</v>
      </c>
      <c r="Q683" s="724">
        <v>389.56</v>
      </c>
      <c r="R683" s="724">
        <v>0</v>
      </c>
      <c r="S683" s="724">
        <v>973.56</v>
      </c>
      <c r="T683" s="724">
        <v>0</v>
      </c>
      <c r="U683" s="724">
        <v>0</v>
      </c>
      <c r="V683" s="724">
        <v>0</v>
      </c>
      <c r="W683" s="92">
        <v>0</v>
      </c>
      <c r="X683" s="92" t="s">
        <v>463</v>
      </c>
      <c r="Y683" s="738">
        <v>1188</v>
      </c>
      <c r="Z683" s="738">
        <v>5526</v>
      </c>
      <c r="AA683" s="738">
        <v>3</v>
      </c>
      <c r="AB683" s="92"/>
      <c r="AC683" s="95"/>
      <c r="AD683" s="146" t="s">
        <v>483</v>
      </c>
      <c r="AE683" s="146" t="s">
        <v>484</v>
      </c>
      <c r="AF683" s="712" t="s">
        <v>271</v>
      </c>
      <c r="AG683" s="95"/>
    </row>
    <row r="684" s="570" customFormat="1" ht="24.95" customHeight="1" spans="1:33">
      <c r="A684" s="794"/>
      <c r="B684" s="785" t="s">
        <v>84</v>
      </c>
      <c r="C684" s="71" t="s">
        <v>488</v>
      </c>
      <c r="D684" s="71" t="s">
        <v>192</v>
      </c>
      <c r="E684" s="92">
        <v>3</v>
      </c>
      <c r="F684" s="92" t="s">
        <v>84</v>
      </c>
      <c r="G684" s="92"/>
      <c r="H684" s="724">
        <v>66.59</v>
      </c>
      <c r="I684" s="724">
        <v>31.43</v>
      </c>
      <c r="J684" s="724">
        <v>25.92</v>
      </c>
      <c r="K684" s="724">
        <v>9.24</v>
      </c>
      <c r="L684" s="724">
        <v>2018.01</v>
      </c>
      <c r="M684" s="724">
        <v>2020.12</v>
      </c>
      <c r="N684" s="724">
        <v>3237.06</v>
      </c>
      <c r="O684" s="724">
        <v>1571.5</v>
      </c>
      <c r="P684" s="724">
        <v>1296</v>
      </c>
      <c r="Q684" s="724">
        <v>369.56</v>
      </c>
      <c r="R684" s="724">
        <v>0</v>
      </c>
      <c r="S684" s="724">
        <v>3237.06</v>
      </c>
      <c r="T684" s="724">
        <v>0</v>
      </c>
      <c r="U684" s="724">
        <v>0</v>
      </c>
      <c r="V684" s="724">
        <v>0</v>
      </c>
      <c r="W684" s="92">
        <v>0</v>
      </c>
      <c r="X684" s="92" t="s">
        <v>463</v>
      </c>
      <c r="Y684" s="738">
        <v>2895</v>
      </c>
      <c r="Z684" s="738">
        <v>10626</v>
      </c>
      <c r="AA684" s="738">
        <v>3</v>
      </c>
      <c r="AB684" s="92"/>
      <c r="AC684" s="95"/>
      <c r="AD684" s="146" t="s">
        <v>485</v>
      </c>
      <c r="AE684" s="146" t="s">
        <v>486</v>
      </c>
      <c r="AF684" s="712" t="s">
        <v>271</v>
      </c>
      <c r="AG684" s="95"/>
    </row>
    <row r="685" s="570" customFormat="1" ht="24.95" customHeight="1" spans="1:33">
      <c r="A685" s="794">
        <v>90</v>
      </c>
      <c r="B685" s="95" t="s">
        <v>489</v>
      </c>
      <c r="C685" s="92"/>
      <c r="D685" s="795" t="s">
        <v>192</v>
      </c>
      <c r="E685" s="92">
        <v>0</v>
      </c>
      <c r="F685" s="92">
        <v>0</v>
      </c>
      <c r="G685" s="92"/>
      <c r="H685" s="724">
        <v>0</v>
      </c>
      <c r="I685" s="724">
        <v>0</v>
      </c>
      <c r="J685" s="724">
        <v>0</v>
      </c>
      <c r="K685" s="724">
        <v>0</v>
      </c>
      <c r="L685" s="724">
        <v>0</v>
      </c>
      <c r="M685" s="724">
        <v>0</v>
      </c>
      <c r="N685" s="724">
        <v>0</v>
      </c>
      <c r="O685" s="724">
        <v>0</v>
      </c>
      <c r="P685" s="724">
        <v>0</v>
      </c>
      <c r="Q685" s="724">
        <v>0</v>
      </c>
      <c r="R685" s="724">
        <v>0</v>
      </c>
      <c r="S685" s="724">
        <v>0</v>
      </c>
      <c r="T685" s="724">
        <v>0</v>
      </c>
      <c r="U685" s="724">
        <v>0</v>
      </c>
      <c r="V685" s="724">
        <v>0</v>
      </c>
      <c r="W685" s="92">
        <v>0</v>
      </c>
      <c r="X685" s="92" t="s">
        <v>463</v>
      </c>
      <c r="Y685" s="738">
        <v>0</v>
      </c>
      <c r="Z685" s="738">
        <v>0</v>
      </c>
      <c r="AA685" s="738">
        <v>0</v>
      </c>
      <c r="AB685" s="92"/>
      <c r="AC685" s="95"/>
      <c r="AD685" s="92"/>
      <c r="AE685" s="92"/>
      <c r="AF685" s="92" t="s">
        <v>271</v>
      </c>
      <c r="AG685" s="95"/>
    </row>
    <row r="686" s="570" customFormat="1" ht="24.95" customHeight="1" spans="1:33">
      <c r="A686" s="705" t="s">
        <v>48</v>
      </c>
      <c r="B686" s="92" t="s">
        <v>148</v>
      </c>
      <c r="C686" s="92"/>
      <c r="D686" s="76"/>
      <c r="E686" s="92">
        <v>0</v>
      </c>
      <c r="F686" s="92">
        <v>0</v>
      </c>
      <c r="G686" s="92"/>
      <c r="H686" s="724">
        <v>0</v>
      </c>
      <c r="I686" s="724">
        <v>0</v>
      </c>
      <c r="J686" s="724">
        <v>0</v>
      </c>
      <c r="K686" s="724">
        <v>0</v>
      </c>
      <c r="L686" s="724">
        <v>0</v>
      </c>
      <c r="M686" s="724">
        <v>0</v>
      </c>
      <c r="N686" s="724">
        <v>0</v>
      </c>
      <c r="O686" s="724">
        <v>0</v>
      </c>
      <c r="P686" s="724">
        <v>0</v>
      </c>
      <c r="Q686" s="724">
        <v>0</v>
      </c>
      <c r="R686" s="724">
        <v>0</v>
      </c>
      <c r="S686" s="724">
        <v>0</v>
      </c>
      <c r="T686" s="724">
        <v>0</v>
      </c>
      <c r="U686" s="724">
        <v>0</v>
      </c>
      <c r="V686" s="724">
        <v>0</v>
      </c>
      <c r="W686" s="92">
        <v>0</v>
      </c>
      <c r="X686" s="92" t="s">
        <v>463</v>
      </c>
      <c r="Y686" s="738">
        <v>0</v>
      </c>
      <c r="Z686" s="738">
        <v>0</v>
      </c>
      <c r="AA686" s="738">
        <v>0</v>
      </c>
      <c r="AB686" s="92"/>
      <c r="AC686" s="92"/>
      <c r="AD686" s="92"/>
      <c r="AE686" s="92"/>
      <c r="AF686" s="92"/>
      <c r="AG686" s="92"/>
    </row>
    <row r="687" s="570" customFormat="1" ht="26" customHeight="1" spans="1:33">
      <c r="A687" s="705">
        <v>91</v>
      </c>
      <c r="B687" s="92" t="s">
        <v>490</v>
      </c>
      <c r="C687" s="73"/>
      <c r="D687" s="71" t="s">
        <v>192</v>
      </c>
      <c r="E687" s="92">
        <v>0</v>
      </c>
      <c r="F687" s="92">
        <v>0</v>
      </c>
      <c r="G687" s="92"/>
      <c r="H687" s="724">
        <v>0</v>
      </c>
      <c r="I687" s="724">
        <v>0</v>
      </c>
      <c r="J687" s="724">
        <v>0</v>
      </c>
      <c r="K687" s="724">
        <v>0</v>
      </c>
      <c r="L687" s="724">
        <v>0</v>
      </c>
      <c r="M687" s="724">
        <v>0</v>
      </c>
      <c r="N687" s="724">
        <v>0</v>
      </c>
      <c r="O687" s="724">
        <v>0</v>
      </c>
      <c r="P687" s="724">
        <v>0</v>
      </c>
      <c r="Q687" s="724">
        <v>0</v>
      </c>
      <c r="R687" s="724">
        <v>0</v>
      </c>
      <c r="S687" s="724">
        <v>0</v>
      </c>
      <c r="T687" s="724">
        <v>0</v>
      </c>
      <c r="U687" s="724">
        <v>0</v>
      </c>
      <c r="V687" s="724">
        <v>0</v>
      </c>
      <c r="W687" s="92">
        <v>0</v>
      </c>
      <c r="X687" s="92" t="s">
        <v>463</v>
      </c>
      <c r="Y687" s="738">
        <v>0</v>
      </c>
      <c r="Z687" s="738">
        <v>0</v>
      </c>
      <c r="AA687" s="738">
        <v>0</v>
      </c>
      <c r="AB687" s="92"/>
      <c r="AC687" s="92"/>
      <c r="AD687" s="92"/>
      <c r="AE687" s="92"/>
      <c r="AF687" s="92" t="s">
        <v>271</v>
      </c>
      <c r="AG687" s="92"/>
    </row>
    <row r="688" s="570" customFormat="1" ht="24.95" customHeight="1" spans="1:33">
      <c r="A688" s="705" t="s">
        <v>48</v>
      </c>
      <c r="B688" s="92" t="s">
        <v>148</v>
      </c>
      <c r="C688" s="73"/>
      <c r="D688" s="71"/>
      <c r="E688" s="92">
        <v>0</v>
      </c>
      <c r="F688" s="92">
        <v>0</v>
      </c>
      <c r="G688" s="92"/>
      <c r="H688" s="724">
        <v>0</v>
      </c>
      <c r="I688" s="724">
        <v>0</v>
      </c>
      <c r="J688" s="724">
        <v>0</v>
      </c>
      <c r="K688" s="724">
        <v>0</v>
      </c>
      <c r="L688" s="724">
        <v>0</v>
      </c>
      <c r="M688" s="724">
        <v>0</v>
      </c>
      <c r="N688" s="724">
        <v>0</v>
      </c>
      <c r="O688" s="724">
        <v>0</v>
      </c>
      <c r="P688" s="724">
        <v>0</v>
      </c>
      <c r="Q688" s="724">
        <v>0</v>
      </c>
      <c r="R688" s="724">
        <v>0</v>
      </c>
      <c r="S688" s="724">
        <v>0</v>
      </c>
      <c r="T688" s="724">
        <v>0</v>
      </c>
      <c r="U688" s="724">
        <v>0</v>
      </c>
      <c r="V688" s="724">
        <v>0</v>
      </c>
      <c r="W688" s="92">
        <v>0</v>
      </c>
      <c r="X688" s="92" t="s">
        <v>463</v>
      </c>
      <c r="Y688" s="738">
        <v>0</v>
      </c>
      <c r="Z688" s="738">
        <v>0</v>
      </c>
      <c r="AA688" s="738">
        <v>0</v>
      </c>
      <c r="AB688" s="92"/>
      <c r="AC688" s="92"/>
      <c r="AD688" s="92"/>
      <c r="AE688" s="92"/>
      <c r="AF688" s="92"/>
      <c r="AG688" s="92"/>
    </row>
    <row r="689" s="570" customFormat="1" ht="24.95" customHeight="1" spans="1:33">
      <c r="A689" s="705"/>
      <c r="B689" s="92" t="s">
        <v>491</v>
      </c>
      <c r="C689" s="73"/>
      <c r="D689" s="141" t="s">
        <v>492</v>
      </c>
      <c r="E689" s="92">
        <v>12</v>
      </c>
      <c r="F689" s="92">
        <v>0</v>
      </c>
      <c r="G689" s="92"/>
      <c r="H689" s="724">
        <v>846077.983</v>
      </c>
      <c r="I689" s="724">
        <v>846077.983</v>
      </c>
      <c r="J689" s="724">
        <v>0</v>
      </c>
      <c r="K689" s="724">
        <v>0</v>
      </c>
      <c r="L689" s="724">
        <v>0</v>
      </c>
      <c r="M689" s="724">
        <v>0</v>
      </c>
      <c r="N689" s="724">
        <v>6768.623864</v>
      </c>
      <c r="O689" s="724">
        <v>6768.623864</v>
      </c>
      <c r="P689" s="724">
        <v>0</v>
      </c>
      <c r="Q689" s="724">
        <v>0</v>
      </c>
      <c r="R689" s="724">
        <v>0</v>
      </c>
      <c r="S689" s="724">
        <v>6768.623864</v>
      </c>
      <c r="T689" s="724">
        <v>0</v>
      </c>
      <c r="U689" s="724">
        <v>0</v>
      </c>
      <c r="V689" s="724">
        <v>0</v>
      </c>
      <c r="W689" s="92">
        <v>0</v>
      </c>
      <c r="X689" s="92" t="s">
        <v>463</v>
      </c>
      <c r="Y689" s="738">
        <v>18059</v>
      </c>
      <c r="Z689" s="738">
        <v>76354</v>
      </c>
      <c r="AA689" s="738">
        <v>12</v>
      </c>
      <c r="AB689" s="92"/>
      <c r="AC689" s="92"/>
      <c r="AD689" s="753"/>
      <c r="AE689" s="753"/>
      <c r="AF689" s="712"/>
      <c r="AG689" s="92"/>
    </row>
    <row r="690" s="570" customFormat="1" ht="24.95" customHeight="1" spans="1:33">
      <c r="A690" s="705"/>
      <c r="B690" s="199" t="s">
        <v>101</v>
      </c>
      <c r="C690" s="141" t="s">
        <v>52</v>
      </c>
      <c r="D690" s="141" t="s">
        <v>492</v>
      </c>
      <c r="E690" s="92">
        <v>1</v>
      </c>
      <c r="F690" s="92" t="s">
        <v>101</v>
      </c>
      <c r="G690" s="92"/>
      <c r="H690" s="724">
        <v>11971</v>
      </c>
      <c r="I690" s="724">
        <v>11971</v>
      </c>
      <c r="J690" s="724">
        <v>0</v>
      </c>
      <c r="K690" s="724">
        <v>0</v>
      </c>
      <c r="L690" s="724">
        <v>2018.01</v>
      </c>
      <c r="M690" s="724">
        <v>0</v>
      </c>
      <c r="N690" s="724">
        <v>95.768</v>
      </c>
      <c r="O690" s="724">
        <v>95.768</v>
      </c>
      <c r="P690" s="724">
        <v>0</v>
      </c>
      <c r="Q690" s="724">
        <v>0</v>
      </c>
      <c r="R690" s="724">
        <v>0</v>
      </c>
      <c r="S690" s="724">
        <v>95.768</v>
      </c>
      <c r="T690" s="724">
        <v>0</v>
      </c>
      <c r="U690" s="724">
        <v>0</v>
      </c>
      <c r="V690" s="724">
        <v>0</v>
      </c>
      <c r="W690" s="92">
        <v>0</v>
      </c>
      <c r="X690" s="92" t="s">
        <v>463</v>
      </c>
      <c r="Y690" s="738">
        <v>2225</v>
      </c>
      <c r="Z690" s="738">
        <v>9554</v>
      </c>
      <c r="AA690" s="738">
        <v>1</v>
      </c>
      <c r="AB690" s="92"/>
      <c r="AC690" s="92"/>
      <c r="AD690" s="146"/>
      <c r="AE690" s="146"/>
      <c r="AF690" s="712"/>
      <c r="AG690" s="92"/>
    </row>
    <row r="691" s="570" customFormat="1" ht="24.95" customHeight="1" spans="1:33">
      <c r="A691" s="705"/>
      <c r="B691" s="199" t="s">
        <v>151</v>
      </c>
      <c r="C691" s="141" t="s">
        <v>52</v>
      </c>
      <c r="D691" s="141" t="s">
        <v>492</v>
      </c>
      <c r="E691" s="92">
        <v>1</v>
      </c>
      <c r="F691" s="92" t="s">
        <v>151</v>
      </c>
      <c r="G691" s="92"/>
      <c r="H691" s="724">
        <v>23699.5</v>
      </c>
      <c r="I691" s="724">
        <v>23699.5</v>
      </c>
      <c r="J691" s="724">
        <v>0</v>
      </c>
      <c r="K691" s="724">
        <v>0</v>
      </c>
      <c r="L691" s="724">
        <v>2018.01</v>
      </c>
      <c r="M691" s="724">
        <v>0</v>
      </c>
      <c r="N691" s="724">
        <v>189.596</v>
      </c>
      <c r="O691" s="724">
        <v>189.596</v>
      </c>
      <c r="P691" s="724">
        <v>0</v>
      </c>
      <c r="Q691" s="724">
        <v>0</v>
      </c>
      <c r="R691" s="724">
        <v>0</v>
      </c>
      <c r="S691" s="724">
        <v>189.596</v>
      </c>
      <c r="T691" s="724">
        <v>0</v>
      </c>
      <c r="U691" s="724">
        <v>0</v>
      </c>
      <c r="V691" s="724">
        <v>0</v>
      </c>
      <c r="W691" s="92">
        <v>0</v>
      </c>
      <c r="X691" s="92" t="s">
        <v>463</v>
      </c>
      <c r="Y691" s="738">
        <v>1760</v>
      </c>
      <c r="Z691" s="738">
        <v>7269</v>
      </c>
      <c r="AA691" s="738">
        <v>1</v>
      </c>
      <c r="AB691" s="92"/>
      <c r="AC691" s="92"/>
      <c r="AD691" s="146"/>
      <c r="AE691" s="146"/>
      <c r="AF691" s="712"/>
      <c r="AG691" s="92"/>
    </row>
    <row r="692" s="570" customFormat="1" ht="24.95" customHeight="1" spans="1:33">
      <c r="A692" s="705"/>
      <c r="B692" s="199" t="s">
        <v>154</v>
      </c>
      <c r="C692" s="141" t="s">
        <v>52</v>
      </c>
      <c r="D692" s="141" t="s">
        <v>492</v>
      </c>
      <c r="E692" s="92">
        <v>1</v>
      </c>
      <c r="F692" s="92" t="s">
        <v>154</v>
      </c>
      <c r="G692" s="92"/>
      <c r="H692" s="724">
        <v>76330</v>
      </c>
      <c r="I692" s="724">
        <v>76330</v>
      </c>
      <c r="J692" s="724">
        <v>0</v>
      </c>
      <c r="K692" s="724">
        <v>0</v>
      </c>
      <c r="L692" s="724">
        <v>2018.01</v>
      </c>
      <c r="M692" s="724">
        <v>0</v>
      </c>
      <c r="N692" s="724">
        <v>610.64</v>
      </c>
      <c r="O692" s="724">
        <v>610.64</v>
      </c>
      <c r="P692" s="724">
        <v>0</v>
      </c>
      <c r="Q692" s="724">
        <v>0</v>
      </c>
      <c r="R692" s="724">
        <v>0</v>
      </c>
      <c r="S692" s="724">
        <v>610.64</v>
      </c>
      <c r="T692" s="724">
        <v>0</v>
      </c>
      <c r="U692" s="724">
        <v>0</v>
      </c>
      <c r="V692" s="724">
        <v>0</v>
      </c>
      <c r="W692" s="92">
        <v>0</v>
      </c>
      <c r="X692" s="92" t="s">
        <v>463</v>
      </c>
      <c r="Y692" s="738">
        <v>1456</v>
      </c>
      <c r="Z692" s="738">
        <v>5749</v>
      </c>
      <c r="AA692" s="738">
        <v>1</v>
      </c>
      <c r="AB692" s="92"/>
      <c r="AC692" s="92"/>
      <c r="AD692" s="146"/>
      <c r="AE692" s="146"/>
      <c r="AF692" s="712"/>
      <c r="AG692" s="92"/>
    </row>
    <row r="693" s="570" customFormat="1" ht="24.95" customHeight="1" spans="1:33">
      <c r="A693" s="705"/>
      <c r="B693" s="199" t="s">
        <v>81</v>
      </c>
      <c r="C693" s="141" t="s">
        <v>52</v>
      </c>
      <c r="D693" s="141" t="s">
        <v>492</v>
      </c>
      <c r="E693" s="92">
        <v>1</v>
      </c>
      <c r="F693" s="92" t="s">
        <v>81</v>
      </c>
      <c r="G693" s="92"/>
      <c r="H693" s="724">
        <v>52360</v>
      </c>
      <c r="I693" s="724">
        <v>52360</v>
      </c>
      <c r="J693" s="724">
        <v>0</v>
      </c>
      <c r="K693" s="724">
        <v>0</v>
      </c>
      <c r="L693" s="724">
        <v>2018.01</v>
      </c>
      <c r="M693" s="724">
        <v>0</v>
      </c>
      <c r="N693" s="724">
        <v>418.88</v>
      </c>
      <c r="O693" s="724">
        <v>418.88</v>
      </c>
      <c r="P693" s="724">
        <v>0</v>
      </c>
      <c r="Q693" s="724">
        <v>0</v>
      </c>
      <c r="R693" s="724">
        <v>0</v>
      </c>
      <c r="S693" s="724">
        <v>418.88</v>
      </c>
      <c r="T693" s="724">
        <v>0</v>
      </c>
      <c r="U693" s="724">
        <v>0</v>
      </c>
      <c r="V693" s="724">
        <v>0</v>
      </c>
      <c r="W693" s="92">
        <v>0</v>
      </c>
      <c r="X693" s="92" t="s">
        <v>463</v>
      </c>
      <c r="Y693" s="738">
        <v>1170</v>
      </c>
      <c r="Z693" s="738">
        <v>4389</v>
      </c>
      <c r="AA693" s="738">
        <v>1</v>
      </c>
      <c r="AB693" s="92"/>
      <c r="AC693" s="92"/>
      <c r="AD693" s="146"/>
      <c r="AE693" s="146"/>
      <c r="AF693" s="712"/>
      <c r="AG693" s="92"/>
    </row>
    <row r="694" s="570" customFormat="1" ht="24.95" customHeight="1" spans="1:33">
      <c r="A694" s="705"/>
      <c r="B694" s="199" t="s">
        <v>98</v>
      </c>
      <c r="C694" s="141" t="s">
        <v>52</v>
      </c>
      <c r="D694" s="141" t="s">
        <v>492</v>
      </c>
      <c r="E694" s="92">
        <v>1</v>
      </c>
      <c r="F694" s="92" t="s">
        <v>98</v>
      </c>
      <c r="G694" s="92"/>
      <c r="H694" s="724">
        <v>224407</v>
      </c>
      <c r="I694" s="724">
        <v>224407</v>
      </c>
      <c r="J694" s="724">
        <v>0</v>
      </c>
      <c r="K694" s="724">
        <v>0</v>
      </c>
      <c r="L694" s="724">
        <v>2018.01</v>
      </c>
      <c r="M694" s="724">
        <v>0</v>
      </c>
      <c r="N694" s="724">
        <v>1795.256</v>
      </c>
      <c r="O694" s="724">
        <v>1795.256</v>
      </c>
      <c r="P694" s="724">
        <v>0</v>
      </c>
      <c r="Q694" s="724">
        <v>0</v>
      </c>
      <c r="R694" s="724">
        <v>0</v>
      </c>
      <c r="S694" s="724">
        <v>1795.256</v>
      </c>
      <c r="T694" s="724">
        <v>0</v>
      </c>
      <c r="U694" s="724">
        <v>0</v>
      </c>
      <c r="V694" s="724">
        <v>0</v>
      </c>
      <c r="W694" s="92">
        <v>0</v>
      </c>
      <c r="X694" s="92" t="s">
        <v>463</v>
      </c>
      <c r="Y694" s="738">
        <v>1594</v>
      </c>
      <c r="Z694" s="738">
        <v>6521</v>
      </c>
      <c r="AA694" s="738">
        <v>1</v>
      </c>
      <c r="AB694" s="92"/>
      <c r="AC694" s="92"/>
      <c r="AD694" s="146"/>
      <c r="AE694" s="146"/>
      <c r="AF694" s="712"/>
      <c r="AG694" s="92"/>
    </row>
    <row r="695" s="570" customFormat="1" ht="24.95" customHeight="1" spans="1:33">
      <c r="A695" s="705"/>
      <c r="B695" s="199" t="s">
        <v>211</v>
      </c>
      <c r="C695" s="141" t="s">
        <v>52</v>
      </c>
      <c r="D695" s="141" t="s">
        <v>492</v>
      </c>
      <c r="E695" s="92">
        <v>1</v>
      </c>
      <c r="F695" s="92" t="s">
        <v>211</v>
      </c>
      <c r="G695" s="92"/>
      <c r="H695" s="724">
        <v>91183</v>
      </c>
      <c r="I695" s="724">
        <v>91183</v>
      </c>
      <c r="J695" s="724">
        <v>0</v>
      </c>
      <c r="K695" s="724">
        <v>0</v>
      </c>
      <c r="L695" s="724">
        <v>2018.01</v>
      </c>
      <c r="M695" s="724">
        <v>0</v>
      </c>
      <c r="N695" s="724">
        <v>729.464</v>
      </c>
      <c r="O695" s="724">
        <v>729.464</v>
      </c>
      <c r="P695" s="724">
        <v>0</v>
      </c>
      <c r="Q695" s="724">
        <v>0</v>
      </c>
      <c r="R695" s="724">
        <v>0</v>
      </c>
      <c r="S695" s="724">
        <v>729.464</v>
      </c>
      <c r="T695" s="724">
        <v>0</v>
      </c>
      <c r="U695" s="724">
        <v>0</v>
      </c>
      <c r="V695" s="724">
        <v>0</v>
      </c>
      <c r="W695" s="92">
        <v>0</v>
      </c>
      <c r="X695" s="92" t="s">
        <v>463</v>
      </c>
      <c r="Y695" s="738">
        <v>1416</v>
      </c>
      <c r="Z695" s="738">
        <v>6257</v>
      </c>
      <c r="AA695" s="738">
        <v>1</v>
      </c>
      <c r="AB695" s="92"/>
      <c r="AC695" s="92"/>
      <c r="AD695" s="146"/>
      <c r="AE695" s="146"/>
      <c r="AF695" s="712"/>
      <c r="AG695" s="92"/>
    </row>
    <row r="696" s="570" customFormat="1" ht="24.95" customHeight="1" spans="1:33">
      <c r="A696" s="705"/>
      <c r="B696" s="199" t="s">
        <v>155</v>
      </c>
      <c r="C696" s="141" t="s">
        <v>52</v>
      </c>
      <c r="D696" s="141" t="s">
        <v>492</v>
      </c>
      <c r="E696" s="92">
        <v>1</v>
      </c>
      <c r="F696" s="92" t="s">
        <v>155</v>
      </c>
      <c r="G696" s="92"/>
      <c r="H696" s="724">
        <v>62305</v>
      </c>
      <c r="I696" s="724">
        <v>62305</v>
      </c>
      <c r="J696" s="724">
        <v>0</v>
      </c>
      <c r="K696" s="724">
        <v>0</v>
      </c>
      <c r="L696" s="724">
        <v>2018.01</v>
      </c>
      <c r="M696" s="724">
        <v>0</v>
      </c>
      <c r="N696" s="724">
        <v>498.44</v>
      </c>
      <c r="O696" s="724">
        <v>498.44</v>
      </c>
      <c r="P696" s="724">
        <v>0</v>
      </c>
      <c r="Q696" s="724">
        <v>0</v>
      </c>
      <c r="R696" s="724">
        <v>0</v>
      </c>
      <c r="S696" s="724">
        <v>498.44</v>
      </c>
      <c r="T696" s="724">
        <v>0</v>
      </c>
      <c r="U696" s="724">
        <v>0</v>
      </c>
      <c r="V696" s="724">
        <v>0</v>
      </c>
      <c r="W696" s="92">
        <v>0</v>
      </c>
      <c r="X696" s="92" t="s">
        <v>463</v>
      </c>
      <c r="Y696" s="738">
        <v>740</v>
      </c>
      <c r="Z696" s="738">
        <v>3122</v>
      </c>
      <c r="AA696" s="738">
        <v>1</v>
      </c>
      <c r="AB696" s="92"/>
      <c r="AC696" s="92"/>
      <c r="AD696" s="146"/>
      <c r="AE696" s="146"/>
      <c r="AF696" s="712"/>
      <c r="AG696" s="92"/>
    </row>
    <row r="697" s="570" customFormat="1" ht="24.95" customHeight="1" spans="1:33">
      <c r="A697" s="705"/>
      <c r="B697" s="199" t="s">
        <v>102</v>
      </c>
      <c r="C697" s="141" t="s">
        <v>52</v>
      </c>
      <c r="D697" s="141" t="s">
        <v>492</v>
      </c>
      <c r="E697" s="92">
        <v>1</v>
      </c>
      <c r="F697" s="92" t="s">
        <v>102</v>
      </c>
      <c r="G697" s="92"/>
      <c r="H697" s="724">
        <v>111624.733</v>
      </c>
      <c r="I697" s="724">
        <v>111624.733</v>
      </c>
      <c r="J697" s="724">
        <v>0</v>
      </c>
      <c r="K697" s="724">
        <v>0</v>
      </c>
      <c r="L697" s="724">
        <v>2018.01</v>
      </c>
      <c r="M697" s="724">
        <v>0</v>
      </c>
      <c r="N697" s="724">
        <v>892.997864</v>
      </c>
      <c r="O697" s="724">
        <v>892.997864</v>
      </c>
      <c r="P697" s="724">
        <v>0</v>
      </c>
      <c r="Q697" s="724">
        <v>0</v>
      </c>
      <c r="R697" s="724">
        <v>0</v>
      </c>
      <c r="S697" s="724">
        <v>892.997864</v>
      </c>
      <c r="T697" s="724">
        <v>0</v>
      </c>
      <c r="U697" s="724">
        <v>0</v>
      </c>
      <c r="V697" s="724">
        <v>0</v>
      </c>
      <c r="W697" s="92">
        <v>0</v>
      </c>
      <c r="X697" s="92" t="s">
        <v>463</v>
      </c>
      <c r="Y697" s="738">
        <v>2714</v>
      </c>
      <c r="Z697" s="738">
        <v>12325</v>
      </c>
      <c r="AA697" s="738">
        <v>1</v>
      </c>
      <c r="AB697" s="92"/>
      <c r="AC697" s="92"/>
      <c r="AD697" s="146"/>
      <c r="AE697" s="146"/>
      <c r="AF697" s="712"/>
      <c r="AG697" s="92"/>
    </row>
    <row r="698" s="570" customFormat="1" ht="24.95" customHeight="1" spans="1:33">
      <c r="A698" s="705"/>
      <c r="B698" s="199" t="s">
        <v>100</v>
      </c>
      <c r="C698" s="141" t="s">
        <v>52</v>
      </c>
      <c r="D698" s="141" t="s">
        <v>492</v>
      </c>
      <c r="E698" s="92">
        <v>1</v>
      </c>
      <c r="F698" s="92" t="s">
        <v>100</v>
      </c>
      <c r="G698" s="92"/>
      <c r="H698" s="724">
        <v>12502</v>
      </c>
      <c r="I698" s="724">
        <v>12502</v>
      </c>
      <c r="J698" s="724">
        <v>0</v>
      </c>
      <c r="K698" s="724">
        <v>0</v>
      </c>
      <c r="L698" s="724">
        <v>2018.01</v>
      </c>
      <c r="M698" s="724">
        <v>0</v>
      </c>
      <c r="N698" s="724">
        <v>100.016</v>
      </c>
      <c r="O698" s="724">
        <v>100.016</v>
      </c>
      <c r="P698" s="724">
        <v>0</v>
      </c>
      <c r="Q698" s="724">
        <v>0</v>
      </c>
      <c r="R698" s="724">
        <v>0</v>
      </c>
      <c r="S698" s="724">
        <v>100.016</v>
      </c>
      <c r="T698" s="724">
        <v>0</v>
      </c>
      <c r="U698" s="724">
        <v>0</v>
      </c>
      <c r="V698" s="724">
        <v>0</v>
      </c>
      <c r="W698" s="92">
        <v>0</v>
      </c>
      <c r="X698" s="92" t="s">
        <v>463</v>
      </c>
      <c r="Y698" s="738">
        <v>2266</v>
      </c>
      <c r="Z698" s="738">
        <v>9488</v>
      </c>
      <c r="AA698" s="738">
        <v>1</v>
      </c>
      <c r="AB698" s="92"/>
      <c r="AC698" s="92"/>
      <c r="AD698" s="146"/>
      <c r="AE698" s="146"/>
      <c r="AF698" s="712"/>
      <c r="AG698" s="92"/>
    </row>
    <row r="699" s="570" customFormat="1" ht="24.95" customHeight="1" spans="1:33">
      <c r="A699" s="705"/>
      <c r="B699" s="199" t="s">
        <v>84</v>
      </c>
      <c r="C699" s="141" t="s">
        <v>52</v>
      </c>
      <c r="D699" s="141" t="s">
        <v>492</v>
      </c>
      <c r="E699" s="92">
        <v>1</v>
      </c>
      <c r="F699" s="92" t="s">
        <v>84</v>
      </c>
      <c r="G699" s="92"/>
      <c r="H699" s="724">
        <v>123662</v>
      </c>
      <c r="I699" s="724">
        <v>123662</v>
      </c>
      <c r="J699" s="724">
        <v>0</v>
      </c>
      <c r="K699" s="724">
        <v>0</v>
      </c>
      <c r="L699" s="724">
        <v>2018.01</v>
      </c>
      <c r="M699" s="724">
        <v>0</v>
      </c>
      <c r="N699" s="724">
        <v>989.296</v>
      </c>
      <c r="O699" s="724">
        <v>989.296</v>
      </c>
      <c r="P699" s="724">
        <v>0</v>
      </c>
      <c r="Q699" s="724">
        <v>0</v>
      </c>
      <c r="R699" s="724">
        <v>0</v>
      </c>
      <c r="S699" s="724">
        <v>989.296</v>
      </c>
      <c r="T699" s="724">
        <v>0</v>
      </c>
      <c r="U699" s="724">
        <v>0</v>
      </c>
      <c r="V699" s="724">
        <v>0</v>
      </c>
      <c r="W699" s="92">
        <v>0</v>
      </c>
      <c r="X699" s="92" t="s">
        <v>463</v>
      </c>
      <c r="Y699" s="738">
        <v>1814</v>
      </c>
      <c r="Z699" s="738">
        <v>7629</v>
      </c>
      <c r="AA699" s="738">
        <v>1</v>
      </c>
      <c r="AB699" s="92"/>
      <c r="AC699" s="92"/>
      <c r="AD699" s="146"/>
      <c r="AE699" s="146"/>
      <c r="AF699" s="712"/>
      <c r="AG699" s="92"/>
    </row>
    <row r="700" s="570" customFormat="1" ht="24.95" customHeight="1" spans="1:33">
      <c r="A700" s="705"/>
      <c r="B700" s="199" t="s">
        <v>259</v>
      </c>
      <c r="C700" s="141" t="s">
        <v>52</v>
      </c>
      <c r="D700" s="141" t="s">
        <v>492</v>
      </c>
      <c r="E700" s="92">
        <v>1</v>
      </c>
      <c r="F700" s="92" t="s">
        <v>259</v>
      </c>
      <c r="G700" s="92"/>
      <c r="H700" s="724">
        <v>9947.5</v>
      </c>
      <c r="I700" s="724">
        <v>9947.5</v>
      </c>
      <c r="J700" s="724">
        <v>0</v>
      </c>
      <c r="K700" s="724">
        <v>0</v>
      </c>
      <c r="L700" s="724">
        <v>2018.01</v>
      </c>
      <c r="M700" s="724">
        <v>0</v>
      </c>
      <c r="N700" s="724">
        <v>79.58</v>
      </c>
      <c r="O700" s="724">
        <v>79.58</v>
      </c>
      <c r="P700" s="724">
        <v>0</v>
      </c>
      <c r="Q700" s="724">
        <v>0</v>
      </c>
      <c r="R700" s="724">
        <v>0</v>
      </c>
      <c r="S700" s="724">
        <v>79.58</v>
      </c>
      <c r="T700" s="724">
        <v>0</v>
      </c>
      <c r="U700" s="724">
        <v>0</v>
      </c>
      <c r="V700" s="724">
        <v>0</v>
      </c>
      <c r="W700" s="92">
        <v>0</v>
      </c>
      <c r="X700" s="92" t="s">
        <v>463</v>
      </c>
      <c r="Y700" s="738">
        <v>158</v>
      </c>
      <c r="Z700" s="738">
        <v>634</v>
      </c>
      <c r="AA700" s="738">
        <v>1</v>
      </c>
      <c r="AB700" s="92"/>
      <c r="AC700" s="92"/>
      <c r="AD700" s="146"/>
      <c r="AE700" s="146"/>
      <c r="AF700" s="712"/>
      <c r="AG700" s="92"/>
    </row>
    <row r="701" s="570" customFormat="1" ht="24.95" customHeight="1" spans="1:33">
      <c r="A701" s="705"/>
      <c r="B701" s="199" t="s">
        <v>143</v>
      </c>
      <c r="C701" s="141" t="s">
        <v>52</v>
      </c>
      <c r="D701" s="141" t="s">
        <v>492</v>
      </c>
      <c r="E701" s="92">
        <v>1</v>
      </c>
      <c r="F701" s="92" t="s">
        <v>143</v>
      </c>
      <c r="G701" s="92"/>
      <c r="H701" s="724">
        <v>46086.25</v>
      </c>
      <c r="I701" s="724">
        <v>46086.25</v>
      </c>
      <c r="J701" s="724">
        <v>0</v>
      </c>
      <c r="K701" s="724">
        <v>0</v>
      </c>
      <c r="L701" s="724">
        <v>2018.01</v>
      </c>
      <c r="M701" s="724">
        <v>0</v>
      </c>
      <c r="N701" s="724">
        <v>368.69</v>
      </c>
      <c r="O701" s="724">
        <v>368.69</v>
      </c>
      <c r="P701" s="724">
        <v>0</v>
      </c>
      <c r="Q701" s="724">
        <v>0</v>
      </c>
      <c r="R701" s="724">
        <v>0</v>
      </c>
      <c r="S701" s="724">
        <v>368.69</v>
      </c>
      <c r="T701" s="724">
        <v>0</v>
      </c>
      <c r="U701" s="724">
        <v>0</v>
      </c>
      <c r="V701" s="724">
        <v>0</v>
      </c>
      <c r="W701" s="92">
        <v>0</v>
      </c>
      <c r="X701" s="92" t="s">
        <v>463</v>
      </c>
      <c r="Y701" s="738">
        <v>746</v>
      </c>
      <c r="Z701" s="738">
        <v>3417</v>
      </c>
      <c r="AA701" s="738">
        <v>1</v>
      </c>
      <c r="AB701" s="92"/>
      <c r="AC701" s="92"/>
      <c r="AD701" s="146"/>
      <c r="AE701" s="146"/>
      <c r="AF701" s="712"/>
      <c r="AG701" s="92"/>
    </row>
    <row r="702" s="694" customFormat="1" ht="24.95" customHeight="1" spans="1:33">
      <c r="A702" s="705"/>
      <c r="B702" s="711" t="s">
        <v>493</v>
      </c>
      <c r="C702" s="71" t="s">
        <v>488</v>
      </c>
      <c r="D702" s="71" t="s">
        <v>192</v>
      </c>
      <c r="E702" s="92">
        <v>3</v>
      </c>
      <c r="F702" s="92">
        <v>0</v>
      </c>
      <c r="G702" s="92"/>
      <c r="H702" s="724">
        <v>23.9</v>
      </c>
      <c r="I702" s="724">
        <v>0</v>
      </c>
      <c r="J702" s="724">
        <v>23.9</v>
      </c>
      <c r="K702" s="724">
        <v>0</v>
      </c>
      <c r="L702" s="724">
        <v>0</v>
      </c>
      <c r="M702" s="724">
        <v>0</v>
      </c>
      <c r="N702" s="724">
        <v>312</v>
      </c>
      <c r="O702" s="724">
        <v>0</v>
      </c>
      <c r="P702" s="724">
        <v>312</v>
      </c>
      <c r="Q702" s="724">
        <v>0</v>
      </c>
      <c r="R702" s="724">
        <v>0</v>
      </c>
      <c r="S702" s="724">
        <v>312</v>
      </c>
      <c r="T702" s="724">
        <v>0</v>
      </c>
      <c r="U702" s="724">
        <v>0</v>
      </c>
      <c r="V702" s="724">
        <v>0</v>
      </c>
      <c r="W702" s="92">
        <v>0</v>
      </c>
      <c r="X702" s="92" t="s">
        <v>463</v>
      </c>
      <c r="Y702" s="738">
        <v>860</v>
      </c>
      <c r="Z702" s="738">
        <v>3832</v>
      </c>
      <c r="AA702" s="738">
        <v>3</v>
      </c>
      <c r="AB702" s="92"/>
      <c r="AC702" s="92"/>
      <c r="AD702" s="753" t="s">
        <v>465</v>
      </c>
      <c r="AE702" s="753" t="s">
        <v>466</v>
      </c>
      <c r="AF702" s="712" t="s">
        <v>271</v>
      </c>
      <c r="AG702" s="92"/>
    </row>
    <row r="703" s="694" customFormat="1" ht="24.95" customHeight="1" spans="1:33">
      <c r="A703" s="705"/>
      <c r="B703" s="793" t="s">
        <v>64</v>
      </c>
      <c r="C703" s="71" t="s">
        <v>488</v>
      </c>
      <c r="D703" s="71" t="s">
        <v>192</v>
      </c>
      <c r="E703" s="92">
        <v>1</v>
      </c>
      <c r="F703" s="92" t="s">
        <v>64</v>
      </c>
      <c r="G703" s="92"/>
      <c r="H703" s="724">
        <v>10.132</v>
      </c>
      <c r="I703" s="724">
        <v>0</v>
      </c>
      <c r="J703" s="724">
        <v>10.132</v>
      </c>
      <c r="K703" s="724">
        <v>0</v>
      </c>
      <c r="L703" s="724">
        <v>0</v>
      </c>
      <c r="M703" s="724">
        <v>0</v>
      </c>
      <c r="N703" s="724">
        <v>133</v>
      </c>
      <c r="O703" s="724">
        <v>0</v>
      </c>
      <c r="P703" s="724">
        <v>133</v>
      </c>
      <c r="Q703" s="724">
        <v>0</v>
      </c>
      <c r="R703" s="724">
        <v>0</v>
      </c>
      <c r="S703" s="724">
        <v>133</v>
      </c>
      <c r="T703" s="724">
        <v>0</v>
      </c>
      <c r="U703" s="724">
        <v>0</v>
      </c>
      <c r="V703" s="724">
        <v>0</v>
      </c>
      <c r="W703" s="92">
        <v>0</v>
      </c>
      <c r="X703" s="92" t="s">
        <v>463</v>
      </c>
      <c r="Y703" s="738">
        <v>204</v>
      </c>
      <c r="Z703" s="738">
        <v>826</v>
      </c>
      <c r="AA703" s="738">
        <v>1</v>
      </c>
      <c r="AB703" s="92"/>
      <c r="AC703" s="92"/>
      <c r="AD703" s="146" t="s">
        <v>485</v>
      </c>
      <c r="AE703" s="146" t="s">
        <v>486</v>
      </c>
      <c r="AF703" s="712" t="s">
        <v>271</v>
      </c>
      <c r="AG703" s="92"/>
    </row>
    <row r="704" s="694" customFormat="1" ht="24.95" customHeight="1" spans="1:33">
      <c r="A704" s="705"/>
      <c r="B704" s="793" t="s">
        <v>78</v>
      </c>
      <c r="C704" s="71" t="s">
        <v>488</v>
      </c>
      <c r="D704" s="71" t="s">
        <v>192</v>
      </c>
      <c r="E704" s="92">
        <v>1</v>
      </c>
      <c r="F704" s="92" t="s">
        <v>78</v>
      </c>
      <c r="G704" s="92"/>
      <c r="H704" s="724">
        <v>8.605</v>
      </c>
      <c r="I704" s="724">
        <v>0</v>
      </c>
      <c r="J704" s="724">
        <v>8.605</v>
      </c>
      <c r="K704" s="724">
        <v>0</v>
      </c>
      <c r="L704" s="724">
        <v>0</v>
      </c>
      <c r="M704" s="724">
        <v>0</v>
      </c>
      <c r="N704" s="724">
        <v>112</v>
      </c>
      <c r="O704" s="724">
        <v>0</v>
      </c>
      <c r="P704" s="724">
        <v>112</v>
      </c>
      <c r="Q704" s="724">
        <v>0</v>
      </c>
      <c r="R704" s="724">
        <v>0</v>
      </c>
      <c r="S704" s="724">
        <v>112</v>
      </c>
      <c r="T704" s="724">
        <v>0</v>
      </c>
      <c r="U704" s="724">
        <v>0</v>
      </c>
      <c r="V704" s="724">
        <v>0</v>
      </c>
      <c r="W704" s="92">
        <v>0</v>
      </c>
      <c r="X704" s="92" t="s">
        <v>463</v>
      </c>
      <c r="Y704" s="738">
        <v>303</v>
      </c>
      <c r="Z704" s="738">
        <v>1466</v>
      </c>
      <c r="AA704" s="738">
        <v>1</v>
      </c>
      <c r="AB704" s="92"/>
      <c r="AC704" s="92"/>
      <c r="AD704" s="146" t="s">
        <v>483</v>
      </c>
      <c r="AE704" s="146" t="s">
        <v>484</v>
      </c>
      <c r="AF704" s="712" t="s">
        <v>271</v>
      </c>
      <c r="AG704" s="92"/>
    </row>
    <row r="705" s="694" customFormat="1" ht="24.95" customHeight="1" spans="1:33">
      <c r="A705" s="705"/>
      <c r="B705" s="793" t="s">
        <v>75</v>
      </c>
      <c r="C705" s="71" t="s">
        <v>488</v>
      </c>
      <c r="D705" s="71" t="s">
        <v>192</v>
      </c>
      <c r="E705" s="92">
        <v>1</v>
      </c>
      <c r="F705" s="92" t="s">
        <v>75</v>
      </c>
      <c r="G705" s="92"/>
      <c r="H705" s="724">
        <v>5.163</v>
      </c>
      <c r="I705" s="724">
        <v>0</v>
      </c>
      <c r="J705" s="724">
        <v>5.163</v>
      </c>
      <c r="K705" s="724">
        <v>0</v>
      </c>
      <c r="L705" s="724">
        <v>0</v>
      </c>
      <c r="M705" s="724">
        <v>0</v>
      </c>
      <c r="N705" s="724">
        <v>67</v>
      </c>
      <c r="O705" s="724">
        <v>0</v>
      </c>
      <c r="P705" s="724">
        <v>67</v>
      </c>
      <c r="Q705" s="724">
        <v>0</v>
      </c>
      <c r="R705" s="724">
        <v>0</v>
      </c>
      <c r="S705" s="724">
        <v>67</v>
      </c>
      <c r="T705" s="724">
        <v>0</v>
      </c>
      <c r="U705" s="724">
        <v>0</v>
      </c>
      <c r="V705" s="724">
        <v>0</v>
      </c>
      <c r="W705" s="92">
        <v>0</v>
      </c>
      <c r="X705" s="92" t="s">
        <v>463</v>
      </c>
      <c r="Y705" s="738">
        <v>353</v>
      </c>
      <c r="Z705" s="738">
        <v>1540</v>
      </c>
      <c r="AA705" s="738">
        <v>1</v>
      </c>
      <c r="AB705" s="92"/>
      <c r="AC705" s="92"/>
      <c r="AD705" s="146" t="s">
        <v>329</v>
      </c>
      <c r="AE705" s="146" t="s">
        <v>475</v>
      </c>
      <c r="AF705" s="712" t="s">
        <v>271</v>
      </c>
      <c r="AG705" s="92"/>
    </row>
    <row r="706" s="694" customFormat="1" ht="41" customHeight="1" spans="1:33">
      <c r="A706" s="705"/>
      <c r="B706" s="710" t="s">
        <v>494</v>
      </c>
      <c r="C706" s="71" t="s">
        <v>52</v>
      </c>
      <c r="D706" s="71" t="s">
        <v>202</v>
      </c>
      <c r="E706" s="92">
        <v>2</v>
      </c>
      <c r="F706" s="92">
        <v>0</v>
      </c>
      <c r="G706" s="92"/>
      <c r="H706" s="724">
        <v>2</v>
      </c>
      <c r="I706" s="724">
        <v>1</v>
      </c>
      <c r="J706" s="724">
        <v>1</v>
      </c>
      <c r="K706" s="724">
        <v>0</v>
      </c>
      <c r="L706" s="724">
        <v>2018.01</v>
      </c>
      <c r="M706" s="724">
        <v>0</v>
      </c>
      <c r="N706" s="724">
        <v>164</v>
      </c>
      <c r="O706" s="724">
        <v>130</v>
      </c>
      <c r="P706" s="724">
        <v>34</v>
      </c>
      <c r="Q706" s="724">
        <v>0</v>
      </c>
      <c r="R706" s="724">
        <v>0</v>
      </c>
      <c r="S706" s="724">
        <v>164</v>
      </c>
      <c r="T706" s="724">
        <v>0</v>
      </c>
      <c r="U706" s="724">
        <v>0</v>
      </c>
      <c r="V706" s="724">
        <v>0</v>
      </c>
      <c r="W706" s="92">
        <v>0</v>
      </c>
      <c r="X706" s="92" t="s">
        <v>463</v>
      </c>
      <c r="Y706" s="738">
        <v>290</v>
      </c>
      <c r="Z706" s="738">
        <v>1168</v>
      </c>
      <c r="AA706" s="738">
        <v>2</v>
      </c>
      <c r="AB706" s="92"/>
      <c r="AC706" s="92"/>
      <c r="AD706" s="753" t="s">
        <v>465</v>
      </c>
      <c r="AE706" s="753" t="s">
        <v>466</v>
      </c>
      <c r="AF706" s="712" t="s">
        <v>271</v>
      </c>
      <c r="AG706" s="92"/>
    </row>
    <row r="707" s="570" customFormat="1" ht="36" spans="1:33">
      <c r="A707" s="705">
        <v>92</v>
      </c>
      <c r="B707" s="791" t="s">
        <v>495</v>
      </c>
      <c r="C707" s="708"/>
      <c r="D707" s="709" t="s">
        <v>496</v>
      </c>
      <c r="E707" s="92">
        <v>12</v>
      </c>
      <c r="F707" s="92">
        <v>0</v>
      </c>
      <c r="G707" s="92"/>
      <c r="H707" s="724">
        <v>190.831</v>
      </c>
      <c r="I707" s="724">
        <v>190.831</v>
      </c>
      <c r="J707" s="724">
        <v>0</v>
      </c>
      <c r="K707" s="724">
        <v>0</v>
      </c>
      <c r="L707" s="724">
        <v>0</v>
      </c>
      <c r="M707" s="724">
        <v>0</v>
      </c>
      <c r="N707" s="724">
        <v>3952.47</v>
      </c>
      <c r="O707" s="724">
        <v>3952.47</v>
      </c>
      <c r="P707" s="724">
        <v>0</v>
      </c>
      <c r="Q707" s="724">
        <v>0</v>
      </c>
      <c r="R707" s="724">
        <v>3952.47</v>
      </c>
      <c r="S707" s="724">
        <v>0</v>
      </c>
      <c r="T707" s="724">
        <v>0</v>
      </c>
      <c r="U707" s="724">
        <v>0</v>
      </c>
      <c r="V707" s="724">
        <v>0</v>
      </c>
      <c r="W707" s="92">
        <v>0</v>
      </c>
      <c r="X707" s="92" t="s">
        <v>463</v>
      </c>
      <c r="Y707" s="738">
        <v>17258</v>
      </c>
      <c r="Z707" s="738">
        <v>73786</v>
      </c>
      <c r="AA707" s="738">
        <v>12</v>
      </c>
      <c r="AB707" s="708"/>
      <c r="AC707" s="708"/>
      <c r="AD707" s="708"/>
      <c r="AE707" s="708"/>
      <c r="AF707" s="708" t="s">
        <v>497</v>
      </c>
      <c r="AG707" s="708" t="s">
        <v>41</v>
      </c>
    </row>
    <row r="708" s="570" customFormat="1" ht="29" customHeight="1" spans="1:33">
      <c r="A708" s="705"/>
      <c r="B708" s="714" t="s">
        <v>101</v>
      </c>
      <c r="C708" s="146" t="s">
        <v>52</v>
      </c>
      <c r="D708" s="152" t="s">
        <v>498</v>
      </c>
      <c r="E708" s="92">
        <v>1</v>
      </c>
      <c r="F708" s="92" t="s">
        <v>101</v>
      </c>
      <c r="G708" s="92"/>
      <c r="H708" s="724">
        <v>26.307</v>
      </c>
      <c r="I708" s="724">
        <v>26.307</v>
      </c>
      <c r="J708" s="724">
        <v>0</v>
      </c>
      <c r="K708" s="724">
        <v>0</v>
      </c>
      <c r="L708" s="724">
        <v>2018.01</v>
      </c>
      <c r="M708" s="724">
        <v>0</v>
      </c>
      <c r="N708" s="724">
        <v>427.81</v>
      </c>
      <c r="O708" s="724">
        <v>427.81</v>
      </c>
      <c r="P708" s="724">
        <v>0</v>
      </c>
      <c r="Q708" s="724">
        <v>0</v>
      </c>
      <c r="R708" s="724">
        <v>427.81</v>
      </c>
      <c r="S708" s="724">
        <v>0</v>
      </c>
      <c r="T708" s="724">
        <v>0</v>
      </c>
      <c r="U708" s="724">
        <v>0</v>
      </c>
      <c r="V708" s="724">
        <v>0</v>
      </c>
      <c r="W708" s="92">
        <v>0</v>
      </c>
      <c r="X708" s="92" t="s">
        <v>463</v>
      </c>
      <c r="Y708" s="738">
        <v>283</v>
      </c>
      <c r="Z708" s="738">
        <v>1255</v>
      </c>
      <c r="AA708" s="738">
        <v>1</v>
      </c>
      <c r="AB708" s="708"/>
      <c r="AC708" s="708"/>
      <c r="AD708" s="146"/>
      <c r="AE708" s="146"/>
      <c r="AF708" s="146"/>
      <c r="AG708" s="708"/>
    </row>
    <row r="709" s="570" customFormat="1" ht="29" customHeight="1" spans="1:33">
      <c r="A709" s="705"/>
      <c r="B709" s="714" t="s">
        <v>151</v>
      </c>
      <c r="C709" s="146" t="s">
        <v>52</v>
      </c>
      <c r="D709" s="152" t="s">
        <v>498</v>
      </c>
      <c r="E709" s="92">
        <v>1</v>
      </c>
      <c r="F709" s="92" t="s">
        <v>151</v>
      </c>
      <c r="G709" s="92"/>
      <c r="H709" s="724">
        <v>21.962</v>
      </c>
      <c r="I709" s="724">
        <v>21.962</v>
      </c>
      <c r="J709" s="724">
        <v>0</v>
      </c>
      <c r="K709" s="724">
        <v>0</v>
      </c>
      <c r="L709" s="724">
        <v>2018.01</v>
      </c>
      <c r="M709" s="724">
        <v>0</v>
      </c>
      <c r="N709" s="724">
        <v>329.34</v>
      </c>
      <c r="O709" s="724">
        <v>329.34</v>
      </c>
      <c r="P709" s="724">
        <v>0</v>
      </c>
      <c r="Q709" s="724">
        <v>0</v>
      </c>
      <c r="R709" s="724">
        <v>329.34</v>
      </c>
      <c r="S709" s="724">
        <v>0</v>
      </c>
      <c r="T709" s="724">
        <v>0</v>
      </c>
      <c r="U709" s="724">
        <v>0</v>
      </c>
      <c r="V709" s="724">
        <v>0</v>
      </c>
      <c r="W709" s="92">
        <v>0</v>
      </c>
      <c r="X709" s="92" t="s">
        <v>463</v>
      </c>
      <c r="Y709" s="738">
        <v>1760</v>
      </c>
      <c r="Z709" s="738">
        <v>7269</v>
      </c>
      <c r="AA709" s="738">
        <v>1</v>
      </c>
      <c r="AB709" s="708"/>
      <c r="AC709" s="708"/>
      <c r="AD709" s="146"/>
      <c r="AE709" s="146"/>
      <c r="AF709" s="146"/>
      <c r="AG709" s="708"/>
    </row>
    <row r="710" s="570" customFormat="1" ht="29" customHeight="1" spans="1:33">
      <c r="A710" s="705"/>
      <c r="B710" s="714" t="s">
        <v>154</v>
      </c>
      <c r="C710" s="146" t="s">
        <v>52</v>
      </c>
      <c r="D710" s="152" t="s">
        <v>498</v>
      </c>
      <c r="E710" s="92">
        <v>1</v>
      </c>
      <c r="F710" s="92" t="s">
        <v>154</v>
      </c>
      <c r="G710" s="92"/>
      <c r="H710" s="724">
        <v>13.562</v>
      </c>
      <c r="I710" s="724">
        <v>13.562</v>
      </c>
      <c r="J710" s="724">
        <v>0</v>
      </c>
      <c r="K710" s="724">
        <v>0</v>
      </c>
      <c r="L710" s="724">
        <v>2018.01</v>
      </c>
      <c r="M710" s="724">
        <v>0</v>
      </c>
      <c r="N710" s="724">
        <v>236.57</v>
      </c>
      <c r="O710" s="724">
        <v>236.57</v>
      </c>
      <c r="P710" s="724">
        <v>0</v>
      </c>
      <c r="Q710" s="724">
        <v>0</v>
      </c>
      <c r="R710" s="724">
        <v>236.57</v>
      </c>
      <c r="S710" s="724">
        <v>0</v>
      </c>
      <c r="T710" s="724">
        <v>0</v>
      </c>
      <c r="U710" s="724">
        <v>0</v>
      </c>
      <c r="V710" s="724">
        <v>0</v>
      </c>
      <c r="W710" s="92">
        <v>0</v>
      </c>
      <c r="X710" s="92" t="s">
        <v>463</v>
      </c>
      <c r="Y710" s="738">
        <v>2438</v>
      </c>
      <c r="Z710" s="738">
        <v>10141</v>
      </c>
      <c r="AA710" s="738">
        <v>1</v>
      </c>
      <c r="AB710" s="708"/>
      <c r="AC710" s="708"/>
      <c r="AD710" s="146"/>
      <c r="AE710" s="146"/>
      <c r="AF710" s="146"/>
      <c r="AG710" s="708"/>
    </row>
    <row r="711" s="570" customFormat="1" ht="29" customHeight="1" spans="1:33">
      <c r="A711" s="705"/>
      <c r="B711" s="714" t="s">
        <v>81</v>
      </c>
      <c r="C711" s="146" t="s">
        <v>52</v>
      </c>
      <c r="D711" s="152" t="s">
        <v>498</v>
      </c>
      <c r="E711" s="92">
        <v>1</v>
      </c>
      <c r="F711" s="92" t="s">
        <v>81</v>
      </c>
      <c r="G711" s="92"/>
      <c r="H711" s="724">
        <v>19.761</v>
      </c>
      <c r="I711" s="724">
        <v>19.761</v>
      </c>
      <c r="J711" s="724">
        <v>0</v>
      </c>
      <c r="K711" s="724">
        <v>0</v>
      </c>
      <c r="L711" s="724">
        <v>2018.01</v>
      </c>
      <c r="M711" s="724">
        <v>0</v>
      </c>
      <c r="N711" s="724">
        <v>550.19</v>
      </c>
      <c r="O711" s="724">
        <v>550.19</v>
      </c>
      <c r="P711" s="724">
        <v>0</v>
      </c>
      <c r="Q711" s="724">
        <v>0</v>
      </c>
      <c r="R711" s="724">
        <v>550.19</v>
      </c>
      <c r="S711" s="724">
        <v>0</v>
      </c>
      <c r="T711" s="724">
        <v>0</v>
      </c>
      <c r="U711" s="724">
        <v>0</v>
      </c>
      <c r="V711" s="724">
        <v>0</v>
      </c>
      <c r="W711" s="92">
        <v>0</v>
      </c>
      <c r="X711" s="92" t="s">
        <v>463</v>
      </c>
      <c r="Y711" s="738">
        <v>1360</v>
      </c>
      <c r="Z711" s="738">
        <v>5261</v>
      </c>
      <c r="AA711" s="738">
        <v>1</v>
      </c>
      <c r="AB711" s="708"/>
      <c r="AC711" s="708"/>
      <c r="AD711" s="146"/>
      <c r="AE711" s="146"/>
      <c r="AF711" s="146"/>
      <c r="AG711" s="708"/>
    </row>
    <row r="712" s="570" customFormat="1" ht="29" customHeight="1" spans="1:33">
      <c r="A712" s="705"/>
      <c r="B712" s="714" t="s">
        <v>98</v>
      </c>
      <c r="C712" s="146" t="s">
        <v>52</v>
      </c>
      <c r="D712" s="152" t="s">
        <v>498</v>
      </c>
      <c r="E712" s="92">
        <v>1</v>
      </c>
      <c r="F712" s="92" t="s">
        <v>98</v>
      </c>
      <c r="G712" s="92"/>
      <c r="H712" s="724">
        <v>25.219</v>
      </c>
      <c r="I712" s="724">
        <v>25.219</v>
      </c>
      <c r="J712" s="724">
        <v>0</v>
      </c>
      <c r="K712" s="724">
        <v>0</v>
      </c>
      <c r="L712" s="724">
        <v>2018.01</v>
      </c>
      <c r="M712" s="724">
        <v>0</v>
      </c>
      <c r="N712" s="724">
        <v>558.77</v>
      </c>
      <c r="O712" s="724">
        <v>558.77</v>
      </c>
      <c r="P712" s="724">
        <v>0</v>
      </c>
      <c r="Q712" s="724">
        <v>0</v>
      </c>
      <c r="R712" s="724">
        <v>558.77</v>
      </c>
      <c r="S712" s="724">
        <v>0</v>
      </c>
      <c r="T712" s="724">
        <v>0</v>
      </c>
      <c r="U712" s="724">
        <v>0</v>
      </c>
      <c r="V712" s="724">
        <v>0</v>
      </c>
      <c r="W712" s="92">
        <v>0</v>
      </c>
      <c r="X712" s="92" t="s">
        <v>463</v>
      </c>
      <c r="Y712" s="738">
        <v>3500</v>
      </c>
      <c r="Z712" s="738">
        <v>14441</v>
      </c>
      <c r="AA712" s="738">
        <v>1</v>
      </c>
      <c r="AB712" s="708"/>
      <c r="AC712" s="708"/>
      <c r="AD712" s="146"/>
      <c r="AE712" s="146"/>
      <c r="AF712" s="146"/>
      <c r="AG712" s="708"/>
    </row>
    <row r="713" s="570" customFormat="1" ht="29" customHeight="1" spans="1:33">
      <c r="A713" s="705"/>
      <c r="B713" s="714" t="s">
        <v>211</v>
      </c>
      <c r="C713" s="146" t="s">
        <v>52</v>
      </c>
      <c r="D713" s="152" t="s">
        <v>498</v>
      </c>
      <c r="E713" s="92">
        <v>1</v>
      </c>
      <c r="F713" s="92" t="s">
        <v>211</v>
      </c>
      <c r="G713" s="92"/>
      <c r="H713" s="724">
        <v>27.478</v>
      </c>
      <c r="I713" s="724">
        <v>27.478</v>
      </c>
      <c r="J713" s="724">
        <v>0</v>
      </c>
      <c r="K713" s="724">
        <v>0</v>
      </c>
      <c r="L713" s="724">
        <v>2018.01</v>
      </c>
      <c r="M713" s="724">
        <v>0</v>
      </c>
      <c r="N713" s="724">
        <v>623.56</v>
      </c>
      <c r="O713" s="724">
        <v>623.56</v>
      </c>
      <c r="P713" s="724">
        <v>0</v>
      </c>
      <c r="Q713" s="724">
        <v>0</v>
      </c>
      <c r="R713" s="724">
        <v>623.56</v>
      </c>
      <c r="S713" s="724">
        <v>0</v>
      </c>
      <c r="T713" s="724">
        <v>0</v>
      </c>
      <c r="U713" s="724">
        <v>0</v>
      </c>
      <c r="V713" s="724">
        <v>0</v>
      </c>
      <c r="W713" s="92">
        <v>0</v>
      </c>
      <c r="X713" s="92" t="s">
        <v>463</v>
      </c>
      <c r="Y713" s="738">
        <v>2230</v>
      </c>
      <c r="Z713" s="738">
        <v>9972</v>
      </c>
      <c r="AA713" s="738">
        <v>1</v>
      </c>
      <c r="AB713" s="708"/>
      <c r="AC713" s="708"/>
      <c r="AD713" s="146"/>
      <c r="AE713" s="146"/>
      <c r="AF713" s="146"/>
      <c r="AG713" s="708"/>
    </row>
    <row r="714" s="570" customFormat="1" ht="29" customHeight="1" spans="1:33">
      <c r="A714" s="705"/>
      <c r="B714" s="714" t="s">
        <v>155</v>
      </c>
      <c r="C714" s="146" t="s">
        <v>52</v>
      </c>
      <c r="D714" s="152" t="s">
        <v>498</v>
      </c>
      <c r="E714" s="92">
        <v>1</v>
      </c>
      <c r="F714" s="92" t="s">
        <v>155</v>
      </c>
      <c r="G714" s="92"/>
      <c r="H714" s="724">
        <v>15.032</v>
      </c>
      <c r="I714" s="724">
        <v>15.032</v>
      </c>
      <c r="J714" s="724">
        <v>0</v>
      </c>
      <c r="K714" s="724">
        <v>0</v>
      </c>
      <c r="L714" s="724">
        <v>2018.01</v>
      </c>
      <c r="M714" s="724">
        <v>0</v>
      </c>
      <c r="N714" s="724">
        <v>304.15</v>
      </c>
      <c r="O714" s="724">
        <v>304.15</v>
      </c>
      <c r="P714" s="724">
        <v>0</v>
      </c>
      <c r="Q714" s="724">
        <v>0</v>
      </c>
      <c r="R714" s="724">
        <v>304.15</v>
      </c>
      <c r="S714" s="724">
        <v>0</v>
      </c>
      <c r="T714" s="724">
        <v>0</v>
      </c>
      <c r="U714" s="724">
        <v>0</v>
      </c>
      <c r="V714" s="724">
        <v>0</v>
      </c>
      <c r="W714" s="92">
        <v>0</v>
      </c>
      <c r="X714" s="92" t="s">
        <v>463</v>
      </c>
      <c r="Y714" s="738">
        <v>115</v>
      </c>
      <c r="Z714" s="738">
        <v>473</v>
      </c>
      <c r="AA714" s="738">
        <v>1</v>
      </c>
      <c r="AB714" s="708"/>
      <c r="AC714" s="708"/>
      <c r="AD714" s="146"/>
      <c r="AE714" s="146"/>
      <c r="AF714" s="146"/>
      <c r="AG714" s="708"/>
    </row>
    <row r="715" s="570" customFormat="1" ht="29" customHeight="1" spans="1:33">
      <c r="A715" s="705"/>
      <c r="B715" s="714" t="s">
        <v>102</v>
      </c>
      <c r="C715" s="146" t="s">
        <v>52</v>
      </c>
      <c r="D715" s="152" t="s">
        <v>498</v>
      </c>
      <c r="E715" s="92">
        <v>1</v>
      </c>
      <c r="F715" s="92" t="s">
        <v>102</v>
      </c>
      <c r="G715" s="92"/>
      <c r="H715" s="724">
        <v>9.339</v>
      </c>
      <c r="I715" s="724">
        <v>9.339</v>
      </c>
      <c r="J715" s="724">
        <v>0</v>
      </c>
      <c r="K715" s="724">
        <v>0</v>
      </c>
      <c r="L715" s="724">
        <v>2018.01</v>
      </c>
      <c r="M715" s="724">
        <v>0</v>
      </c>
      <c r="N715" s="724">
        <v>226.08</v>
      </c>
      <c r="O715" s="724">
        <v>226.08</v>
      </c>
      <c r="P715" s="724">
        <v>0</v>
      </c>
      <c r="Q715" s="724">
        <v>0</v>
      </c>
      <c r="R715" s="724">
        <v>226.08</v>
      </c>
      <c r="S715" s="724">
        <v>0</v>
      </c>
      <c r="T715" s="724">
        <v>0</v>
      </c>
      <c r="U715" s="724">
        <v>0</v>
      </c>
      <c r="V715" s="724">
        <v>0</v>
      </c>
      <c r="W715" s="92">
        <v>0</v>
      </c>
      <c r="X715" s="92" t="s">
        <v>463</v>
      </c>
      <c r="Y715" s="738">
        <v>1554</v>
      </c>
      <c r="Z715" s="738">
        <v>7057</v>
      </c>
      <c r="AA715" s="738">
        <v>1</v>
      </c>
      <c r="AB715" s="708"/>
      <c r="AC715" s="708"/>
      <c r="AD715" s="146"/>
      <c r="AE715" s="146"/>
      <c r="AF715" s="146"/>
      <c r="AG715" s="708"/>
    </row>
    <row r="716" s="570" customFormat="1" ht="29" customHeight="1" spans="1:33">
      <c r="A716" s="705"/>
      <c r="B716" s="714" t="s">
        <v>100</v>
      </c>
      <c r="C716" s="146" t="s">
        <v>52</v>
      </c>
      <c r="D716" s="152" t="s">
        <v>498</v>
      </c>
      <c r="E716" s="92">
        <v>1</v>
      </c>
      <c r="F716" s="92" t="s">
        <v>100</v>
      </c>
      <c r="G716" s="92"/>
      <c r="H716" s="724">
        <v>8.71</v>
      </c>
      <c r="I716" s="724">
        <v>8.71</v>
      </c>
      <c r="J716" s="724">
        <v>0</v>
      </c>
      <c r="K716" s="724">
        <v>0</v>
      </c>
      <c r="L716" s="724">
        <v>2018.01</v>
      </c>
      <c r="M716" s="724">
        <v>0</v>
      </c>
      <c r="N716" s="724">
        <v>206.15</v>
      </c>
      <c r="O716" s="724">
        <v>206.15</v>
      </c>
      <c r="P716" s="724">
        <v>0</v>
      </c>
      <c r="Q716" s="724">
        <v>0</v>
      </c>
      <c r="R716" s="724">
        <v>206.15</v>
      </c>
      <c r="S716" s="724">
        <v>0</v>
      </c>
      <c r="T716" s="724">
        <v>0</v>
      </c>
      <c r="U716" s="724">
        <v>0</v>
      </c>
      <c r="V716" s="724">
        <v>0</v>
      </c>
      <c r="W716" s="92">
        <v>0</v>
      </c>
      <c r="X716" s="92" t="s">
        <v>463</v>
      </c>
      <c r="Y716" s="738">
        <v>2596</v>
      </c>
      <c r="Z716" s="738">
        <v>12000</v>
      </c>
      <c r="AA716" s="738">
        <v>1</v>
      </c>
      <c r="AB716" s="708"/>
      <c r="AC716" s="708"/>
      <c r="AD716" s="146"/>
      <c r="AE716" s="146"/>
      <c r="AF716" s="146"/>
      <c r="AG716" s="708"/>
    </row>
    <row r="717" s="570" customFormat="1" ht="29" customHeight="1" spans="1:33">
      <c r="A717" s="705"/>
      <c r="B717" s="714" t="s">
        <v>259</v>
      </c>
      <c r="C717" s="146" t="s">
        <v>52</v>
      </c>
      <c r="D717" s="152" t="s">
        <v>498</v>
      </c>
      <c r="E717" s="92">
        <v>1</v>
      </c>
      <c r="F717" s="92" t="s">
        <v>259</v>
      </c>
      <c r="G717" s="92"/>
      <c r="H717" s="724">
        <v>2.843</v>
      </c>
      <c r="I717" s="724">
        <v>2.843</v>
      </c>
      <c r="J717" s="724">
        <v>0</v>
      </c>
      <c r="K717" s="724">
        <v>0</v>
      </c>
      <c r="L717" s="724">
        <v>2018.01</v>
      </c>
      <c r="M717" s="724">
        <v>0</v>
      </c>
      <c r="N717" s="724">
        <v>31.99</v>
      </c>
      <c r="O717" s="724">
        <v>31.99</v>
      </c>
      <c r="P717" s="724">
        <v>0</v>
      </c>
      <c r="Q717" s="724">
        <v>0</v>
      </c>
      <c r="R717" s="724">
        <v>31.99</v>
      </c>
      <c r="S717" s="724">
        <v>0</v>
      </c>
      <c r="T717" s="724">
        <v>0</v>
      </c>
      <c r="U717" s="724">
        <v>0</v>
      </c>
      <c r="V717" s="724">
        <v>0</v>
      </c>
      <c r="W717" s="92">
        <v>0</v>
      </c>
      <c r="X717" s="92" t="s">
        <v>463</v>
      </c>
      <c r="Y717" s="738">
        <v>368</v>
      </c>
      <c r="Z717" s="738">
        <v>1523</v>
      </c>
      <c r="AA717" s="738">
        <v>1</v>
      </c>
      <c r="AB717" s="708"/>
      <c r="AC717" s="708"/>
      <c r="AD717" s="146"/>
      <c r="AE717" s="146"/>
      <c r="AF717" s="146"/>
      <c r="AG717" s="708"/>
    </row>
    <row r="718" s="570" customFormat="1" ht="29" customHeight="1" spans="1:33">
      <c r="A718" s="705"/>
      <c r="B718" s="714" t="s">
        <v>84</v>
      </c>
      <c r="C718" s="146" t="s">
        <v>52</v>
      </c>
      <c r="D718" s="152" t="s">
        <v>498</v>
      </c>
      <c r="E718" s="92">
        <v>1</v>
      </c>
      <c r="F718" s="92" t="s">
        <v>84</v>
      </c>
      <c r="G718" s="92"/>
      <c r="H718" s="724">
        <v>5.425</v>
      </c>
      <c r="I718" s="724">
        <v>5.425</v>
      </c>
      <c r="J718" s="724">
        <v>0</v>
      </c>
      <c r="K718" s="724">
        <v>0</v>
      </c>
      <c r="L718" s="724">
        <v>2018.01</v>
      </c>
      <c r="M718" s="724">
        <v>0</v>
      </c>
      <c r="N718" s="724">
        <v>164.46</v>
      </c>
      <c r="O718" s="724">
        <v>164.46</v>
      </c>
      <c r="P718" s="724">
        <v>0</v>
      </c>
      <c r="Q718" s="724">
        <v>0</v>
      </c>
      <c r="R718" s="724">
        <v>164.46</v>
      </c>
      <c r="S718" s="724">
        <v>0</v>
      </c>
      <c r="T718" s="724">
        <v>0</v>
      </c>
      <c r="U718" s="724">
        <v>0</v>
      </c>
      <c r="V718" s="724">
        <v>0</v>
      </c>
      <c r="W718" s="92">
        <v>0</v>
      </c>
      <c r="X718" s="92" t="s">
        <v>463</v>
      </c>
      <c r="Y718" s="738">
        <v>721</v>
      </c>
      <c r="Z718" s="738">
        <v>2856</v>
      </c>
      <c r="AA718" s="738">
        <v>1</v>
      </c>
      <c r="AB718" s="708"/>
      <c r="AC718" s="708"/>
      <c r="AD718" s="146"/>
      <c r="AE718" s="146"/>
      <c r="AF718" s="146"/>
      <c r="AG718" s="708"/>
    </row>
    <row r="719" s="570" customFormat="1" ht="29" customHeight="1" spans="1:33">
      <c r="A719" s="705"/>
      <c r="B719" s="714" t="s">
        <v>143</v>
      </c>
      <c r="C719" s="146" t="s">
        <v>52</v>
      </c>
      <c r="D719" s="152" t="s">
        <v>498</v>
      </c>
      <c r="E719" s="92">
        <v>1</v>
      </c>
      <c r="F719" s="92" t="s">
        <v>143</v>
      </c>
      <c r="G719" s="92"/>
      <c r="H719" s="724">
        <v>15.193</v>
      </c>
      <c r="I719" s="724">
        <v>15.193</v>
      </c>
      <c r="J719" s="724">
        <v>0</v>
      </c>
      <c r="K719" s="724">
        <v>0</v>
      </c>
      <c r="L719" s="724">
        <v>2018.01</v>
      </c>
      <c r="M719" s="724">
        <v>0</v>
      </c>
      <c r="N719" s="724">
        <v>293.4</v>
      </c>
      <c r="O719" s="724">
        <v>293.4</v>
      </c>
      <c r="P719" s="724">
        <v>0</v>
      </c>
      <c r="Q719" s="724">
        <v>0</v>
      </c>
      <c r="R719" s="724">
        <v>293.4</v>
      </c>
      <c r="S719" s="724">
        <v>0</v>
      </c>
      <c r="T719" s="724">
        <v>0</v>
      </c>
      <c r="U719" s="724">
        <v>0</v>
      </c>
      <c r="V719" s="724">
        <v>0</v>
      </c>
      <c r="W719" s="92">
        <v>0</v>
      </c>
      <c r="X719" s="92" t="s">
        <v>463</v>
      </c>
      <c r="Y719" s="738">
        <v>333</v>
      </c>
      <c r="Z719" s="738">
        <v>1538</v>
      </c>
      <c r="AA719" s="738">
        <v>1</v>
      </c>
      <c r="AB719" s="708"/>
      <c r="AC719" s="708"/>
      <c r="AD719" s="146"/>
      <c r="AE719" s="146"/>
      <c r="AF719" s="146"/>
      <c r="AG719" s="708"/>
    </row>
    <row r="720" s="570" customFormat="1" ht="24" spans="1:33">
      <c r="A720" s="705">
        <v>93</v>
      </c>
      <c r="B720" s="791" t="s">
        <v>499</v>
      </c>
      <c r="C720" s="708"/>
      <c r="D720" s="709" t="s">
        <v>384</v>
      </c>
      <c r="E720" s="92">
        <v>0</v>
      </c>
      <c r="F720" s="92">
        <v>0</v>
      </c>
      <c r="G720" s="92"/>
      <c r="H720" s="724">
        <v>0</v>
      </c>
      <c r="I720" s="724">
        <v>0</v>
      </c>
      <c r="J720" s="724">
        <v>0</v>
      </c>
      <c r="K720" s="724">
        <v>0</v>
      </c>
      <c r="L720" s="724">
        <v>0</v>
      </c>
      <c r="M720" s="724">
        <v>0</v>
      </c>
      <c r="N720" s="724">
        <v>0</v>
      </c>
      <c r="O720" s="724">
        <v>0</v>
      </c>
      <c r="P720" s="724">
        <v>0</v>
      </c>
      <c r="Q720" s="724">
        <v>0</v>
      </c>
      <c r="R720" s="724">
        <v>0</v>
      </c>
      <c r="S720" s="724">
        <v>0</v>
      </c>
      <c r="T720" s="724">
        <v>0</v>
      </c>
      <c r="U720" s="724">
        <v>0</v>
      </c>
      <c r="V720" s="724">
        <v>0</v>
      </c>
      <c r="W720" s="92">
        <v>0</v>
      </c>
      <c r="X720" s="92">
        <v>0</v>
      </c>
      <c r="Y720" s="738">
        <v>0</v>
      </c>
      <c r="Z720" s="738">
        <v>0</v>
      </c>
      <c r="AA720" s="738">
        <v>0</v>
      </c>
      <c r="AB720" s="708"/>
      <c r="AC720" s="708"/>
      <c r="AD720" s="708"/>
      <c r="AE720" s="708"/>
      <c r="AF720" s="708" t="s">
        <v>500</v>
      </c>
      <c r="AG720" s="708" t="s">
        <v>41</v>
      </c>
    </row>
    <row r="721" s="570" customFormat="1" ht="24.95" customHeight="1" spans="1:33">
      <c r="A721" s="705" t="s">
        <v>48</v>
      </c>
      <c r="B721" s="92" t="s">
        <v>148</v>
      </c>
      <c r="C721" s="92"/>
      <c r="D721" s="76"/>
      <c r="E721" s="92">
        <v>0</v>
      </c>
      <c r="F721" s="92">
        <v>0</v>
      </c>
      <c r="G721" s="92"/>
      <c r="H721" s="724">
        <v>0</v>
      </c>
      <c r="I721" s="724">
        <v>0</v>
      </c>
      <c r="J721" s="724">
        <v>0</v>
      </c>
      <c r="K721" s="724">
        <v>0</v>
      </c>
      <c r="L721" s="724">
        <v>0</v>
      </c>
      <c r="M721" s="724">
        <v>0</v>
      </c>
      <c r="N721" s="724">
        <v>0</v>
      </c>
      <c r="O721" s="724">
        <v>0</v>
      </c>
      <c r="P721" s="724">
        <v>0</v>
      </c>
      <c r="Q721" s="724">
        <v>0</v>
      </c>
      <c r="R721" s="724">
        <v>0</v>
      </c>
      <c r="S721" s="724">
        <v>0</v>
      </c>
      <c r="T721" s="724">
        <v>0</v>
      </c>
      <c r="U721" s="724">
        <v>0</v>
      </c>
      <c r="V721" s="724">
        <v>0</v>
      </c>
      <c r="W721" s="92">
        <v>0</v>
      </c>
      <c r="X721" s="92">
        <v>0</v>
      </c>
      <c r="Y721" s="738">
        <v>0</v>
      </c>
      <c r="Z721" s="738">
        <v>0</v>
      </c>
      <c r="AA721" s="738">
        <v>0</v>
      </c>
      <c r="AB721" s="92"/>
      <c r="AC721" s="92"/>
      <c r="AD721" s="92"/>
      <c r="AE721" s="92"/>
      <c r="AF721" s="92"/>
      <c r="AG721" s="92"/>
    </row>
    <row r="722" s="570" customFormat="1" ht="24.95" customHeight="1" spans="1:33">
      <c r="A722" s="705">
        <v>94</v>
      </c>
      <c r="B722" s="791" t="s">
        <v>501</v>
      </c>
      <c r="C722" s="708"/>
      <c r="D722" s="709" t="s">
        <v>496</v>
      </c>
      <c r="E722" s="92">
        <v>0</v>
      </c>
      <c r="F722" s="92">
        <v>0</v>
      </c>
      <c r="G722" s="92"/>
      <c r="H722" s="724">
        <v>0</v>
      </c>
      <c r="I722" s="724">
        <v>0</v>
      </c>
      <c r="J722" s="724">
        <v>0</v>
      </c>
      <c r="K722" s="724">
        <v>0</v>
      </c>
      <c r="L722" s="724">
        <v>0</v>
      </c>
      <c r="M722" s="724">
        <v>0</v>
      </c>
      <c r="N722" s="724">
        <v>0</v>
      </c>
      <c r="O722" s="724">
        <v>0</v>
      </c>
      <c r="P722" s="724">
        <v>0</v>
      </c>
      <c r="Q722" s="724">
        <v>0</v>
      </c>
      <c r="R722" s="724">
        <v>0</v>
      </c>
      <c r="S722" s="724">
        <v>0</v>
      </c>
      <c r="T722" s="724">
        <v>0</v>
      </c>
      <c r="U722" s="724">
        <v>0</v>
      </c>
      <c r="V722" s="724">
        <v>0</v>
      </c>
      <c r="W722" s="92">
        <v>0</v>
      </c>
      <c r="X722" s="92">
        <v>0</v>
      </c>
      <c r="Y722" s="738">
        <v>0</v>
      </c>
      <c r="Z722" s="738">
        <v>0</v>
      </c>
      <c r="AA722" s="738">
        <v>0</v>
      </c>
      <c r="AB722" s="708"/>
      <c r="AC722" s="708"/>
      <c r="AD722" s="708"/>
      <c r="AE722" s="708"/>
      <c r="AF722" s="708" t="s">
        <v>497</v>
      </c>
      <c r="AG722" s="708" t="s">
        <v>41</v>
      </c>
    </row>
    <row r="723" s="570" customFormat="1" ht="24.95" customHeight="1" spans="1:33">
      <c r="A723" s="705">
        <v>95</v>
      </c>
      <c r="B723" s="95" t="s">
        <v>502</v>
      </c>
      <c r="C723" s="92"/>
      <c r="D723" s="76" t="s">
        <v>496</v>
      </c>
      <c r="E723" s="92">
        <v>0</v>
      </c>
      <c r="F723" s="92">
        <v>0</v>
      </c>
      <c r="G723" s="92"/>
      <c r="H723" s="724">
        <v>0</v>
      </c>
      <c r="I723" s="724">
        <v>0</v>
      </c>
      <c r="J723" s="724">
        <v>0</v>
      </c>
      <c r="K723" s="724">
        <v>0</v>
      </c>
      <c r="L723" s="724">
        <v>0</v>
      </c>
      <c r="M723" s="724">
        <v>0</v>
      </c>
      <c r="N723" s="724">
        <v>0</v>
      </c>
      <c r="O723" s="724">
        <v>0</v>
      </c>
      <c r="P723" s="724">
        <v>0</v>
      </c>
      <c r="Q723" s="724">
        <v>0</v>
      </c>
      <c r="R723" s="724">
        <v>0</v>
      </c>
      <c r="S723" s="724">
        <v>0</v>
      </c>
      <c r="T723" s="724">
        <v>0</v>
      </c>
      <c r="U723" s="724">
        <v>0</v>
      </c>
      <c r="V723" s="724">
        <v>0</v>
      </c>
      <c r="W723" s="92">
        <v>0</v>
      </c>
      <c r="X723" s="92">
        <v>0</v>
      </c>
      <c r="Y723" s="738">
        <v>0</v>
      </c>
      <c r="Z723" s="738">
        <v>0</v>
      </c>
      <c r="AA723" s="738">
        <v>0</v>
      </c>
      <c r="AB723" s="92"/>
      <c r="AC723" s="92"/>
      <c r="AD723" s="92"/>
      <c r="AE723" s="92"/>
      <c r="AF723" s="92" t="s">
        <v>497</v>
      </c>
      <c r="AG723" s="92" t="s">
        <v>41</v>
      </c>
    </row>
    <row r="724" s="570" customFormat="1" ht="24.95" customHeight="1" spans="1:33">
      <c r="A724" s="705" t="s">
        <v>48</v>
      </c>
      <c r="B724" s="92" t="s">
        <v>148</v>
      </c>
      <c r="C724" s="92"/>
      <c r="D724" s="76"/>
      <c r="E724" s="92">
        <v>0</v>
      </c>
      <c r="F724" s="92">
        <v>0</v>
      </c>
      <c r="G724" s="92"/>
      <c r="H724" s="724">
        <v>0</v>
      </c>
      <c r="I724" s="724">
        <v>0</v>
      </c>
      <c r="J724" s="724">
        <v>0</v>
      </c>
      <c r="K724" s="724">
        <v>0</v>
      </c>
      <c r="L724" s="724">
        <v>0</v>
      </c>
      <c r="M724" s="724">
        <v>0</v>
      </c>
      <c r="N724" s="724">
        <v>0</v>
      </c>
      <c r="O724" s="724">
        <v>0</v>
      </c>
      <c r="P724" s="724">
        <v>0</v>
      </c>
      <c r="Q724" s="724">
        <v>0</v>
      </c>
      <c r="R724" s="724">
        <v>0</v>
      </c>
      <c r="S724" s="724">
        <v>0</v>
      </c>
      <c r="T724" s="724">
        <v>0</v>
      </c>
      <c r="U724" s="724">
        <v>0</v>
      </c>
      <c r="V724" s="724">
        <v>0</v>
      </c>
      <c r="W724" s="92">
        <v>0</v>
      </c>
      <c r="X724" s="92">
        <v>0</v>
      </c>
      <c r="Y724" s="738">
        <v>0</v>
      </c>
      <c r="Z724" s="738">
        <v>0</v>
      </c>
      <c r="AA724" s="738">
        <v>0</v>
      </c>
      <c r="AB724" s="92"/>
      <c r="AC724" s="92"/>
      <c r="AD724" s="92"/>
      <c r="AE724" s="92"/>
      <c r="AF724" s="92"/>
      <c r="AG724" s="92"/>
    </row>
    <row r="725" s="570" customFormat="1" ht="24.95" customHeight="1" spans="1:33">
      <c r="A725" s="705">
        <v>96</v>
      </c>
      <c r="B725" s="95" t="s">
        <v>503</v>
      </c>
      <c r="C725" s="92"/>
      <c r="D725" s="76" t="s">
        <v>496</v>
      </c>
      <c r="E725" s="92">
        <v>0</v>
      </c>
      <c r="F725" s="92">
        <v>0</v>
      </c>
      <c r="G725" s="92"/>
      <c r="H725" s="724">
        <v>0</v>
      </c>
      <c r="I725" s="724">
        <v>0</v>
      </c>
      <c r="J725" s="724">
        <v>0</v>
      </c>
      <c r="K725" s="724">
        <v>0</v>
      </c>
      <c r="L725" s="724">
        <v>0</v>
      </c>
      <c r="M725" s="724">
        <v>0</v>
      </c>
      <c r="N725" s="724">
        <v>0</v>
      </c>
      <c r="O725" s="724">
        <v>0</v>
      </c>
      <c r="P725" s="724">
        <v>0</v>
      </c>
      <c r="Q725" s="724">
        <v>0</v>
      </c>
      <c r="R725" s="724">
        <v>0</v>
      </c>
      <c r="S725" s="724">
        <v>0</v>
      </c>
      <c r="T725" s="724">
        <v>0</v>
      </c>
      <c r="U725" s="724">
        <v>0</v>
      </c>
      <c r="V725" s="724">
        <v>0</v>
      </c>
      <c r="W725" s="92">
        <v>0</v>
      </c>
      <c r="X725" s="92">
        <v>0</v>
      </c>
      <c r="Y725" s="738">
        <v>0</v>
      </c>
      <c r="Z725" s="738">
        <v>0</v>
      </c>
      <c r="AA725" s="738">
        <v>0</v>
      </c>
      <c r="AB725" s="92"/>
      <c r="AC725" s="92"/>
      <c r="AD725" s="92"/>
      <c r="AE725" s="92"/>
      <c r="AF725" s="92" t="s">
        <v>497</v>
      </c>
      <c r="AG725" s="92" t="s">
        <v>41</v>
      </c>
    </row>
    <row r="726" s="570" customFormat="1" ht="24.95" customHeight="1" spans="1:33">
      <c r="A726" s="705" t="s">
        <v>48</v>
      </c>
      <c r="B726" s="92" t="s">
        <v>148</v>
      </c>
      <c r="C726" s="92"/>
      <c r="D726" s="76"/>
      <c r="E726" s="92">
        <v>0</v>
      </c>
      <c r="F726" s="92">
        <v>0</v>
      </c>
      <c r="G726" s="92"/>
      <c r="H726" s="724">
        <v>0</v>
      </c>
      <c r="I726" s="724">
        <v>0</v>
      </c>
      <c r="J726" s="724">
        <v>0</v>
      </c>
      <c r="K726" s="724">
        <v>0</v>
      </c>
      <c r="L726" s="724">
        <v>0</v>
      </c>
      <c r="M726" s="724">
        <v>0</v>
      </c>
      <c r="N726" s="724">
        <v>0</v>
      </c>
      <c r="O726" s="724">
        <v>0</v>
      </c>
      <c r="P726" s="724">
        <v>0</v>
      </c>
      <c r="Q726" s="724">
        <v>0</v>
      </c>
      <c r="R726" s="724">
        <v>0</v>
      </c>
      <c r="S726" s="724">
        <v>0</v>
      </c>
      <c r="T726" s="724">
        <v>0</v>
      </c>
      <c r="U726" s="724">
        <v>0</v>
      </c>
      <c r="V726" s="724">
        <v>0</v>
      </c>
      <c r="W726" s="92">
        <v>0</v>
      </c>
      <c r="X726" s="92">
        <v>0</v>
      </c>
      <c r="Y726" s="738">
        <v>0</v>
      </c>
      <c r="Z726" s="738">
        <v>0</v>
      </c>
      <c r="AA726" s="738">
        <v>0</v>
      </c>
      <c r="AB726" s="92"/>
      <c r="AC726" s="92"/>
      <c r="AD726" s="92"/>
      <c r="AE726" s="92"/>
      <c r="AF726" s="92"/>
      <c r="AG726" s="92"/>
    </row>
    <row r="727" s="570" customFormat="1" ht="24.95" customHeight="1" spans="1:33">
      <c r="A727" s="705">
        <v>97</v>
      </c>
      <c r="B727" s="95" t="s">
        <v>504</v>
      </c>
      <c r="C727" s="92"/>
      <c r="D727" s="76" t="s">
        <v>496</v>
      </c>
      <c r="E727" s="92">
        <v>0</v>
      </c>
      <c r="F727" s="92">
        <v>0</v>
      </c>
      <c r="G727" s="92"/>
      <c r="H727" s="724">
        <v>0</v>
      </c>
      <c r="I727" s="724">
        <v>0</v>
      </c>
      <c r="J727" s="724">
        <v>0</v>
      </c>
      <c r="K727" s="724">
        <v>0</v>
      </c>
      <c r="L727" s="724">
        <v>0</v>
      </c>
      <c r="M727" s="724">
        <v>0</v>
      </c>
      <c r="N727" s="724">
        <v>0</v>
      </c>
      <c r="O727" s="724">
        <v>0</v>
      </c>
      <c r="P727" s="724">
        <v>0</v>
      </c>
      <c r="Q727" s="724">
        <v>0</v>
      </c>
      <c r="R727" s="724">
        <v>0</v>
      </c>
      <c r="S727" s="724">
        <v>0</v>
      </c>
      <c r="T727" s="724">
        <v>0</v>
      </c>
      <c r="U727" s="724">
        <v>0</v>
      </c>
      <c r="V727" s="724">
        <v>0</v>
      </c>
      <c r="W727" s="92">
        <v>0</v>
      </c>
      <c r="X727" s="92">
        <v>0</v>
      </c>
      <c r="Y727" s="738">
        <v>0</v>
      </c>
      <c r="Z727" s="738">
        <v>0</v>
      </c>
      <c r="AA727" s="738">
        <v>0</v>
      </c>
      <c r="AB727" s="92"/>
      <c r="AC727" s="92"/>
      <c r="AD727" s="92"/>
      <c r="AE727" s="92"/>
      <c r="AF727" s="92" t="s">
        <v>497</v>
      </c>
      <c r="AG727" s="92" t="s">
        <v>41</v>
      </c>
    </row>
    <row r="728" s="570" customFormat="1" ht="24.95" customHeight="1" spans="1:33">
      <c r="A728" s="705" t="s">
        <v>48</v>
      </c>
      <c r="B728" s="92" t="s">
        <v>148</v>
      </c>
      <c r="C728" s="92"/>
      <c r="D728" s="76"/>
      <c r="E728" s="92">
        <v>0</v>
      </c>
      <c r="F728" s="92">
        <v>0</v>
      </c>
      <c r="G728" s="92"/>
      <c r="H728" s="724">
        <v>0</v>
      </c>
      <c r="I728" s="724">
        <v>0</v>
      </c>
      <c r="J728" s="724">
        <v>0</v>
      </c>
      <c r="K728" s="724">
        <v>0</v>
      </c>
      <c r="L728" s="724">
        <v>0</v>
      </c>
      <c r="M728" s="724">
        <v>0</v>
      </c>
      <c r="N728" s="724">
        <v>0</v>
      </c>
      <c r="O728" s="724">
        <v>0</v>
      </c>
      <c r="P728" s="724">
        <v>0</v>
      </c>
      <c r="Q728" s="724">
        <v>0</v>
      </c>
      <c r="R728" s="724">
        <v>0</v>
      </c>
      <c r="S728" s="724">
        <v>0</v>
      </c>
      <c r="T728" s="724">
        <v>0</v>
      </c>
      <c r="U728" s="724">
        <v>0</v>
      </c>
      <c r="V728" s="724">
        <v>0</v>
      </c>
      <c r="W728" s="92">
        <v>0</v>
      </c>
      <c r="X728" s="92">
        <v>0</v>
      </c>
      <c r="Y728" s="738">
        <v>0</v>
      </c>
      <c r="Z728" s="738">
        <v>0</v>
      </c>
      <c r="AA728" s="738">
        <v>0</v>
      </c>
      <c r="AB728" s="92"/>
      <c r="AC728" s="92"/>
      <c r="AD728" s="92"/>
      <c r="AE728" s="92"/>
      <c r="AF728" s="92"/>
      <c r="AG728" s="92"/>
    </row>
    <row r="729" s="570" customFormat="1" ht="24.95" customHeight="1" spans="1:33">
      <c r="A729" s="705">
        <v>98</v>
      </c>
      <c r="B729" s="708" t="s">
        <v>505</v>
      </c>
      <c r="C729" s="708"/>
      <c r="D729" s="709"/>
      <c r="E729" s="92">
        <v>451</v>
      </c>
      <c r="F729" s="92">
        <v>0</v>
      </c>
      <c r="G729" s="92"/>
      <c r="H729" s="724">
        <v>31572</v>
      </c>
      <c r="I729" s="724">
        <v>295</v>
      </c>
      <c r="J729" s="724">
        <v>33483</v>
      </c>
      <c r="K729" s="724">
        <v>61</v>
      </c>
      <c r="L729" s="724">
        <v>0</v>
      </c>
      <c r="M729" s="724">
        <v>0</v>
      </c>
      <c r="N729" s="724">
        <v>18084.5845</v>
      </c>
      <c r="O729" s="724">
        <v>9983.88</v>
      </c>
      <c r="P729" s="724">
        <v>3783</v>
      </c>
      <c r="Q729" s="724">
        <v>4317.7045</v>
      </c>
      <c r="R729" s="724">
        <v>0</v>
      </c>
      <c r="S729" s="724">
        <v>18084.5845</v>
      </c>
      <c r="T729" s="724">
        <v>0</v>
      </c>
      <c r="U729" s="724">
        <v>0</v>
      </c>
      <c r="V729" s="724">
        <v>0</v>
      </c>
      <c r="W729" s="92">
        <v>0</v>
      </c>
      <c r="X729" s="92" t="s">
        <v>506</v>
      </c>
      <c r="Y729" s="738">
        <v>27780.8947368421</v>
      </c>
      <c r="Z729" s="738">
        <v>108772</v>
      </c>
      <c r="AA729" s="738">
        <v>451</v>
      </c>
      <c r="AB729" s="708"/>
      <c r="AC729" s="708"/>
      <c r="AD729" s="146" t="s">
        <v>507</v>
      </c>
      <c r="AE729" s="146" t="s">
        <v>508</v>
      </c>
      <c r="AF729" s="146" t="s">
        <v>275</v>
      </c>
      <c r="AG729" s="708" t="s">
        <v>41</v>
      </c>
    </row>
    <row r="730" s="570" customFormat="1" ht="24.95" customHeight="1" spans="1:33">
      <c r="A730" s="705"/>
      <c r="B730" s="798" t="s">
        <v>69</v>
      </c>
      <c r="C730" s="146" t="s">
        <v>52</v>
      </c>
      <c r="D730" s="152" t="s">
        <v>509</v>
      </c>
      <c r="E730" s="92">
        <v>25</v>
      </c>
      <c r="F730" s="92" t="s">
        <v>69</v>
      </c>
      <c r="G730" s="92"/>
      <c r="H730" s="724">
        <v>25</v>
      </c>
      <c r="I730" s="724">
        <v>8</v>
      </c>
      <c r="J730" s="724">
        <v>17</v>
      </c>
      <c r="K730" s="724">
        <v>0</v>
      </c>
      <c r="L730" s="724">
        <v>2018.01</v>
      </c>
      <c r="M730" s="724">
        <v>0</v>
      </c>
      <c r="N730" s="724">
        <v>592.3</v>
      </c>
      <c r="O730" s="724">
        <v>373.3</v>
      </c>
      <c r="P730" s="724">
        <v>219</v>
      </c>
      <c r="Q730" s="724">
        <v>0</v>
      </c>
      <c r="R730" s="724">
        <v>0</v>
      </c>
      <c r="S730" s="724">
        <v>592.3</v>
      </c>
      <c r="T730" s="724">
        <v>0</v>
      </c>
      <c r="U730" s="724">
        <v>0</v>
      </c>
      <c r="V730" s="724">
        <v>0</v>
      </c>
      <c r="W730" s="92">
        <v>0</v>
      </c>
      <c r="X730" s="92" t="s">
        <v>506</v>
      </c>
      <c r="Y730" s="738">
        <v>1365.57894736842</v>
      </c>
      <c r="Z730" s="738">
        <v>4912</v>
      </c>
      <c r="AA730" s="738">
        <v>25</v>
      </c>
      <c r="AB730" s="708"/>
      <c r="AC730" s="708"/>
      <c r="AD730" s="146" t="s">
        <v>510</v>
      </c>
      <c r="AE730" s="146" t="s">
        <v>511</v>
      </c>
      <c r="AF730" s="146" t="s">
        <v>275</v>
      </c>
      <c r="AG730" s="708"/>
    </row>
    <row r="731" s="570" customFormat="1" ht="24.95" customHeight="1" spans="1:33">
      <c r="A731" s="705"/>
      <c r="B731" s="798" t="s">
        <v>51</v>
      </c>
      <c r="C731" s="146" t="s">
        <v>52</v>
      </c>
      <c r="D731" s="152" t="s">
        <v>509</v>
      </c>
      <c r="E731" s="92">
        <v>22</v>
      </c>
      <c r="F731" s="92" t="s">
        <v>51</v>
      </c>
      <c r="G731" s="92"/>
      <c r="H731" s="724">
        <v>22</v>
      </c>
      <c r="I731" s="724">
        <v>13</v>
      </c>
      <c r="J731" s="724">
        <v>9</v>
      </c>
      <c r="K731" s="724">
        <v>0</v>
      </c>
      <c r="L731" s="724">
        <v>2018.01</v>
      </c>
      <c r="M731" s="724">
        <v>0</v>
      </c>
      <c r="N731" s="724">
        <v>733.5</v>
      </c>
      <c r="O731" s="724">
        <v>292</v>
      </c>
      <c r="P731" s="724">
        <v>441.5</v>
      </c>
      <c r="Q731" s="724">
        <v>0</v>
      </c>
      <c r="R731" s="724">
        <v>0</v>
      </c>
      <c r="S731" s="724">
        <v>733.5</v>
      </c>
      <c r="T731" s="724">
        <v>0</v>
      </c>
      <c r="U731" s="724">
        <v>0</v>
      </c>
      <c r="V731" s="724">
        <v>0</v>
      </c>
      <c r="W731" s="92">
        <v>0</v>
      </c>
      <c r="X731" s="92" t="s">
        <v>506</v>
      </c>
      <c r="Y731" s="738">
        <v>1900.21052631579</v>
      </c>
      <c r="Z731" s="738">
        <v>7244</v>
      </c>
      <c r="AA731" s="738">
        <v>22</v>
      </c>
      <c r="AB731" s="708"/>
      <c r="AC731" s="708"/>
      <c r="AD731" s="146" t="s">
        <v>53</v>
      </c>
      <c r="AE731" s="146" t="s">
        <v>512</v>
      </c>
      <c r="AF731" s="146" t="s">
        <v>275</v>
      </c>
      <c r="AG731" s="708"/>
    </row>
    <row r="732" s="570" customFormat="1" ht="24.95" customHeight="1" spans="1:33">
      <c r="A732" s="705"/>
      <c r="B732" s="798" t="s">
        <v>72</v>
      </c>
      <c r="C732" s="146" t="s">
        <v>52</v>
      </c>
      <c r="D732" s="152" t="s">
        <v>509</v>
      </c>
      <c r="E732" s="92">
        <v>28</v>
      </c>
      <c r="F732" s="92" t="s">
        <v>72</v>
      </c>
      <c r="G732" s="92"/>
      <c r="H732" s="724">
        <v>28</v>
      </c>
      <c r="I732" s="724">
        <v>15</v>
      </c>
      <c r="J732" s="724">
        <v>1</v>
      </c>
      <c r="K732" s="724">
        <v>12</v>
      </c>
      <c r="L732" s="724">
        <v>2018.01</v>
      </c>
      <c r="M732" s="724">
        <v>2020.12</v>
      </c>
      <c r="N732" s="724">
        <v>1331.21</v>
      </c>
      <c r="O732" s="724">
        <v>1077.21</v>
      </c>
      <c r="P732" s="724">
        <v>94</v>
      </c>
      <c r="Q732" s="724">
        <v>160</v>
      </c>
      <c r="R732" s="724">
        <v>0</v>
      </c>
      <c r="S732" s="724">
        <v>1331.21</v>
      </c>
      <c r="T732" s="724">
        <v>0</v>
      </c>
      <c r="U732" s="724">
        <v>0</v>
      </c>
      <c r="V732" s="724">
        <v>0</v>
      </c>
      <c r="W732" s="92">
        <v>0</v>
      </c>
      <c r="X732" s="92" t="s">
        <v>506</v>
      </c>
      <c r="Y732" s="738">
        <v>1952.36842105263</v>
      </c>
      <c r="Z732" s="738">
        <v>7446</v>
      </c>
      <c r="AA732" s="738">
        <v>28</v>
      </c>
      <c r="AB732" s="708"/>
      <c r="AC732" s="708"/>
      <c r="AD732" s="146" t="s">
        <v>73</v>
      </c>
      <c r="AE732" s="146" t="s">
        <v>513</v>
      </c>
      <c r="AF732" s="146" t="s">
        <v>275</v>
      </c>
      <c r="AG732" s="708"/>
    </row>
    <row r="733" s="570" customFormat="1" ht="24.95" customHeight="1" spans="1:33">
      <c r="A733" s="705"/>
      <c r="B733" s="798" t="s">
        <v>91</v>
      </c>
      <c r="C733" s="146" t="s">
        <v>52</v>
      </c>
      <c r="D733" s="152" t="s">
        <v>509</v>
      </c>
      <c r="E733" s="92">
        <v>18</v>
      </c>
      <c r="F733" s="92" t="s">
        <v>91</v>
      </c>
      <c r="G733" s="92"/>
      <c r="H733" s="724">
        <v>18</v>
      </c>
      <c r="I733" s="724">
        <v>5</v>
      </c>
      <c r="J733" s="724">
        <v>13</v>
      </c>
      <c r="K733" s="724">
        <v>0</v>
      </c>
      <c r="L733" s="724">
        <v>2018.01</v>
      </c>
      <c r="M733" s="724">
        <v>0</v>
      </c>
      <c r="N733" s="724">
        <v>476.65</v>
      </c>
      <c r="O733" s="724">
        <v>122.65</v>
      </c>
      <c r="P733" s="724">
        <v>354</v>
      </c>
      <c r="Q733" s="724">
        <v>0</v>
      </c>
      <c r="R733" s="724">
        <v>0</v>
      </c>
      <c r="S733" s="724">
        <v>476.65</v>
      </c>
      <c r="T733" s="724">
        <v>0</v>
      </c>
      <c r="U733" s="724">
        <v>0</v>
      </c>
      <c r="V733" s="724">
        <v>0</v>
      </c>
      <c r="W733" s="92">
        <v>0</v>
      </c>
      <c r="X733" s="92" t="s">
        <v>506</v>
      </c>
      <c r="Y733" s="738">
        <v>1107.68421052632</v>
      </c>
      <c r="Z733" s="738">
        <v>4084</v>
      </c>
      <c r="AA733" s="738">
        <v>18</v>
      </c>
      <c r="AB733" s="708"/>
      <c r="AC733" s="708"/>
      <c r="AD733" s="146" t="s">
        <v>82</v>
      </c>
      <c r="AE733" s="146" t="s">
        <v>346</v>
      </c>
      <c r="AF733" s="146" t="s">
        <v>275</v>
      </c>
      <c r="AG733" s="708"/>
    </row>
    <row r="734" s="570" customFormat="1" ht="24.95" customHeight="1" spans="1:33">
      <c r="A734" s="705"/>
      <c r="B734" s="798" t="s">
        <v>55</v>
      </c>
      <c r="C734" s="146" t="s">
        <v>52</v>
      </c>
      <c r="D734" s="152" t="s">
        <v>509</v>
      </c>
      <c r="E734" s="92">
        <v>55</v>
      </c>
      <c r="F734" s="92" t="s">
        <v>55</v>
      </c>
      <c r="G734" s="92"/>
      <c r="H734" s="724">
        <v>55</v>
      </c>
      <c r="I734" s="724">
        <v>42</v>
      </c>
      <c r="J734" s="724">
        <v>8</v>
      </c>
      <c r="K734" s="724">
        <v>5</v>
      </c>
      <c r="L734" s="724">
        <v>2018.01</v>
      </c>
      <c r="M734" s="724">
        <v>2020.12</v>
      </c>
      <c r="N734" s="724">
        <v>2676.52</v>
      </c>
      <c r="O734" s="724">
        <v>1748.82</v>
      </c>
      <c r="P734" s="724">
        <v>689.7</v>
      </c>
      <c r="Q734" s="724">
        <v>238</v>
      </c>
      <c r="R734" s="724">
        <v>0</v>
      </c>
      <c r="S734" s="724">
        <v>2676.52</v>
      </c>
      <c r="T734" s="724">
        <v>0</v>
      </c>
      <c r="U734" s="724">
        <v>0</v>
      </c>
      <c r="V734" s="724">
        <v>0</v>
      </c>
      <c r="W734" s="92">
        <v>0</v>
      </c>
      <c r="X734" s="92" t="s">
        <v>506</v>
      </c>
      <c r="Y734" s="738">
        <v>3542.36842105263</v>
      </c>
      <c r="Z734" s="738">
        <v>13746</v>
      </c>
      <c r="AA734" s="738">
        <v>55</v>
      </c>
      <c r="AB734" s="708"/>
      <c r="AC734" s="708"/>
      <c r="AD734" s="146" t="s">
        <v>56</v>
      </c>
      <c r="AE734" s="146" t="s">
        <v>514</v>
      </c>
      <c r="AF734" s="146" t="s">
        <v>275</v>
      </c>
      <c r="AG734" s="708"/>
    </row>
    <row r="735" s="570" customFormat="1" ht="24.95" customHeight="1" spans="1:33">
      <c r="A735" s="705"/>
      <c r="B735" s="798" t="s">
        <v>75</v>
      </c>
      <c r="C735" s="146" t="s">
        <v>52</v>
      </c>
      <c r="D735" s="152" t="s">
        <v>509</v>
      </c>
      <c r="E735" s="92">
        <v>55</v>
      </c>
      <c r="F735" s="92" t="s">
        <v>75</v>
      </c>
      <c r="G735" s="92"/>
      <c r="H735" s="724">
        <v>55</v>
      </c>
      <c r="I735" s="724">
        <v>40</v>
      </c>
      <c r="J735" s="724">
        <v>4</v>
      </c>
      <c r="K735" s="724">
        <v>11</v>
      </c>
      <c r="L735" s="724">
        <v>2018.01</v>
      </c>
      <c r="M735" s="724">
        <v>2020.12</v>
      </c>
      <c r="N735" s="724">
        <v>1507.5</v>
      </c>
      <c r="O735" s="724">
        <v>1118.15</v>
      </c>
      <c r="P735" s="724">
        <v>169.6</v>
      </c>
      <c r="Q735" s="724">
        <v>219.75</v>
      </c>
      <c r="R735" s="724">
        <v>0</v>
      </c>
      <c r="S735" s="724">
        <v>1507.5</v>
      </c>
      <c r="T735" s="724">
        <v>0</v>
      </c>
      <c r="U735" s="724">
        <v>0</v>
      </c>
      <c r="V735" s="724">
        <v>0</v>
      </c>
      <c r="W735" s="92">
        <v>0</v>
      </c>
      <c r="X735" s="92" t="s">
        <v>506</v>
      </c>
      <c r="Y735" s="738">
        <v>3414</v>
      </c>
      <c r="Z735" s="738">
        <v>15321</v>
      </c>
      <c r="AA735" s="738">
        <v>55</v>
      </c>
      <c r="AB735" s="708"/>
      <c r="AC735" s="708"/>
      <c r="AD735" s="146" t="s">
        <v>397</v>
      </c>
      <c r="AE735" s="146" t="s">
        <v>515</v>
      </c>
      <c r="AF735" s="146" t="s">
        <v>275</v>
      </c>
      <c r="AG735" s="708"/>
    </row>
    <row r="736" s="570" customFormat="1" ht="24.95" customHeight="1" spans="1:33">
      <c r="A736" s="705"/>
      <c r="B736" s="798" t="s">
        <v>58</v>
      </c>
      <c r="C736" s="146" t="s">
        <v>52</v>
      </c>
      <c r="D736" s="152" t="s">
        <v>509</v>
      </c>
      <c r="E736" s="92">
        <v>62</v>
      </c>
      <c r="F736" s="92" t="s">
        <v>58</v>
      </c>
      <c r="G736" s="92"/>
      <c r="H736" s="724">
        <v>62</v>
      </c>
      <c r="I736" s="724">
        <v>44</v>
      </c>
      <c r="J736" s="724">
        <v>3</v>
      </c>
      <c r="K736" s="724">
        <v>15</v>
      </c>
      <c r="L736" s="724">
        <v>2018.01</v>
      </c>
      <c r="M736" s="724">
        <v>2020.12</v>
      </c>
      <c r="N736" s="724">
        <v>3107.56</v>
      </c>
      <c r="O736" s="724">
        <v>1301.56</v>
      </c>
      <c r="P736" s="724">
        <v>95</v>
      </c>
      <c r="Q736" s="724">
        <v>1711</v>
      </c>
      <c r="R736" s="724">
        <v>0</v>
      </c>
      <c r="S736" s="724">
        <v>3107.56</v>
      </c>
      <c r="T736" s="724">
        <v>0</v>
      </c>
      <c r="U736" s="724">
        <v>0</v>
      </c>
      <c r="V736" s="724">
        <v>0</v>
      </c>
      <c r="W736" s="92">
        <v>0</v>
      </c>
      <c r="X736" s="92" t="s">
        <v>506</v>
      </c>
      <c r="Y736" s="738">
        <v>2013.47368421053</v>
      </c>
      <c r="Z736" s="738">
        <v>7818</v>
      </c>
      <c r="AA736" s="738">
        <v>62</v>
      </c>
      <c r="AB736" s="708"/>
      <c r="AC736" s="708"/>
      <c r="AD736" s="146" t="s">
        <v>476</v>
      </c>
      <c r="AE736" s="146" t="s">
        <v>516</v>
      </c>
      <c r="AF736" s="146" t="s">
        <v>275</v>
      </c>
      <c r="AG736" s="708"/>
    </row>
    <row r="737" s="570" customFormat="1" ht="24.95" customHeight="1" spans="1:33">
      <c r="A737" s="705"/>
      <c r="B737" s="798" t="s">
        <v>61</v>
      </c>
      <c r="C737" s="146" t="s">
        <v>52</v>
      </c>
      <c r="D737" s="152" t="s">
        <v>509</v>
      </c>
      <c r="E737" s="92">
        <v>46</v>
      </c>
      <c r="F737" s="92" t="s">
        <v>61</v>
      </c>
      <c r="G737" s="92"/>
      <c r="H737" s="724">
        <v>46</v>
      </c>
      <c r="I737" s="724">
        <v>38</v>
      </c>
      <c r="J737" s="724">
        <v>7</v>
      </c>
      <c r="K737" s="724">
        <v>1</v>
      </c>
      <c r="L737" s="724">
        <v>2018.01</v>
      </c>
      <c r="M737" s="724">
        <v>2020.12</v>
      </c>
      <c r="N737" s="724">
        <v>1437.92</v>
      </c>
      <c r="O737" s="724">
        <v>826.92</v>
      </c>
      <c r="P737" s="724">
        <v>286</v>
      </c>
      <c r="Q737" s="724">
        <v>325</v>
      </c>
      <c r="R737" s="724">
        <v>0</v>
      </c>
      <c r="S737" s="724">
        <v>1437.92</v>
      </c>
      <c r="T737" s="724">
        <v>0</v>
      </c>
      <c r="U737" s="724">
        <v>0</v>
      </c>
      <c r="V737" s="724">
        <v>0</v>
      </c>
      <c r="W737" s="92">
        <v>0</v>
      </c>
      <c r="X737" s="92" t="s">
        <v>506</v>
      </c>
      <c r="Y737" s="738">
        <v>5146.26315789474</v>
      </c>
      <c r="Z737" s="738">
        <v>19659</v>
      </c>
      <c r="AA737" s="738">
        <v>46</v>
      </c>
      <c r="AB737" s="708"/>
      <c r="AC737" s="708"/>
      <c r="AD737" s="146" t="s">
        <v>215</v>
      </c>
      <c r="AE737" s="146" t="s">
        <v>517</v>
      </c>
      <c r="AF737" s="146" t="s">
        <v>275</v>
      </c>
      <c r="AG737" s="708"/>
    </row>
    <row r="738" s="570" customFormat="1" ht="24.95" customHeight="1" spans="1:33">
      <c r="A738" s="705"/>
      <c r="B738" s="798" t="s">
        <v>78</v>
      </c>
      <c r="C738" s="146" t="s">
        <v>52</v>
      </c>
      <c r="D738" s="152" t="s">
        <v>509</v>
      </c>
      <c r="E738" s="92">
        <v>32</v>
      </c>
      <c r="F738" s="92" t="s">
        <v>78</v>
      </c>
      <c r="G738" s="92"/>
      <c r="H738" s="724">
        <v>32</v>
      </c>
      <c r="I738" s="724">
        <v>29</v>
      </c>
      <c r="J738" s="724">
        <v>1</v>
      </c>
      <c r="K738" s="724">
        <v>2</v>
      </c>
      <c r="L738" s="724">
        <v>2018.01</v>
      </c>
      <c r="M738" s="724">
        <v>2020.12</v>
      </c>
      <c r="N738" s="724">
        <v>1628.86</v>
      </c>
      <c r="O738" s="724">
        <v>590.86</v>
      </c>
      <c r="P738" s="724">
        <v>88</v>
      </c>
      <c r="Q738" s="724">
        <v>950</v>
      </c>
      <c r="R738" s="724">
        <v>0</v>
      </c>
      <c r="S738" s="724">
        <v>1628.86</v>
      </c>
      <c r="T738" s="724">
        <v>0</v>
      </c>
      <c r="U738" s="724">
        <v>0</v>
      </c>
      <c r="V738" s="724">
        <v>0</v>
      </c>
      <c r="W738" s="92">
        <v>0</v>
      </c>
      <c r="X738" s="92" t="s">
        <v>506</v>
      </c>
      <c r="Y738" s="738">
        <v>1993.42105263158</v>
      </c>
      <c r="Z738" s="738">
        <v>7575</v>
      </c>
      <c r="AA738" s="738">
        <v>32</v>
      </c>
      <c r="AB738" s="708"/>
      <c r="AC738" s="708"/>
      <c r="AD738" s="146" t="s">
        <v>518</v>
      </c>
      <c r="AE738" s="146" t="s">
        <v>519</v>
      </c>
      <c r="AF738" s="146" t="s">
        <v>275</v>
      </c>
      <c r="AG738" s="708"/>
    </row>
    <row r="739" s="570" customFormat="1" ht="24.95" customHeight="1" spans="1:33">
      <c r="A739" s="705"/>
      <c r="B739" s="798" t="s">
        <v>114</v>
      </c>
      <c r="C739" s="146" t="s">
        <v>52</v>
      </c>
      <c r="D739" s="152" t="s">
        <v>509</v>
      </c>
      <c r="E739" s="92">
        <v>23</v>
      </c>
      <c r="F739" s="92" t="s">
        <v>114</v>
      </c>
      <c r="G739" s="92"/>
      <c r="H739" s="724">
        <v>23</v>
      </c>
      <c r="I739" s="724">
        <v>19</v>
      </c>
      <c r="J739" s="724">
        <v>1</v>
      </c>
      <c r="K739" s="724">
        <v>3</v>
      </c>
      <c r="L739" s="724">
        <v>2018.01</v>
      </c>
      <c r="M739" s="724">
        <v>2020.12</v>
      </c>
      <c r="N739" s="724">
        <v>1016.12</v>
      </c>
      <c r="O739" s="724">
        <v>959.69</v>
      </c>
      <c r="P739" s="724">
        <v>22</v>
      </c>
      <c r="Q739" s="724">
        <v>34.43</v>
      </c>
      <c r="R739" s="724">
        <v>0</v>
      </c>
      <c r="S739" s="724">
        <v>1016.12</v>
      </c>
      <c r="T739" s="724">
        <v>0</v>
      </c>
      <c r="U739" s="724">
        <v>0</v>
      </c>
      <c r="V739" s="724">
        <v>0</v>
      </c>
      <c r="W739" s="92">
        <v>0</v>
      </c>
      <c r="X739" s="92" t="s">
        <v>506</v>
      </c>
      <c r="Y739" s="738">
        <v>686.052631578948</v>
      </c>
      <c r="Z739" s="738">
        <v>2601</v>
      </c>
      <c r="AA739" s="738">
        <v>23</v>
      </c>
      <c r="AB739" s="708"/>
      <c r="AC739" s="708"/>
      <c r="AD739" s="146" t="s">
        <v>520</v>
      </c>
      <c r="AE739" s="146" t="s">
        <v>521</v>
      </c>
      <c r="AF739" s="146" t="s">
        <v>275</v>
      </c>
      <c r="AG739" s="708"/>
    </row>
    <row r="740" s="570" customFormat="1" ht="24.95" customHeight="1" spans="1:33">
      <c r="A740" s="705"/>
      <c r="B740" s="798" t="s">
        <v>64</v>
      </c>
      <c r="C740" s="146" t="s">
        <v>52</v>
      </c>
      <c r="D740" s="152" t="s">
        <v>509</v>
      </c>
      <c r="E740" s="92">
        <v>50</v>
      </c>
      <c r="F740" s="92" t="s">
        <v>64</v>
      </c>
      <c r="G740" s="92"/>
      <c r="H740" s="724">
        <v>50</v>
      </c>
      <c r="I740" s="724">
        <v>26</v>
      </c>
      <c r="J740" s="724">
        <v>12</v>
      </c>
      <c r="K740" s="724">
        <v>12</v>
      </c>
      <c r="L740" s="724">
        <v>2018.01</v>
      </c>
      <c r="M740" s="724">
        <v>2020.12</v>
      </c>
      <c r="N740" s="724">
        <v>1207.4</v>
      </c>
      <c r="O740" s="724">
        <v>873.91</v>
      </c>
      <c r="P740" s="724">
        <v>233.2</v>
      </c>
      <c r="Q740" s="724">
        <v>100.29</v>
      </c>
      <c r="R740" s="724">
        <v>0</v>
      </c>
      <c r="S740" s="724">
        <v>1207.4</v>
      </c>
      <c r="T740" s="724">
        <v>0</v>
      </c>
      <c r="U740" s="724">
        <v>0</v>
      </c>
      <c r="V740" s="724">
        <v>0</v>
      </c>
      <c r="W740" s="92">
        <v>0</v>
      </c>
      <c r="X740" s="92" t="s">
        <v>506</v>
      </c>
      <c r="Y740" s="738">
        <v>2125.57894736842</v>
      </c>
      <c r="Z740" s="738">
        <v>8541</v>
      </c>
      <c r="AA740" s="738">
        <v>50</v>
      </c>
      <c r="AB740" s="708"/>
      <c r="AC740" s="708"/>
      <c r="AD740" s="146" t="s">
        <v>115</v>
      </c>
      <c r="AE740" s="146" t="s">
        <v>522</v>
      </c>
      <c r="AF740" s="146" t="s">
        <v>275</v>
      </c>
      <c r="AG740" s="708"/>
    </row>
    <row r="741" s="570" customFormat="1" ht="24.95" customHeight="1" spans="1:33">
      <c r="A741" s="705"/>
      <c r="B741" s="798" t="s">
        <v>92</v>
      </c>
      <c r="C741" s="146" t="s">
        <v>52</v>
      </c>
      <c r="D741" s="152" t="s">
        <v>509</v>
      </c>
      <c r="E741" s="92">
        <v>23</v>
      </c>
      <c r="F741" s="92" t="s">
        <v>92</v>
      </c>
      <c r="G741" s="92"/>
      <c r="H741" s="724">
        <v>23</v>
      </c>
      <c r="I741" s="724">
        <v>16</v>
      </c>
      <c r="J741" s="724">
        <v>7</v>
      </c>
      <c r="K741" s="724">
        <v>0</v>
      </c>
      <c r="L741" s="724">
        <v>2018.01</v>
      </c>
      <c r="M741" s="724">
        <v>2020.12</v>
      </c>
      <c r="N741" s="724">
        <v>1369.0445</v>
      </c>
      <c r="O741" s="724">
        <v>698.81</v>
      </c>
      <c r="P741" s="724">
        <v>91</v>
      </c>
      <c r="Q741" s="724">
        <v>579.2345</v>
      </c>
      <c r="R741" s="724">
        <v>0</v>
      </c>
      <c r="S741" s="724">
        <v>1369.0445</v>
      </c>
      <c r="T741" s="724">
        <v>0</v>
      </c>
      <c r="U741" s="724">
        <v>0</v>
      </c>
      <c r="V741" s="724">
        <v>0</v>
      </c>
      <c r="W741" s="92">
        <v>0</v>
      </c>
      <c r="X741" s="92" t="s">
        <v>506</v>
      </c>
      <c r="Y741" s="738">
        <v>2008.8947368421</v>
      </c>
      <c r="Z741" s="738">
        <v>7821</v>
      </c>
      <c r="AA741" s="738">
        <v>23</v>
      </c>
      <c r="AB741" s="708"/>
      <c r="AC741" s="708"/>
      <c r="AD741" s="146" t="s">
        <v>93</v>
      </c>
      <c r="AE741" s="146" t="s">
        <v>523</v>
      </c>
      <c r="AF741" s="146" t="s">
        <v>275</v>
      </c>
      <c r="AG741" s="708"/>
    </row>
    <row r="742" s="694" customFormat="1" ht="24.95" customHeight="1" spans="1:33">
      <c r="A742" s="705"/>
      <c r="B742" s="799" t="s">
        <v>524</v>
      </c>
      <c r="C742" s="800"/>
      <c r="D742" s="152"/>
      <c r="E742" s="92">
        <v>12</v>
      </c>
      <c r="F742" s="92">
        <v>0</v>
      </c>
      <c r="G742" s="92"/>
      <c r="H742" s="724">
        <v>31133</v>
      </c>
      <c r="I742" s="724">
        <v>0</v>
      </c>
      <c r="J742" s="724">
        <v>33400</v>
      </c>
      <c r="K742" s="724">
        <v>0</v>
      </c>
      <c r="L742" s="724">
        <v>0</v>
      </c>
      <c r="M742" s="724">
        <v>0</v>
      </c>
      <c r="N742" s="724">
        <v>1000</v>
      </c>
      <c r="O742" s="724">
        <v>0</v>
      </c>
      <c r="P742" s="724">
        <v>1000</v>
      </c>
      <c r="Q742" s="724">
        <v>0</v>
      </c>
      <c r="R742" s="724">
        <v>0</v>
      </c>
      <c r="S742" s="724">
        <v>1000</v>
      </c>
      <c r="T742" s="724">
        <v>0</v>
      </c>
      <c r="U742" s="724">
        <v>0</v>
      </c>
      <c r="V742" s="724">
        <v>0</v>
      </c>
      <c r="W742" s="92">
        <v>0</v>
      </c>
      <c r="X742" s="92" t="s">
        <v>506</v>
      </c>
      <c r="Y742" s="738">
        <v>525</v>
      </c>
      <c r="Z742" s="738">
        <v>2004</v>
      </c>
      <c r="AA742" s="738">
        <v>12</v>
      </c>
      <c r="AB742" s="708"/>
      <c r="AC742" s="708"/>
      <c r="AD742" s="146" t="s">
        <v>507</v>
      </c>
      <c r="AE742" s="146" t="s">
        <v>508</v>
      </c>
      <c r="AF742" s="146" t="s">
        <v>275</v>
      </c>
      <c r="AG742" s="708"/>
    </row>
    <row r="743" s="694" customFormat="1" ht="24.95" customHeight="1" spans="1:33">
      <c r="A743" s="705"/>
      <c r="B743" s="132" t="s">
        <v>525</v>
      </c>
      <c r="C743" s="212" t="s">
        <v>162</v>
      </c>
      <c r="D743" s="71" t="s">
        <v>147</v>
      </c>
      <c r="E743" s="92">
        <v>1</v>
      </c>
      <c r="F743" s="92" t="s">
        <v>69</v>
      </c>
      <c r="G743" s="92"/>
      <c r="H743" s="724">
        <v>1600</v>
      </c>
      <c r="I743" s="724">
        <v>0</v>
      </c>
      <c r="J743" s="724">
        <v>1600</v>
      </c>
      <c r="K743" s="724">
        <v>0</v>
      </c>
      <c r="L743" s="724">
        <v>0</v>
      </c>
      <c r="M743" s="724">
        <v>0</v>
      </c>
      <c r="N743" s="724">
        <v>48</v>
      </c>
      <c r="O743" s="724">
        <v>0</v>
      </c>
      <c r="P743" s="724">
        <v>48</v>
      </c>
      <c r="Q743" s="724">
        <v>0</v>
      </c>
      <c r="R743" s="724">
        <v>0</v>
      </c>
      <c r="S743" s="724">
        <v>48</v>
      </c>
      <c r="T743" s="724">
        <v>0</v>
      </c>
      <c r="U743" s="724">
        <v>0</v>
      </c>
      <c r="V743" s="724">
        <v>0</v>
      </c>
      <c r="W743" s="92">
        <v>0</v>
      </c>
      <c r="X743" s="92" t="s">
        <v>506</v>
      </c>
      <c r="Y743" s="738">
        <v>25</v>
      </c>
      <c r="Z743" s="738">
        <v>96</v>
      </c>
      <c r="AA743" s="738">
        <v>1</v>
      </c>
      <c r="AB743" s="708"/>
      <c r="AC743" s="708"/>
      <c r="AD743" s="146" t="s">
        <v>510</v>
      </c>
      <c r="AE743" s="146" t="s">
        <v>511</v>
      </c>
      <c r="AF743" s="146" t="s">
        <v>275</v>
      </c>
      <c r="AG743" s="708"/>
    </row>
    <row r="744" s="694" customFormat="1" ht="24.95" customHeight="1" spans="1:33">
      <c r="A744" s="705"/>
      <c r="B744" s="132" t="s">
        <v>526</v>
      </c>
      <c r="C744" s="212" t="s">
        <v>162</v>
      </c>
      <c r="D744" s="71" t="s">
        <v>147</v>
      </c>
      <c r="E744" s="92">
        <v>1</v>
      </c>
      <c r="F744" s="92" t="s">
        <v>51</v>
      </c>
      <c r="G744" s="92"/>
      <c r="H744" s="724">
        <v>1400</v>
      </c>
      <c r="I744" s="724">
        <v>0</v>
      </c>
      <c r="J744" s="724">
        <v>1400</v>
      </c>
      <c r="K744" s="724">
        <v>0</v>
      </c>
      <c r="L744" s="724">
        <v>0</v>
      </c>
      <c r="M744" s="724">
        <v>0</v>
      </c>
      <c r="N744" s="724">
        <v>42</v>
      </c>
      <c r="O744" s="724">
        <v>0</v>
      </c>
      <c r="P744" s="724">
        <v>42</v>
      </c>
      <c r="Q744" s="724">
        <v>0</v>
      </c>
      <c r="R744" s="724">
        <v>0</v>
      </c>
      <c r="S744" s="724">
        <v>42</v>
      </c>
      <c r="T744" s="724">
        <v>0</v>
      </c>
      <c r="U744" s="724">
        <v>0</v>
      </c>
      <c r="V744" s="724">
        <v>0</v>
      </c>
      <c r="W744" s="92">
        <v>0</v>
      </c>
      <c r="X744" s="92" t="s">
        <v>506</v>
      </c>
      <c r="Y744" s="738">
        <v>22</v>
      </c>
      <c r="Z744" s="738">
        <v>84</v>
      </c>
      <c r="AA744" s="738">
        <v>1</v>
      </c>
      <c r="AB744" s="708"/>
      <c r="AC744" s="708"/>
      <c r="AD744" s="146" t="s">
        <v>53</v>
      </c>
      <c r="AE744" s="146" t="s">
        <v>512</v>
      </c>
      <c r="AF744" s="146" t="s">
        <v>275</v>
      </c>
      <c r="AG744" s="708"/>
    </row>
    <row r="745" s="694" customFormat="1" ht="24.95" customHeight="1" spans="1:33">
      <c r="A745" s="705"/>
      <c r="B745" s="132" t="s">
        <v>527</v>
      </c>
      <c r="C745" s="212" t="s">
        <v>162</v>
      </c>
      <c r="D745" s="71" t="s">
        <v>147</v>
      </c>
      <c r="E745" s="92">
        <v>1</v>
      </c>
      <c r="F745" s="92" t="s">
        <v>72</v>
      </c>
      <c r="G745" s="92"/>
      <c r="H745" s="724">
        <v>3133</v>
      </c>
      <c r="I745" s="724">
        <v>0</v>
      </c>
      <c r="J745" s="724">
        <v>3133</v>
      </c>
      <c r="K745" s="724">
        <v>0</v>
      </c>
      <c r="L745" s="724">
        <v>0</v>
      </c>
      <c r="M745" s="724">
        <v>0</v>
      </c>
      <c r="N745" s="724">
        <v>94</v>
      </c>
      <c r="O745" s="724">
        <v>0</v>
      </c>
      <c r="P745" s="724">
        <v>94</v>
      </c>
      <c r="Q745" s="724">
        <v>0</v>
      </c>
      <c r="R745" s="724">
        <v>0</v>
      </c>
      <c r="S745" s="724">
        <v>94</v>
      </c>
      <c r="T745" s="724">
        <v>0</v>
      </c>
      <c r="U745" s="724">
        <v>0</v>
      </c>
      <c r="V745" s="724">
        <v>0</v>
      </c>
      <c r="W745" s="92">
        <v>0</v>
      </c>
      <c r="X745" s="92" t="s">
        <v>506</v>
      </c>
      <c r="Y745" s="738">
        <v>49</v>
      </c>
      <c r="Z745" s="738">
        <v>188</v>
      </c>
      <c r="AA745" s="738">
        <v>1</v>
      </c>
      <c r="AB745" s="708"/>
      <c r="AC745" s="708"/>
      <c r="AD745" s="146" t="s">
        <v>73</v>
      </c>
      <c r="AE745" s="146" t="s">
        <v>513</v>
      </c>
      <c r="AF745" s="146" t="s">
        <v>275</v>
      </c>
      <c r="AG745" s="708"/>
    </row>
    <row r="746" s="694" customFormat="1" ht="24.95" customHeight="1" spans="1:33">
      <c r="A746" s="705"/>
      <c r="B746" s="132" t="s">
        <v>528</v>
      </c>
      <c r="C746" s="212" t="s">
        <v>162</v>
      </c>
      <c r="D746" s="71" t="s">
        <v>147</v>
      </c>
      <c r="E746" s="92">
        <v>1</v>
      </c>
      <c r="F746" s="92" t="s">
        <v>91</v>
      </c>
      <c r="G746" s="92"/>
      <c r="H746" s="724">
        <v>3000</v>
      </c>
      <c r="I746" s="724">
        <v>0</v>
      </c>
      <c r="J746" s="724">
        <v>3000</v>
      </c>
      <c r="K746" s="724">
        <v>0</v>
      </c>
      <c r="L746" s="724">
        <v>0</v>
      </c>
      <c r="M746" s="724">
        <v>0</v>
      </c>
      <c r="N746" s="724">
        <v>90</v>
      </c>
      <c r="O746" s="724">
        <v>0</v>
      </c>
      <c r="P746" s="724">
        <v>90</v>
      </c>
      <c r="Q746" s="724">
        <v>0</v>
      </c>
      <c r="R746" s="724">
        <v>0</v>
      </c>
      <c r="S746" s="724">
        <v>90</v>
      </c>
      <c r="T746" s="724">
        <v>0</v>
      </c>
      <c r="U746" s="724">
        <v>0</v>
      </c>
      <c r="V746" s="724">
        <v>0</v>
      </c>
      <c r="W746" s="92">
        <v>0</v>
      </c>
      <c r="X746" s="92" t="s">
        <v>506</v>
      </c>
      <c r="Y746" s="738">
        <v>47</v>
      </c>
      <c r="Z746" s="738">
        <v>180</v>
      </c>
      <c r="AA746" s="738">
        <v>1</v>
      </c>
      <c r="AB746" s="708"/>
      <c r="AC746" s="708"/>
      <c r="AD746" s="146" t="s">
        <v>82</v>
      </c>
      <c r="AE746" s="146" t="s">
        <v>346</v>
      </c>
      <c r="AF746" s="146" t="s">
        <v>275</v>
      </c>
      <c r="AG746" s="708"/>
    </row>
    <row r="747" s="694" customFormat="1" ht="24.95" customHeight="1" spans="1:33">
      <c r="A747" s="705"/>
      <c r="B747" s="132" t="s">
        <v>529</v>
      </c>
      <c r="C747" s="212" t="s">
        <v>162</v>
      </c>
      <c r="D747" s="71" t="s">
        <v>147</v>
      </c>
      <c r="E747" s="92">
        <v>1</v>
      </c>
      <c r="F747" s="92" t="s">
        <v>55</v>
      </c>
      <c r="G747" s="92"/>
      <c r="H747" s="724">
        <v>4267</v>
      </c>
      <c r="I747" s="724">
        <v>0</v>
      </c>
      <c r="J747" s="724">
        <v>4267</v>
      </c>
      <c r="K747" s="724">
        <v>0</v>
      </c>
      <c r="L747" s="724">
        <v>0</v>
      </c>
      <c r="M747" s="724">
        <v>0</v>
      </c>
      <c r="N747" s="724">
        <v>128</v>
      </c>
      <c r="O747" s="724">
        <v>0</v>
      </c>
      <c r="P747" s="724">
        <v>128</v>
      </c>
      <c r="Q747" s="724">
        <v>0</v>
      </c>
      <c r="R747" s="724">
        <v>0</v>
      </c>
      <c r="S747" s="724">
        <v>128</v>
      </c>
      <c r="T747" s="724">
        <v>0</v>
      </c>
      <c r="U747" s="724">
        <v>0</v>
      </c>
      <c r="V747" s="724">
        <v>0</v>
      </c>
      <c r="W747" s="92">
        <v>0</v>
      </c>
      <c r="X747" s="92" t="s">
        <v>506</v>
      </c>
      <c r="Y747" s="738">
        <v>67</v>
      </c>
      <c r="Z747" s="738">
        <v>256</v>
      </c>
      <c r="AA747" s="738">
        <v>1</v>
      </c>
      <c r="AB747" s="708"/>
      <c r="AC747" s="708"/>
      <c r="AD747" s="146" t="s">
        <v>56</v>
      </c>
      <c r="AE747" s="146" t="s">
        <v>514</v>
      </c>
      <c r="AF747" s="146" t="s">
        <v>275</v>
      </c>
      <c r="AG747" s="708"/>
    </row>
    <row r="748" s="694" customFormat="1" ht="24.95" customHeight="1" spans="1:33">
      <c r="A748" s="705"/>
      <c r="B748" s="132" t="s">
        <v>530</v>
      </c>
      <c r="C748" s="212" t="s">
        <v>162</v>
      </c>
      <c r="D748" s="71" t="s">
        <v>147</v>
      </c>
      <c r="E748" s="92">
        <v>1</v>
      </c>
      <c r="F748" s="92" t="s">
        <v>75</v>
      </c>
      <c r="G748" s="92"/>
      <c r="H748" s="724">
        <v>3700</v>
      </c>
      <c r="I748" s="724">
        <v>0</v>
      </c>
      <c r="J748" s="724">
        <v>3700</v>
      </c>
      <c r="K748" s="724">
        <v>0</v>
      </c>
      <c r="L748" s="724">
        <v>0</v>
      </c>
      <c r="M748" s="724">
        <v>0</v>
      </c>
      <c r="N748" s="724">
        <v>111</v>
      </c>
      <c r="O748" s="724">
        <v>0</v>
      </c>
      <c r="P748" s="724">
        <v>111</v>
      </c>
      <c r="Q748" s="724">
        <v>0</v>
      </c>
      <c r="R748" s="724">
        <v>0</v>
      </c>
      <c r="S748" s="724">
        <v>111</v>
      </c>
      <c r="T748" s="724">
        <v>0</v>
      </c>
      <c r="U748" s="724">
        <v>0</v>
      </c>
      <c r="V748" s="724">
        <v>0</v>
      </c>
      <c r="W748" s="92">
        <v>0</v>
      </c>
      <c r="X748" s="92" t="s">
        <v>506</v>
      </c>
      <c r="Y748" s="738">
        <v>58</v>
      </c>
      <c r="Z748" s="738">
        <v>222</v>
      </c>
      <c r="AA748" s="738">
        <v>1</v>
      </c>
      <c r="AB748" s="708"/>
      <c r="AC748" s="708"/>
      <c r="AD748" s="146" t="s">
        <v>397</v>
      </c>
      <c r="AE748" s="146" t="s">
        <v>515</v>
      </c>
      <c r="AF748" s="146" t="s">
        <v>275</v>
      </c>
      <c r="AG748" s="708"/>
    </row>
    <row r="749" s="694" customFormat="1" ht="24.95" customHeight="1" spans="1:33">
      <c r="A749" s="705"/>
      <c r="B749" s="132" t="s">
        <v>531</v>
      </c>
      <c r="C749" s="212" t="s">
        <v>162</v>
      </c>
      <c r="D749" s="71" t="s">
        <v>147</v>
      </c>
      <c r="E749" s="92">
        <v>1</v>
      </c>
      <c r="F749" s="92" t="s">
        <v>58</v>
      </c>
      <c r="G749" s="92"/>
      <c r="H749" s="724">
        <v>2500</v>
      </c>
      <c r="I749" s="724">
        <v>0</v>
      </c>
      <c r="J749" s="724">
        <v>2500</v>
      </c>
      <c r="K749" s="724">
        <v>0</v>
      </c>
      <c r="L749" s="724">
        <v>0</v>
      </c>
      <c r="M749" s="724">
        <v>0</v>
      </c>
      <c r="N749" s="724">
        <v>75</v>
      </c>
      <c r="O749" s="724">
        <v>0</v>
      </c>
      <c r="P749" s="724">
        <v>75</v>
      </c>
      <c r="Q749" s="724">
        <v>0</v>
      </c>
      <c r="R749" s="724">
        <v>0</v>
      </c>
      <c r="S749" s="724">
        <v>75</v>
      </c>
      <c r="T749" s="724">
        <v>0</v>
      </c>
      <c r="U749" s="724">
        <v>0</v>
      </c>
      <c r="V749" s="724">
        <v>0</v>
      </c>
      <c r="W749" s="92">
        <v>0</v>
      </c>
      <c r="X749" s="92" t="s">
        <v>506</v>
      </c>
      <c r="Y749" s="738">
        <v>39</v>
      </c>
      <c r="Z749" s="738">
        <v>150</v>
      </c>
      <c r="AA749" s="738">
        <v>1</v>
      </c>
      <c r="AB749" s="708"/>
      <c r="AC749" s="708"/>
      <c r="AD749" s="146" t="s">
        <v>476</v>
      </c>
      <c r="AE749" s="146" t="s">
        <v>516</v>
      </c>
      <c r="AF749" s="146" t="s">
        <v>275</v>
      </c>
      <c r="AG749" s="708"/>
    </row>
    <row r="750" s="694" customFormat="1" ht="24.95" customHeight="1" spans="1:33">
      <c r="A750" s="705"/>
      <c r="B750" s="132" t="s">
        <v>532</v>
      </c>
      <c r="C750" s="212" t="s">
        <v>162</v>
      </c>
      <c r="D750" s="71" t="s">
        <v>147</v>
      </c>
      <c r="E750" s="92">
        <v>1</v>
      </c>
      <c r="F750" s="92" t="s">
        <v>61</v>
      </c>
      <c r="G750" s="92"/>
      <c r="H750" s="724">
        <v>4700</v>
      </c>
      <c r="I750" s="724">
        <v>0</v>
      </c>
      <c r="J750" s="724">
        <v>4700</v>
      </c>
      <c r="K750" s="724">
        <v>0</v>
      </c>
      <c r="L750" s="724">
        <v>0</v>
      </c>
      <c r="M750" s="724">
        <v>0</v>
      </c>
      <c r="N750" s="724">
        <v>141</v>
      </c>
      <c r="O750" s="724">
        <v>0</v>
      </c>
      <c r="P750" s="724">
        <v>141</v>
      </c>
      <c r="Q750" s="724">
        <v>0</v>
      </c>
      <c r="R750" s="724">
        <v>0</v>
      </c>
      <c r="S750" s="724">
        <v>141</v>
      </c>
      <c r="T750" s="724">
        <v>0</v>
      </c>
      <c r="U750" s="724">
        <v>0</v>
      </c>
      <c r="V750" s="724">
        <v>0</v>
      </c>
      <c r="W750" s="92">
        <v>0</v>
      </c>
      <c r="X750" s="92" t="s">
        <v>506</v>
      </c>
      <c r="Y750" s="738">
        <v>74</v>
      </c>
      <c r="Z750" s="738">
        <v>282</v>
      </c>
      <c r="AA750" s="738">
        <v>1</v>
      </c>
      <c r="AB750" s="708"/>
      <c r="AC750" s="708"/>
      <c r="AD750" s="146" t="s">
        <v>215</v>
      </c>
      <c r="AE750" s="146" t="s">
        <v>517</v>
      </c>
      <c r="AF750" s="146" t="s">
        <v>275</v>
      </c>
      <c r="AG750" s="708"/>
    </row>
    <row r="751" s="694" customFormat="1" ht="24.95" customHeight="1" spans="1:33">
      <c r="A751" s="705"/>
      <c r="B751" s="132" t="s">
        <v>533</v>
      </c>
      <c r="C751" s="212" t="s">
        <v>162</v>
      </c>
      <c r="D751" s="71" t="s">
        <v>147</v>
      </c>
      <c r="E751" s="92">
        <v>1</v>
      </c>
      <c r="F751" s="92" t="s">
        <v>78</v>
      </c>
      <c r="G751" s="92"/>
      <c r="H751" s="724">
        <v>2933</v>
      </c>
      <c r="I751" s="724">
        <v>0</v>
      </c>
      <c r="J751" s="724">
        <v>2933</v>
      </c>
      <c r="K751" s="724">
        <v>0</v>
      </c>
      <c r="L751" s="724">
        <v>0</v>
      </c>
      <c r="M751" s="724">
        <v>0</v>
      </c>
      <c r="N751" s="724">
        <v>88</v>
      </c>
      <c r="O751" s="724">
        <v>0</v>
      </c>
      <c r="P751" s="724">
        <v>88</v>
      </c>
      <c r="Q751" s="724">
        <v>0</v>
      </c>
      <c r="R751" s="724">
        <v>0</v>
      </c>
      <c r="S751" s="724">
        <v>88</v>
      </c>
      <c r="T751" s="724">
        <v>0</v>
      </c>
      <c r="U751" s="724">
        <v>0</v>
      </c>
      <c r="V751" s="724">
        <v>0</v>
      </c>
      <c r="W751" s="92">
        <v>0</v>
      </c>
      <c r="X751" s="92" t="s">
        <v>506</v>
      </c>
      <c r="Y751" s="738">
        <v>46</v>
      </c>
      <c r="Z751" s="738">
        <v>176</v>
      </c>
      <c r="AA751" s="738">
        <v>1</v>
      </c>
      <c r="AB751" s="708"/>
      <c r="AC751" s="708"/>
      <c r="AD751" s="146" t="s">
        <v>518</v>
      </c>
      <c r="AE751" s="146" t="s">
        <v>519</v>
      </c>
      <c r="AF751" s="146" t="s">
        <v>275</v>
      </c>
      <c r="AG751" s="708"/>
    </row>
    <row r="752" s="694" customFormat="1" ht="24.95" customHeight="1" spans="1:33">
      <c r="A752" s="705"/>
      <c r="B752" s="132" t="s">
        <v>534</v>
      </c>
      <c r="C752" s="212" t="s">
        <v>162</v>
      </c>
      <c r="D752" s="71" t="s">
        <v>147</v>
      </c>
      <c r="E752" s="92">
        <v>1</v>
      </c>
      <c r="F752" s="92" t="s">
        <v>114</v>
      </c>
      <c r="G752" s="92"/>
      <c r="H752" s="724">
        <v>733</v>
      </c>
      <c r="I752" s="724">
        <v>0</v>
      </c>
      <c r="J752" s="724">
        <v>733</v>
      </c>
      <c r="K752" s="724">
        <v>0</v>
      </c>
      <c r="L752" s="724">
        <v>0</v>
      </c>
      <c r="M752" s="724">
        <v>0</v>
      </c>
      <c r="N752" s="724">
        <v>22</v>
      </c>
      <c r="O752" s="724">
        <v>0</v>
      </c>
      <c r="P752" s="724">
        <v>22</v>
      </c>
      <c r="Q752" s="724">
        <v>0</v>
      </c>
      <c r="R752" s="724">
        <v>0</v>
      </c>
      <c r="S752" s="724">
        <v>22</v>
      </c>
      <c r="T752" s="724">
        <v>0</v>
      </c>
      <c r="U752" s="724">
        <v>0</v>
      </c>
      <c r="V752" s="724">
        <v>0</v>
      </c>
      <c r="W752" s="92">
        <v>0</v>
      </c>
      <c r="X752" s="92" t="s">
        <v>506</v>
      </c>
      <c r="Y752" s="738">
        <v>12</v>
      </c>
      <c r="Z752" s="738">
        <v>44</v>
      </c>
      <c r="AA752" s="738">
        <v>1</v>
      </c>
      <c r="AB752" s="708"/>
      <c r="AC752" s="708"/>
      <c r="AD752" s="146" t="s">
        <v>520</v>
      </c>
      <c r="AE752" s="146" t="s">
        <v>521</v>
      </c>
      <c r="AF752" s="146" t="s">
        <v>275</v>
      </c>
      <c r="AG752" s="708"/>
    </row>
    <row r="753" s="694" customFormat="1" ht="24.95" customHeight="1" spans="1:33">
      <c r="A753" s="705"/>
      <c r="B753" s="132" t="s">
        <v>535</v>
      </c>
      <c r="C753" s="212" t="s">
        <v>162</v>
      </c>
      <c r="D753" s="71" t="s">
        <v>147</v>
      </c>
      <c r="E753" s="92">
        <v>1</v>
      </c>
      <c r="F753" s="92" t="s">
        <v>64</v>
      </c>
      <c r="G753" s="92"/>
      <c r="H753" s="724">
        <v>3167</v>
      </c>
      <c r="I753" s="724">
        <v>0</v>
      </c>
      <c r="J753" s="724">
        <v>3167</v>
      </c>
      <c r="K753" s="724">
        <v>0</v>
      </c>
      <c r="L753" s="724">
        <v>0</v>
      </c>
      <c r="M753" s="724">
        <v>0</v>
      </c>
      <c r="N753" s="724">
        <v>95</v>
      </c>
      <c r="O753" s="724">
        <v>0</v>
      </c>
      <c r="P753" s="724">
        <v>95</v>
      </c>
      <c r="Q753" s="724">
        <v>0</v>
      </c>
      <c r="R753" s="724">
        <v>0</v>
      </c>
      <c r="S753" s="724">
        <v>95</v>
      </c>
      <c r="T753" s="724">
        <v>0</v>
      </c>
      <c r="U753" s="724">
        <v>0</v>
      </c>
      <c r="V753" s="724">
        <v>0</v>
      </c>
      <c r="W753" s="92">
        <v>0</v>
      </c>
      <c r="X753" s="92" t="s">
        <v>506</v>
      </c>
      <c r="Y753" s="738">
        <v>50</v>
      </c>
      <c r="Z753" s="738">
        <v>190</v>
      </c>
      <c r="AA753" s="738">
        <v>1</v>
      </c>
      <c r="AB753" s="708"/>
      <c r="AC753" s="708"/>
      <c r="AD753" s="146" t="s">
        <v>115</v>
      </c>
      <c r="AE753" s="146" t="s">
        <v>522</v>
      </c>
      <c r="AF753" s="146" t="s">
        <v>275</v>
      </c>
      <c r="AG753" s="708"/>
    </row>
    <row r="754" s="694" customFormat="1" ht="24.95" customHeight="1" spans="1:33">
      <c r="A754" s="705"/>
      <c r="B754" s="132" t="s">
        <v>536</v>
      </c>
      <c r="C754" s="212" t="s">
        <v>162</v>
      </c>
      <c r="D754" s="71" t="s">
        <v>147</v>
      </c>
      <c r="E754" s="92">
        <v>1</v>
      </c>
      <c r="F754" s="92" t="s">
        <v>92</v>
      </c>
      <c r="G754" s="92"/>
      <c r="H754" s="724">
        <v>2267</v>
      </c>
      <c r="I754" s="724">
        <v>0</v>
      </c>
      <c r="J754" s="724">
        <v>2267</v>
      </c>
      <c r="K754" s="724">
        <v>0</v>
      </c>
      <c r="L754" s="724">
        <v>0</v>
      </c>
      <c r="M754" s="724">
        <v>0</v>
      </c>
      <c r="N754" s="724">
        <v>66</v>
      </c>
      <c r="O754" s="724">
        <v>0</v>
      </c>
      <c r="P754" s="724">
        <v>66</v>
      </c>
      <c r="Q754" s="724">
        <v>0</v>
      </c>
      <c r="R754" s="724">
        <v>0</v>
      </c>
      <c r="S754" s="724">
        <v>66</v>
      </c>
      <c r="T754" s="724">
        <v>0</v>
      </c>
      <c r="U754" s="724">
        <v>0</v>
      </c>
      <c r="V754" s="724">
        <v>0</v>
      </c>
      <c r="W754" s="92">
        <v>0</v>
      </c>
      <c r="X754" s="92" t="s">
        <v>506</v>
      </c>
      <c r="Y754" s="738">
        <v>36</v>
      </c>
      <c r="Z754" s="738">
        <v>136</v>
      </c>
      <c r="AA754" s="738">
        <v>1</v>
      </c>
      <c r="AB754" s="708"/>
      <c r="AC754" s="708"/>
      <c r="AD754" s="146" t="s">
        <v>93</v>
      </c>
      <c r="AE754" s="146" t="s">
        <v>523</v>
      </c>
      <c r="AF754" s="146" t="s">
        <v>275</v>
      </c>
      <c r="AG754" s="708"/>
    </row>
    <row r="755" s="570" customFormat="1" ht="24.95" customHeight="1" spans="1:33">
      <c r="A755" s="705">
        <v>99</v>
      </c>
      <c r="B755" s="791" t="s">
        <v>537</v>
      </c>
      <c r="C755" s="708"/>
      <c r="D755" s="709" t="s">
        <v>150</v>
      </c>
      <c r="E755" s="92">
        <v>64</v>
      </c>
      <c r="F755" s="92">
        <v>0</v>
      </c>
      <c r="G755" s="92"/>
      <c r="H755" s="724">
        <v>64</v>
      </c>
      <c r="I755" s="724">
        <v>63</v>
      </c>
      <c r="J755" s="724">
        <v>1</v>
      </c>
      <c r="K755" s="724">
        <v>0</v>
      </c>
      <c r="L755" s="724">
        <v>0</v>
      </c>
      <c r="M755" s="724">
        <v>0</v>
      </c>
      <c r="N755" s="724">
        <v>4334.7</v>
      </c>
      <c r="O755" s="724">
        <v>4134.7</v>
      </c>
      <c r="P755" s="724">
        <v>200</v>
      </c>
      <c r="Q755" s="724">
        <v>0</v>
      </c>
      <c r="R755" s="724">
        <v>4134.7</v>
      </c>
      <c r="S755" s="724">
        <v>0</v>
      </c>
      <c r="T755" s="724">
        <v>0</v>
      </c>
      <c r="U755" s="724">
        <v>200</v>
      </c>
      <c r="V755" s="724">
        <v>0</v>
      </c>
      <c r="W755" s="92">
        <v>0</v>
      </c>
      <c r="X755" s="92">
        <v>0</v>
      </c>
      <c r="Y755" s="738">
        <v>26794</v>
      </c>
      <c r="Z755" s="738">
        <v>110975</v>
      </c>
      <c r="AA755" s="738">
        <v>64</v>
      </c>
      <c r="AB755" s="708"/>
      <c r="AC755" s="708"/>
      <c r="AD755" s="708"/>
      <c r="AE755" s="708"/>
      <c r="AF755" s="708" t="s">
        <v>358</v>
      </c>
      <c r="AG755" s="708" t="s">
        <v>41</v>
      </c>
    </row>
    <row r="756" s="570" customFormat="1" ht="24.95" customHeight="1" spans="1:33">
      <c r="A756" s="705"/>
      <c r="B756" s="750" t="s">
        <v>538</v>
      </c>
      <c r="C756" s="146" t="s">
        <v>539</v>
      </c>
      <c r="D756" s="76" t="s">
        <v>150</v>
      </c>
      <c r="E756" s="92">
        <v>56</v>
      </c>
      <c r="F756" s="92">
        <v>0</v>
      </c>
      <c r="G756" s="92"/>
      <c r="H756" s="724">
        <v>56</v>
      </c>
      <c r="I756" s="724">
        <v>55</v>
      </c>
      <c r="J756" s="724">
        <v>1</v>
      </c>
      <c r="K756" s="724">
        <v>0</v>
      </c>
      <c r="L756" s="724">
        <v>0</v>
      </c>
      <c r="M756" s="724">
        <v>0</v>
      </c>
      <c r="N756" s="724">
        <v>1612.2</v>
      </c>
      <c r="O756" s="724">
        <v>1412.2</v>
      </c>
      <c r="P756" s="724">
        <v>200</v>
      </c>
      <c r="Q756" s="724">
        <v>0</v>
      </c>
      <c r="R756" s="724">
        <v>1412.2</v>
      </c>
      <c r="S756" s="724">
        <v>0</v>
      </c>
      <c r="T756" s="724">
        <v>0</v>
      </c>
      <c r="U756" s="724">
        <v>200</v>
      </c>
      <c r="V756" s="724">
        <v>0</v>
      </c>
      <c r="W756" s="92">
        <v>0</v>
      </c>
      <c r="X756" s="92" t="s">
        <v>326</v>
      </c>
      <c r="Y756" s="738">
        <v>9518</v>
      </c>
      <c r="Z756" s="738">
        <v>41159</v>
      </c>
      <c r="AA756" s="738">
        <v>56</v>
      </c>
      <c r="AB756" s="92"/>
      <c r="AC756" s="92"/>
      <c r="AD756" s="146" t="s">
        <v>356</v>
      </c>
      <c r="AE756" s="146" t="s">
        <v>540</v>
      </c>
      <c r="AF756" s="146" t="s">
        <v>358</v>
      </c>
      <c r="AG756" s="92"/>
    </row>
    <row r="757" s="570" customFormat="1" ht="24.95" customHeight="1" spans="1:33">
      <c r="A757" s="705"/>
      <c r="B757" s="714" t="s">
        <v>151</v>
      </c>
      <c r="C757" s="146" t="s">
        <v>539</v>
      </c>
      <c r="D757" s="76" t="s">
        <v>150</v>
      </c>
      <c r="E757" s="92">
        <v>4</v>
      </c>
      <c r="F757" s="92" t="s">
        <v>151</v>
      </c>
      <c r="G757" s="92"/>
      <c r="H757" s="724">
        <v>4</v>
      </c>
      <c r="I757" s="724">
        <v>3</v>
      </c>
      <c r="J757" s="724">
        <v>1</v>
      </c>
      <c r="K757" s="724">
        <v>0</v>
      </c>
      <c r="L757" s="724">
        <v>2018.01</v>
      </c>
      <c r="M757" s="724">
        <v>0</v>
      </c>
      <c r="N757" s="724">
        <v>320</v>
      </c>
      <c r="O757" s="724">
        <v>120</v>
      </c>
      <c r="P757" s="724">
        <v>200</v>
      </c>
      <c r="Q757" s="724">
        <v>0</v>
      </c>
      <c r="R757" s="724">
        <v>120</v>
      </c>
      <c r="S757" s="724">
        <v>0</v>
      </c>
      <c r="T757" s="724">
        <v>0</v>
      </c>
      <c r="U757" s="724">
        <v>200</v>
      </c>
      <c r="V757" s="724">
        <v>0</v>
      </c>
      <c r="W757" s="92">
        <v>0</v>
      </c>
      <c r="X757" s="92" t="s">
        <v>326</v>
      </c>
      <c r="Y757" s="738">
        <v>1658</v>
      </c>
      <c r="Z757" s="738">
        <v>7086</v>
      </c>
      <c r="AA757" s="738">
        <v>4</v>
      </c>
      <c r="AB757" s="92"/>
      <c r="AC757" s="92"/>
      <c r="AD757" s="146" t="s">
        <v>373</v>
      </c>
      <c r="AE757" s="146" t="s">
        <v>374</v>
      </c>
      <c r="AF757" s="146" t="s">
        <v>358</v>
      </c>
      <c r="AG757" s="92"/>
    </row>
    <row r="758" s="570" customFormat="1" ht="24.95" customHeight="1" spans="1:33">
      <c r="A758" s="705"/>
      <c r="B758" s="714" t="s">
        <v>154</v>
      </c>
      <c r="C758" s="146" t="s">
        <v>539</v>
      </c>
      <c r="D758" s="76" t="s">
        <v>150</v>
      </c>
      <c r="E758" s="92">
        <v>8</v>
      </c>
      <c r="F758" s="92" t="s">
        <v>154</v>
      </c>
      <c r="G758" s="92"/>
      <c r="H758" s="724">
        <v>8</v>
      </c>
      <c r="I758" s="724">
        <v>8</v>
      </c>
      <c r="J758" s="724">
        <v>0</v>
      </c>
      <c r="K758" s="724">
        <v>0</v>
      </c>
      <c r="L758" s="724">
        <v>2018.01</v>
      </c>
      <c r="M758" s="724">
        <v>0</v>
      </c>
      <c r="N758" s="724">
        <v>184</v>
      </c>
      <c r="O758" s="724">
        <v>184</v>
      </c>
      <c r="P758" s="724">
        <v>0</v>
      </c>
      <c r="Q758" s="724">
        <v>0</v>
      </c>
      <c r="R758" s="724">
        <v>184</v>
      </c>
      <c r="S758" s="724">
        <v>0</v>
      </c>
      <c r="T758" s="724">
        <v>0</v>
      </c>
      <c r="U758" s="724">
        <v>0</v>
      </c>
      <c r="V758" s="724">
        <v>0</v>
      </c>
      <c r="W758" s="92">
        <v>0</v>
      </c>
      <c r="X758" s="92" t="s">
        <v>326</v>
      </c>
      <c r="Y758" s="738">
        <v>1408</v>
      </c>
      <c r="Z758" s="738">
        <v>5796</v>
      </c>
      <c r="AA758" s="738">
        <v>8</v>
      </c>
      <c r="AB758" s="92"/>
      <c r="AC758" s="92"/>
      <c r="AD758" s="146"/>
      <c r="AE758" s="146"/>
      <c r="AF758" s="146"/>
      <c r="AG758" s="92"/>
    </row>
    <row r="759" s="570" customFormat="1" ht="24.95" customHeight="1" spans="1:33">
      <c r="A759" s="705"/>
      <c r="B759" s="714" t="s">
        <v>81</v>
      </c>
      <c r="C759" s="146" t="s">
        <v>539</v>
      </c>
      <c r="D759" s="76" t="s">
        <v>150</v>
      </c>
      <c r="E759" s="92">
        <v>4</v>
      </c>
      <c r="F759" s="92" t="s">
        <v>81</v>
      </c>
      <c r="G759" s="92"/>
      <c r="H759" s="724">
        <v>4</v>
      </c>
      <c r="I759" s="724">
        <v>4</v>
      </c>
      <c r="J759" s="724">
        <v>0</v>
      </c>
      <c r="K759" s="724">
        <v>0</v>
      </c>
      <c r="L759" s="724">
        <v>2018.01</v>
      </c>
      <c r="M759" s="724">
        <v>0</v>
      </c>
      <c r="N759" s="724">
        <v>60</v>
      </c>
      <c r="O759" s="724">
        <v>60</v>
      </c>
      <c r="P759" s="724">
        <v>0</v>
      </c>
      <c r="Q759" s="724">
        <v>0</v>
      </c>
      <c r="R759" s="724">
        <v>60</v>
      </c>
      <c r="S759" s="724">
        <v>0</v>
      </c>
      <c r="T759" s="724">
        <v>0</v>
      </c>
      <c r="U759" s="724">
        <v>0</v>
      </c>
      <c r="V759" s="724">
        <v>0</v>
      </c>
      <c r="W759" s="92">
        <v>0</v>
      </c>
      <c r="X759" s="92" t="s">
        <v>326</v>
      </c>
      <c r="Y759" s="738">
        <v>542</v>
      </c>
      <c r="Z759" s="738">
        <v>2111</v>
      </c>
      <c r="AA759" s="738">
        <v>4</v>
      </c>
      <c r="AB759" s="92"/>
      <c r="AC759" s="92"/>
      <c r="AD759" s="146"/>
      <c r="AE759" s="146"/>
      <c r="AF759" s="146"/>
      <c r="AG759" s="92"/>
    </row>
    <row r="760" s="570" customFormat="1" ht="24.95" customHeight="1" spans="1:33">
      <c r="A760" s="705"/>
      <c r="B760" s="714" t="s">
        <v>98</v>
      </c>
      <c r="C760" s="146" t="s">
        <v>539</v>
      </c>
      <c r="D760" s="76" t="s">
        <v>150</v>
      </c>
      <c r="E760" s="92">
        <v>5</v>
      </c>
      <c r="F760" s="92" t="s">
        <v>98</v>
      </c>
      <c r="G760" s="92"/>
      <c r="H760" s="724">
        <v>5</v>
      </c>
      <c r="I760" s="724">
        <v>5</v>
      </c>
      <c r="J760" s="724">
        <v>0</v>
      </c>
      <c r="K760" s="724">
        <v>0</v>
      </c>
      <c r="L760" s="724">
        <v>2018.01</v>
      </c>
      <c r="M760" s="724">
        <v>0</v>
      </c>
      <c r="N760" s="724">
        <v>112</v>
      </c>
      <c r="O760" s="724">
        <v>112</v>
      </c>
      <c r="P760" s="724">
        <v>0</v>
      </c>
      <c r="Q760" s="724">
        <v>0</v>
      </c>
      <c r="R760" s="724">
        <v>112</v>
      </c>
      <c r="S760" s="724">
        <v>0</v>
      </c>
      <c r="T760" s="724">
        <v>0</v>
      </c>
      <c r="U760" s="724">
        <v>0</v>
      </c>
      <c r="V760" s="724">
        <v>0</v>
      </c>
      <c r="W760" s="92">
        <v>0</v>
      </c>
      <c r="X760" s="92" t="s">
        <v>326</v>
      </c>
      <c r="Y760" s="738">
        <v>971</v>
      </c>
      <c r="Z760" s="738">
        <v>3928</v>
      </c>
      <c r="AA760" s="738">
        <v>5</v>
      </c>
      <c r="AB760" s="92"/>
      <c r="AC760" s="92"/>
      <c r="AD760" s="146"/>
      <c r="AE760" s="146"/>
      <c r="AF760" s="146"/>
      <c r="AG760" s="92"/>
    </row>
    <row r="761" s="570" customFormat="1" ht="24.95" customHeight="1" spans="1:33">
      <c r="A761" s="705"/>
      <c r="B761" s="714" t="s">
        <v>211</v>
      </c>
      <c r="C761" s="146" t="s">
        <v>539</v>
      </c>
      <c r="D761" s="76" t="s">
        <v>150</v>
      </c>
      <c r="E761" s="92">
        <v>3</v>
      </c>
      <c r="F761" s="92" t="s">
        <v>211</v>
      </c>
      <c r="G761" s="92"/>
      <c r="H761" s="724">
        <v>3</v>
      </c>
      <c r="I761" s="724">
        <v>3</v>
      </c>
      <c r="J761" s="724">
        <v>0</v>
      </c>
      <c r="K761" s="724">
        <v>0</v>
      </c>
      <c r="L761" s="724">
        <v>2018.01</v>
      </c>
      <c r="M761" s="724">
        <v>0</v>
      </c>
      <c r="N761" s="724">
        <v>100</v>
      </c>
      <c r="O761" s="724">
        <v>100</v>
      </c>
      <c r="P761" s="724">
        <v>0</v>
      </c>
      <c r="Q761" s="724">
        <v>0</v>
      </c>
      <c r="R761" s="724">
        <v>100</v>
      </c>
      <c r="S761" s="724">
        <v>0</v>
      </c>
      <c r="T761" s="724">
        <v>0</v>
      </c>
      <c r="U761" s="724">
        <v>0</v>
      </c>
      <c r="V761" s="724">
        <v>0</v>
      </c>
      <c r="W761" s="92">
        <v>0</v>
      </c>
      <c r="X761" s="92" t="s">
        <v>326</v>
      </c>
      <c r="Y761" s="738">
        <v>392</v>
      </c>
      <c r="Z761" s="738">
        <v>1755</v>
      </c>
      <c r="AA761" s="738">
        <v>3</v>
      </c>
      <c r="AB761" s="92"/>
      <c r="AC761" s="92"/>
      <c r="AD761" s="146"/>
      <c r="AE761" s="146"/>
      <c r="AF761" s="146"/>
      <c r="AG761" s="92"/>
    </row>
    <row r="762" s="570" customFormat="1" ht="24.95" customHeight="1" spans="1:33">
      <c r="A762" s="705"/>
      <c r="B762" s="714" t="s">
        <v>155</v>
      </c>
      <c r="C762" s="146" t="s">
        <v>539</v>
      </c>
      <c r="D762" s="76" t="s">
        <v>150</v>
      </c>
      <c r="E762" s="92">
        <v>8</v>
      </c>
      <c r="F762" s="92" t="s">
        <v>155</v>
      </c>
      <c r="G762" s="92"/>
      <c r="H762" s="724">
        <v>8</v>
      </c>
      <c r="I762" s="724">
        <v>8</v>
      </c>
      <c r="J762" s="724">
        <v>0</v>
      </c>
      <c r="K762" s="724">
        <v>0</v>
      </c>
      <c r="L762" s="724">
        <v>2018.01</v>
      </c>
      <c r="M762" s="724">
        <v>0</v>
      </c>
      <c r="N762" s="724">
        <v>192</v>
      </c>
      <c r="O762" s="724">
        <v>192</v>
      </c>
      <c r="P762" s="724">
        <v>0</v>
      </c>
      <c r="Q762" s="724">
        <v>0</v>
      </c>
      <c r="R762" s="724">
        <v>192</v>
      </c>
      <c r="S762" s="724">
        <v>0</v>
      </c>
      <c r="T762" s="724">
        <v>0</v>
      </c>
      <c r="U762" s="724">
        <v>0</v>
      </c>
      <c r="V762" s="724">
        <v>0</v>
      </c>
      <c r="W762" s="92">
        <v>0</v>
      </c>
      <c r="X762" s="92" t="s">
        <v>326</v>
      </c>
      <c r="Y762" s="738">
        <v>591</v>
      </c>
      <c r="Z762" s="738">
        <v>2494</v>
      </c>
      <c r="AA762" s="738">
        <v>8</v>
      </c>
      <c r="AB762" s="92"/>
      <c r="AC762" s="92"/>
      <c r="AD762" s="146"/>
      <c r="AE762" s="146"/>
      <c r="AF762" s="146"/>
      <c r="AG762" s="92"/>
    </row>
    <row r="763" s="570" customFormat="1" ht="24.95" customHeight="1" spans="1:33">
      <c r="A763" s="705"/>
      <c r="B763" s="714" t="s">
        <v>102</v>
      </c>
      <c r="C763" s="146" t="s">
        <v>539</v>
      </c>
      <c r="D763" s="76" t="s">
        <v>150</v>
      </c>
      <c r="E763" s="92">
        <v>11</v>
      </c>
      <c r="F763" s="92" t="s">
        <v>102</v>
      </c>
      <c r="G763" s="92"/>
      <c r="H763" s="724">
        <v>11</v>
      </c>
      <c r="I763" s="724">
        <v>11</v>
      </c>
      <c r="J763" s="724">
        <v>0</v>
      </c>
      <c r="K763" s="724">
        <v>0</v>
      </c>
      <c r="L763" s="724">
        <v>2018.01</v>
      </c>
      <c r="M763" s="724">
        <v>0</v>
      </c>
      <c r="N763" s="724">
        <v>325</v>
      </c>
      <c r="O763" s="724">
        <v>325</v>
      </c>
      <c r="P763" s="724">
        <v>0</v>
      </c>
      <c r="Q763" s="724">
        <v>0</v>
      </c>
      <c r="R763" s="724">
        <v>325</v>
      </c>
      <c r="S763" s="724">
        <v>0</v>
      </c>
      <c r="T763" s="724">
        <v>0</v>
      </c>
      <c r="U763" s="724">
        <v>0</v>
      </c>
      <c r="V763" s="724">
        <v>0</v>
      </c>
      <c r="W763" s="92">
        <v>0</v>
      </c>
      <c r="X763" s="92" t="s">
        <v>326</v>
      </c>
      <c r="Y763" s="738">
        <v>2331</v>
      </c>
      <c r="Z763" s="738">
        <v>10635</v>
      </c>
      <c r="AA763" s="738">
        <v>11</v>
      </c>
      <c r="AB763" s="92"/>
      <c r="AC763" s="92"/>
      <c r="AD763" s="146"/>
      <c r="AE763" s="146"/>
      <c r="AF763" s="146"/>
      <c r="AG763" s="92"/>
    </row>
    <row r="764" s="570" customFormat="1" ht="24.95" customHeight="1" spans="1:33">
      <c r="A764" s="705"/>
      <c r="B764" s="714" t="s">
        <v>100</v>
      </c>
      <c r="C764" s="146" t="s">
        <v>539</v>
      </c>
      <c r="D764" s="76" t="s">
        <v>150</v>
      </c>
      <c r="E764" s="92">
        <v>4</v>
      </c>
      <c r="F764" s="92" t="s">
        <v>100</v>
      </c>
      <c r="G764" s="92"/>
      <c r="H764" s="724">
        <v>4</v>
      </c>
      <c r="I764" s="724">
        <v>4</v>
      </c>
      <c r="J764" s="724">
        <v>0</v>
      </c>
      <c r="K764" s="724">
        <v>0</v>
      </c>
      <c r="L764" s="724">
        <v>2018.01</v>
      </c>
      <c r="M764" s="724">
        <v>0</v>
      </c>
      <c r="N764" s="724">
        <v>65.2</v>
      </c>
      <c r="O764" s="724">
        <v>65.2</v>
      </c>
      <c r="P764" s="724">
        <v>0</v>
      </c>
      <c r="Q764" s="724">
        <v>0</v>
      </c>
      <c r="R764" s="724">
        <v>65.2</v>
      </c>
      <c r="S764" s="724">
        <v>0</v>
      </c>
      <c r="T764" s="724">
        <v>0</v>
      </c>
      <c r="U764" s="724">
        <v>0</v>
      </c>
      <c r="V764" s="724">
        <v>0</v>
      </c>
      <c r="W764" s="92">
        <v>0</v>
      </c>
      <c r="X764" s="92" t="s">
        <v>326</v>
      </c>
      <c r="Y764" s="738">
        <v>696</v>
      </c>
      <c r="Z764" s="738">
        <v>3297</v>
      </c>
      <c r="AA764" s="738">
        <v>4</v>
      </c>
      <c r="AB764" s="92"/>
      <c r="AC764" s="92"/>
      <c r="AD764" s="146"/>
      <c r="AE764" s="146"/>
      <c r="AF764" s="146"/>
      <c r="AG764" s="92"/>
    </row>
    <row r="765" s="570" customFormat="1" ht="24.95" customHeight="1" spans="1:33">
      <c r="A765" s="705"/>
      <c r="B765" s="714" t="s">
        <v>84</v>
      </c>
      <c r="C765" s="146" t="s">
        <v>539</v>
      </c>
      <c r="D765" s="76" t="s">
        <v>150</v>
      </c>
      <c r="E765" s="92">
        <v>4</v>
      </c>
      <c r="F765" s="92" t="s">
        <v>84</v>
      </c>
      <c r="G765" s="92"/>
      <c r="H765" s="724">
        <v>4</v>
      </c>
      <c r="I765" s="724">
        <v>4</v>
      </c>
      <c r="J765" s="724">
        <v>0</v>
      </c>
      <c r="K765" s="724">
        <v>0</v>
      </c>
      <c r="L765" s="724">
        <v>2018.01</v>
      </c>
      <c r="M765" s="724">
        <v>0</v>
      </c>
      <c r="N765" s="724">
        <v>160</v>
      </c>
      <c r="O765" s="724">
        <v>160</v>
      </c>
      <c r="P765" s="724">
        <v>0</v>
      </c>
      <c r="Q765" s="724">
        <v>0</v>
      </c>
      <c r="R765" s="724">
        <v>160</v>
      </c>
      <c r="S765" s="724">
        <v>0</v>
      </c>
      <c r="T765" s="724">
        <v>0</v>
      </c>
      <c r="U765" s="724">
        <v>0</v>
      </c>
      <c r="V765" s="724">
        <v>0</v>
      </c>
      <c r="W765" s="92">
        <v>0</v>
      </c>
      <c r="X765" s="92" t="s">
        <v>326</v>
      </c>
      <c r="Y765" s="738">
        <v>354</v>
      </c>
      <c r="Z765" s="738">
        <v>1466</v>
      </c>
      <c r="AA765" s="738">
        <v>4</v>
      </c>
      <c r="AB765" s="92"/>
      <c r="AC765" s="92"/>
      <c r="AD765" s="146"/>
      <c r="AE765" s="146"/>
      <c r="AF765" s="146"/>
      <c r="AG765" s="92"/>
    </row>
    <row r="766" s="570" customFormat="1" ht="24.95" customHeight="1" spans="1:33">
      <c r="A766" s="705"/>
      <c r="B766" s="714" t="s">
        <v>259</v>
      </c>
      <c r="C766" s="146" t="s">
        <v>539</v>
      </c>
      <c r="D766" s="76" t="s">
        <v>150</v>
      </c>
      <c r="E766" s="92">
        <v>3</v>
      </c>
      <c r="F766" s="92" t="s">
        <v>259</v>
      </c>
      <c r="G766" s="92"/>
      <c r="H766" s="724">
        <v>3</v>
      </c>
      <c r="I766" s="724">
        <v>3</v>
      </c>
      <c r="J766" s="724">
        <v>0</v>
      </c>
      <c r="K766" s="724">
        <v>0</v>
      </c>
      <c r="L766" s="724">
        <v>2018.01</v>
      </c>
      <c r="M766" s="724">
        <v>0</v>
      </c>
      <c r="N766" s="724">
        <v>65</v>
      </c>
      <c r="O766" s="724">
        <v>65</v>
      </c>
      <c r="P766" s="724">
        <v>0</v>
      </c>
      <c r="Q766" s="724">
        <v>0</v>
      </c>
      <c r="R766" s="724">
        <v>65</v>
      </c>
      <c r="S766" s="724">
        <v>0</v>
      </c>
      <c r="T766" s="724">
        <v>0</v>
      </c>
      <c r="U766" s="724">
        <v>0</v>
      </c>
      <c r="V766" s="724">
        <v>0</v>
      </c>
      <c r="W766" s="92">
        <v>0</v>
      </c>
      <c r="X766" s="92" t="s">
        <v>326</v>
      </c>
      <c r="Y766" s="738">
        <v>316</v>
      </c>
      <c r="Z766" s="738">
        <v>1322</v>
      </c>
      <c r="AA766" s="738">
        <v>3</v>
      </c>
      <c r="AB766" s="92"/>
      <c r="AC766" s="92"/>
      <c r="AD766" s="146"/>
      <c r="AE766" s="146"/>
      <c r="AF766" s="146"/>
      <c r="AG766" s="92"/>
    </row>
    <row r="767" s="570" customFormat="1" ht="24.95" customHeight="1" spans="1:33">
      <c r="A767" s="705"/>
      <c r="B767" s="714" t="s">
        <v>143</v>
      </c>
      <c r="C767" s="146" t="s">
        <v>539</v>
      </c>
      <c r="D767" s="76" t="s">
        <v>150</v>
      </c>
      <c r="E767" s="92">
        <v>2</v>
      </c>
      <c r="F767" s="92" t="s">
        <v>143</v>
      </c>
      <c r="G767" s="92"/>
      <c r="H767" s="724">
        <v>2</v>
      </c>
      <c r="I767" s="724">
        <v>2</v>
      </c>
      <c r="J767" s="724">
        <v>0</v>
      </c>
      <c r="K767" s="724">
        <v>0</v>
      </c>
      <c r="L767" s="724">
        <v>2018.01</v>
      </c>
      <c r="M767" s="724">
        <v>0</v>
      </c>
      <c r="N767" s="724">
        <v>29</v>
      </c>
      <c r="O767" s="724">
        <v>29</v>
      </c>
      <c r="P767" s="724">
        <v>0</v>
      </c>
      <c r="Q767" s="724">
        <v>0</v>
      </c>
      <c r="R767" s="724">
        <v>29</v>
      </c>
      <c r="S767" s="724">
        <v>0</v>
      </c>
      <c r="T767" s="724">
        <v>0</v>
      </c>
      <c r="U767" s="724">
        <v>0</v>
      </c>
      <c r="V767" s="724">
        <v>0</v>
      </c>
      <c r="W767" s="92">
        <v>0</v>
      </c>
      <c r="X767" s="92" t="s">
        <v>326</v>
      </c>
      <c r="Y767" s="738">
        <v>259</v>
      </c>
      <c r="Z767" s="738">
        <v>1269</v>
      </c>
      <c r="AA767" s="738">
        <v>2</v>
      </c>
      <c r="AB767" s="92"/>
      <c r="AC767" s="92"/>
      <c r="AD767" s="146"/>
      <c r="AE767" s="146"/>
      <c r="AF767" s="146"/>
      <c r="AG767" s="92"/>
    </row>
    <row r="768" s="570" customFormat="1" ht="24.95" customHeight="1" spans="1:33">
      <c r="A768" s="705"/>
      <c r="B768" s="750" t="s">
        <v>541</v>
      </c>
      <c r="C768" s="146" t="s">
        <v>542</v>
      </c>
      <c r="D768" s="76" t="s">
        <v>150</v>
      </c>
      <c r="E768" s="92">
        <v>8</v>
      </c>
      <c r="F768" s="92">
        <v>0</v>
      </c>
      <c r="G768" s="92"/>
      <c r="H768" s="724">
        <v>8</v>
      </c>
      <c r="I768" s="724">
        <v>8</v>
      </c>
      <c r="J768" s="724">
        <v>0</v>
      </c>
      <c r="K768" s="724">
        <v>0</v>
      </c>
      <c r="L768" s="724">
        <v>0</v>
      </c>
      <c r="M768" s="724">
        <v>0</v>
      </c>
      <c r="N768" s="724">
        <v>2722.5</v>
      </c>
      <c r="O768" s="724">
        <v>2722.5</v>
      </c>
      <c r="P768" s="724">
        <v>0</v>
      </c>
      <c r="Q768" s="724">
        <v>0</v>
      </c>
      <c r="R768" s="724">
        <v>2722.5</v>
      </c>
      <c r="S768" s="724">
        <v>0</v>
      </c>
      <c r="T768" s="724">
        <v>0</v>
      </c>
      <c r="U768" s="724">
        <v>0</v>
      </c>
      <c r="V768" s="724">
        <v>0</v>
      </c>
      <c r="W768" s="92">
        <v>0</v>
      </c>
      <c r="X768" s="92" t="s">
        <v>326</v>
      </c>
      <c r="Y768" s="738">
        <v>17276</v>
      </c>
      <c r="Z768" s="738">
        <v>69816</v>
      </c>
      <c r="AA768" s="738">
        <v>8</v>
      </c>
      <c r="AB768" s="92"/>
      <c r="AC768" s="92"/>
      <c r="AD768" s="146"/>
      <c r="AE768" s="146"/>
      <c r="AF768" s="146"/>
      <c r="AG768" s="92"/>
    </row>
    <row r="769" s="570" customFormat="1" ht="24.95" customHeight="1" spans="1:33">
      <c r="A769" s="705"/>
      <c r="B769" s="714" t="s">
        <v>543</v>
      </c>
      <c r="C769" s="146" t="s">
        <v>162</v>
      </c>
      <c r="D769" s="76" t="s">
        <v>150</v>
      </c>
      <c r="E769" s="92">
        <v>1</v>
      </c>
      <c r="F769" s="92" t="s">
        <v>151</v>
      </c>
      <c r="G769" s="92"/>
      <c r="H769" s="724">
        <v>1</v>
      </c>
      <c r="I769" s="724">
        <v>1</v>
      </c>
      <c r="J769" s="724">
        <v>0</v>
      </c>
      <c r="K769" s="724">
        <v>0</v>
      </c>
      <c r="L769" s="724">
        <v>2018.01</v>
      </c>
      <c r="M769" s="724">
        <v>0</v>
      </c>
      <c r="N769" s="724">
        <v>200</v>
      </c>
      <c r="O769" s="724">
        <v>200</v>
      </c>
      <c r="P769" s="724">
        <v>0</v>
      </c>
      <c r="Q769" s="724">
        <v>0</v>
      </c>
      <c r="R769" s="724">
        <v>200</v>
      </c>
      <c r="S769" s="724">
        <v>0</v>
      </c>
      <c r="T769" s="724">
        <v>0</v>
      </c>
      <c r="U769" s="724">
        <v>0</v>
      </c>
      <c r="V769" s="724">
        <v>0</v>
      </c>
      <c r="W769" s="92">
        <v>0</v>
      </c>
      <c r="X769" s="92" t="s">
        <v>326</v>
      </c>
      <c r="Y769" s="738">
        <v>1760</v>
      </c>
      <c r="Z769" s="738">
        <v>7269</v>
      </c>
      <c r="AA769" s="738">
        <v>1</v>
      </c>
      <c r="AB769" s="92"/>
      <c r="AC769" s="92"/>
      <c r="AD769" s="146"/>
      <c r="AE769" s="146"/>
      <c r="AF769" s="146"/>
      <c r="AG769" s="92"/>
    </row>
    <row r="770" s="570" customFormat="1" ht="24.95" customHeight="1" spans="1:33">
      <c r="A770" s="705"/>
      <c r="B770" s="714" t="s">
        <v>544</v>
      </c>
      <c r="C770" s="146" t="s">
        <v>52</v>
      </c>
      <c r="D770" s="76" t="s">
        <v>150</v>
      </c>
      <c r="E770" s="92">
        <v>1</v>
      </c>
      <c r="F770" s="92" t="s">
        <v>151</v>
      </c>
      <c r="G770" s="92"/>
      <c r="H770" s="724">
        <v>1</v>
      </c>
      <c r="I770" s="724">
        <v>1</v>
      </c>
      <c r="J770" s="724">
        <v>0</v>
      </c>
      <c r="K770" s="724">
        <v>0</v>
      </c>
      <c r="L770" s="724">
        <v>2018.01</v>
      </c>
      <c r="M770" s="724">
        <v>0</v>
      </c>
      <c r="N770" s="724">
        <v>20</v>
      </c>
      <c r="O770" s="724">
        <v>20</v>
      </c>
      <c r="P770" s="724">
        <v>0</v>
      </c>
      <c r="Q770" s="724">
        <v>0</v>
      </c>
      <c r="R770" s="724">
        <v>20</v>
      </c>
      <c r="S770" s="724">
        <v>0</v>
      </c>
      <c r="T770" s="724">
        <v>0</v>
      </c>
      <c r="U770" s="724">
        <v>0</v>
      </c>
      <c r="V770" s="724">
        <v>0</v>
      </c>
      <c r="W770" s="92">
        <v>0</v>
      </c>
      <c r="X770" s="92" t="s">
        <v>326</v>
      </c>
      <c r="Y770" s="738">
        <v>1760</v>
      </c>
      <c r="Z770" s="738">
        <v>7269</v>
      </c>
      <c r="AA770" s="738">
        <v>1</v>
      </c>
      <c r="AB770" s="92"/>
      <c r="AC770" s="92"/>
      <c r="AD770" s="146"/>
      <c r="AE770" s="146"/>
      <c r="AF770" s="146"/>
      <c r="AG770" s="92"/>
    </row>
    <row r="771" s="570" customFormat="1" ht="24.95" customHeight="1" spans="1:33">
      <c r="A771" s="705"/>
      <c r="B771" s="714" t="s">
        <v>545</v>
      </c>
      <c r="C771" s="146" t="s">
        <v>546</v>
      </c>
      <c r="D771" s="76" t="s">
        <v>150</v>
      </c>
      <c r="E771" s="92">
        <v>1</v>
      </c>
      <c r="F771" s="92" t="s">
        <v>81</v>
      </c>
      <c r="G771" s="92"/>
      <c r="H771" s="724">
        <v>1</v>
      </c>
      <c r="I771" s="724">
        <v>1</v>
      </c>
      <c r="J771" s="724">
        <v>0</v>
      </c>
      <c r="K771" s="724">
        <v>0</v>
      </c>
      <c r="L771" s="724">
        <v>2018.01</v>
      </c>
      <c r="M771" s="724">
        <v>0</v>
      </c>
      <c r="N771" s="724">
        <v>700</v>
      </c>
      <c r="O771" s="724">
        <v>700</v>
      </c>
      <c r="P771" s="724">
        <v>0</v>
      </c>
      <c r="Q771" s="724">
        <v>0</v>
      </c>
      <c r="R771" s="724">
        <v>700</v>
      </c>
      <c r="S771" s="724">
        <v>0</v>
      </c>
      <c r="T771" s="724">
        <v>0</v>
      </c>
      <c r="U771" s="724">
        <v>0</v>
      </c>
      <c r="V771" s="724">
        <v>0</v>
      </c>
      <c r="W771" s="92">
        <v>0</v>
      </c>
      <c r="X771" s="92" t="s">
        <v>326</v>
      </c>
      <c r="Y771" s="738">
        <v>1977</v>
      </c>
      <c r="Z771" s="738">
        <v>7676</v>
      </c>
      <c r="AA771" s="738">
        <v>1</v>
      </c>
      <c r="AB771" s="92"/>
      <c r="AC771" s="92"/>
      <c r="AD771" s="146"/>
      <c r="AE771" s="146"/>
      <c r="AF771" s="146"/>
      <c r="AG771" s="92"/>
    </row>
    <row r="772" s="570" customFormat="1" ht="24.95" customHeight="1" spans="1:33">
      <c r="A772" s="705"/>
      <c r="B772" s="714" t="s">
        <v>547</v>
      </c>
      <c r="C772" s="146" t="s">
        <v>52</v>
      </c>
      <c r="D772" s="76" t="s">
        <v>150</v>
      </c>
      <c r="E772" s="92">
        <v>1</v>
      </c>
      <c r="F772" s="92" t="s">
        <v>81</v>
      </c>
      <c r="G772" s="92"/>
      <c r="H772" s="724">
        <v>1</v>
      </c>
      <c r="I772" s="724">
        <v>1</v>
      </c>
      <c r="J772" s="724">
        <v>0</v>
      </c>
      <c r="K772" s="724">
        <v>0</v>
      </c>
      <c r="L772" s="724">
        <v>2018.01</v>
      </c>
      <c r="M772" s="724">
        <v>0</v>
      </c>
      <c r="N772" s="724">
        <v>20</v>
      </c>
      <c r="O772" s="724">
        <v>20</v>
      </c>
      <c r="P772" s="724">
        <v>0</v>
      </c>
      <c r="Q772" s="724">
        <v>0</v>
      </c>
      <c r="R772" s="724">
        <v>20</v>
      </c>
      <c r="S772" s="724">
        <v>0</v>
      </c>
      <c r="T772" s="724">
        <v>0</v>
      </c>
      <c r="U772" s="724">
        <v>0</v>
      </c>
      <c r="V772" s="724">
        <v>0</v>
      </c>
      <c r="W772" s="92">
        <v>0</v>
      </c>
      <c r="X772" s="92" t="s">
        <v>326</v>
      </c>
      <c r="Y772" s="738">
        <v>1977</v>
      </c>
      <c r="Z772" s="738">
        <v>4426</v>
      </c>
      <c r="AA772" s="738">
        <v>1</v>
      </c>
      <c r="AB772" s="92"/>
      <c r="AC772" s="92"/>
      <c r="AD772" s="146"/>
      <c r="AE772" s="146"/>
      <c r="AF772" s="146"/>
      <c r="AG772" s="92"/>
    </row>
    <row r="773" s="570" customFormat="1" ht="24.95" customHeight="1" spans="1:33">
      <c r="A773" s="705"/>
      <c r="B773" s="714" t="s">
        <v>548</v>
      </c>
      <c r="C773" s="146" t="s">
        <v>546</v>
      </c>
      <c r="D773" s="76" t="s">
        <v>150</v>
      </c>
      <c r="E773" s="92">
        <v>1</v>
      </c>
      <c r="F773" s="92" t="s">
        <v>155</v>
      </c>
      <c r="G773" s="92"/>
      <c r="H773" s="724">
        <v>1</v>
      </c>
      <c r="I773" s="724">
        <v>1</v>
      </c>
      <c r="J773" s="724">
        <v>0</v>
      </c>
      <c r="K773" s="724">
        <v>0</v>
      </c>
      <c r="L773" s="724">
        <v>2018.01</v>
      </c>
      <c r="M773" s="724">
        <v>0</v>
      </c>
      <c r="N773" s="724">
        <v>460</v>
      </c>
      <c r="O773" s="724">
        <v>460</v>
      </c>
      <c r="P773" s="724">
        <v>0</v>
      </c>
      <c r="Q773" s="724">
        <v>0</v>
      </c>
      <c r="R773" s="724">
        <v>460</v>
      </c>
      <c r="S773" s="724">
        <v>0</v>
      </c>
      <c r="T773" s="724">
        <v>0</v>
      </c>
      <c r="U773" s="724">
        <v>0</v>
      </c>
      <c r="V773" s="724">
        <v>0</v>
      </c>
      <c r="W773" s="92">
        <v>0</v>
      </c>
      <c r="X773" s="92" t="s">
        <v>326</v>
      </c>
      <c r="Y773" s="738">
        <v>907</v>
      </c>
      <c r="Z773" s="738">
        <v>3856</v>
      </c>
      <c r="AA773" s="738">
        <v>1</v>
      </c>
      <c r="AB773" s="92"/>
      <c r="AC773" s="92"/>
      <c r="AD773" s="146"/>
      <c r="AE773" s="146"/>
      <c r="AF773" s="146"/>
      <c r="AG773" s="92"/>
    </row>
    <row r="774" s="570" customFormat="1" ht="24.95" customHeight="1" spans="1:33">
      <c r="A774" s="705"/>
      <c r="B774" s="714" t="s">
        <v>549</v>
      </c>
      <c r="C774" s="146" t="s">
        <v>546</v>
      </c>
      <c r="D774" s="76" t="s">
        <v>150</v>
      </c>
      <c r="E774" s="92">
        <v>1</v>
      </c>
      <c r="F774" s="92" t="s">
        <v>143</v>
      </c>
      <c r="G774" s="92"/>
      <c r="H774" s="724">
        <v>1</v>
      </c>
      <c r="I774" s="724">
        <v>1</v>
      </c>
      <c r="J774" s="724">
        <v>0</v>
      </c>
      <c r="K774" s="724">
        <v>0</v>
      </c>
      <c r="L774" s="724">
        <v>2018.01</v>
      </c>
      <c r="M774" s="724">
        <v>0</v>
      </c>
      <c r="N774" s="724">
        <v>602.5</v>
      </c>
      <c r="O774" s="724">
        <v>602.5</v>
      </c>
      <c r="P774" s="724">
        <v>0</v>
      </c>
      <c r="Q774" s="724">
        <v>0</v>
      </c>
      <c r="R774" s="724">
        <v>602.5</v>
      </c>
      <c r="S774" s="724">
        <v>0</v>
      </c>
      <c r="T774" s="724">
        <v>0</v>
      </c>
      <c r="U774" s="724">
        <v>0</v>
      </c>
      <c r="V774" s="724">
        <v>0</v>
      </c>
      <c r="W774" s="92">
        <v>0</v>
      </c>
      <c r="X774" s="92" t="s">
        <v>326</v>
      </c>
      <c r="Y774" s="738">
        <v>1244</v>
      </c>
      <c r="Z774" s="738">
        <v>5815</v>
      </c>
      <c r="AA774" s="738">
        <v>1</v>
      </c>
      <c r="AB774" s="92"/>
      <c r="AC774" s="92"/>
      <c r="AD774" s="146"/>
      <c r="AE774" s="146"/>
      <c r="AF774" s="146"/>
      <c r="AG774" s="92"/>
    </row>
    <row r="775" s="570" customFormat="1" ht="24.95" customHeight="1" spans="1:33">
      <c r="A775" s="705"/>
      <c r="B775" s="714" t="s">
        <v>550</v>
      </c>
      <c r="C775" s="146" t="s">
        <v>546</v>
      </c>
      <c r="D775" s="76" t="s">
        <v>150</v>
      </c>
      <c r="E775" s="92">
        <v>1</v>
      </c>
      <c r="F775" s="92" t="s">
        <v>98</v>
      </c>
      <c r="G775" s="92"/>
      <c r="H775" s="724">
        <v>1</v>
      </c>
      <c r="I775" s="724">
        <v>1</v>
      </c>
      <c r="J775" s="724">
        <v>0</v>
      </c>
      <c r="K775" s="724">
        <v>0</v>
      </c>
      <c r="L775" s="724">
        <v>2018.01</v>
      </c>
      <c r="M775" s="724">
        <v>0</v>
      </c>
      <c r="N775" s="724">
        <v>450</v>
      </c>
      <c r="O775" s="724">
        <v>450</v>
      </c>
      <c r="P775" s="724">
        <v>0</v>
      </c>
      <c r="Q775" s="724">
        <v>0</v>
      </c>
      <c r="R775" s="724">
        <v>450</v>
      </c>
      <c r="S775" s="724">
        <v>0</v>
      </c>
      <c r="T775" s="724">
        <v>0</v>
      </c>
      <c r="U775" s="724">
        <v>0</v>
      </c>
      <c r="V775" s="724">
        <v>0</v>
      </c>
      <c r="W775" s="92">
        <v>0</v>
      </c>
      <c r="X775" s="92" t="s">
        <v>326</v>
      </c>
      <c r="Y775" s="738">
        <v>3379</v>
      </c>
      <c r="Z775" s="738">
        <v>14263</v>
      </c>
      <c r="AA775" s="738">
        <v>1</v>
      </c>
      <c r="AB775" s="92"/>
      <c r="AC775" s="92"/>
      <c r="AD775" s="146"/>
      <c r="AE775" s="146"/>
      <c r="AF775" s="146"/>
      <c r="AG775" s="92"/>
    </row>
    <row r="776" s="570" customFormat="1" ht="24.95" customHeight="1" spans="1:33">
      <c r="A776" s="705"/>
      <c r="B776" s="714" t="s">
        <v>551</v>
      </c>
      <c r="C776" s="146" t="s">
        <v>546</v>
      </c>
      <c r="D776" s="76" t="s">
        <v>150</v>
      </c>
      <c r="E776" s="92">
        <v>1</v>
      </c>
      <c r="F776" s="92" t="s">
        <v>102</v>
      </c>
      <c r="G776" s="92"/>
      <c r="H776" s="724">
        <v>1</v>
      </c>
      <c r="I776" s="724">
        <v>1</v>
      </c>
      <c r="J776" s="724">
        <v>0</v>
      </c>
      <c r="K776" s="724">
        <v>0</v>
      </c>
      <c r="L776" s="724">
        <v>2018.01</v>
      </c>
      <c r="M776" s="724">
        <v>0</v>
      </c>
      <c r="N776" s="724">
        <v>270</v>
      </c>
      <c r="O776" s="724">
        <v>270</v>
      </c>
      <c r="P776" s="724">
        <v>0</v>
      </c>
      <c r="Q776" s="724">
        <v>0</v>
      </c>
      <c r="R776" s="724">
        <v>270</v>
      </c>
      <c r="S776" s="724">
        <v>0</v>
      </c>
      <c r="T776" s="724">
        <v>0</v>
      </c>
      <c r="U776" s="724">
        <v>0</v>
      </c>
      <c r="V776" s="724">
        <v>0</v>
      </c>
      <c r="W776" s="92">
        <v>0</v>
      </c>
      <c r="X776" s="92" t="s">
        <v>326</v>
      </c>
      <c r="Y776" s="738">
        <v>4272</v>
      </c>
      <c r="Z776" s="738">
        <v>19242</v>
      </c>
      <c r="AA776" s="738">
        <v>1</v>
      </c>
      <c r="AB776" s="92"/>
      <c r="AC776" s="92"/>
      <c r="AD776" s="146"/>
      <c r="AE776" s="146"/>
      <c r="AF776" s="146"/>
      <c r="AG776" s="92"/>
    </row>
    <row r="777" s="570" customFormat="1" ht="24.95" customHeight="1" spans="1:33">
      <c r="A777" s="705">
        <v>101</v>
      </c>
      <c r="B777" s="791" t="s">
        <v>552</v>
      </c>
      <c r="C777" s="708"/>
      <c r="D777" s="709" t="s">
        <v>150</v>
      </c>
      <c r="E777" s="92">
        <v>0</v>
      </c>
      <c r="F777" s="92">
        <v>0</v>
      </c>
      <c r="G777" s="92"/>
      <c r="H777" s="724">
        <v>0</v>
      </c>
      <c r="I777" s="724">
        <v>0</v>
      </c>
      <c r="J777" s="724">
        <v>0</v>
      </c>
      <c r="K777" s="724">
        <v>0</v>
      </c>
      <c r="L777" s="724">
        <v>0</v>
      </c>
      <c r="M777" s="724">
        <v>0</v>
      </c>
      <c r="N777" s="724">
        <v>0</v>
      </c>
      <c r="O777" s="724">
        <v>0</v>
      </c>
      <c r="P777" s="724">
        <v>0</v>
      </c>
      <c r="Q777" s="724">
        <v>0</v>
      </c>
      <c r="R777" s="724">
        <v>0</v>
      </c>
      <c r="S777" s="724">
        <v>0</v>
      </c>
      <c r="T777" s="724">
        <v>0</v>
      </c>
      <c r="U777" s="724">
        <v>0</v>
      </c>
      <c r="V777" s="724">
        <v>0</v>
      </c>
      <c r="W777" s="92">
        <v>0</v>
      </c>
      <c r="X777" s="92">
        <v>0</v>
      </c>
      <c r="Y777" s="738">
        <v>0</v>
      </c>
      <c r="Z777" s="738">
        <v>0</v>
      </c>
      <c r="AA777" s="738">
        <v>0</v>
      </c>
      <c r="AB777" s="708"/>
      <c r="AC777" s="708"/>
      <c r="AD777" s="708"/>
      <c r="AE777" s="708"/>
      <c r="AF777" s="708" t="s">
        <v>553</v>
      </c>
      <c r="AG777" s="708" t="s">
        <v>41</v>
      </c>
    </row>
    <row r="778" s="570" customFormat="1" ht="24.95" customHeight="1" spans="1:33">
      <c r="A778" s="705">
        <v>102</v>
      </c>
      <c r="B778" s="95" t="s">
        <v>554</v>
      </c>
      <c r="C778" s="92"/>
      <c r="D778" s="76" t="s">
        <v>150</v>
      </c>
      <c r="E778" s="92">
        <v>0</v>
      </c>
      <c r="F778" s="92">
        <v>0</v>
      </c>
      <c r="G778" s="92"/>
      <c r="H778" s="724">
        <v>0</v>
      </c>
      <c r="I778" s="724">
        <v>0</v>
      </c>
      <c r="J778" s="724">
        <v>0</v>
      </c>
      <c r="K778" s="724">
        <v>0</v>
      </c>
      <c r="L778" s="724">
        <v>0</v>
      </c>
      <c r="M778" s="724">
        <v>0</v>
      </c>
      <c r="N778" s="724">
        <v>0</v>
      </c>
      <c r="O778" s="724">
        <v>0</v>
      </c>
      <c r="P778" s="724">
        <v>0</v>
      </c>
      <c r="Q778" s="724">
        <v>0</v>
      </c>
      <c r="R778" s="724">
        <v>0</v>
      </c>
      <c r="S778" s="724">
        <v>0</v>
      </c>
      <c r="T778" s="724">
        <v>0</v>
      </c>
      <c r="U778" s="724">
        <v>0</v>
      </c>
      <c r="V778" s="724">
        <v>0</v>
      </c>
      <c r="W778" s="92">
        <v>0</v>
      </c>
      <c r="X778" s="92">
        <v>0</v>
      </c>
      <c r="Y778" s="738">
        <v>0</v>
      </c>
      <c r="Z778" s="738">
        <v>0</v>
      </c>
      <c r="AA778" s="738">
        <v>0</v>
      </c>
      <c r="AB778" s="92"/>
      <c r="AC778" s="92"/>
      <c r="AD778" s="92"/>
      <c r="AE778" s="92"/>
      <c r="AF778" s="92" t="s">
        <v>553</v>
      </c>
      <c r="AG778" s="92" t="s">
        <v>41</v>
      </c>
    </row>
    <row r="779" s="570" customFormat="1" ht="24.95" customHeight="1" spans="1:33">
      <c r="A779" s="705" t="s">
        <v>48</v>
      </c>
      <c r="B779" s="92" t="s">
        <v>148</v>
      </c>
      <c r="C779" s="92"/>
      <c r="D779" s="76"/>
      <c r="E779" s="92">
        <v>0</v>
      </c>
      <c r="F779" s="92">
        <v>0</v>
      </c>
      <c r="G779" s="92"/>
      <c r="H779" s="724">
        <v>0</v>
      </c>
      <c r="I779" s="724">
        <v>0</v>
      </c>
      <c r="J779" s="724">
        <v>0</v>
      </c>
      <c r="K779" s="724">
        <v>0</v>
      </c>
      <c r="L779" s="724">
        <v>0</v>
      </c>
      <c r="M779" s="724">
        <v>0</v>
      </c>
      <c r="N779" s="724">
        <v>0</v>
      </c>
      <c r="O779" s="724">
        <v>0</v>
      </c>
      <c r="P779" s="724">
        <v>0</v>
      </c>
      <c r="Q779" s="724">
        <v>0</v>
      </c>
      <c r="R779" s="724">
        <v>0</v>
      </c>
      <c r="S779" s="724">
        <v>0</v>
      </c>
      <c r="T779" s="724">
        <v>0</v>
      </c>
      <c r="U779" s="724">
        <v>0</v>
      </c>
      <c r="V779" s="724">
        <v>0</v>
      </c>
      <c r="W779" s="92">
        <v>0</v>
      </c>
      <c r="X779" s="92">
        <v>0</v>
      </c>
      <c r="Y779" s="738">
        <v>0</v>
      </c>
      <c r="Z779" s="738">
        <v>0</v>
      </c>
      <c r="AA779" s="738">
        <v>0</v>
      </c>
      <c r="AB779" s="92"/>
      <c r="AC779" s="92"/>
      <c r="AD779" s="92"/>
      <c r="AE779" s="92"/>
      <c r="AF779" s="92"/>
      <c r="AG779" s="92"/>
    </row>
    <row r="780" s="570" customFormat="1" ht="24.95" customHeight="1" spans="1:33">
      <c r="A780" s="705">
        <v>103</v>
      </c>
      <c r="B780" s="791" t="s">
        <v>555</v>
      </c>
      <c r="C780" s="708"/>
      <c r="D780" s="709"/>
      <c r="E780" s="92">
        <v>676</v>
      </c>
      <c r="F780" s="92">
        <v>0</v>
      </c>
      <c r="G780" s="92"/>
      <c r="H780" s="724">
        <v>53510</v>
      </c>
      <c r="I780" s="724">
        <v>13929</v>
      </c>
      <c r="J780" s="724">
        <v>20188</v>
      </c>
      <c r="K780" s="724">
        <v>19393</v>
      </c>
      <c r="L780" s="724">
        <v>0</v>
      </c>
      <c r="M780" s="724">
        <v>0</v>
      </c>
      <c r="N780" s="724">
        <v>21686.7955</v>
      </c>
      <c r="O780" s="724">
        <v>11771.2955</v>
      </c>
      <c r="P780" s="724">
        <v>4840.94</v>
      </c>
      <c r="Q780" s="724">
        <v>5074.56</v>
      </c>
      <c r="R780" s="724">
        <v>21686.7955</v>
      </c>
      <c r="S780" s="724">
        <v>0</v>
      </c>
      <c r="T780" s="724">
        <v>0</v>
      </c>
      <c r="U780" s="724">
        <v>0</v>
      </c>
      <c r="V780" s="724">
        <v>0</v>
      </c>
      <c r="W780" s="92">
        <v>0</v>
      </c>
      <c r="X780" s="92">
        <v>0</v>
      </c>
      <c r="Y780" s="738">
        <v>37466</v>
      </c>
      <c r="Z780" s="738">
        <v>158348</v>
      </c>
      <c r="AA780" s="738">
        <v>676</v>
      </c>
      <c r="AB780" s="708"/>
      <c r="AC780" s="708"/>
      <c r="AD780" s="708"/>
      <c r="AE780" s="708"/>
      <c r="AF780" s="708"/>
      <c r="AG780" s="708" t="s">
        <v>41</v>
      </c>
    </row>
    <row r="781" s="570" customFormat="1" ht="60" spans="1:33">
      <c r="A781" s="705">
        <v>104</v>
      </c>
      <c r="B781" s="95" t="s">
        <v>556</v>
      </c>
      <c r="C781" s="92"/>
      <c r="D781" s="76" t="s">
        <v>147</v>
      </c>
      <c r="E781" s="92">
        <v>0</v>
      </c>
      <c r="F781" s="92">
        <v>0</v>
      </c>
      <c r="G781" s="92"/>
      <c r="H781" s="724">
        <v>0</v>
      </c>
      <c r="I781" s="724">
        <v>0</v>
      </c>
      <c r="J781" s="724">
        <v>0</v>
      </c>
      <c r="K781" s="724">
        <v>0</v>
      </c>
      <c r="L781" s="724">
        <v>0</v>
      </c>
      <c r="M781" s="724">
        <v>0</v>
      </c>
      <c r="N781" s="724">
        <v>0</v>
      </c>
      <c r="O781" s="724">
        <v>0</v>
      </c>
      <c r="P781" s="724">
        <v>0</v>
      </c>
      <c r="Q781" s="724">
        <v>0</v>
      </c>
      <c r="R781" s="724">
        <v>0</v>
      </c>
      <c r="S781" s="724">
        <v>0</v>
      </c>
      <c r="T781" s="724">
        <v>0</v>
      </c>
      <c r="U781" s="724">
        <v>0</v>
      </c>
      <c r="V781" s="724">
        <v>0</v>
      </c>
      <c r="W781" s="92">
        <v>0</v>
      </c>
      <c r="X781" s="92">
        <v>0</v>
      </c>
      <c r="Y781" s="738">
        <v>0</v>
      </c>
      <c r="Z781" s="738">
        <v>0</v>
      </c>
      <c r="AA781" s="738">
        <v>0</v>
      </c>
      <c r="AB781" s="92"/>
      <c r="AC781" s="92"/>
      <c r="AD781" s="92"/>
      <c r="AE781" s="92"/>
      <c r="AF781" s="92" t="s">
        <v>294</v>
      </c>
      <c r="AG781" s="92" t="s">
        <v>41</v>
      </c>
    </row>
    <row r="782" s="570" customFormat="1" ht="24.95" customHeight="1" spans="1:33">
      <c r="A782" s="705" t="s">
        <v>48</v>
      </c>
      <c r="B782" s="92" t="s">
        <v>148</v>
      </c>
      <c r="C782" s="92"/>
      <c r="D782" s="76"/>
      <c r="E782" s="92">
        <v>0</v>
      </c>
      <c r="F782" s="92">
        <v>0</v>
      </c>
      <c r="G782" s="92"/>
      <c r="H782" s="724">
        <v>0</v>
      </c>
      <c r="I782" s="724">
        <v>0</v>
      </c>
      <c r="J782" s="724">
        <v>0</v>
      </c>
      <c r="K782" s="724">
        <v>0</v>
      </c>
      <c r="L782" s="724">
        <v>0</v>
      </c>
      <c r="M782" s="724">
        <v>0</v>
      </c>
      <c r="N782" s="724">
        <v>0</v>
      </c>
      <c r="O782" s="724">
        <v>0</v>
      </c>
      <c r="P782" s="724">
        <v>0</v>
      </c>
      <c r="Q782" s="724">
        <v>0</v>
      </c>
      <c r="R782" s="724">
        <v>0</v>
      </c>
      <c r="S782" s="724">
        <v>0</v>
      </c>
      <c r="T782" s="724">
        <v>0</v>
      </c>
      <c r="U782" s="724">
        <v>0</v>
      </c>
      <c r="V782" s="724">
        <v>0</v>
      </c>
      <c r="W782" s="92">
        <v>0</v>
      </c>
      <c r="X782" s="92">
        <v>0</v>
      </c>
      <c r="Y782" s="738">
        <v>0</v>
      </c>
      <c r="Z782" s="738">
        <v>0</v>
      </c>
      <c r="AA782" s="738">
        <v>0</v>
      </c>
      <c r="AB782" s="92"/>
      <c r="AC782" s="92"/>
      <c r="AD782" s="92"/>
      <c r="AE782" s="92"/>
      <c r="AF782" s="92"/>
      <c r="AG782" s="92"/>
    </row>
    <row r="783" s="570" customFormat="1" ht="24.95" customHeight="1" spans="1:33">
      <c r="A783" s="705"/>
      <c r="B783" s="92" t="s">
        <v>557</v>
      </c>
      <c r="C783" s="92"/>
      <c r="D783" s="76"/>
      <c r="E783" s="92">
        <v>676</v>
      </c>
      <c r="F783" s="92">
        <v>0</v>
      </c>
      <c r="G783" s="92"/>
      <c r="H783" s="724">
        <v>53510</v>
      </c>
      <c r="I783" s="724">
        <v>13929</v>
      </c>
      <c r="J783" s="724">
        <v>20188</v>
      </c>
      <c r="K783" s="724">
        <v>19393</v>
      </c>
      <c r="L783" s="724">
        <v>0</v>
      </c>
      <c r="M783" s="724">
        <v>0</v>
      </c>
      <c r="N783" s="724">
        <v>21686.7955</v>
      </c>
      <c r="O783" s="724">
        <v>11771.2955</v>
      </c>
      <c r="P783" s="724">
        <v>4840.94</v>
      </c>
      <c r="Q783" s="724">
        <v>5074.56</v>
      </c>
      <c r="R783" s="724">
        <v>21686.7955</v>
      </c>
      <c r="S783" s="724">
        <v>0</v>
      </c>
      <c r="T783" s="724">
        <v>0</v>
      </c>
      <c r="U783" s="724">
        <v>0</v>
      </c>
      <c r="V783" s="724">
        <v>0</v>
      </c>
      <c r="W783" s="92">
        <v>0</v>
      </c>
      <c r="X783" s="92" t="s">
        <v>558</v>
      </c>
      <c r="Y783" s="738">
        <v>37466</v>
      </c>
      <c r="Z783" s="738">
        <v>158348</v>
      </c>
      <c r="AA783" s="738">
        <v>676</v>
      </c>
      <c r="AB783" s="92"/>
      <c r="AC783" s="92"/>
      <c r="AD783" s="92"/>
      <c r="AE783" s="92"/>
      <c r="AF783" s="92" t="s">
        <v>294</v>
      </c>
      <c r="AG783" s="92" t="s">
        <v>41</v>
      </c>
    </row>
    <row r="784" s="570" customFormat="1" ht="24.95" customHeight="1" spans="1:33">
      <c r="A784" s="705"/>
      <c r="B784" s="802" t="s">
        <v>559</v>
      </c>
      <c r="C784" s="146" t="s">
        <v>52</v>
      </c>
      <c r="D784" s="152" t="s">
        <v>560</v>
      </c>
      <c r="E784" s="92">
        <v>15</v>
      </c>
      <c r="F784" s="92">
        <v>0</v>
      </c>
      <c r="G784" s="92"/>
      <c r="H784" s="724">
        <v>52849</v>
      </c>
      <c r="I784" s="724">
        <v>13290</v>
      </c>
      <c r="J784" s="724">
        <v>20181</v>
      </c>
      <c r="K784" s="724">
        <v>19378</v>
      </c>
      <c r="L784" s="724">
        <v>0</v>
      </c>
      <c r="M784" s="724">
        <v>0</v>
      </c>
      <c r="N784" s="724">
        <v>10573.8</v>
      </c>
      <c r="O784" s="724">
        <v>2658</v>
      </c>
      <c r="P784" s="724">
        <v>4040.2</v>
      </c>
      <c r="Q784" s="724">
        <v>3875.6</v>
      </c>
      <c r="R784" s="724">
        <v>10573.8</v>
      </c>
      <c r="S784" s="724">
        <v>0</v>
      </c>
      <c r="T784" s="724">
        <v>0</v>
      </c>
      <c r="U784" s="724">
        <v>0</v>
      </c>
      <c r="V784" s="724">
        <v>0</v>
      </c>
      <c r="W784" s="92">
        <v>0</v>
      </c>
      <c r="X784" s="92" t="s">
        <v>558</v>
      </c>
      <c r="Y784" s="738">
        <v>3449</v>
      </c>
      <c r="Z784" s="738">
        <v>15036</v>
      </c>
      <c r="AA784" s="738">
        <v>15</v>
      </c>
      <c r="AB784" s="92"/>
      <c r="AC784" s="92"/>
      <c r="AD784" s="146" t="s">
        <v>296</v>
      </c>
      <c r="AE784" s="146" t="s">
        <v>561</v>
      </c>
      <c r="AF784" s="146" t="s">
        <v>294</v>
      </c>
      <c r="AG784" s="92"/>
    </row>
    <row r="785" s="570" customFormat="1" ht="24.95" customHeight="1" spans="1:33">
      <c r="A785" s="705"/>
      <c r="B785" s="714" t="s">
        <v>69</v>
      </c>
      <c r="C785" s="146" t="s">
        <v>52</v>
      </c>
      <c r="D785" s="152" t="s">
        <v>560</v>
      </c>
      <c r="E785" s="92">
        <v>1</v>
      </c>
      <c r="F785" s="92" t="s">
        <v>69</v>
      </c>
      <c r="G785" s="92"/>
      <c r="H785" s="724">
        <v>50</v>
      </c>
      <c r="I785" s="724">
        <v>50</v>
      </c>
      <c r="J785" s="724">
        <v>0</v>
      </c>
      <c r="K785" s="724">
        <v>0</v>
      </c>
      <c r="L785" s="724">
        <v>2018.01</v>
      </c>
      <c r="M785" s="724">
        <v>0</v>
      </c>
      <c r="N785" s="724">
        <v>10</v>
      </c>
      <c r="O785" s="724">
        <v>10</v>
      </c>
      <c r="P785" s="724">
        <v>0</v>
      </c>
      <c r="Q785" s="724">
        <v>0</v>
      </c>
      <c r="R785" s="724">
        <v>10</v>
      </c>
      <c r="S785" s="724">
        <v>0</v>
      </c>
      <c r="T785" s="724">
        <v>0</v>
      </c>
      <c r="U785" s="724">
        <v>0</v>
      </c>
      <c r="V785" s="724">
        <v>0</v>
      </c>
      <c r="W785" s="92">
        <v>0</v>
      </c>
      <c r="X785" s="92" t="s">
        <v>558</v>
      </c>
      <c r="Y785" s="738">
        <v>264</v>
      </c>
      <c r="Z785" s="738">
        <v>1028</v>
      </c>
      <c r="AA785" s="738">
        <v>1</v>
      </c>
      <c r="AB785" s="92"/>
      <c r="AC785" s="92"/>
      <c r="AD785" s="146"/>
      <c r="AE785" s="146"/>
      <c r="AF785" s="146"/>
      <c r="AG785" s="92"/>
    </row>
    <row r="786" s="570" customFormat="1" ht="24.95" customHeight="1" spans="1:33">
      <c r="A786" s="705"/>
      <c r="B786" s="714" t="s">
        <v>51</v>
      </c>
      <c r="C786" s="146" t="s">
        <v>52</v>
      </c>
      <c r="D786" s="152" t="s">
        <v>560</v>
      </c>
      <c r="E786" s="92">
        <v>1</v>
      </c>
      <c r="F786" s="92" t="s">
        <v>51</v>
      </c>
      <c r="G786" s="92"/>
      <c r="H786" s="724">
        <v>488</v>
      </c>
      <c r="I786" s="724">
        <v>488</v>
      </c>
      <c r="J786" s="724">
        <v>0</v>
      </c>
      <c r="K786" s="724">
        <v>0</v>
      </c>
      <c r="L786" s="724">
        <v>2018.01</v>
      </c>
      <c r="M786" s="724">
        <v>0</v>
      </c>
      <c r="N786" s="724">
        <v>97.6</v>
      </c>
      <c r="O786" s="724">
        <v>97.6</v>
      </c>
      <c r="P786" s="724">
        <v>0</v>
      </c>
      <c r="Q786" s="724">
        <v>0</v>
      </c>
      <c r="R786" s="724">
        <v>97.6</v>
      </c>
      <c r="S786" s="724">
        <v>0</v>
      </c>
      <c r="T786" s="724">
        <v>0</v>
      </c>
      <c r="U786" s="724">
        <v>0</v>
      </c>
      <c r="V786" s="724">
        <v>0</v>
      </c>
      <c r="W786" s="92">
        <v>0</v>
      </c>
      <c r="X786" s="92" t="s">
        <v>558</v>
      </c>
      <c r="Y786" s="738">
        <v>208</v>
      </c>
      <c r="Z786" s="738">
        <v>839</v>
      </c>
      <c r="AA786" s="738">
        <v>1</v>
      </c>
      <c r="AB786" s="92"/>
      <c r="AC786" s="92"/>
      <c r="AD786" s="146"/>
      <c r="AE786" s="146"/>
      <c r="AF786" s="146"/>
      <c r="AG786" s="92"/>
    </row>
    <row r="787" s="570" customFormat="1" ht="24.95" customHeight="1" spans="1:33">
      <c r="A787" s="705"/>
      <c r="B787" s="714" t="s">
        <v>72</v>
      </c>
      <c r="C787" s="146" t="s">
        <v>52</v>
      </c>
      <c r="D787" s="152" t="s">
        <v>560</v>
      </c>
      <c r="E787" s="92">
        <v>2</v>
      </c>
      <c r="F787" s="92" t="s">
        <v>72</v>
      </c>
      <c r="G787" s="92"/>
      <c r="H787" s="724">
        <v>4248</v>
      </c>
      <c r="I787" s="724">
        <v>0</v>
      </c>
      <c r="J787" s="724">
        <v>2170</v>
      </c>
      <c r="K787" s="724">
        <v>2078</v>
      </c>
      <c r="L787" s="724">
        <v>0</v>
      </c>
      <c r="M787" s="724">
        <v>2020.12</v>
      </c>
      <c r="N787" s="724">
        <v>849.6</v>
      </c>
      <c r="O787" s="724">
        <v>0</v>
      </c>
      <c r="P787" s="724">
        <v>434</v>
      </c>
      <c r="Q787" s="724">
        <v>415.6</v>
      </c>
      <c r="R787" s="724">
        <v>849.6</v>
      </c>
      <c r="S787" s="724">
        <v>0</v>
      </c>
      <c r="T787" s="724">
        <v>0</v>
      </c>
      <c r="U787" s="724">
        <v>0</v>
      </c>
      <c r="V787" s="724">
        <v>0</v>
      </c>
      <c r="W787" s="92">
        <v>0</v>
      </c>
      <c r="X787" s="92" t="s">
        <v>558</v>
      </c>
      <c r="Y787" s="738">
        <v>628</v>
      </c>
      <c r="Z787" s="738">
        <v>2484</v>
      </c>
      <c r="AA787" s="738">
        <v>2</v>
      </c>
      <c r="AB787" s="92"/>
      <c r="AC787" s="92"/>
      <c r="AD787" s="807" t="s">
        <v>247</v>
      </c>
      <c r="AE787" s="146" t="s">
        <v>302</v>
      </c>
      <c r="AF787" s="146" t="s">
        <v>294</v>
      </c>
      <c r="AG787" s="92"/>
    </row>
    <row r="788" s="570" customFormat="1" ht="24.95" customHeight="1" spans="1:33">
      <c r="A788" s="705"/>
      <c r="B788" s="714" t="s">
        <v>91</v>
      </c>
      <c r="C788" s="146" t="s">
        <v>52</v>
      </c>
      <c r="D788" s="152" t="s">
        <v>560</v>
      </c>
      <c r="E788" s="92">
        <v>1</v>
      </c>
      <c r="F788" s="92" t="s">
        <v>91</v>
      </c>
      <c r="G788" s="92"/>
      <c r="H788" s="724">
        <v>175</v>
      </c>
      <c r="I788" s="724">
        <v>175</v>
      </c>
      <c r="J788" s="724">
        <v>0</v>
      </c>
      <c r="K788" s="724">
        <v>0</v>
      </c>
      <c r="L788" s="724">
        <v>2018.01</v>
      </c>
      <c r="M788" s="724">
        <v>0</v>
      </c>
      <c r="N788" s="724">
        <v>35</v>
      </c>
      <c r="O788" s="724">
        <v>35</v>
      </c>
      <c r="P788" s="724">
        <v>0</v>
      </c>
      <c r="Q788" s="724">
        <v>0</v>
      </c>
      <c r="R788" s="724">
        <v>35</v>
      </c>
      <c r="S788" s="724">
        <v>0</v>
      </c>
      <c r="T788" s="724">
        <v>0</v>
      </c>
      <c r="U788" s="724">
        <v>0</v>
      </c>
      <c r="V788" s="724">
        <v>0</v>
      </c>
      <c r="W788" s="92">
        <v>0</v>
      </c>
      <c r="X788" s="92" t="s">
        <v>558</v>
      </c>
      <c r="Y788" s="738">
        <v>56</v>
      </c>
      <c r="Z788" s="738">
        <v>232</v>
      </c>
      <c r="AA788" s="738">
        <v>1</v>
      </c>
      <c r="AB788" s="92"/>
      <c r="AC788" s="92"/>
      <c r="AD788" s="146"/>
      <c r="AE788" s="146"/>
      <c r="AF788" s="146"/>
      <c r="AG788" s="92"/>
    </row>
    <row r="789" s="570" customFormat="1" ht="24.95" customHeight="1" spans="1:33">
      <c r="A789" s="705"/>
      <c r="B789" s="714" t="s">
        <v>55</v>
      </c>
      <c r="C789" s="146" t="s">
        <v>52</v>
      </c>
      <c r="D789" s="152" t="s">
        <v>560</v>
      </c>
      <c r="E789" s="92">
        <v>1</v>
      </c>
      <c r="F789" s="92" t="s">
        <v>55</v>
      </c>
      <c r="G789" s="92"/>
      <c r="H789" s="724">
        <v>6220</v>
      </c>
      <c r="I789" s="724">
        <v>0</v>
      </c>
      <c r="J789" s="724">
        <v>6220</v>
      </c>
      <c r="K789" s="724">
        <v>0</v>
      </c>
      <c r="L789" s="724">
        <v>0</v>
      </c>
      <c r="M789" s="724">
        <v>0</v>
      </c>
      <c r="N789" s="724">
        <v>1244</v>
      </c>
      <c r="O789" s="724">
        <v>0</v>
      </c>
      <c r="P789" s="724">
        <v>1244</v>
      </c>
      <c r="Q789" s="724">
        <v>0</v>
      </c>
      <c r="R789" s="724">
        <v>1244</v>
      </c>
      <c r="S789" s="724">
        <v>0</v>
      </c>
      <c r="T789" s="724">
        <v>0</v>
      </c>
      <c r="U789" s="724">
        <v>0</v>
      </c>
      <c r="V789" s="724">
        <v>0</v>
      </c>
      <c r="W789" s="92">
        <v>0</v>
      </c>
      <c r="X789" s="92" t="s">
        <v>558</v>
      </c>
      <c r="Y789" s="738">
        <v>257</v>
      </c>
      <c r="Z789" s="738">
        <v>1129</v>
      </c>
      <c r="AA789" s="738">
        <v>1</v>
      </c>
      <c r="AB789" s="92"/>
      <c r="AC789" s="92"/>
      <c r="AD789" s="146" t="s">
        <v>305</v>
      </c>
      <c r="AE789" s="146" t="s">
        <v>306</v>
      </c>
      <c r="AF789" s="146" t="s">
        <v>294</v>
      </c>
      <c r="AG789" s="92"/>
    </row>
    <row r="790" s="570" customFormat="1" ht="24.95" customHeight="1" spans="1:33">
      <c r="A790" s="705"/>
      <c r="B790" s="714" t="s">
        <v>75</v>
      </c>
      <c r="C790" s="146" t="s">
        <v>52</v>
      </c>
      <c r="D790" s="152" t="s">
        <v>560</v>
      </c>
      <c r="E790" s="92">
        <v>1</v>
      </c>
      <c r="F790" s="92" t="s">
        <v>75</v>
      </c>
      <c r="G790" s="92"/>
      <c r="H790" s="724">
        <v>5920</v>
      </c>
      <c r="I790" s="724">
        <v>0</v>
      </c>
      <c r="J790" s="724">
        <v>5920</v>
      </c>
      <c r="K790" s="724">
        <v>0</v>
      </c>
      <c r="L790" s="724">
        <v>0</v>
      </c>
      <c r="M790" s="724">
        <v>0</v>
      </c>
      <c r="N790" s="724">
        <v>1184</v>
      </c>
      <c r="O790" s="724">
        <v>0</v>
      </c>
      <c r="P790" s="724">
        <v>1184</v>
      </c>
      <c r="Q790" s="724">
        <v>0</v>
      </c>
      <c r="R790" s="724">
        <v>1184</v>
      </c>
      <c r="S790" s="724">
        <v>0</v>
      </c>
      <c r="T790" s="724">
        <v>0</v>
      </c>
      <c r="U790" s="724">
        <v>0</v>
      </c>
      <c r="V790" s="724">
        <v>0</v>
      </c>
      <c r="W790" s="92">
        <v>0</v>
      </c>
      <c r="X790" s="92" t="s">
        <v>558</v>
      </c>
      <c r="Y790" s="738">
        <v>0</v>
      </c>
      <c r="Z790" s="738">
        <v>0</v>
      </c>
      <c r="AA790" s="738">
        <v>1</v>
      </c>
      <c r="AB790" s="92"/>
      <c r="AC790" s="92"/>
      <c r="AD790" s="146" t="s">
        <v>562</v>
      </c>
      <c r="AE790" s="146" t="s">
        <v>308</v>
      </c>
      <c r="AF790" s="146" t="s">
        <v>294</v>
      </c>
      <c r="AG790" s="92"/>
    </row>
    <row r="791" s="570" customFormat="1" ht="24.95" customHeight="1" spans="1:33">
      <c r="A791" s="705"/>
      <c r="B791" s="714" t="s">
        <v>61</v>
      </c>
      <c r="C791" s="146" t="s">
        <v>52</v>
      </c>
      <c r="D791" s="152" t="s">
        <v>560</v>
      </c>
      <c r="E791" s="92">
        <v>2</v>
      </c>
      <c r="F791" s="92" t="s">
        <v>61</v>
      </c>
      <c r="G791" s="92"/>
      <c r="H791" s="724">
        <v>1060</v>
      </c>
      <c r="I791" s="724">
        <v>260</v>
      </c>
      <c r="J791" s="724">
        <v>800</v>
      </c>
      <c r="K791" s="724">
        <v>0</v>
      </c>
      <c r="L791" s="724">
        <v>2018.01</v>
      </c>
      <c r="M791" s="724">
        <v>0</v>
      </c>
      <c r="N791" s="724">
        <v>212</v>
      </c>
      <c r="O791" s="724">
        <v>52</v>
      </c>
      <c r="P791" s="724">
        <v>160</v>
      </c>
      <c r="Q791" s="724">
        <v>0</v>
      </c>
      <c r="R791" s="724">
        <v>212</v>
      </c>
      <c r="S791" s="724">
        <v>0</v>
      </c>
      <c r="T791" s="724">
        <v>0</v>
      </c>
      <c r="U791" s="724">
        <v>0</v>
      </c>
      <c r="V791" s="724">
        <v>0</v>
      </c>
      <c r="W791" s="92">
        <v>0</v>
      </c>
      <c r="X791" s="92" t="s">
        <v>558</v>
      </c>
      <c r="Y791" s="738">
        <v>1520</v>
      </c>
      <c r="Z791" s="738">
        <v>7006</v>
      </c>
      <c r="AA791" s="738">
        <v>2</v>
      </c>
      <c r="AB791" s="92"/>
      <c r="AC791" s="92"/>
      <c r="AD791" s="146" t="s">
        <v>215</v>
      </c>
      <c r="AE791" s="146" t="s">
        <v>311</v>
      </c>
      <c r="AF791" s="146" t="s">
        <v>294</v>
      </c>
      <c r="AG791" s="92"/>
    </row>
    <row r="792" s="570" customFormat="1" ht="24.95" customHeight="1" spans="1:33">
      <c r="A792" s="705"/>
      <c r="B792" s="714" t="s">
        <v>78</v>
      </c>
      <c r="C792" s="146" t="s">
        <v>52</v>
      </c>
      <c r="D792" s="152" t="s">
        <v>560</v>
      </c>
      <c r="E792" s="92">
        <v>2</v>
      </c>
      <c r="F792" s="92" t="s">
        <v>78</v>
      </c>
      <c r="G792" s="92"/>
      <c r="H792" s="724">
        <v>1910</v>
      </c>
      <c r="I792" s="724">
        <v>50</v>
      </c>
      <c r="J792" s="724">
        <v>1860</v>
      </c>
      <c r="K792" s="724">
        <v>0</v>
      </c>
      <c r="L792" s="724">
        <v>2018.01</v>
      </c>
      <c r="M792" s="724">
        <v>0</v>
      </c>
      <c r="N792" s="724">
        <v>386</v>
      </c>
      <c r="O792" s="724">
        <v>10</v>
      </c>
      <c r="P792" s="724">
        <v>376</v>
      </c>
      <c r="Q792" s="724">
        <v>0</v>
      </c>
      <c r="R792" s="724">
        <v>386</v>
      </c>
      <c r="S792" s="724">
        <v>0</v>
      </c>
      <c r="T792" s="724">
        <v>0</v>
      </c>
      <c r="U792" s="724">
        <v>0</v>
      </c>
      <c r="V792" s="724">
        <v>0</v>
      </c>
      <c r="W792" s="92">
        <v>0</v>
      </c>
      <c r="X792" s="92" t="s">
        <v>558</v>
      </c>
      <c r="Y792" s="738">
        <v>320</v>
      </c>
      <c r="Z792" s="738">
        <v>1472</v>
      </c>
      <c r="AA792" s="738">
        <v>2</v>
      </c>
      <c r="AB792" s="92"/>
      <c r="AC792" s="92"/>
      <c r="AD792" s="146" t="s">
        <v>312</v>
      </c>
      <c r="AE792" s="146" t="s">
        <v>313</v>
      </c>
      <c r="AF792" s="146" t="s">
        <v>294</v>
      </c>
      <c r="AG792" s="92"/>
    </row>
    <row r="793" s="570" customFormat="1" ht="24.95" customHeight="1" spans="1:33">
      <c r="A793" s="705"/>
      <c r="B793" s="714" t="s">
        <v>114</v>
      </c>
      <c r="C793" s="146" t="s">
        <v>52</v>
      </c>
      <c r="D793" s="152" t="s">
        <v>560</v>
      </c>
      <c r="E793" s="92">
        <v>1</v>
      </c>
      <c r="F793" s="92" t="s">
        <v>114</v>
      </c>
      <c r="G793" s="92"/>
      <c r="H793" s="724">
        <v>200</v>
      </c>
      <c r="I793" s="724">
        <v>0</v>
      </c>
      <c r="J793" s="724">
        <v>200</v>
      </c>
      <c r="K793" s="724">
        <v>0</v>
      </c>
      <c r="L793" s="724">
        <v>0</v>
      </c>
      <c r="M793" s="724">
        <v>0</v>
      </c>
      <c r="N793" s="724">
        <v>40</v>
      </c>
      <c r="O793" s="724">
        <v>0</v>
      </c>
      <c r="P793" s="724">
        <v>40</v>
      </c>
      <c r="Q793" s="724">
        <v>0</v>
      </c>
      <c r="R793" s="724">
        <v>40</v>
      </c>
      <c r="S793" s="724">
        <v>0</v>
      </c>
      <c r="T793" s="724">
        <v>0</v>
      </c>
      <c r="U793" s="724">
        <v>0</v>
      </c>
      <c r="V793" s="724">
        <v>0</v>
      </c>
      <c r="W793" s="92">
        <v>0</v>
      </c>
      <c r="X793" s="92" t="s">
        <v>558</v>
      </c>
      <c r="Y793" s="738">
        <v>0</v>
      </c>
      <c r="Z793" s="738">
        <v>0</v>
      </c>
      <c r="AA793" s="738">
        <v>1</v>
      </c>
      <c r="AB793" s="92"/>
      <c r="AC793" s="92"/>
      <c r="AD793" s="146" t="s">
        <v>315</v>
      </c>
      <c r="AE793" s="146" t="s">
        <v>316</v>
      </c>
      <c r="AF793" s="146" t="s">
        <v>294</v>
      </c>
      <c r="AG793" s="92"/>
    </row>
    <row r="794" s="570" customFormat="1" ht="24.95" customHeight="1" spans="1:33">
      <c r="A794" s="705"/>
      <c r="B794" s="714" t="s">
        <v>64</v>
      </c>
      <c r="C794" s="146" t="s">
        <v>52</v>
      </c>
      <c r="D794" s="152" t="s">
        <v>560</v>
      </c>
      <c r="E794" s="92">
        <v>1</v>
      </c>
      <c r="F794" s="92" t="s">
        <v>64</v>
      </c>
      <c r="G794" s="92"/>
      <c r="H794" s="724">
        <v>3011</v>
      </c>
      <c r="I794" s="724">
        <v>0</v>
      </c>
      <c r="J794" s="724">
        <v>3011</v>
      </c>
      <c r="K794" s="724">
        <v>0</v>
      </c>
      <c r="L794" s="724">
        <v>0</v>
      </c>
      <c r="M794" s="724">
        <v>0</v>
      </c>
      <c r="N794" s="724">
        <v>602.2</v>
      </c>
      <c r="O794" s="724">
        <v>0</v>
      </c>
      <c r="P794" s="724">
        <v>602.2</v>
      </c>
      <c r="Q794" s="724">
        <v>0</v>
      </c>
      <c r="R794" s="724">
        <v>602.2</v>
      </c>
      <c r="S794" s="724">
        <v>0</v>
      </c>
      <c r="T794" s="724">
        <v>0</v>
      </c>
      <c r="U794" s="724">
        <v>0</v>
      </c>
      <c r="V794" s="724">
        <v>0</v>
      </c>
      <c r="W794" s="92">
        <v>0</v>
      </c>
      <c r="X794" s="92" t="s">
        <v>558</v>
      </c>
      <c r="Y794" s="738">
        <v>196</v>
      </c>
      <c r="Z794" s="738">
        <v>846</v>
      </c>
      <c r="AA794" s="738">
        <v>1</v>
      </c>
      <c r="AB794" s="92"/>
      <c r="AC794" s="92"/>
      <c r="AD794" s="146" t="s">
        <v>185</v>
      </c>
      <c r="AE794" s="146" t="s">
        <v>563</v>
      </c>
      <c r="AF794" s="146" t="s">
        <v>294</v>
      </c>
      <c r="AG794" s="92"/>
    </row>
    <row r="795" s="570" customFormat="1" ht="24.95" customHeight="1" spans="1:33">
      <c r="A795" s="705"/>
      <c r="B795" s="714" t="s">
        <v>564</v>
      </c>
      <c r="C795" s="146" t="s">
        <v>52</v>
      </c>
      <c r="D795" s="152" t="s">
        <v>560</v>
      </c>
      <c r="E795" s="92">
        <v>2</v>
      </c>
      <c r="F795" s="92" t="s">
        <v>564</v>
      </c>
      <c r="G795" s="92"/>
      <c r="H795" s="724">
        <v>29567</v>
      </c>
      <c r="I795" s="724">
        <v>12267</v>
      </c>
      <c r="J795" s="724">
        <v>0</v>
      </c>
      <c r="K795" s="724">
        <v>17300</v>
      </c>
      <c r="L795" s="724">
        <v>2018.01</v>
      </c>
      <c r="M795" s="724">
        <v>2020.12</v>
      </c>
      <c r="N795" s="724">
        <v>5913.4</v>
      </c>
      <c r="O795" s="724">
        <v>2453.4</v>
      </c>
      <c r="P795" s="724">
        <v>0</v>
      </c>
      <c r="Q795" s="724">
        <v>3460</v>
      </c>
      <c r="R795" s="724">
        <v>5913.4</v>
      </c>
      <c r="S795" s="724">
        <v>0</v>
      </c>
      <c r="T795" s="724">
        <v>0</v>
      </c>
      <c r="U795" s="724">
        <v>0</v>
      </c>
      <c r="V795" s="724">
        <v>0</v>
      </c>
      <c r="W795" s="92">
        <v>0</v>
      </c>
      <c r="X795" s="92" t="s">
        <v>558</v>
      </c>
      <c r="Y795" s="738">
        <v>0</v>
      </c>
      <c r="Z795" s="738">
        <v>0</v>
      </c>
      <c r="AA795" s="738">
        <v>2</v>
      </c>
      <c r="AB795" s="92"/>
      <c r="AC795" s="92"/>
      <c r="AD795" s="146"/>
      <c r="AE795" s="146"/>
      <c r="AF795" s="146"/>
      <c r="AG795" s="92"/>
    </row>
    <row r="796" s="570" customFormat="1" ht="24.95" customHeight="1" spans="1:33">
      <c r="A796" s="705"/>
      <c r="B796" s="802" t="s">
        <v>565</v>
      </c>
      <c r="C796" s="146" t="s">
        <v>52</v>
      </c>
      <c r="D796" s="152" t="s">
        <v>509</v>
      </c>
      <c r="E796" s="92">
        <v>187</v>
      </c>
      <c r="F796" s="92">
        <v>0</v>
      </c>
      <c r="G796" s="92"/>
      <c r="H796" s="724">
        <v>187</v>
      </c>
      <c r="I796" s="724">
        <v>165</v>
      </c>
      <c r="J796" s="724">
        <v>7</v>
      </c>
      <c r="K796" s="724">
        <v>15</v>
      </c>
      <c r="L796" s="724">
        <v>0</v>
      </c>
      <c r="M796" s="724">
        <v>0</v>
      </c>
      <c r="N796" s="724">
        <v>5323.048</v>
      </c>
      <c r="O796" s="724">
        <v>3323.348</v>
      </c>
      <c r="P796" s="724">
        <v>800.74</v>
      </c>
      <c r="Q796" s="724">
        <v>1198.96</v>
      </c>
      <c r="R796" s="724">
        <v>5323.048</v>
      </c>
      <c r="S796" s="724">
        <v>0</v>
      </c>
      <c r="T796" s="724">
        <v>0</v>
      </c>
      <c r="U796" s="724">
        <v>0</v>
      </c>
      <c r="V796" s="724">
        <v>0</v>
      </c>
      <c r="W796" s="92">
        <v>0</v>
      </c>
      <c r="X796" s="92" t="s">
        <v>558</v>
      </c>
      <c r="Y796" s="738">
        <v>10985</v>
      </c>
      <c r="Z796" s="738">
        <v>49220</v>
      </c>
      <c r="AA796" s="738">
        <v>187</v>
      </c>
      <c r="AB796" s="92"/>
      <c r="AC796" s="92"/>
      <c r="AD796" s="146" t="s">
        <v>296</v>
      </c>
      <c r="AE796" s="146" t="s">
        <v>561</v>
      </c>
      <c r="AF796" s="146" t="s">
        <v>294</v>
      </c>
      <c r="AG796" s="92"/>
    </row>
    <row r="797" s="570" customFormat="1" ht="24.95" customHeight="1" spans="1:33">
      <c r="A797" s="705"/>
      <c r="B797" s="97" t="s">
        <v>69</v>
      </c>
      <c r="C797" s="146" t="s">
        <v>52</v>
      </c>
      <c r="D797" s="152" t="s">
        <v>509</v>
      </c>
      <c r="E797" s="92">
        <v>15</v>
      </c>
      <c r="F797" s="92" t="s">
        <v>69</v>
      </c>
      <c r="G797" s="92"/>
      <c r="H797" s="724">
        <v>15</v>
      </c>
      <c r="I797" s="724">
        <v>15</v>
      </c>
      <c r="J797" s="724">
        <v>0</v>
      </c>
      <c r="K797" s="724">
        <v>0</v>
      </c>
      <c r="L797" s="724">
        <v>2018.01</v>
      </c>
      <c r="M797" s="724">
        <v>0</v>
      </c>
      <c r="N797" s="724">
        <v>335.6</v>
      </c>
      <c r="O797" s="724">
        <v>335.6</v>
      </c>
      <c r="P797" s="724">
        <v>0</v>
      </c>
      <c r="Q797" s="724">
        <v>0</v>
      </c>
      <c r="R797" s="724">
        <v>335.6</v>
      </c>
      <c r="S797" s="724">
        <v>0</v>
      </c>
      <c r="T797" s="724">
        <v>0</v>
      </c>
      <c r="U797" s="724">
        <v>0</v>
      </c>
      <c r="V797" s="724">
        <v>0</v>
      </c>
      <c r="W797" s="92">
        <v>0</v>
      </c>
      <c r="X797" s="92" t="s">
        <v>558</v>
      </c>
      <c r="Y797" s="738">
        <v>0</v>
      </c>
      <c r="Z797" s="738">
        <v>0</v>
      </c>
      <c r="AA797" s="738">
        <v>15</v>
      </c>
      <c r="AB797" s="92"/>
      <c r="AC797" s="92"/>
      <c r="AD797" s="146"/>
      <c r="AE797" s="146"/>
      <c r="AF797" s="146"/>
      <c r="AG797" s="92"/>
    </row>
    <row r="798" s="570" customFormat="1" ht="24.95" customHeight="1" spans="1:33">
      <c r="A798" s="705"/>
      <c r="B798" s="803" t="s">
        <v>51</v>
      </c>
      <c r="C798" s="146" t="s">
        <v>52</v>
      </c>
      <c r="D798" s="152" t="s">
        <v>509</v>
      </c>
      <c r="E798" s="92">
        <v>14</v>
      </c>
      <c r="F798" s="92" t="s">
        <v>51</v>
      </c>
      <c r="G798" s="92"/>
      <c r="H798" s="724">
        <v>14</v>
      </c>
      <c r="I798" s="724">
        <v>14</v>
      </c>
      <c r="J798" s="724">
        <v>0</v>
      </c>
      <c r="K798" s="724">
        <v>0</v>
      </c>
      <c r="L798" s="724">
        <v>2018.01</v>
      </c>
      <c r="M798" s="724">
        <v>0</v>
      </c>
      <c r="N798" s="724">
        <v>305.96</v>
      </c>
      <c r="O798" s="724">
        <v>305.96</v>
      </c>
      <c r="P798" s="724">
        <v>0</v>
      </c>
      <c r="Q798" s="724">
        <v>0</v>
      </c>
      <c r="R798" s="724">
        <v>305.96</v>
      </c>
      <c r="S798" s="724">
        <v>0</v>
      </c>
      <c r="T798" s="724">
        <v>0</v>
      </c>
      <c r="U798" s="724">
        <v>0</v>
      </c>
      <c r="V798" s="724">
        <v>0</v>
      </c>
      <c r="W798" s="92">
        <v>0</v>
      </c>
      <c r="X798" s="92" t="s">
        <v>558</v>
      </c>
      <c r="Y798" s="738">
        <v>0</v>
      </c>
      <c r="Z798" s="738">
        <v>0</v>
      </c>
      <c r="AA798" s="738">
        <v>14</v>
      </c>
      <c r="AB798" s="92"/>
      <c r="AC798" s="92"/>
      <c r="AD798" s="146"/>
      <c r="AE798" s="146"/>
      <c r="AF798" s="146"/>
      <c r="AG798" s="92"/>
    </row>
    <row r="799" s="570" customFormat="1" ht="24.95" customHeight="1" spans="1:33">
      <c r="A799" s="705"/>
      <c r="B799" s="803" t="s">
        <v>72</v>
      </c>
      <c r="C799" s="146" t="s">
        <v>52</v>
      </c>
      <c r="D799" s="152" t="s">
        <v>509</v>
      </c>
      <c r="E799" s="92">
        <v>6</v>
      </c>
      <c r="F799" s="92" t="s">
        <v>72</v>
      </c>
      <c r="G799" s="92"/>
      <c r="H799" s="724">
        <v>6</v>
      </c>
      <c r="I799" s="724">
        <v>4</v>
      </c>
      <c r="J799" s="724">
        <v>0</v>
      </c>
      <c r="K799" s="724">
        <v>2</v>
      </c>
      <c r="L799" s="724">
        <v>2018.01</v>
      </c>
      <c r="M799" s="724">
        <v>2020.12</v>
      </c>
      <c r="N799" s="724">
        <v>348</v>
      </c>
      <c r="O799" s="724">
        <v>182</v>
      </c>
      <c r="P799" s="724">
        <v>0</v>
      </c>
      <c r="Q799" s="724">
        <v>166</v>
      </c>
      <c r="R799" s="724">
        <v>348</v>
      </c>
      <c r="S799" s="724">
        <v>0</v>
      </c>
      <c r="T799" s="724">
        <v>0</v>
      </c>
      <c r="U799" s="724">
        <v>0</v>
      </c>
      <c r="V799" s="724">
        <v>0</v>
      </c>
      <c r="W799" s="92">
        <v>0</v>
      </c>
      <c r="X799" s="92" t="s">
        <v>558</v>
      </c>
      <c r="Y799" s="738">
        <v>0</v>
      </c>
      <c r="Z799" s="738">
        <v>0</v>
      </c>
      <c r="AA799" s="738">
        <v>6</v>
      </c>
      <c r="AB799" s="92"/>
      <c r="AC799" s="92"/>
      <c r="AD799" s="146"/>
      <c r="AE799" s="146"/>
      <c r="AF799" s="146"/>
      <c r="AG799" s="92"/>
    </row>
    <row r="800" s="570" customFormat="1" ht="24.95" customHeight="1" spans="1:33">
      <c r="A800" s="705"/>
      <c r="B800" s="803" t="s">
        <v>91</v>
      </c>
      <c r="C800" s="146" t="s">
        <v>52</v>
      </c>
      <c r="D800" s="152" t="s">
        <v>509</v>
      </c>
      <c r="E800" s="92">
        <v>8</v>
      </c>
      <c r="F800" s="92" t="s">
        <v>91</v>
      </c>
      <c r="G800" s="92"/>
      <c r="H800" s="724">
        <v>8</v>
      </c>
      <c r="I800" s="724">
        <v>7</v>
      </c>
      <c r="J800" s="724">
        <v>1</v>
      </c>
      <c r="K800" s="724">
        <v>0</v>
      </c>
      <c r="L800" s="724">
        <v>2018.01</v>
      </c>
      <c r="M800" s="724">
        <v>0</v>
      </c>
      <c r="N800" s="724">
        <v>374.36</v>
      </c>
      <c r="O800" s="724">
        <v>122.36</v>
      </c>
      <c r="P800" s="724">
        <v>252</v>
      </c>
      <c r="Q800" s="724">
        <v>0</v>
      </c>
      <c r="R800" s="724">
        <v>374.36</v>
      </c>
      <c r="S800" s="724">
        <v>0</v>
      </c>
      <c r="T800" s="724">
        <v>0</v>
      </c>
      <c r="U800" s="724">
        <v>0</v>
      </c>
      <c r="V800" s="724">
        <v>0</v>
      </c>
      <c r="W800" s="92">
        <v>0</v>
      </c>
      <c r="X800" s="92" t="s">
        <v>558</v>
      </c>
      <c r="Y800" s="738">
        <v>0</v>
      </c>
      <c r="Z800" s="738">
        <v>0</v>
      </c>
      <c r="AA800" s="738">
        <v>8</v>
      </c>
      <c r="AB800" s="92"/>
      <c r="AC800" s="92"/>
      <c r="AD800" s="146" t="s">
        <v>375</v>
      </c>
      <c r="AE800" s="146" t="s">
        <v>304</v>
      </c>
      <c r="AF800" s="146" t="s">
        <v>294</v>
      </c>
      <c r="AG800" s="92"/>
    </row>
    <row r="801" s="570" customFormat="1" ht="24.95" customHeight="1" spans="1:33">
      <c r="A801" s="705"/>
      <c r="B801" s="803" t="s">
        <v>55</v>
      </c>
      <c r="C801" s="146" t="s">
        <v>52</v>
      </c>
      <c r="D801" s="152" t="s">
        <v>509</v>
      </c>
      <c r="E801" s="92">
        <v>14</v>
      </c>
      <c r="F801" s="92" t="s">
        <v>55</v>
      </c>
      <c r="G801" s="92"/>
      <c r="H801" s="724">
        <v>14</v>
      </c>
      <c r="I801" s="724">
        <v>8</v>
      </c>
      <c r="J801" s="724">
        <v>2</v>
      </c>
      <c r="K801" s="724">
        <v>4</v>
      </c>
      <c r="L801" s="724">
        <v>2018.01</v>
      </c>
      <c r="M801" s="724">
        <v>2020.12</v>
      </c>
      <c r="N801" s="724">
        <v>509.044</v>
      </c>
      <c r="O801" s="724">
        <v>178.284</v>
      </c>
      <c r="P801" s="724">
        <v>134</v>
      </c>
      <c r="Q801" s="724">
        <v>196.76</v>
      </c>
      <c r="R801" s="724">
        <v>509.044</v>
      </c>
      <c r="S801" s="724">
        <v>0</v>
      </c>
      <c r="T801" s="724">
        <v>0</v>
      </c>
      <c r="U801" s="724">
        <v>0</v>
      </c>
      <c r="V801" s="724">
        <v>0</v>
      </c>
      <c r="W801" s="92">
        <v>0</v>
      </c>
      <c r="X801" s="92" t="s">
        <v>558</v>
      </c>
      <c r="Y801" s="738">
        <v>0</v>
      </c>
      <c r="Z801" s="738">
        <v>0</v>
      </c>
      <c r="AA801" s="738">
        <v>14</v>
      </c>
      <c r="AB801" s="92"/>
      <c r="AC801" s="92"/>
      <c r="AD801" s="146" t="s">
        <v>305</v>
      </c>
      <c r="AE801" s="146" t="s">
        <v>306</v>
      </c>
      <c r="AF801" s="146" t="s">
        <v>294</v>
      </c>
      <c r="AG801" s="92"/>
    </row>
    <row r="802" s="570" customFormat="1" ht="24.95" customHeight="1" spans="1:33">
      <c r="A802" s="705"/>
      <c r="B802" s="803" t="s">
        <v>75</v>
      </c>
      <c r="C802" s="146" t="s">
        <v>52</v>
      </c>
      <c r="D802" s="152" t="s">
        <v>509</v>
      </c>
      <c r="E802" s="92">
        <v>21</v>
      </c>
      <c r="F802" s="92" t="s">
        <v>75</v>
      </c>
      <c r="G802" s="92"/>
      <c r="H802" s="724">
        <v>21</v>
      </c>
      <c r="I802" s="724">
        <v>21</v>
      </c>
      <c r="J802" s="724">
        <v>0</v>
      </c>
      <c r="K802" s="724">
        <v>0</v>
      </c>
      <c r="L802" s="724">
        <v>2018.01</v>
      </c>
      <c r="M802" s="724">
        <v>0</v>
      </c>
      <c r="N802" s="724">
        <v>248.436</v>
      </c>
      <c r="O802" s="724">
        <v>248.436</v>
      </c>
      <c r="P802" s="724">
        <v>0</v>
      </c>
      <c r="Q802" s="724">
        <v>0</v>
      </c>
      <c r="R802" s="724">
        <v>248.436</v>
      </c>
      <c r="S802" s="724">
        <v>0</v>
      </c>
      <c r="T802" s="724">
        <v>0</v>
      </c>
      <c r="U802" s="724">
        <v>0</v>
      </c>
      <c r="V802" s="724">
        <v>0</v>
      </c>
      <c r="W802" s="92">
        <v>0</v>
      </c>
      <c r="X802" s="92" t="s">
        <v>558</v>
      </c>
      <c r="Y802" s="738">
        <v>1222</v>
      </c>
      <c r="Z802" s="738">
        <v>5495</v>
      </c>
      <c r="AA802" s="738">
        <v>21</v>
      </c>
      <c r="AB802" s="92"/>
      <c r="AC802" s="92"/>
      <c r="AD802" s="146"/>
      <c r="AE802" s="146"/>
      <c r="AF802" s="146"/>
      <c r="AG802" s="92"/>
    </row>
    <row r="803" s="570" customFormat="1" ht="24.95" customHeight="1" spans="1:33">
      <c r="A803" s="705"/>
      <c r="B803" s="803" t="s">
        <v>58</v>
      </c>
      <c r="C803" s="146" t="s">
        <v>52</v>
      </c>
      <c r="D803" s="152" t="s">
        <v>509</v>
      </c>
      <c r="E803" s="92">
        <v>4</v>
      </c>
      <c r="F803" s="92" t="s">
        <v>58</v>
      </c>
      <c r="G803" s="92"/>
      <c r="H803" s="724">
        <v>4</v>
      </c>
      <c r="I803" s="724">
        <v>4</v>
      </c>
      <c r="J803" s="724">
        <v>0</v>
      </c>
      <c r="K803" s="724">
        <v>0</v>
      </c>
      <c r="L803" s="724">
        <v>2018.01</v>
      </c>
      <c r="M803" s="724">
        <v>0</v>
      </c>
      <c r="N803" s="724">
        <v>33.48</v>
      </c>
      <c r="O803" s="724">
        <v>33.48</v>
      </c>
      <c r="P803" s="724">
        <v>0</v>
      </c>
      <c r="Q803" s="724">
        <v>0</v>
      </c>
      <c r="R803" s="724">
        <v>33.48</v>
      </c>
      <c r="S803" s="724">
        <v>0</v>
      </c>
      <c r="T803" s="724">
        <v>0</v>
      </c>
      <c r="U803" s="724">
        <v>0</v>
      </c>
      <c r="V803" s="724">
        <v>0</v>
      </c>
      <c r="W803" s="92">
        <v>0</v>
      </c>
      <c r="X803" s="92" t="s">
        <v>558</v>
      </c>
      <c r="Y803" s="738">
        <v>319</v>
      </c>
      <c r="Z803" s="738">
        <v>1353</v>
      </c>
      <c r="AA803" s="738">
        <v>4</v>
      </c>
      <c r="AB803" s="92"/>
      <c r="AC803" s="92"/>
      <c r="AD803" s="146"/>
      <c r="AE803" s="146"/>
      <c r="AF803" s="146"/>
      <c r="AG803" s="92"/>
    </row>
    <row r="804" s="570" customFormat="1" ht="24.95" customHeight="1" spans="1:33">
      <c r="A804" s="705"/>
      <c r="B804" s="803" t="s">
        <v>61</v>
      </c>
      <c r="C804" s="146" t="s">
        <v>52</v>
      </c>
      <c r="D804" s="152" t="s">
        <v>509</v>
      </c>
      <c r="E804" s="92">
        <v>49</v>
      </c>
      <c r="F804" s="92" t="s">
        <v>61</v>
      </c>
      <c r="G804" s="92"/>
      <c r="H804" s="724">
        <v>49</v>
      </c>
      <c r="I804" s="724">
        <v>47</v>
      </c>
      <c r="J804" s="724">
        <v>2</v>
      </c>
      <c r="K804" s="724">
        <v>0</v>
      </c>
      <c r="L804" s="724">
        <v>2018.01</v>
      </c>
      <c r="M804" s="724">
        <v>0</v>
      </c>
      <c r="N804" s="724">
        <v>965.308</v>
      </c>
      <c r="O804" s="724">
        <v>927.948</v>
      </c>
      <c r="P804" s="724">
        <v>37.36</v>
      </c>
      <c r="Q804" s="724">
        <v>0</v>
      </c>
      <c r="R804" s="724">
        <v>965.308</v>
      </c>
      <c r="S804" s="724">
        <v>0</v>
      </c>
      <c r="T804" s="724">
        <v>0</v>
      </c>
      <c r="U804" s="724">
        <v>0</v>
      </c>
      <c r="V804" s="724">
        <v>0</v>
      </c>
      <c r="W804" s="92">
        <v>0</v>
      </c>
      <c r="X804" s="92" t="s">
        <v>558</v>
      </c>
      <c r="Y804" s="738">
        <v>6228</v>
      </c>
      <c r="Z804" s="738">
        <v>27968</v>
      </c>
      <c r="AA804" s="738">
        <v>49</v>
      </c>
      <c r="AB804" s="92"/>
      <c r="AC804" s="92"/>
      <c r="AD804" s="146" t="s">
        <v>215</v>
      </c>
      <c r="AE804" s="146" t="s">
        <v>311</v>
      </c>
      <c r="AF804" s="146" t="s">
        <v>294</v>
      </c>
      <c r="AG804" s="92"/>
    </row>
    <row r="805" s="570" customFormat="1" ht="24.95" customHeight="1" spans="1:33">
      <c r="A805" s="705"/>
      <c r="B805" s="803" t="s">
        <v>78</v>
      </c>
      <c r="C805" s="146" t="s">
        <v>52</v>
      </c>
      <c r="D805" s="152" t="s">
        <v>509</v>
      </c>
      <c r="E805" s="92">
        <v>11</v>
      </c>
      <c r="F805" s="92" t="s">
        <v>78</v>
      </c>
      <c r="G805" s="92"/>
      <c r="H805" s="724">
        <v>11</v>
      </c>
      <c r="I805" s="724">
        <v>11</v>
      </c>
      <c r="J805" s="724">
        <v>0</v>
      </c>
      <c r="K805" s="724">
        <v>0</v>
      </c>
      <c r="L805" s="724">
        <v>2018.01</v>
      </c>
      <c r="M805" s="724">
        <v>0</v>
      </c>
      <c r="N805" s="724">
        <v>230.4</v>
      </c>
      <c r="O805" s="724">
        <v>230.4</v>
      </c>
      <c r="P805" s="724">
        <v>0</v>
      </c>
      <c r="Q805" s="724">
        <v>0</v>
      </c>
      <c r="R805" s="724">
        <v>230.4</v>
      </c>
      <c r="S805" s="724">
        <v>0</v>
      </c>
      <c r="T805" s="724">
        <v>0</v>
      </c>
      <c r="U805" s="724">
        <v>0</v>
      </c>
      <c r="V805" s="724">
        <v>0</v>
      </c>
      <c r="W805" s="92">
        <v>0</v>
      </c>
      <c r="X805" s="92" t="s">
        <v>558</v>
      </c>
      <c r="Y805" s="738">
        <v>1001</v>
      </c>
      <c r="Z805" s="738">
        <v>4543</v>
      </c>
      <c r="AA805" s="738">
        <v>11</v>
      </c>
      <c r="AB805" s="92"/>
      <c r="AC805" s="92"/>
      <c r="AD805" s="146"/>
      <c r="AE805" s="146"/>
      <c r="AF805" s="146"/>
      <c r="AG805" s="92"/>
    </row>
    <row r="806" s="570" customFormat="1" ht="24.95" customHeight="1" spans="1:33">
      <c r="A806" s="705"/>
      <c r="B806" s="803" t="s">
        <v>114</v>
      </c>
      <c r="C806" s="146" t="s">
        <v>52</v>
      </c>
      <c r="D806" s="152" t="s">
        <v>509</v>
      </c>
      <c r="E806" s="92">
        <v>8</v>
      </c>
      <c r="F806" s="92" t="s">
        <v>114</v>
      </c>
      <c r="G806" s="92"/>
      <c r="H806" s="724">
        <v>8</v>
      </c>
      <c r="I806" s="724">
        <v>8</v>
      </c>
      <c r="J806" s="724">
        <v>0</v>
      </c>
      <c r="K806" s="724">
        <v>0</v>
      </c>
      <c r="L806" s="724">
        <v>2018.01</v>
      </c>
      <c r="M806" s="724">
        <v>0</v>
      </c>
      <c r="N806" s="724">
        <v>114.2</v>
      </c>
      <c r="O806" s="724">
        <v>114.2</v>
      </c>
      <c r="P806" s="724">
        <v>0</v>
      </c>
      <c r="Q806" s="724">
        <v>0</v>
      </c>
      <c r="R806" s="724">
        <v>114.2</v>
      </c>
      <c r="S806" s="724">
        <v>0</v>
      </c>
      <c r="T806" s="724">
        <v>0</v>
      </c>
      <c r="U806" s="724">
        <v>0</v>
      </c>
      <c r="V806" s="724">
        <v>0</v>
      </c>
      <c r="W806" s="92">
        <v>0</v>
      </c>
      <c r="X806" s="92" t="s">
        <v>558</v>
      </c>
      <c r="Y806" s="738">
        <v>0</v>
      </c>
      <c r="Z806" s="738">
        <v>0</v>
      </c>
      <c r="AA806" s="738">
        <v>8</v>
      </c>
      <c r="AB806" s="92"/>
      <c r="AC806" s="92"/>
      <c r="AD806" s="146"/>
      <c r="AE806" s="146"/>
      <c r="AF806" s="146"/>
      <c r="AG806" s="92"/>
    </row>
    <row r="807" s="570" customFormat="1" ht="24.95" customHeight="1" spans="1:33">
      <c r="A807" s="705"/>
      <c r="B807" s="803" t="s">
        <v>64</v>
      </c>
      <c r="C807" s="146" t="s">
        <v>52</v>
      </c>
      <c r="D807" s="152" t="s">
        <v>509</v>
      </c>
      <c r="E807" s="92">
        <v>12</v>
      </c>
      <c r="F807" s="92" t="s">
        <v>64</v>
      </c>
      <c r="G807" s="92"/>
      <c r="H807" s="724">
        <v>12</v>
      </c>
      <c r="I807" s="724">
        <v>7</v>
      </c>
      <c r="J807" s="724">
        <v>1</v>
      </c>
      <c r="K807" s="724">
        <v>4</v>
      </c>
      <c r="L807" s="724">
        <v>2018.01</v>
      </c>
      <c r="M807" s="724">
        <v>2020.12</v>
      </c>
      <c r="N807" s="724">
        <v>540.1</v>
      </c>
      <c r="O807" s="724">
        <v>159.6</v>
      </c>
      <c r="P807" s="724">
        <v>252.38</v>
      </c>
      <c r="Q807" s="724">
        <v>128.12</v>
      </c>
      <c r="R807" s="724">
        <v>540.1</v>
      </c>
      <c r="S807" s="724">
        <v>0</v>
      </c>
      <c r="T807" s="724">
        <v>0</v>
      </c>
      <c r="U807" s="724">
        <v>0</v>
      </c>
      <c r="V807" s="724">
        <v>0</v>
      </c>
      <c r="W807" s="92">
        <v>0</v>
      </c>
      <c r="X807" s="92" t="s">
        <v>558</v>
      </c>
      <c r="Y807" s="738">
        <v>1677</v>
      </c>
      <c r="Z807" s="738">
        <v>7209</v>
      </c>
      <c r="AA807" s="738">
        <v>12</v>
      </c>
      <c r="AB807" s="92"/>
      <c r="AC807" s="92"/>
      <c r="AD807" s="146" t="s">
        <v>185</v>
      </c>
      <c r="AE807" s="146" t="s">
        <v>563</v>
      </c>
      <c r="AF807" s="146" t="s">
        <v>294</v>
      </c>
      <c r="AG807" s="92"/>
    </row>
    <row r="808" s="570" customFormat="1" ht="24.95" customHeight="1" spans="1:33">
      <c r="A808" s="705"/>
      <c r="B808" s="803" t="s">
        <v>92</v>
      </c>
      <c r="C808" s="146" t="s">
        <v>52</v>
      </c>
      <c r="D808" s="152" t="s">
        <v>509</v>
      </c>
      <c r="E808" s="92">
        <v>19</v>
      </c>
      <c r="F808" s="92" t="s">
        <v>92</v>
      </c>
      <c r="G808" s="92"/>
      <c r="H808" s="724">
        <v>19</v>
      </c>
      <c r="I808" s="724">
        <v>19</v>
      </c>
      <c r="J808" s="724">
        <v>0</v>
      </c>
      <c r="K808" s="724">
        <v>0</v>
      </c>
      <c r="L808" s="724">
        <v>2018.01</v>
      </c>
      <c r="M808" s="724">
        <v>0</v>
      </c>
      <c r="N808" s="724">
        <v>485.08</v>
      </c>
      <c r="O808" s="724">
        <v>485.08</v>
      </c>
      <c r="P808" s="724">
        <v>0</v>
      </c>
      <c r="Q808" s="724">
        <v>0</v>
      </c>
      <c r="R808" s="724">
        <v>485.08</v>
      </c>
      <c r="S808" s="724">
        <v>0</v>
      </c>
      <c r="T808" s="724">
        <v>0</v>
      </c>
      <c r="U808" s="724">
        <v>0</v>
      </c>
      <c r="V808" s="724">
        <v>0</v>
      </c>
      <c r="W808" s="92">
        <v>0</v>
      </c>
      <c r="X808" s="92" t="s">
        <v>558</v>
      </c>
      <c r="Y808" s="738">
        <v>538</v>
      </c>
      <c r="Z808" s="738">
        <v>2652</v>
      </c>
      <c r="AA808" s="738">
        <v>19</v>
      </c>
      <c r="AB808" s="92"/>
      <c r="AC808" s="92"/>
      <c r="AD808" s="146"/>
      <c r="AE808" s="146"/>
      <c r="AF808" s="146"/>
      <c r="AG808" s="92"/>
    </row>
    <row r="809" s="570" customFormat="1" ht="24.95" customHeight="1" spans="1:33">
      <c r="A809" s="705"/>
      <c r="B809" s="803" t="s">
        <v>564</v>
      </c>
      <c r="C809" s="146" t="s">
        <v>52</v>
      </c>
      <c r="D809" s="152" t="s">
        <v>509</v>
      </c>
      <c r="E809" s="92">
        <v>6</v>
      </c>
      <c r="F809" s="92" t="s">
        <v>564</v>
      </c>
      <c r="G809" s="92"/>
      <c r="H809" s="724">
        <v>6</v>
      </c>
      <c r="I809" s="724">
        <v>0</v>
      </c>
      <c r="J809" s="724">
        <v>1</v>
      </c>
      <c r="K809" s="724">
        <v>5</v>
      </c>
      <c r="L809" s="724">
        <v>0</v>
      </c>
      <c r="M809" s="724">
        <v>2020.12</v>
      </c>
      <c r="N809" s="724">
        <v>833.08</v>
      </c>
      <c r="O809" s="724">
        <v>0</v>
      </c>
      <c r="P809" s="724">
        <v>125</v>
      </c>
      <c r="Q809" s="724">
        <v>708.08</v>
      </c>
      <c r="R809" s="724">
        <v>833.08</v>
      </c>
      <c r="S809" s="724">
        <v>0</v>
      </c>
      <c r="T809" s="724">
        <v>0</v>
      </c>
      <c r="U809" s="724">
        <v>0</v>
      </c>
      <c r="V809" s="724">
        <v>0</v>
      </c>
      <c r="W809" s="92">
        <v>0</v>
      </c>
      <c r="X809" s="92" t="s">
        <v>558</v>
      </c>
      <c r="Y809" s="738">
        <v>0</v>
      </c>
      <c r="Z809" s="738">
        <v>0</v>
      </c>
      <c r="AA809" s="738">
        <v>6</v>
      </c>
      <c r="AB809" s="92"/>
      <c r="AC809" s="92"/>
      <c r="AD809" s="146" t="s">
        <v>296</v>
      </c>
      <c r="AE809" s="146" t="s">
        <v>561</v>
      </c>
      <c r="AF809" s="146" t="s">
        <v>294</v>
      </c>
      <c r="AG809" s="92"/>
    </row>
    <row r="810" s="570" customFormat="1" ht="24.95" customHeight="1" spans="1:33">
      <c r="A810" s="705"/>
      <c r="B810" s="802" t="s">
        <v>566</v>
      </c>
      <c r="C810" s="712" t="s">
        <v>52</v>
      </c>
      <c r="D810" s="152" t="s">
        <v>509</v>
      </c>
      <c r="E810" s="92">
        <v>474</v>
      </c>
      <c r="F810" s="92">
        <v>0</v>
      </c>
      <c r="G810" s="92"/>
      <c r="H810" s="724">
        <v>474</v>
      </c>
      <c r="I810" s="724">
        <v>474</v>
      </c>
      <c r="J810" s="724">
        <v>0</v>
      </c>
      <c r="K810" s="724">
        <v>0</v>
      </c>
      <c r="L810" s="724">
        <v>0</v>
      </c>
      <c r="M810" s="724">
        <v>0</v>
      </c>
      <c r="N810" s="724">
        <v>5789.9475</v>
      </c>
      <c r="O810" s="724">
        <v>5789.9475</v>
      </c>
      <c r="P810" s="724">
        <v>0</v>
      </c>
      <c r="Q810" s="724">
        <v>0</v>
      </c>
      <c r="R810" s="724">
        <v>5789.9475</v>
      </c>
      <c r="S810" s="724">
        <v>0</v>
      </c>
      <c r="T810" s="724">
        <v>0</v>
      </c>
      <c r="U810" s="724">
        <v>0</v>
      </c>
      <c r="V810" s="724">
        <v>0</v>
      </c>
      <c r="W810" s="92">
        <v>0</v>
      </c>
      <c r="X810" s="92" t="s">
        <v>558</v>
      </c>
      <c r="Y810" s="738">
        <v>23032</v>
      </c>
      <c r="Z810" s="738">
        <v>94092</v>
      </c>
      <c r="AA810" s="738">
        <v>474</v>
      </c>
      <c r="AB810" s="92"/>
      <c r="AC810" s="92"/>
      <c r="AD810" s="146"/>
      <c r="AE810" s="146"/>
      <c r="AF810" s="146"/>
      <c r="AG810" s="92"/>
    </row>
    <row r="811" s="570" customFormat="1" ht="24.95" customHeight="1" spans="1:33">
      <c r="A811" s="705"/>
      <c r="B811" s="714" t="s">
        <v>69</v>
      </c>
      <c r="C811" s="712" t="s">
        <v>52</v>
      </c>
      <c r="D811" s="152" t="s">
        <v>509</v>
      </c>
      <c r="E811" s="92">
        <v>29</v>
      </c>
      <c r="F811" s="92" t="s">
        <v>69</v>
      </c>
      <c r="G811" s="92"/>
      <c r="H811" s="724">
        <v>29</v>
      </c>
      <c r="I811" s="724">
        <v>29</v>
      </c>
      <c r="J811" s="724">
        <v>0</v>
      </c>
      <c r="K811" s="724">
        <v>0</v>
      </c>
      <c r="L811" s="724">
        <v>2018.01</v>
      </c>
      <c r="M811" s="724">
        <v>0</v>
      </c>
      <c r="N811" s="724">
        <v>262.915</v>
      </c>
      <c r="O811" s="724">
        <v>262.915</v>
      </c>
      <c r="P811" s="724">
        <v>0</v>
      </c>
      <c r="Q811" s="724">
        <v>0</v>
      </c>
      <c r="R811" s="724">
        <v>262.915</v>
      </c>
      <c r="S811" s="724">
        <v>0</v>
      </c>
      <c r="T811" s="724">
        <v>0</v>
      </c>
      <c r="U811" s="724">
        <v>0</v>
      </c>
      <c r="V811" s="724">
        <v>0</v>
      </c>
      <c r="W811" s="92">
        <v>0</v>
      </c>
      <c r="X811" s="92" t="s">
        <v>558</v>
      </c>
      <c r="Y811" s="738">
        <v>2369</v>
      </c>
      <c r="Z811" s="738">
        <v>9907</v>
      </c>
      <c r="AA811" s="738">
        <v>29</v>
      </c>
      <c r="AB811" s="92"/>
      <c r="AC811" s="92"/>
      <c r="AD811" s="146"/>
      <c r="AE811" s="146"/>
      <c r="AF811" s="146"/>
      <c r="AG811" s="92"/>
    </row>
    <row r="812" s="570" customFormat="1" ht="24.95" customHeight="1" spans="1:33">
      <c r="A812" s="705"/>
      <c r="B812" s="803" t="s">
        <v>51</v>
      </c>
      <c r="C812" s="712" t="s">
        <v>52</v>
      </c>
      <c r="D812" s="152" t="s">
        <v>509</v>
      </c>
      <c r="E812" s="92">
        <v>24</v>
      </c>
      <c r="F812" s="92" t="s">
        <v>51</v>
      </c>
      <c r="G812" s="92"/>
      <c r="H812" s="724">
        <v>24</v>
      </c>
      <c r="I812" s="724">
        <v>24</v>
      </c>
      <c r="J812" s="724">
        <v>0</v>
      </c>
      <c r="K812" s="724">
        <v>0</v>
      </c>
      <c r="L812" s="724">
        <v>2018.01</v>
      </c>
      <c r="M812" s="724">
        <v>0</v>
      </c>
      <c r="N812" s="724">
        <v>256.2125</v>
      </c>
      <c r="O812" s="724">
        <v>256.2125</v>
      </c>
      <c r="P812" s="724">
        <v>0</v>
      </c>
      <c r="Q812" s="724">
        <v>0</v>
      </c>
      <c r="R812" s="724">
        <v>256.2125</v>
      </c>
      <c r="S812" s="724">
        <v>0</v>
      </c>
      <c r="T812" s="724">
        <v>0</v>
      </c>
      <c r="U812" s="724">
        <v>0</v>
      </c>
      <c r="V812" s="724">
        <v>0</v>
      </c>
      <c r="W812" s="92">
        <v>0</v>
      </c>
      <c r="X812" s="92" t="s">
        <v>558</v>
      </c>
      <c r="Y812" s="738">
        <v>1777</v>
      </c>
      <c r="Z812" s="738">
        <v>7153</v>
      </c>
      <c r="AA812" s="738">
        <v>24</v>
      </c>
      <c r="AB812" s="92"/>
      <c r="AC812" s="92"/>
      <c r="AD812" s="146"/>
      <c r="AE812" s="146"/>
      <c r="AF812" s="146"/>
      <c r="AG812" s="92"/>
    </row>
    <row r="813" s="570" customFormat="1" ht="24.95" customHeight="1" spans="1:33">
      <c r="A813" s="705"/>
      <c r="B813" s="803" t="s">
        <v>72</v>
      </c>
      <c r="C813" s="712" t="s">
        <v>52</v>
      </c>
      <c r="D813" s="152" t="s">
        <v>509</v>
      </c>
      <c r="E813" s="92">
        <v>35</v>
      </c>
      <c r="F813" s="92" t="s">
        <v>72</v>
      </c>
      <c r="G813" s="92"/>
      <c r="H813" s="724">
        <v>35</v>
      </c>
      <c r="I813" s="724">
        <v>35</v>
      </c>
      <c r="J813" s="724">
        <v>0</v>
      </c>
      <c r="K813" s="724">
        <v>0</v>
      </c>
      <c r="L813" s="724">
        <v>2018.01</v>
      </c>
      <c r="M813" s="724">
        <v>0</v>
      </c>
      <c r="N813" s="724">
        <v>445.37</v>
      </c>
      <c r="O813" s="724">
        <v>445.37</v>
      </c>
      <c r="P813" s="724">
        <v>0</v>
      </c>
      <c r="Q813" s="724">
        <v>0</v>
      </c>
      <c r="R813" s="724">
        <v>445.37</v>
      </c>
      <c r="S813" s="724">
        <v>0</v>
      </c>
      <c r="T813" s="724">
        <v>0</v>
      </c>
      <c r="U813" s="724">
        <v>0</v>
      </c>
      <c r="V813" s="724">
        <v>0</v>
      </c>
      <c r="W813" s="92">
        <v>0</v>
      </c>
      <c r="X813" s="92" t="s">
        <v>558</v>
      </c>
      <c r="Y813" s="738">
        <v>2972</v>
      </c>
      <c r="Z813" s="738">
        <v>10065</v>
      </c>
      <c r="AA813" s="738">
        <v>35</v>
      </c>
      <c r="AB813" s="92"/>
      <c r="AC813" s="92"/>
      <c r="AD813" s="146"/>
      <c r="AE813" s="146"/>
      <c r="AF813" s="146"/>
      <c r="AG813" s="92"/>
    </row>
    <row r="814" s="570" customFormat="1" ht="24.95" customHeight="1" spans="1:33">
      <c r="A814" s="705"/>
      <c r="B814" s="803" t="s">
        <v>91</v>
      </c>
      <c r="C814" s="712" t="s">
        <v>52</v>
      </c>
      <c r="D814" s="152" t="s">
        <v>509</v>
      </c>
      <c r="E814" s="92">
        <v>43</v>
      </c>
      <c r="F814" s="92" t="s">
        <v>91</v>
      </c>
      <c r="G814" s="92"/>
      <c r="H814" s="724">
        <v>43</v>
      </c>
      <c r="I814" s="724">
        <v>43</v>
      </c>
      <c r="J814" s="724">
        <v>0</v>
      </c>
      <c r="K814" s="724">
        <v>0</v>
      </c>
      <c r="L814" s="724">
        <v>2018.01</v>
      </c>
      <c r="M814" s="724">
        <v>0</v>
      </c>
      <c r="N814" s="724">
        <v>566.945</v>
      </c>
      <c r="O814" s="724">
        <v>566.945</v>
      </c>
      <c r="P814" s="724">
        <v>0</v>
      </c>
      <c r="Q814" s="724">
        <v>0</v>
      </c>
      <c r="R814" s="724">
        <v>566.945</v>
      </c>
      <c r="S814" s="724">
        <v>0</v>
      </c>
      <c r="T814" s="724">
        <v>0</v>
      </c>
      <c r="U814" s="724">
        <v>0</v>
      </c>
      <c r="V814" s="724">
        <v>0</v>
      </c>
      <c r="W814" s="92">
        <v>0</v>
      </c>
      <c r="X814" s="92" t="s">
        <v>558</v>
      </c>
      <c r="Y814" s="738">
        <v>1844</v>
      </c>
      <c r="Z814" s="738">
        <v>6331</v>
      </c>
      <c r="AA814" s="738">
        <v>43</v>
      </c>
      <c r="AB814" s="92"/>
      <c r="AC814" s="92"/>
      <c r="AD814" s="146"/>
      <c r="AE814" s="146"/>
      <c r="AF814" s="146"/>
      <c r="AG814" s="92"/>
    </row>
    <row r="815" s="570" customFormat="1" ht="24.95" customHeight="1" spans="1:33">
      <c r="A815" s="705"/>
      <c r="B815" s="803" t="s">
        <v>55</v>
      </c>
      <c r="C815" s="712" t="s">
        <v>52</v>
      </c>
      <c r="D815" s="152" t="s">
        <v>509</v>
      </c>
      <c r="E815" s="92">
        <v>37</v>
      </c>
      <c r="F815" s="92" t="s">
        <v>55</v>
      </c>
      <c r="G815" s="92"/>
      <c r="H815" s="724">
        <v>37</v>
      </c>
      <c r="I815" s="724">
        <v>37</v>
      </c>
      <c r="J815" s="724">
        <v>0</v>
      </c>
      <c r="K815" s="724">
        <v>0</v>
      </c>
      <c r="L815" s="724">
        <v>2018.01</v>
      </c>
      <c r="M815" s="724">
        <v>0</v>
      </c>
      <c r="N815" s="724">
        <v>364.795</v>
      </c>
      <c r="O815" s="724">
        <v>364.795</v>
      </c>
      <c r="P815" s="724">
        <v>0</v>
      </c>
      <c r="Q815" s="724">
        <v>0</v>
      </c>
      <c r="R815" s="724">
        <v>364.795</v>
      </c>
      <c r="S815" s="724">
        <v>0</v>
      </c>
      <c r="T815" s="724">
        <v>0</v>
      </c>
      <c r="U815" s="724">
        <v>0</v>
      </c>
      <c r="V815" s="724">
        <v>0</v>
      </c>
      <c r="W815" s="92">
        <v>0</v>
      </c>
      <c r="X815" s="92" t="s">
        <v>558</v>
      </c>
      <c r="Y815" s="738">
        <v>2956</v>
      </c>
      <c r="Z815" s="738">
        <v>13150</v>
      </c>
      <c r="AA815" s="738">
        <v>37</v>
      </c>
      <c r="AB815" s="92"/>
      <c r="AC815" s="92"/>
      <c r="AD815" s="146"/>
      <c r="AE815" s="146"/>
      <c r="AF815" s="146"/>
      <c r="AG815" s="92"/>
    </row>
    <row r="816" s="570" customFormat="1" ht="24.95" customHeight="1" spans="1:33">
      <c r="A816" s="705"/>
      <c r="B816" s="803" t="s">
        <v>75</v>
      </c>
      <c r="C816" s="712" t="s">
        <v>52</v>
      </c>
      <c r="D816" s="152" t="s">
        <v>509</v>
      </c>
      <c r="E816" s="92">
        <v>26</v>
      </c>
      <c r="F816" s="92" t="s">
        <v>75</v>
      </c>
      <c r="G816" s="92"/>
      <c r="H816" s="724">
        <v>26</v>
      </c>
      <c r="I816" s="724">
        <v>26</v>
      </c>
      <c r="J816" s="724">
        <v>0</v>
      </c>
      <c r="K816" s="724">
        <v>0</v>
      </c>
      <c r="L816" s="724">
        <v>2018.01</v>
      </c>
      <c r="M816" s="724">
        <v>0</v>
      </c>
      <c r="N816" s="724">
        <v>457.2075</v>
      </c>
      <c r="O816" s="724">
        <v>457.2075</v>
      </c>
      <c r="P816" s="724">
        <v>0</v>
      </c>
      <c r="Q816" s="724">
        <v>0</v>
      </c>
      <c r="R816" s="724">
        <v>457.2075</v>
      </c>
      <c r="S816" s="724">
        <v>0</v>
      </c>
      <c r="T816" s="724">
        <v>0</v>
      </c>
      <c r="U816" s="724">
        <v>0</v>
      </c>
      <c r="V816" s="724">
        <v>0</v>
      </c>
      <c r="W816" s="92">
        <v>0</v>
      </c>
      <c r="X816" s="92" t="s">
        <v>558</v>
      </c>
      <c r="Y816" s="738">
        <v>2914</v>
      </c>
      <c r="Z816" s="738">
        <v>11603</v>
      </c>
      <c r="AA816" s="738">
        <v>26</v>
      </c>
      <c r="AB816" s="92"/>
      <c r="AC816" s="92"/>
      <c r="AD816" s="146"/>
      <c r="AE816" s="146"/>
      <c r="AF816" s="146"/>
      <c r="AG816" s="92"/>
    </row>
    <row r="817" s="570" customFormat="1" ht="24.95" customHeight="1" spans="1:33">
      <c r="A817" s="705"/>
      <c r="B817" s="803" t="s">
        <v>58</v>
      </c>
      <c r="C817" s="712" t="s">
        <v>52</v>
      </c>
      <c r="D817" s="152" t="s">
        <v>509</v>
      </c>
      <c r="E817" s="92">
        <v>26</v>
      </c>
      <c r="F817" s="92" t="s">
        <v>58</v>
      </c>
      <c r="G817" s="92"/>
      <c r="H817" s="724">
        <v>26</v>
      </c>
      <c r="I817" s="724">
        <v>26</v>
      </c>
      <c r="J817" s="724">
        <v>0</v>
      </c>
      <c r="K817" s="724">
        <v>0</v>
      </c>
      <c r="L817" s="724">
        <v>2018.01</v>
      </c>
      <c r="M817" s="724">
        <v>0</v>
      </c>
      <c r="N817" s="724">
        <v>430.075</v>
      </c>
      <c r="O817" s="724">
        <v>430.075</v>
      </c>
      <c r="P817" s="724">
        <v>0</v>
      </c>
      <c r="Q817" s="724">
        <v>0</v>
      </c>
      <c r="R817" s="724">
        <v>430.075</v>
      </c>
      <c r="S817" s="724">
        <v>0</v>
      </c>
      <c r="T817" s="724">
        <v>0</v>
      </c>
      <c r="U817" s="724">
        <v>0</v>
      </c>
      <c r="V817" s="724">
        <v>0</v>
      </c>
      <c r="W817" s="92">
        <v>0</v>
      </c>
      <c r="X817" s="92" t="s">
        <v>558</v>
      </c>
      <c r="Y817" s="738">
        <v>682</v>
      </c>
      <c r="Z817" s="738">
        <v>2878</v>
      </c>
      <c r="AA817" s="738">
        <v>26</v>
      </c>
      <c r="AB817" s="92"/>
      <c r="AC817" s="92"/>
      <c r="AD817" s="146"/>
      <c r="AE817" s="146"/>
      <c r="AF817" s="146"/>
      <c r="AG817" s="92"/>
    </row>
    <row r="818" s="570" customFormat="1" ht="24.95" customHeight="1" spans="1:33">
      <c r="A818" s="705"/>
      <c r="B818" s="803" t="s">
        <v>61</v>
      </c>
      <c r="C818" s="712" t="s">
        <v>52</v>
      </c>
      <c r="D818" s="152" t="s">
        <v>509</v>
      </c>
      <c r="E818" s="92">
        <v>51</v>
      </c>
      <c r="F818" s="92" t="s">
        <v>61</v>
      </c>
      <c r="G818" s="92"/>
      <c r="H818" s="724">
        <v>51</v>
      </c>
      <c r="I818" s="724">
        <v>51</v>
      </c>
      <c r="J818" s="724">
        <v>0</v>
      </c>
      <c r="K818" s="724">
        <v>0</v>
      </c>
      <c r="L818" s="724">
        <v>2018.01</v>
      </c>
      <c r="M818" s="724">
        <v>0</v>
      </c>
      <c r="N818" s="724">
        <v>776.5125</v>
      </c>
      <c r="O818" s="724">
        <v>776.5125</v>
      </c>
      <c r="P818" s="724">
        <v>0</v>
      </c>
      <c r="Q818" s="724">
        <v>0</v>
      </c>
      <c r="R818" s="724">
        <v>776.5125</v>
      </c>
      <c r="S818" s="724">
        <v>0</v>
      </c>
      <c r="T818" s="724">
        <v>0</v>
      </c>
      <c r="U818" s="724">
        <v>0</v>
      </c>
      <c r="V818" s="724">
        <v>0</v>
      </c>
      <c r="W818" s="92">
        <v>0</v>
      </c>
      <c r="X818" s="92" t="s">
        <v>558</v>
      </c>
      <c r="Y818" s="738">
        <v>3438</v>
      </c>
      <c r="Z818" s="738">
        <v>15510</v>
      </c>
      <c r="AA818" s="738">
        <v>51</v>
      </c>
      <c r="AB818" s="92"/>
      <c r="AC818" s="92"/>
      <c r="AD818" s="146"/>
      <c r="AE818" s="146"/>
      <c r="AF818" s="146"/>
      <c r="AG818" s="92"/>
    </row>
    <row r="819" s="570" customFormat="1" ht="24.95" customHeight="1" spans="1:33">
      <c r="A819" s="705"/>
      <c r="B819" s="803" t="s">
        <v>78</v>
      </c>
      <c r="C819" s="712" t="s">
        <v>52</v>
      </c>
      <c r="D819" s="152" t="s">
        <v>509</v>
      </c>
      <c r="E819" s="92">
        <v>65</v>
      </c>
      <c r="F819" s="92" t="s">
        <v>78</v>
      </c>
      <c r="G819" s="92"/>
      <c r="H819" s="724">
        <v>65</v>
      </c>
      <c r="I819" s="724">
        <v>65</v>
      </c>
      <c r="J819" s="724">
        <v>0</v>
      </c>
      <c r="K819" s="724">
        <v>0</v>
      </c>
      <c r="L819" s="724">
        <v>2018.01</v>
      </c>
      <c r="M819" s="724">
        <v>0</v>
      </c>
      <c r="N819" s="724">
        <v>502.46</v>
      </c>
      <c r="O819" s="724">
        <v>502.46</v>
      </c>
      <c r="P819" s="724">
        <v>0</v>
      </c>
      <c r="Q819" s="724">
        <v>0</v>
      </c>
      <c r="R819" s="724">
        <v>502.46</v>
      </c>
      <c r="S819" s="724">
        <v>0</v>
      </c>
      <c r="T819" s="724">
        <v>0</v>
      </c>
      <c r="U819" s="724">
        <v>0</v>
      </c>
      <c r="V819" s="724">
        <v>0</v>
      </c>
      <c r="W819" s="92">
        <v>0</v>
      </c>
      <c r="X819" s="92" t="s">
        <v>558</v>
      </c>
      <c r="Y819" s="738">
        <v>1703</v>
      </c>
      <c r="Z819" s="738">
        <v>7838</v>
      </c>
      <c r="AA819" s="738">
        <v>65</v>
      </c>
      <c r="AB819" s="92"/>
      <c r="AC819" s="92"/>
      <c r="AD819" s="146"/>
      <c r="AE819" s="146"/>
      <c r="AF819" s="146"/>
      <c r="AG819" s="92"/>
    </row>
    <row r="820" s="570" customFormat="1" ht="24.95" customHeight="1" spans="1:33">
      <c r="A820" s="705"/>
      <c r="B820" s="803" t="s">
        <v>114</v>
      </c>
      <c r="C820" s="712" t="s">
        <v>52</v>
      </c>
      <c r="D820" s="152" t="s">
        <v>509</v>
      </c>
      <c r="E820" s="92">
        <v>28</v>
      </c>
      <c r="F820" s="92" t="s">
        <v>114</v>
      </c>
      <c r="G820" s="92"/>
      <c r="H820" s="724">
        <v>28</v>
      </c>
      <c r="I820" s="724">
        <v>28</v>
      </c>
      <c r="J820" s="724">
        <v>0</v>
      </c>
      <c r="K820" s="724">
        <v>0</v>
      </c>
      <c r="L820" s="724">
        <v>2018.01</v>
      </c>
      <c r="M820" s="724">
        <v>0</v>
      </c>
      <c r="N820" s="724">
        <v>226.035</v>
      </c>
      <c r="O820" s="724">
        <v>226.035</v>
      </c>
      <c r="P820" s="724">
        <v>0</v>
      </c>
      <c r="Q820" s="724">
        <v>0</v>
      </c>
      <c r="R820" s="724">
        <v>226.035</v>
      </c>
      <c r="S820" s="724">
        <v>0</v>
      </c>
      <c r="T820" s="724">
        <v>0</v>
      </c>
      <c r="U820" s="724">
        <v>0</v>
      </c>
      <c r="V820" s="724">
        <v>0</v>
      </c>
      <c r="W820" s="92">
        <v>0</v>
      </c>
      <c r="X820" s="92" t="s">
        <v>558</v>
      </c>
      <c r="Y820" s="738">
        <v>0</v>
      </c>
      <c r="Z820" s="738">
        <v>0</v>
      </c>
      <c r="AA820" s="738">
        <v>28</v>
      </c>
      <c r="AB820" s="92"/>
      <c r="AC820" s="92"/>
      <c r="AD820" s="146"/>
      <c r="AE820" s="146"/>
      <c r="AF820" s="146"/>
      <c r="AG820" s="92"/>
    </row>
    <row r="821" s="570" customFormat="1" ht="24.95" customHeight="1" spans="1:33">
      <c r="A821" s="705"/>
      <c r="B821" s="803" t="s">
        <v>64</v>
      </c>
      <c r="C821" s="712" t="s">
        <v>52</v>
      </c>
      <c r="D821" s="152" t="s">
        <v>509</v>
      </c>
      <c r="E821" s="92">
        <v>75</v>
      </c>
      <c r="F821" s="92" t="s">
        <v>64</v>
      </c>
      <c r="G821" s="92"/>
      <c r="H821" s="724">
        <v>75</v>
      </c>
      <c r="I821" s="724">
        <v>75</v>
      </c>
      <c r="J821" s="724">
        <v>0</v>
      </c>
      <c r="K821" s="724">
        <v>0</v>
      </c>
      <c r="L821" s="724">
        <v>2018.01</v>
      </c>
      <c r="M821" s="724">
        <v>0</v>
      </c>
      <c r="N821" s="724">
        <v>834.605</v>
      </c>
      <c r="O821" s="724">
        <v>834.605</v>
      </c>
      <c r="P821" s="724">
        <v>0</v>
      </c>
      <c r="Q821" s="724">
        <v>0</v>
      </c>
      <c r="R821" s="724">
        <v>834.605</v>
      </c>
      <c r="S821" s="724">
        <v>0</v>
      </c>
      <c r="T821" s="724">
        <v>0</v>
      </c>
      <c r="U821" s="724">
        <v>0</v>
      </c>
      <c r="V821" s="724">
        <v>0</v>
      </c>
      <c r="W821" s="92">
        <v>0</v>
      </c>
      <c r="X821" s="92" t="s">
        <v>558</v>
      </c>
      <c r="Y821" s="738">
        <v>1968</v>
      </c>
      <c r="Z821" s="738">
        <v>7771</v>
      </c>
      <c r="AA821" s="738">
        <v>75</v>
      </c>
      <c r="AB821" s="92"/>
      <c r="AC821" s="92"/>
      <c r="AD821" s="146"/>
      <c r="AE821" s="146"/>
      <c r="AF821" s="146"/>
      <c r="AG821" s="92"/>
    </row>
    <row r="822" s="570" customFormat="1" ht="24.95" customHeight="1" spans="1:33">
      <c r="A822" s="705"/>
      <c r="B822" s="803" t="s">
        <v>92</v>
      </c>
      <c r="C822" s="712" t="s">
        <v>52</v>
      </c>
      <c r="D822" s="152" t="s">
        <v>509</v>
      </c>
      <c r="E822" s="92">
        <v>31</v>
      </c>
      <c r="F822" s="92" t="s">
        <v>92</v>
      </c>
      <c r="G822" s="92"/>
      <c r="H822" s="724">
        <v>31</v>
      </c>
      <c r="I822" s="724">
        <v>31</v>
      </c>
      <c r="J822" s="724">
        <v>0</v>
      </c>
      <c r="K822" s="724">
        <v>0</v>
      </c>
      <c r="L822" s="724">
        <v>2018.01</v>
      </c>
      <c r="M822" s="724">
        <v>0</v>
      </c>
      <c r="N822" s="724">
        <v>406.2</v>
      </c>
      <c r="O822" s="724">
        <v>406.2</v>
      </c>
      <c r="P822" s="724">
        <v>0</v>
      </c>
      <c r="Q822" s="724">
        <v>0</v>
      </c>
      <c r="R822" s="724">
        <v>406.2</v>
      </c>
      <c r="S822" s="724">
        <v>0</v>
      </c>
      <c r="T822" s="724">
        <v>0</v>
      </c>
      <c r="U822" s="724">
        <v>0</v>
      </c>
      <c r="V822" s="724">
        <v>0</v>
      </c>
      <c r="W822" s="92">
        <v>0</v>
      </c>
      <c r="X822" s="92" t="s">
        <v>558</v>
      </c>
      <c r="Y822" s="738">
        <v>409</v>
      </c>
      <c r="Z822" s="738">
        <v>1886</v>
      </c>
      <c r="AA822" s="738">
        <v>31</v>
      </c>
      <c r="AB822" s="92"/>
      <c r="AC822" s="92"/>
      <c r="AD822" s="146"/>
      <c r="AE822" s="146"/>
      <c r="AF822" s="146"/>
      <c r="AG822" s="92"/>
    </row>
    <row r="823" s="570" customFormat="1" ht="24.95" customHeight="1" spans="1:33">
      <c r="A823" s="705">
        <v>105</v>
      </c>
      <c r="B823" s="803" t="s">
        <v>564</v>
      </c>
      <c r="C823" s="712" t="s">
        <v>52</v>
      </c>
      <c r="D823" s="152" t="s">
        <v>509</v>
      </c>
      <c r="E823" s="92">
        <v>4</v>
      </c>
      <c r="F823" s="92" t="s">
        <v>564</v>
      </c>
      <c r="G823" s="92"/>
      <c r="H823" s="724">
        <v>4</v>
      </c>
      <c r="I823" s="724">
        <v>4</v>
      </c>
      <c r="J823" s="724">
        <v>0</v>
      </c>
      <c r="K823" s="724">
        <v>0</v>
      </c>
      <c r="L823" s="724">
        <v>2018.01</v>
      </c>
      <c r="M823" s="724">
        <v>0</v>
      </c>
      <c r="N823" s="724">
        <v>260.615</v>
      </c>
      <c r="O823" s="724">
        <v>260.615</v>
      </c>
      <c r="P823" s="724">
        <v>0</v>
      </c>
      <c r="Q823" s="724">
        <v>0</v>
      </c>
      <c r="R823" s="724">
        <v>260.615</v>
      </c>
      <c r="S823" s="724">
        <v>0</v>
      </c>
      <c r="T823" s="724">
        <v>0</v>
      </c>
      <c r="U823" s="724">
        <v>0</v>
      </c>
      <c r="V823" s="724">
        <v>0</v>
      </c>
      <c r="W823" s="92">
        <v>0</v>
      </c>
      <c r="X823" s="92" t="s">
        <v>558</v>
      </c>
      <c r="Y823" s="738">
        <v>0</v>
      </c>
      <c r="Z823" s="738">
        <v>0</v>
      </c>
      <c r="AA823" s="738">
        <v>4</v>
      </c>
      <c r="AB823" s="708"/>
      <c r="AC823" s="708"/>
      <c r="AD823" s="146"/>
      <c r="AE823" s="146"/>
      <c r="AF823" s="146"/>
      <c r="AG823" s="708" t="s">
        <v>41</v>
      </c>
    </row>
    <row r="824" s="570" customFormat="1" ht="24.95" customHeight="1" spans="1:33">
      <c r="A824" s="705"/>
      <c r="B824" s="802" t="s">
        <v>567</v>
      </c>
      <c r="C824" s="712" t="s">
        <v>52</v>
      </c>
      <c r="D824" s="152" t="s">
        <v>568</v>
      </c>
      <c r="E824" s="92">
        <v>1</v>
      </c>
      <c r="F824" s="92">
        <v>0</v>
      </c>
      <c r="G824" s="92"/>
      <c r="H824" s="724">
        <v>1</v>
      </c>
      <c r="I824" s="724">
        <v>0</v>
      </c>
      <c r="J824" s="724">
        <v>0</v>
      </c>
      <c r="K824" s="724">
        <v>1</v>
      </c>
      <c r="L824" s="724">
        <v>0</v>
      </c>
      <c r="M824" s="724">
        <v>0</v>
      </c>
      <c r="N824" s="724">
        <v>276.61</v>
      </c>
      <c r="O824" s="724">
        <v>0</v>
      </c>
      <c r="P824" s="724">
        <v>0</v>
      </c>
      <c r="Q824" s="724">
        <v>276.61</v>
      </c>
      <c r="R824" s="724">
        <v>276.61</v>
      </c>
      <c r="S824" s="724">
        <v>0</v>
      </c>
      <c r="T824" s="724">
        <v>0</v>
      </c>
      <c r="U824" s="724">
        <v>0</v>
      </c>
      <c r="V824" s="724">
        <v>0</v>
      </c>
      <c r="W824" s="92">
        <v>0</v>
      </c>
      <c r="X824" s="92" t="s">
        <v>558</v>
      </c>
      <c r="Y824" s="738">
        <v>0</v>
      </c>
      <c r="Z824" s="738">
        <v>0</v>
      </c>
      <c r="AA824" s="738">
        <v>1</v>
      </c>
      <c r="AB824" s="708"/>
      <c r="AC824" s="708"/>
      <c r="AD824" s="146"/>
      <c r="AE824" s="146"/>
      <c r="AF824" s="146"/>
      <c r="AG824" s="708"/>
    </row>
    <row r="825" s="570" customFormat="1" ht="24.95" customHeight="1" spans="1:33">
      <c r="A825" s="705"/>
      <c r="B825" s="97" t="s">
        <v>569</v>
      </c>
      <c r="C825" s="712" t="s">
        <v>52</v>
      </c>
      <c r="D825" s="152" t="s">
        <v>568</v>
      </c>
      <c r="E825" s="92">
        <v>1</v>
      </c>
      <c r="F825" s="92" t="s">
        <v>569</v>
      </c>
      <c r="G825" s="92"/>
      <c r="H825" s="724">
        <v>1</v>
      </c>
      <c r="I825" s="724">
        <v>0</v>
      </c>
      <c r="J825" s="724">
        <v>0</v>
      </c>
      <c r="K825" s="724">
        <v>1</v>
      </c>
      <c r="L825" s="724">
        <v>0</v>
      </c>
      <c r="M825" s="724">
        <v>0</v>
      </c>
      <c r="N825" s="724">
        <v>276.612</v>
      </c>
      <c r="O825" s="724">
        <v>0</v>
      </c>
      <c r="P825" s="724">
        <v>0</v>
      </c>
      <c r="Q825" s="724">
        <v>276.612</v>
      </c>
      <c r="R825" s="724">
        <v>276.612</v>
      </c>
      <c r="S825" s="724">
        <v>0</v>
      </c>
      <c r="T825" s="724">
        <v>0</v>
      </c>
      <c r="U825" s="724">
        <v>0</v>
      </c>
      <c r="V825" s="724">
        <v>0</v>
      </c>
      <c r="W825" s="92">
        <v>0</v>
      </c>
      <c r="X825" s="92" t="s">
        <v>558</v>
      </c>
      <c r="Y825" s="738">
        <v>0</v>
      </c>
      <c r="Z825" s="738">
        <v>0</v>
      </c>
      <c r="AA825" s="738">
        <v>1</v>
      </c>
      <c r="AB825" s="708"/>
      <c r="AC825" s="708"/>
      <c r="AD825" s="146"/>
      <c r="AE825" s="146"/>
      <c r="AF825" s="146"/>
      <c r="AG825" s="708"/>
    </row>
    <row r="826" s="570" customFormat="1" ht="24.95" customHeight="1" spans="1:33">
      <c r="A826" s="705">
        <v>105</v>
      </c>
      <c r="B826" s="791" t="s">
        <v>570</v>
      </c>
      <c r="C826" s="708"/>
      <c r="D826" s="709" t="s">
        <v>150</v>
      </c>
      <c r="E826" s="92">
        <v>34</v>
      </c>
      <c r="F826" s="92">
        <v>0</v>
      </c>
      <c r="G826" s="92"/>
      <c r="H826" s="724">
        <v>34</v>
      </c>
      <c r="I826" s="724">
        <v>3</v>
      </c>
      <c r="J826" s="724">
        <v>31</v>
      </c>
      <c r="K826" s="724">
        <v>0</v>
      </c>
      <c r="L826" s="724">
        <v>0</v>
      </c>
      <c r="M826" s="724">
        <v>0</v>
      </c>
      <c r="N826" s="724">
        <v>4124.7</v>
      </c>
      <c r="O826" s="724">
        <v>700</v>
      </c>
      <c r="P826" s="724">
        <v>3424.7</v>
      </c>
      <c r="Q826" s="724">
        <v>0</v>
      </c>
      <c r="R826" s="724">
        <v>0</v>
      </c>
      <c r="S826" s="724">
        <v>2524.7</v>
      </c>
      <c r="T826" s="724">
        <v>0</v>
      </c>
      <c r="U826" s="724">
        <v>1600</v>
      </c>
      <c r="V826" s="724">
        <v>0</v>
      </c>
      <c r="W826" s="92">
        <v>0</v>
      </c>
      <c r="X826" s="92" t="s">
        <v>463</v>
      </c>
      <c r="Y826" s="738">
        <v>28314</v>
      </c>
      <c r="Z826" s="738">
        <v>121658</v>
      </c>
      <c r="AA826" s="738">
        <v>34</v>
      </c>
      <c r="AB826" s="708"/>
      <c r="AC826" s="708"/>
      <c r="AD826" s="708"/>
      <c r="AE826" s="708"/>
      <c r="AF826" s="708" t="s">
        <v>273</v>
      </c>
      <c r="AG826" s="708" t="s">
        <v>41</v>
      </c>
    </row>
    <row r="827" customFormat="1" ht="24.95" customHeight="1" spans="1:33">
      <c r="A827" s="804"/>
      <c r="B827" s="805" t="s">
        <v>571</v>
      </c>
      <c r="C827" s="712" t="s">
        <v>52</v>
      </c>
      <c r="D827" s="713" t="s">
        <v>150</v>
      </c>
      <c r="E827" s="92">
        <v>12</v>
      </c>
      <c r="F827" s="92">
        <v>0</v>
      </c>
      <c r="G827" s="92"/>
      <c r="H827" s="724">
        <v>12</v>
      </c>
      <c r="I827" s="724">
        <v>0</v>
      </c>
      <c r="J827" s="724">
        <v>12</v>
      </c>
      <c r="K827" s="724">
        <v>0</v>
      </c>
      <c r="L827" s="724">
        <v>0</v>
      </c>
      <c r="M827" s="724">
        <v>0</v>
      </c>
      <c r="N827" s="724">
        <v>1154.7</v>
      </c>
      <c r="O827" s="724">
        <v>0</v>
      </c>
      <c r="P827" s="724">
        <v>1154.7</v>
      </c>
      <c r="Q827" s="724">
        <v>0</v>
      </c>
      <c r="R827" s="724">
        <v>0</v>
      </c>
      <c r="S827" s="724">
        <v>1154.7</v>
      </c>
      <c r="T827" s="724">
        <v>0</v>
      </c>
      <c r="U827" s="724">
        <v>0</v>
      </c>
      <c r="V827" s="724">
        <v>0</v>
      </c>
      <c r="W827" s="92">
        <v>0</v>
      </c>
      <c r="X827" s="92" t="s">
        <v>463</v>
      </c>
      <c r="Y827" s="738">
        <v>25728</v>
      </c>
      <c r="Z827" s="738">
        <v>111138</v>
      </c>
      <c r="AA827" s="738">
        <v>12</v>
      </c>
      <c r="AB827" s="708"/>
      <c r="AC827" s="708"/>
      <c r="AD827" s="146" t="s">
        <v>385</v>
      </c>
      <c r="AE827" s="753" t="s">
        <v>386</v>
      </c>
      <c r="AF827" s="712" t="s">
        <v>273</v>
      </c>
      <c r="AG827" s="708"/>
    </row>
    <row r="828" customFormat="1" ht="24.95" customHeight="1" spans="1:33">
      <c r="A828" s="804"/>
      <c r="B828" s="150" t="s">
        <v>101</v>
      </c>
      <c r="C828" s="712" t="s">
        <v>52</v>
      </c>
      <c r="D828" s="713" t="s">
        <v>150</v>
      </c>
      <c r="E828" s="92">
        <v>1</v>
      </c>
      <c r="F828" s="92" t="s">
        <v>101</v>
      </c>
      <c r="G828" s="92"/>
      <c r="H828" s="724">
        <v>1</v>
      </c>
      <c r="I828" s="724">
        <v>0</v>
      </c>
      <c r="J828" s="724">
        <v>1</v>
      </c>
      <c r="K828" s="724">
        <v>0</v>
      </c>
      <c r="L828" s="724">
        <v>0</v>
      </c>
      <c r="M828" s="724">
        <v>0</v>
      </c>
      <c r="N828" s="724">
        <v>90</v>
      </c>
      <c r="O828" s="724">
        <v>0</v>
      </c>
      <c r="P828" s="724">
        <v>90</v>
      </c>
      <c r="Q828" s="724">
        <v>0</v>
      </c>
      <c r="R828" s="724">
        <v>0</v>
      </c>
      <c r="S828" s="724">
        <v>90</v>
      </c>
      <c r="T828" s="724">
        <v>0</v>
      </c>
      <c r="U828" s="724">
        <v>0</v>
      </c>
      <c r="V828" s="724">
        <v>0</v>
      </c>
      <c r="W828" s="92">
        <v>0</v>
      </c>
      <c r="X828" s="92" t="s">
        <v>463</v>
      </c>
      <c r="Y828" s="738">
        <v>2354</v>
      </c>
      <c r="Z828" s="738">
        <v>10050</v>
      </c>
      <c r="AA828" s="738">
        <v>1</v>
      </c>
      <c r="AB828" s="708"/>
      <c r="AC828" s="708"/>
      <c r="AD828" s="146" t="s">
        <v>387</v>
      </c>
      <c r="AE828" s="146" t="s">
        <v>388</v>
      </c>
      <c r="AF828" s="438" t="s">
        <v>273</v>
      </c>
      <c r="AG828" s="708"/>
    </row>
    <row r="829" customFormat="1" ht="24.95" customHeight="1" spans="1:33">
      <c r="A829" s="804"/>
      <c r="B829" s="150" t="s">
        <v>151</v>
      </c>
      <c r="C829" s="712" t="s">
        <v>52</v>
      </c>
      <c r="D829" s="713" t="s">
        <v>150</v>
      </c>
      <c r="E829" s="92">
        <v>1</v>
      </c>
      <c r="F829" s="92" t="s">
        <v>151</v>
      </c>
      <c r="G829" s="92"/>
      <c r="H829" s="724">
        <v>1</v>
      </c>
      <c r="I829" s="724">
        <v>0</v>
      </c>
      <c r="J829" s="724">
        <v>1</v>
      </c>
      <c r="K829" s="724">
        <v>0</v>
      </c>
      <c r="L829" s="724">
        <v>0</v>
      </c>
      <c r="M829" s="724">
        <v>0</v>
      </c>
      <c r="N829" s="724">
        <v>98.7</v>
      </c>
      <c r="O829" s="724">
        <v>0</v>
      </c>
      <c r="P829" s="724">
        <v>98.7</v>
      </c>
      <c r="Q829" s="724">
        <v>0</v>
      </c>
      <c r="R829" s="724">
        <v>0</v>
      </c>
      <c r="S829" s="724">
        <v>98.7</v>
      </c>
      <c r="T829" s="724">
        <v>0</v>
      </c>
      <c r="U829" s="724">
        <v>0</v>
      </c>
      <c r="V829" s="724">
        <v>0</v>
      </c>
      <c r="W829" s="92">
        <v>0</v>
      </c>
      <c r="X829" s="92" t="s">
        <v>463</v>
      </c>
      <c r="Y829" s="738">
        <v>1760</v>
      </c>
      <c r="Z829" s="738">
        <v>7269</v>
      </c>
      <c r="AA829" s="738">
        <v>1</v>
      </c>
      <c r="AB829" s="708"/>
      <c r="AC829" s="708"/>
      <c r="AD829" s="146" t="s">
        <v>389</v>
      </c>
      <c r="AE829" s="146" t="s">
        <v>390</v>
      </c>
      <c r="AF829" s="438" t="s">
        <v>273</v>
      </c>
      <c r="AG829" s="708"/>
    </row>
    <row r="830" customFormat="1" ht="24.95" customHeight="1" spans="1:33">
      <c r="A830" s="804"/>
      <c r="B830" s="150" t="s">
        <v>154</v>
      </c>
      <c r="C830" s="712" t="s">
        <v>52</v>
      </c>
      <c r="D830" s="713" t="s">
        <v>150</v>
      </c>
      <c r="E830" s="92">
        <v>1</v>
      </c>
      <c r="F830" s="92" t="s">
        <v>154</v>
      </c>
      <c r="G830" s="92"/>
      <c r="H830" s="724">
        <v>1</v>
      </c>
      <c r="I830" s="724">
        <v>0</v>
      </c>
      <c r="J830" s="724">
        <v>1</v>
      </c>
      <c r="K830" s="724">
        <v>0</v>
      </c>
      <c r="L830" s="724">
        <v>0</v>
      </c>
      <c r="M830" s="724">
        <v>0</v>
      </c>
      <c r="N830" s="724">
        <v>100</v>
      </c>
      <c r="O830" s="724">
        <v>0</v>
      </c>
      <c r="P830" s="724">
        <v>100</v>
      </c>
      <c r="Q830" s="724">
        <v>0</v>
      </c>
      <c r="R830" s="724">
        <v>0</v>
      </c>
      <c r="S830" s="724">
        <v>100</v>
      </c>
      <c r="T830" s="724">
        <v>0</v>
      </c>
      <c r="U830" s="724">
        <v>0</v>
      </c>
      <c r="V830" s="724">
        <v>0</v>
      </c>
      <c r="W830" s="92">
        <v>0</v>
      </c>
      <c r="X830" s="92" t="s">
        <v>463</v>
      </c>
      <c r="Y830" s="738">
        <v>2438</v>
      </c>
      <c r="Z830" s="738">
        <v>10141</v>
      </c>
      <c r="AA830" s="738">
        <v>1</v>
      </c>
      <c r="AB830" s="708"/>
      <c r="AC830" s="708"/>
      <c r="AD830" s="146" t="s">
        <v>391</v>
      </c>
      <c r="AE830" s="146" t="s">
        <v>392</v>
      </c>
      <c r="AF830" s="438" t="s">
        <v>273</v>
      </c>
      <c r="AG830" s="708"/>
    </row>
    <row r="831" customFormat="1" ht="24.95" customHeight="1" spans="1:33">
      <c r="A831" s="804"/>
      <c r="B831" s="150" t="s">
        <v>81</v>
      </c>
      <c r="C831" s="712" t="s">
        <v>52</v>
      </c>
      <c r="D831" s="713" t="s">
        <v>150</v>
      </c>
      <c r="E831" s="92">
        <v>1</v>
      </c>
      <c r="F831" s="92" t="s">
        <v>81</v>
      </c>
      <c r="G831" s="92"/>
      <c r="H831" s="724">
        <v>1</v>
      </c>
      <c r="I831" s="724">
        <v>0</v>
      </c>
      <c r="J831" s="724">
        <v>1</v>
      </c>
      <c r="K831" s="724">
        <v>0</v>
      </c>
      <c r="L831" s="724">
        <v>0</v>
      </c>
      <c r="M831" s="724">
        <v>0</v>
      </c>
      <c r="N831" s="724">
        <v>94</v>
      </c>
      <c r="O831" s="724">
        <v>0</v>
      </c>
      <c r="P831" s="724">
        <v>94</v>
      </c>
      <c r="Q831" s="724">
        <v>0</v>
      </c>
      <c r="R831" s="724">
        <v>0</v>
      </c>
      <c r="S831" s="724">
        <v>94</v>
      </c>
      <c r="T831" s="724">
        <v>0</v>
      </c>
      <c r="U831" s="724">
        <v>0</v>
      </c>
      <c r="V831" s="724">
        <v>0</v>
      </c>
      <c r="W831" s="92">
        <v>0</v>
      </c>
      <c r="X831" s="92" t="s">
        <v>463</v>
      </c>
      <c r="Y831" s="738">
        <v>1977</v>
      </c>
      <c r="Z831" s="738">
        <v>7676</v>
      </c>
      <c r="AA831" s="738">
        <v>1</v>
      </c>
      <c r="AB831" s="708"/>
      <c r="AC831" s="708"/>
      <c r="AD831" s="146" t="s">
        <v>393</v>
      </c>
      <c r="AE831" s="146" t="s">
        <v>394</v>
      </c>
      <c r="AF831" s="438" t="s">
        <v>273</v>
      </c>
      <c r="AG831" s="708"/>
    </row>
    <row r="832" customFormat="1" ht="24.95" customHeight="1" spans="1:33">
      <c r="A832" s="804"/>
      <c r="B832" s="150" t="s">
        <v>98</v>
      </c>
      <c r="C832" s="712" t="s">
        <v>52</v>
      </c>
      <c r="D832" s="713" t="s">
        <v>150</v>
      </c>
      <c r="E832" s="92">
        <v>1</v>
      </c>
      <c r="F832" s="92" t="s">
        <v>98</v>
      </c>
      <c r="G832" s="92"/>
      <c r="H832" s="724">
        <v>1</v>
      </c>
      <c r="I832" s="724">
        <v>0</v>
      </c>
      <c r="J832" s="724">
        <v>1</v>
      </c>
      <c r="K832" s="724">
        <v>0</v>
      </c>
      <c r="L832" s="724">
        <v>0</v>
      </c>
      <c r="M832" s="724">
        <v>0</v>
      </c>
      <c r="N832" s="724">
        <v>128</v>
      </c>
      <c r="O832" s="724">
        <v>0</v>
      </c>
      <c r="P832" s="724">
        <v>128</v>
      </c>
      <c r="Q832" s="724">
        <v>0</v>
      </c>
      <c r="R832" s="724">
        <v>0</v>
      </c>
      <c r="S832" s="724">
        <v>128</v>
      </c>
      <c r="T832" s="724">
        <v>0</v>
      </c>
      <c r="U832" s="724">
        <v>0</v>
      </c>
      <c r="V832" s="724">
        <v>0</v>
      </c>
      <c r="W832" s="92">
        <v>0</v>
      </c>
      <c r="X832" s="92" t="s">
        <v>463</v>
      </c>
      <c r="Y832" s="738">
        <v>3379</v>
      </c>
      <c r="Z832" s="738">
        <v>14263</v>
      </c>
      <c r="AA832" s="738">
        <v>1</v>
      </c>
      <c r="AB832" s="708"/>
      <c r="AC832" s="708"/>
      <c r="AD832" s="146" t="s">
        <v>395</v>
      </c>
      <c r="AE832" s="146" t="s">
        <v>396</v>
      </c>
      <c r="AF832" s="438" t="s">
        <v>273</v>
      </c>
      <c r="AG832" s="708"/>
    </row>
    <row r="833" customFormat="1" ht="24.95" customHeight="1" spans="1:33">
      <c r="A833" s="804"/>
      <c r="B833" s="150" t="s">
        <v>211</v>
      </c>
      <c r="C833" s="712" t="s">
        <v>52</v>
      </c>
      <c r="D833" s="713" t="s">
        <v>150</v>
      </c>
      <c r="E833" s="92">
        <v>1</v>
      </c>
      <c r="F833" s="92" t="s">
        <v>211</v>
      </c>
      <c r="G833" s="92"/>
      <c r="H833" s="724">
        <v>1</v>
      </c>
      <c r="I833" s="724">
        <v>0</v>
      </c>
      <c r="J833" s="724">
        <v>1</v>
      </c>
      <c r="K833" s="724">
        <v>0</v>
      </c>
      <c r="L833" s="724">
        <v>0</v>
      </c>
      <c r="M833" s="724">
        <v>0</v>
      </c>
      <c r="N833" s="724">
        <v>113</v>
      </c>
      <c r="O833" s="724">
        <v>0</v>
      </c>
      <c r="P833" s="724">
        <v>113</v>
      </c>
      <c r="Q833" s="724">
        <v>0</v>
      </c>
      <c r="R833" s="724">
        <v>0</v>
      </c>
      <c r="S833" s="724">
        <v>113</v>
      </c>
      <c r="T833" s="724">
        <v>0</v>
      </c>
      <c r="U833" s="724">
        <v>0</v>
      </c>
      <c r="V833" s="724">
        <v>0</v>
      </c>
      <c r="W833" s="92">
        <v>0</v>
      </c>
      <c r="X833" s="92" t="s">
        <v>463</v>
      </c>
      <c r="Y833" s="738">
        <v>2230</v>
      </c>
      <c r="Z833" s="738">
        <v>9972</v>
      </c>
      <c r="AA833" s="738">
        <v>1</v>
      </c>
      <c r="AB833" s="708"/>
      <c r="AC833" s="708"/>
      <c r="AD833" s="146" t="s">
        <v>397</v>
      </c>
      <c r="AE833" s="146" t="s">
        <v>398</v>
      </c>
      <c r="AF833" s="438" t="s">
        <v>273</v>
      </c>
      <c r="AG833" s="708"/>
    </row>
    <row r="834" customFormat="1" ht="24.95" customHeight="1" spans="1:33">
      <c r="A834" s="804"/>
      <c r="B834" s="150" t="s">
        <v>155</v>
      </c>
      <c r="C834" s="712" t="s">
        <v>52</v>
      </c>
      <c r="D834" s="713" t="s">
        <v>150</v>
      </c>
      <c r="E834" s="92">
        <v>1</v>
      </c>
      <c r="F834" s="92" t="s">
        <v>155</v>
      </c>
      <c r="G834" s="92"/>
      <c r="H834" s="724">
        <v>1</v>
      </c>
      <c r="I834" s="724">
        <v>0</v>
      </c>
      <c r="J834" s="724">
        <v>1</v>
      </c>
      <c r="K834" s="724">
        <v>0</v>
      </c>
      <c r="L834" s="724">
        <v>0</v>
      </c>
      <c r="M834" s="724">
        <v>0</v>
      </c>
      <c r="N834" s="724">
        <v>76</v>
      </c>
      <c r="O834" s="724">
        <v>0</v>
      </c>
      <c r="P834" s="724">
        <v>76</v>
      </c>
      <c r="Q834" s="724">
        <v>0</v>
      </c>
      <c r="R834" s="724">
        <v>0</v>
      </c>
      <c r="S834" s="724">
        <v>76</v>
      </c>
      <c r="T834" s="724">
        <v>0</v>
      </c>
      <c r="U834" s="724">
        <v>0</v>
      </c>
      <c r="V834" s="724">
        <v>0</v>
      </c>
      <c r="W834" s="92">
        <v>0</v>
      </c>
      <c r="X834" s="92" t="s">
        <v>463</v>
      </c>
      <c r="Y834" s="738">
        <v>907</v>
      </c>
      <c r="Z834" s="738">
        <v>3856</v>
      </c>
      <c r="AA834" s="738">
        <v>1</v>
      </c>
      <c r="AB834" s="708"/>
      <c r="AC834" s="708"/>
      <c r="AD834" s="146" t="s">
        <v>399</v>
      </c>
      <c r="AE834" s="146" t="s">
        <v>400</v>
      </c>
      <c r="AF834" s="438" t="s">
        <v>273</v>
      </c>
      <c r="AG834" s="708"/>
    </row>
    <row r="835" customFormat="1" ht="24.95" customHeight="1" spans="1:33">
      <c r="A835" s="804"/>
      <c r="B835" s="150" t="s">
        <v>102</v>
      </c>
      <c r="C835" s="712" t="s">
        <v>52</v>
      </c>
      <c r="D835" s="713" t="s">
        <v>150</v>
      </c>
      <c r="E835" s="92">
        <v>1</v>
      </c>
      <c r="F835" s="92" t="s">
        <v>102</v>
      </c>
      <c r="G835" s="92"/>
      <c r="H835" s="724">
        <v>1</v>
      </c>
      <c r="I835" s="724">
        <v>0</v>
      </c>
      <c r="J835" s="724">
        <v>1</v>
      </c>
      <c r="K835" s="724">
        <v>0</v>
      </c>
      <c r="L835" s="724">
        <v>0</v>
      </c>
      <c r="M835" s="724">
        <v>0</v>
      </c>
      <c r="N835" s="724">
        <v>167</v>
      </c>
      <c r="O835" s="724">
        <v>0</v>
      </c>
      <c r="P835" s="724">
        <v>167</v>
      </c>
      <c r="Q835" s="724">
        <v>0</v>
      </c>
      <c r="R835" s="724">
        <v>0</v>
      </c>
      <c r="S835" s="724">
        <v>167</v>
      </c>
      <c r="T835" s="724">
        <v>0</v>
      </c>
      <c r="U835" s="724">
        <v>0</v>
      </c>
      <c r="V835" s="724">
        <v>0</v>
      </c>
      <c r="W835" s="92">
        <v>0</v>
      </c>
      <c r="X835" s="92" t="s">
        <v>463</v>
      </c>
      <c r="Y835" s="738">
        <v>4272</v>
      </c>
      <c r="Z835" s="738">
        <v>19245</v>
      </c>
      <c r="AA835" s="738">
        <v>1</v>
      </c>
      <c r="AB835" s="708"/>
      <c r="AC835" s="708"/>
      <c r="AD835" s="146" t="s">
        <v>401</v>
      </c>
      <c r="AE835" s="146" t="s">
        <v>402</v>
      </c>
      <c r="AF835" s="438" t="s">
        <v>273</v>
      </c>
      <c r="AG835" s="708"/>
    </row>
    <row r="836" customFormat="1" ht="24.95" customHeight="1" spans="1:33">
      <c r="A836" s="804"/>
      <c r="B836" s="150" t="s">
        <v>100</v>
      </c>
      <c r="C836" s="712" t="s">
        <v>52</v>
      </c>
      <c r="D836" s="713" t="s">
        <v>150</v>
      </c>
      <c r="E836" s="92">
        <v>1</v>
      </c>
      <c r="F836" s="92" t="s">
        <v>100</v>
      </c>
      <c r="G836" s="92"/>
      <c r="H836" s="724">
        <v>1</v>
      </c>
      <c r="I836" s="724">
        <v>0</v>
      </c>
      <c r="J836" s="724">
        <v>1</v>
      </c>
      <c r="K836" s="724">
        <v>0</v>
      </c>
      <c r="L836" s="724">
        <v>0</v>
      </c>
      <c r="M836" s="724">
        <v>0</v>
      </c>
      <c r="N836" s="724">
        <v>91</v>
      </c>
      <c r="O836" s="724">
        <v>0</v>
      </c>
      <c r="P836" s="724">
        <v>91</v>
      </c>
      <c r="Q836" s="724">
        <v>0</v>
      </c>
      <c r="R836" s="724">
        <v>0</v>
      </c>
      <c r="S836" s="724">
        <v>91</v>
      </c>
      <c r="T836" s="724">
        <v>0</v>
      </c>
      <c r="U836" s="724">
        <v>0</v>
      </c>
      <c r="V836" s="724">
        <v>0</v>
      </c>
      <c r="W836" s="92">
        <v>0</v>
      </c>
      <c r="X836" s="92" t="s">
        <v>463</v>
      </c>
      <c r="Y836" s="738">
        <v>2596</v>
      </c>
      <c r="Z836" s="738">
        <v>12000</v>
      </c>
      <c r="AA836" s="738">
        <v>1</v>
      </c>
      <c r="AB836" s="708"/>
      <c r="AC836" s="708"/>
      <c r="AD836" s="146" t="s">
        <v>217</v>
      </c>
      <c r="AE836" s="146" t="s">
        <v>403</v>
      </c>
      <c r="AF836" s="438" t="s">
        <v>273</v>
      </c>
      <c r="AG836" s="708"/>
    </row>
    <row r="837" customFormat="1" ht="24.95" customHeight="1" spans="1:33">
      <c r="A837" s="804"/>
      <c r="B837" s="150" t="s">
        <v>259</v>
      </c>
      <c r="C837" s="712" t="s">
        <v>52</v>
      </c>
      <c r="D837" s="713" t="s">
        <v>150</v>
      </c>
      <c r="E837" s="92">
        <v>1</v>
      </c>
      <c r="F837" s="92" t="s">
        <v>259</v>
      </c>
      <c r="G837" s="92"/>
      <c r="H837" s="724">
        <v>1</v>
      </c>
      <c r="I837" s="724">
        <v>0</v>
      </c>
      <c r="J837" s="724">
        <v>1</v>
      </c>
      <c r="K837" s="724">
        <v>0</v>
      </c>
      <c r="L837" s="724">
        <v>0</v>
      </c>
      <c r="M837" s="724">
        <v>0</v>
      </c>
      <c r="N837" s="724">
        <v>23</v>
      </c>
      <c r="O837" s="724">
        <v>0</v>
      </c>
      <c r="P837" s="724">
        <v>23</v>
      </c>
      <c r="Q837" s="724">
        <v>0</v>
      </c>
      <c r="R837" s="724">
        <v>0</v>
      </c>
      <c r="S837" s="724">
        <v>23</v>
      </c>
      <c r="T837" s="724">
        <v>0</v>
      </c>
      <c r="U837" s="724">
        <v>0</v>
      </c>
      <c r="V837" s="724">
        <v>0</v>
      </c>
      <c r="W837" s="92">
        <v>0</v>
      </c>
      <c r="X837" s="92" t="s">
        <v>463</v>
      </c>
      <c r="Y837" s="738">
        <v>368</v>
      </c>
      <c r="Z837" s="738">
        <v>1544</v>
      </c>
      <c r="AA837" s="738">
        <v>1</v>
      </c>
      <c r="AB837" s="708"/>
      <c r="AC837" s="708"/>
      <c r="AD837" s="146" t="s">
        <v>404</v>
      </c>
      <c r="AE837" s="146" t="s">
        <v>405</v>
      </c>
      <c r="AF837" s="438" t="s">
        <v>273</v>
      </c>
      <c r="AG837" s="708"/>
    </row>
    <row r="838" customFormat="1" ht="24.95" customHeight="1" spans="1:33">
      <c r="A838" s="804"/>
      <c r="B838" s="150" t="s">
        <v>84</v>
      </c>
      <c r="C838" s="712" t="s">
        <v>52</v>
      </c>
      <c r="D838" s="713" t="s">
        <v>150</v>
      </c>
      <c r="E838" s="92">
        <v>1</v>
      </c>
      <c r="F838" s="92" t="s">
        <v>84</v>
      </c>
      <c r="G838" s="92"/>
      <c r="H838" s="724">
        <v>1</v>
      </c>
      <c r="I838" s="724">
        <v>0</v>
      </c>
      <c r="J838" s="724">
        <v>1</v>
      </c>
      <c r="K838" s="724">
        <v>0</v>
      </c>
      <c r="L838" s="724">
        <v>0</v>
      </c>
      <c r="M838" s="724">
        <v>0</v>
      </c>
      <c r="N838" s="724">
        <v>101</v>
      </c>
      <c r="O838" s="724">
        <v>0</v>
      </c>
      <c r="P838" s="724">
        <v>101</v>
      </c>
      <c r="Q838" s="724">
        <v>0</v>
      </c>
      <c r="R838" s="724">
        <v>0</v>
      </c>
      <c r="S838" s="724">
        <v>101</v>
      </c>
      <c r="T838" s="724">
        <v>0</v>
      </c>
      <c r="U838" s="724">
        <v>0</v>
      </c>
      <c r="V838" s="724">
        <v>0</v>
      </c>
      <c r="W838" s="92">
        <v>0</v>
      </c>
      <c r="X838" s="92" t="s">
        <v>463</v>
      </c>
      <c r="Y838" s="738">
        <v>2200</v>
      </c>
      <c r="Z838" s="738">
        <v>9274</v>
      </c>
      <c r="AA838" s="738">
        <v>1</v>
      </c>
      <c r="AB838" s="708"/>
      <c r="AC838" s="708"/>
      <c r="AD838" s="146" t="s">
        <v>219</v>
      </c>
      <c r="AE838" s="146" t="s">
        <v>406</v>
      </c>
      <c r="AF838" s="438" t="s">
        <v>273</v>
      </c>
      <c r="AG838" s="708"/>
    </row>
    <row r="839" s="65" customFormat="1" ht="24" customHeight="1" spans="1:33">
      <c r="A839" s="73"/>
      <c r="B839" s="150" t="s">
        <v>143</v>
      </c>
      <c r="C839" s="712" t="s">
        <v>52</v>
      </c>
      <c r="D839" s="713" t="s">
        <v>150</v>
      </c>
      <c r="E839" s="92">
        <v>1</v>
      </c>
      <c r="F839" s="92" t="s">
        <v>143</v>
      </c>
      <c r="G839" s="92"/>
      <c r="H839" s="724">
        <v>1</v>
      </c>
      <c r="I839" s="724">
        <v>0</v>
      </c>
      <c r="J839" s="724">
        <v>1</v>
      </c>
      <c r="K839" s="724">
        <v>0</v>
      </c>
      <c r="L839" s="724">
        <v>0</v>
      </c>
      <c r="M839" s="724">
        <v>0</v>
      </c>
      <c r="N839" s="724">
        <v>73</v>
      </c>
      <c r="O839" s="724">
        <v>0</v>
      </c>
      <c r="P839" s="724">
        <v>73</v>
      </c>
      <c r="Q839" s="724">
        <v>0</v>
      </c>
      <c r="R839" s="724">
        <v>0</v>
      </c>
      <c r="S839" s="724">
        <v>73</v>
      </c>
      <c r="T839" s="724">
        <v>0</v>
      </c>
      <c r="U839" s="724">
        <v>0</v>
      </c>
      <c r="V839" s="724">
        <v>0</v>
      </c>
      <c r="W839" s="92">
        <v>0</v>
      </c>
      <c r="X839" s="92" t="s">
        <v>463</v>
      </c>
      <c r="Y839" s="738">
        <v>1247</v>
      </c>
      <c r="Z839" s="738">
        <v>5848</v>
      </c>
      <c r="AA839" s="738">
        <v>1</v>
      </c>
      <c r="AB839" s="73"/>
      <c r="AC839" s="73"/>
      <c r="AD839" s="775" t="s">
        <v>221</v>
      </c>
      <c r="AE839" s="146" t="s">
        <v>407</v>
      </c>
      <c r="AF839" s="438" t="s">
        <v>273</v>
      </c>
      <c r="AG839" s="73"/>
    </row>
    <row r="840" s="570" customFormat="1" ht="29" customHeight="1" spans="1:33">
      <c r="A840" s="705"/>
      <c r="B840" s="808" t="s">
        <v>572</v>
      </c>
      <c r="C840" s="438" t="s">
        <v>52</v>
      </c>
      <c r="D840" s="809" t="s">
        <v>150</v>
      </c>
      <c r="E840" s="92">
        <v>11</v>
      </c>
      <c r="F840" s="92">
        <v>0</v>
      </c>
      <c r="G840" s="92"/>
      <c r="H840" s="724">
        <v>11</v>
      </c>
      <c r="I840" s="724">
        <v>0</v>
      </c>
      <c r="J840" s="724">
        <v>11</v>
      </c>
      <c r="K840" s="724">
        <v>0</v>
      </c>
      <c r="L840" s="724">
        <v>0</v>
      </c>
      <c r="M840" s="724">
        <v>0</v>
      </c>
      <c r="N840" s="724">
        <v>1600</v>
      </c>
      <c r="O840" s="724">
        <v>0</v>
      </c>
      <c r="P840" s="724">
        <v>1600</v>
      </c>
      <c r="Q840" s="724">
        <v>0</v>
      </c>
      <c r="R840" s="724">
        <v>0</v>
      </c>
      <c r="S840" s="724">
        <v>0</v>
      </c>
      <c r="T840" s="724">
        <v>0</v>
      </c>
      <c r="U840" s="724">
        <v>1600</v>
      </c>
      <c r="V840" s="724">
        <v>0</v>
      </c>
      <c r="W840" s="92">
        <v>0</v>
      </c>
      <c r="X840" s="92" t="s">
        <v>463</v>
      </c>
      <c r="Y840" s="738">
        <v>1519</v>
      </c>
      <c r="Z840" s="738">
        <v>6603</v>
      </c>
      <c r="AA840" s="738">
        <v>11</v>
      </c>
      <c r="AB840" s="92"/>
      <c r="AC840" s="92"/>
      <c r="AD840" s="438" t="s">
        <v>385</v>
      </c>
      <c r="AE840" s="146" t="s">
        <v>386</v>
      </c>
      <c r="AF840" s="438" t="s">
        <v>273</v>
      </c>
      <c r="AG840" s="92"/>
    </row>
    <row r="841" s="570" customFormat="1" ht="29" customHeight="1" spans="1:33">
      <c r="A841" s="705"/>
      <c r="B841" s="146" t="s">
        <v>72</v>
      </c>
      <c r="C841" s="438" t="s">
        <v>52</v>
      </c>
      <c r="D841" s="809" t="s">
        <v>150</v>
      </c>
      <c r="E841" s="92">
        <v>1</v>
      </c>
      <c r="F841" s="92" t="s">
        <v>72</v>
      </c>
      <c r="G841" s="92"/>
      <c r="H841" s="724">
        <v>1</v>
      </c>
      <c r="I841" s="724">
        <v>0</v>
      </c>
      <c r="J841" s="724">
        <v>1</v>
      </c>
      <c r="K841" s="724">
        <v>0</v>
      </c>
      <c r="L841" s="724">
        <v>0</v>
      </c>
      <c r="M841" s="724">
        <v>0</v>
      </c>
      <c r="N841" s="724">
        <v>300</v>
      </c>
      <c r="O841" s="724">
        <v>0</v>
      </c>
      <c r="P841" s="724">
        <v>300</v>
      </c>
      <c r="Q841" s="724">
        <v>0</v>
      </c>
      <c r="R841" s="724">
        <v>0</v>
      </c>
      <c r="S841" s="724">
        <v>0</v>
      </c>
      <c r="T841" s="724">
        <v>0</v>
      </c>
      <c r="U841" s="724">
        <v>300</v>
      </c>
      <c r="V841" s="724">
        <v>0</v>
      </c>
      <c r="W841" s="92">
        <v>0</v>
      </c>
      <c r="X841" s="92" t="s">
        <v>463</v>
      </c>
      <c r="Y841" s="738">
        <v>409</v>
      </c>
      <c r="Z841" s="738">
        <v>1659</v>
      </c>
      <c r="AA841" s="738">
        <v>1</v>
      </c>
      <c r="AB841" s="92"/>
      <c r="AC841" s="92"/>
      <c r="AD841" s="146" t="s">
        <v>391</v>
      </c>
      <c r="AE841" s="146" t="s">
        <v>392</v>
      </c>
      <c r="AF841" s="438" t="s">
        <v>273</v>
      </c>
      <c r="AG841" s="92"/>
    </row>
    <row r="842" s="570" customFormat="1" ht="29" customHeight="1" spans="1:33">
      <c r="A842" s="705"/>
      <c r="B842" s="146" t="s">
        <v>91</v>
      </c>
      <c r="C842" s="438" t="s">
        <v>52</v>
      </c>
      <c r="D842" s="809" t="s">
        <v>150</v>
      </c>
      <c r="E842" s="92">
        <v>1</v>
      </c>
      <c r="F842" s="92" t="s">
        <v>91</v>
      </c>
      <c r="G842" s="92"/>
      <c r="H842" s="724">
        <v>1</v>
      </c>
      <c r="I842" s="724">
        <v>0</v>
      </c>
      <c r="J842" s="724">
        <v>1</v>
      </c>
      <c r="K842" s="724">
        <v>0</v>
      </c>
      <c r="L842" s="724">
        <v>0</v>
      </c>
      <c r="M842" s="724">
        <v>0</v>
      </c>
      <c r="N842" s="724">
        <v>80</v>
      </c>
      <c r="O842" s="724">
        <v>0</v>
      </c>
      <c r="P842" s="724">
        <v>80</v>
      </c>
      <c r="Q842" s="724">
        <v>0</v>
      </c>
      <c r="R842" s="724">
        <v>0</v>
      </c>
      <c r="S842" s="724">
        <v>0</v>
      </c>
      <c r="T842" s="724">
        <v>0</v>
      </c>
      <c r="U842" s="724">
        <v>80</v>
      </c>
      <c r="V842" s="724">
        <v>0</v>
      </c>
      <c r="W842" s="92">
        <v>0</v>
      </c>
      <c r="X842" s="92" t="s">
        <v>463</v>
      </c>
      <c r="Y842" s="738">
        <v>80</v>
      </c>
      <c r="Z842" s="738">
        <v>334</v>
      </c>
      <c r="AA842" s="738">
        <v>1</v>
      </c>
      <c r="AB842" s="92"/>
      <c r="AC842" s="92"/>
      <c r="AD842" s="438" t="s">
        <v>393</v>
      </c>
      <c r="AE842" s="438" t="s">
        <v>394</v>
      </c>
      <c r="AF842" s="438" t="s">
        <v>273</v>
      </c>
      <c r="AG842" s="92"/>
    </row>
    <row r="843" s="570" customFormat="1" ht="29" customHeight="1" spans="1:33">
      <c r="A843" s="705"/>
      <c r="B843" s="146" t="s">
        <v>55</v>
      </c>
      <c r="C843" s="809" t="s">
        <v>52</v>
      </c>
      <c r="D843" s="809" t="s">
        <v>150</v>
      </c>
      <c r="E843" s="92">
        <v>4</v>
      </c>
      <c r="F843" s="92" t="s">
        <v>55</v>
      </c>
      <c r="G843" s="92"/>
      <c r="H843" s="724">
        <v>4</v>
      </c>
      <c r="I843" s="724">
        <v>0</v>
      </c>
      <c r="J843" s="724">
        <v>4</v>
      </c>
      <c r="K843" s="724">
        <v>0</v>
      </c>
      <c r="L843" s="724">
        <v>0</v>
      </c>
      <c r="M843" s="724">
        <v>0</v>
      </c>
      <c r="N843" s="724">
        <v>370</v>
      </c>
      <c r="O843" s="724">
        <v>0</v>
      </c>
      <c r="P843" s="724">
        <v>370</v>
      </c>
      <c r="Q843" s="724">
        <v>0</v>
      </c>
      <c r="R843" s="724">
        <v>0</v>
      </c>
      <c r="S843" s="724">
        <v>0</v>
      </c>
      <c r="T843" s="724">
        <v>0</v>
      </c>
      <c r="U843" s="724">
        <v>370</v>
      </c>
      <c r="V843" s="724">
        <v>0</v>
      </c>
      <c r="W843" s="92">
        <v>0</v>
      </c>
      <c r="X843" s="92" t="s">
        <v>463</v>
      </c>
      <c r="Y843" s="738">
        <v>117</v>
      </c>
      <c r="Z843" s="738">
        <v>446</v>
      </c>
      <c r="AA843" s="738">
        <v>4</v>
      </c>
      <c r="AB843" s="92"/>
      <c r="AC843" s="92"/>
      <c r="AD843" s="438" t="s">
        <v>395</v>
      </c>
      <c r="AE843" s="438" t="s">
        <v>396</v>
      </c>
      <c r="AF843" s="438" t="s">
        <v>273</v>
      </c>
      <c r="AG843" s="92"/>
    </row>
    <row r="844" s="570" customFormat="1" ht="29" customHeight="1" spans="1:33">
      <c r="A844" s="705"/>
      <c r="B844" s="146" t="s">
        <v>75</v>
      </c>
      <c r="C844" s="438" t="s">
        <v>52</v>
      </c>
      <c r="D844" s="809" t="s">
        <v>150</v>
      </c>
      <c r="E844" s="92">
        <v>1</v>
      </c>
      <c r="F844" s="92" t="s">
        <v>75</v>
      </c>
      <c r="G844" s="92"/>
      <c r="H844" s="724">
        <v>1</v>
      </c>
      <c r="I844" s="724">
        <v>0</v>
      </c>
      <c r="J844" s="724">
        <v>1</v>
      </c>
      <c r="K844" s="724">
        <v>0</v>
      </c>
      <c r="L844" s="724">
        <v>0</v>
      </c>
      <c r="M844" s="724">
        <v>0</v>
      </c>
      <c r="N844" s="724">
        <v>200</v>
      </c>
      <c r="O844" s="724">
        <v>0</v>
      </c>
      <c r="P844" s="724">
        <v>200</v>
      </c>
      <c r="Q844" s="724">
        <v>0</v>
      </c>
      <c r="R844" s="724">
        <v>0</v>
      </c>
      <c r="S844" s="724">
        <v>0</v>
      </c>
      <c r="T844" s="724">
        <v>0</v>
      </c>
      <c r="U844" s="724">
        <v>200</v>
      </c>
      <c r="V844" s="724">
        <v>0</v>
      </c>
      <c r="W844" s="92">
        <v>0</v>
      </c>
      <c r="X844" s="92" t="s">
        <v>463</v>
      </c>
      <c r="Y844" s="738">
        <v>489</v>
      </c>
      <c r="Z844" s="738">
        <v>2282</v>
      </c>
      <c r="AA844" s="738">
        <v>1</v>
      </c>
      <c r="AB844" s="92"/>
      <c r="AC844" s="92"/>
      <c r="AD844" s="438" t="s">
        <v>397</v>
      </c>
      <c r="AE844" s="438" t="s">
        <v>398</v>
      </c>
      <c r="AF844" s="438" t="s">
        <v>273</v>
      </c>
      <c r="AG844" s="92"/>
    </row>
    <row r="845" s="570" customFormat="1" ht="29" customHeight="1" spans="1:33">
      <c r="A845" s="705"/>
      <c r="B845" s="146" t="s">
        <v>61</v>
      </c>
      <c r="C845" s="438" t="s">
        <v>52</v>
      </c>
      <c r="D845" s="809" t="s">
        <v>150</v>
      </c>
      <c r="E845" s="92">
        <v>1</v>
      </c>
      <c r="F845" s="92" t="s">
        <v>61</v>
      </c>
      <c r="G845" s="92"/>
      <c r="H845" s="724">
        <v>1</v>
      </c>
      <c r="I845" s="724">
        <v>0</v>
      </c>
      <c r="J845" s="724">
        <v>1</v>
      </c>
      <c r="K845" s="724">
        <v>0</v>
      </c>
      <c r="L845" s="724">
        <v>0</v>
      </c>
      <c r="M845" s="724">
        <v>0</v>
      </c>
      <c r="N845" s="724">
        <v>150</v>
      </c>
      <c r="O845" s="724">
        <v>0</v>
      </c>
      <c r="P845" s="724">
        <v>150</v>
      </c>
      <c r="Q845" s="724">
        <v>0</v>
      </c>
      <c r="R845" s="724">
        <v>0</v>
      </c>
      <c r="S845" s="724">
        <v>0</v>
      </c>
      <c r="T845" s="724">
        <v>0</v>
      </c>
      <c r="U845" s="724">
        <v>150</v>
      </c>
      <c r="V845" s="724">
        <v>0</v>
      </c>
      <c r="W845" s="92">
        <v>0</v>
      </c>
      <c r="X845" s="92" t="s">
        <v>463</v>
      </c>
      <c r="Y845" s="738">
        <v>89</v>
      </c>
      <c r="Z845" s="738">
        <v>386</v>
      </c>
      <c r="AA845" s="738">
        <v>1</v>
      </c>
      <c r="AB845" s="92"/>
      <c r="AC845" s="92"/>
      <c r="AD845" s="438" t="s">
        <v>573</v>
      </c>
      <c r="AE845" s="438" t="s">
        <v>402</v>
      </c>
      <c r="AF845" s="438" t="s">
        <v>273</v>
      </c>
      <c r="AG845" s="92"/>
    </row>
    <row r="846" s="570" customFormat="1" ht="29" customHeight="1" spans="1:33">
      <c r="A846" s="705"/>
      <c r="B846" s="146" t="s">
        <v>64</v>
      </c>
      <c r="C846" s="438" t="s">
        <v>52</v>
      </c>
      <c r="D846" s="809" t="s">
        <v>509</v>
      </c>
      <c r="E846" s="92">
        <v>3</v>
      </c>
      <c r="F846" s="92" t="s">
        <v>64</v>
      </c>
      <c r="G846" s="92"/>
      <c r="H846" s="724">
        <v>3</v>
      </c>
      <c r="I846" s="724">
        <v>0</v>
      </c>
      <c r="J846" s="724">
        <v>3</v>
      </c>
      <c r="K846" s="724">
        <v>0</v>
      </c>
      <c r="L846" s="724">
        <v>0</v>
      </c>
      <c r="M846" s="724">
        <v>0</v>
      </c>
      <c r="N846" s="724">
        <v>500</v>
      </c>
      <c r="O846" s="724">
        <v>0</v>
      </c>
      <c r="P846" s="724">
        <v>500</v>
      </c>
      <c r="Q846" s="724">
        <v>0</v>
      </c>
      <c r="R846" s="724">
        <v>0</v>
      </c>
      <c r="S846" s="724">
        <v>0</v>
      </c>
      <c r="T846" s="724">
        <v>0</v>
      </c>
      <c r="U846" s="724">
        <v>500</v>
      </c>
      <c r="V846" s="724">
        <v>0</v>
      </c>
      <c r="W846" s="92">
        <v>0</v>
      </c>
      <c r="X846" s="92" t="s">
        <v>463</v>
      </c>
      <c r="Y846" s="738">
        <v>335</v>
      </c>
      <c r="Z846" s="738">
        <v>1496</v>
      </c>
      <c r="AA846" s="738">
        <v>3</v>
      </c>
      <c r="AB846" s="92"/>
      <c r="AC846" s="92"/>
      <c r="AD846" s="438" t="s">
        <v>219</v>
      </c>
      <c r="AE846" s="146" t="s">
        <v>406</v>
      </c>
      <c r="AF846" s="438" t="s">
        <v>273</v>
      </c>
      <c r="AG846" s="92"/>
    </row>
    <row r="847" s="570" customFormat="1" ht="29" customHeight="1" spans="1:33">
      <c r="A847" s="705"/>
      <c r="B847" s="810" t="s">
        <v>574</v>
      </c>
      <c r="C847" s="146" t="s">
        <v>52</v>
      </c>
      <c r="D847" s="152" t="s">
        <v>150</v>
      </c>
      <c r="E847" s="92">
        <v>1</v>
      </c>
      <c r="F847" s="92">
        <v>0</v>
      </c>
      <c r="G847" s="92"/>
      <c r="H847" s="724">
        <v>1</v>
      </c>
      <c r="I847" s="724">
        <v>1</v>
      </c>
      <c r="J847" s="724">
        <v>0</v>
      </c>
      <c r="K847" s="724">
        <v>0</v>
      </c>
      <c r="L847" s="724">
        <v>2018.01</v>
      </c>
      <c r="M847" s="724">
        <v>0</v>
      </c>
      <c r="N847" s="724">
        <v>500</v>
      </c>
      <c r="O847" s="724">
        <v>500</v>
      </c>
      <c r="P847" s="724">
        <v>0</v>
      </c>
      <c r="Q847" s="724">
        <v>0</v>
      </c>
      <c r="R847" s="724">
        <v>0</v>
      </c>
      <c r="S847" s="724">
        <v>500</v>
      </c>
      <c r="T847" s="724">
        <v>0</v>
      </c>
      <c r="U847" s="724">
        <v>0</v>
      </c>
      <c r="V847" s="724">
        <v>0</v>
      </c>
      <c r="W847" s="92">
        <v>0</v>
      </c>
      <c r="X847" s="92" t="s">
        <v>463</v>
      </c>
      <c r="Y847" s="738">
        <v>194</v>
      </c>
      <c r="Z847" s="738">
        <v>885</v>
      </c>
      <c r="AA847" s="738">
        <v>1</v>
      </c>
      <c r="AB847" s="92"/>
      <c r="AC847" s="92"/>
      <c r="AD847" s="146"/>
      <c r="AE847" s="146"/>
      <c r="AF847" s="146"/>
      <c r="AG847" s="92"/>
    </row>
    <row r="848" s="570" customFormat="1" ht="29" customHeight="1" spans="1:33">
      <c r="A848" s="705"/>
      <c r="B848" s="146" t="s">
        <v>55</v>
      </c>
      <c r="C848" s="146" t="s">
        <v>52</v>
      </c>
      <c r="D848" s="152" t="s">
        <v>150</v>
      </c>
      <c r="E848" s="92">
        <v>1</v>
      </c>
      <c r="F848" s="92" t="s">
        <v>55</v>
      </c>
      <c r="G848" s="92"/>
      <c r="H848" s="724">
        <v>1</v>
      </c>
      <c r="I848" s="724">
        <v>1</v>
      </c>
      <c r="J848" s="724">
        <v>0</v>
      </c>
      <c r="K848" s="724">
        <v>0</v>
      </c>
      <c r="L848" s="724">
        <v>2018.01</v>
      </c>
      <c r="M848" s="724">
        <v>0</v>
      </c>
      <c r="N848" s="724">
        <v>500</v>
      </c>
      <c r="O848" s="724">
        <v>500</v>
      </c>
      <c r="P848" s="724">
        <v>0</v>
      </c>
      <c r="Q848" s="724">
        <v>0</v>
      </c>
      <c r="R848" s="724">
        <v>0</v>
      </c>
      <c r="S848" s="724">
        <v>500</v>
      </c>
      <c r="T848" s="724">
        <v>0</v>
      </c>
      <c r="U848" s="724">
        <v>0</v>
      </c>
      <c r="V848" s="724">
        <v>0</v>
      </c>
      <c r="W848" s="92">
        <v>0</v>
      </c>
      <c r="X848" s="92" t="s">
        <v>463</v>
      </c>
      <c r="Y848" s="738">
        <v>194</v>
      </c>
      <c r="Z848" s="738">
        <v>885</v>
      </c>
      <c r="AA848" s="738">
        <v>1</v>
      </c>
      <c r="AB848" s="92"/>
      <c r="AC848" s="92"/>
      <c r="AD848" s="146"/>
      <c r="AE848" s="141"/>
      <c r="AF848" s="146"/>
      <c r="AG848" s="92"/>
    </row>
    <row r="849" s="570" customFormat="1" ht="29" customHeight="1" spans="1:33">
      <c r="A849" s="705"/>
      <c r="B849" s="811" t="s">
        <v>575</v>
      </c>
      <c r="C849" s="812" t="s">
        <v>52</v>
      </c>
      <c r="D849" s="152" t="s">
        <v>150</v>
      </c>
      <c r="E849" s="92">
        <v>4</v>
      </c>
      <c r="F849" s="92">
        <v>0</v>
      </c>
      <c r="G849" s="92"/>
      <c r="H849" s="724">
        <v>4</v>
      </c>
      <c r="I849" s="724">
        <v>2</v>
      </c>
      <c r="J849" s="724">
        <v>2</v>
      </c>
      <c r="K849" s="724">
        <v>0</v>
      </c>
      <c r="L849" s="724">
        <v>2018.01</v>
      </c>
      <c r="M849" s="724">
        <v>0</v>
      </c>
      <c r="N849" s="724">
        <v>350</v>
      </c>
      <c r="O849" s="724">
        <v>200</v>
      </c>
      <c r="P849" s="724">
        <v>150</v>
      </c>
      <c r="Q849" s="724">
        <v>0</v>
      </c>
      <c r="R849" s="724">
        <v>0</v>
      </c>
      <c r="S849" s="724">
        <v>350</v>
      </c>
      <c r="T849" s="724">
        <v>0</v>
      </c>
      <c r="U849" s="724">
        <v>0</v>
      </c>
      <c r="V849" s="724">
        <v>0</v>
      </c>
      <c r="W849" s="92">
        <v>0</v>
      </c>
      <c r="X849" s="92" t="s">
        <v>463</v>
      </c>
      <c r="Y849" s="738">
        <v>542</v>
      </c>
      <c r="Z849" s="738">
        <v>2412</v>
      </c>
      <c r="AA849" s="738">
        <v>4</v>
      </c>
      <c r="AB849" s="92"/>
      <c r="AC849" s="92"/>
      <c r="AD849" s="146" t="s">
        <v>576</v>
      </c>
      <c r="AE849" s="146" t="s">
        <v>577</v>
      </c>
      <c r="AF849" s="146" t="s">
        <v>578</v>
      </c>
      <c r="AG849" s="92"/>
    </row>
    <row r="850" s="570" customFormat="1" ht="29" customHeight="1" spans="1:33">
      <c r="A850" s="705"/>
      <c r="B850" s="146" t="s">
        <v>55</v>
      </c>
      <c r="C850" s="146" t="s">
        <v>52</v>
      </c>
      <c r="D850" s="152" t="s">
        <v>150</v>
      </c>
      <c r="E850" s="92">
        <v>2</v>
      </c>
      <c r="F850" s="92" t="s">
        <v>55</v>
      </c>
      <c r="G850" s="92"/>
      <c r="H850" s="724">
        <v>2</v>
      </c>
      <c r="I850" s="724">
        <v>1</v>
      </c>
      <c r="J850" s="724">
        <v>1</v>
      </c>
      <c r="K850" s="724">
        <v>0</v>
      </c>
      <c r="L850" s="724">
        <v>2018.01</v>
      </c>
      <c r="M850" s="724">
        <v>0</v>
      </c>
      <c r="N850" s="724">
        <v>200</v>
      </c>
      <c r="O850" s="724">
        <v>100</v>
      </c>
      <c r="P850" s="724">
        <v>100</v>
      </c>
      <c r="Q850" s="724">
        <v>0</v>
      </c>
      <c r="R850" s="724">
        <v>0</v>
      </c>
      <c r="S850" s="724">
        <v>200</v>
      </c>
      <c r="T850" s="724">
        <v>0</v>
      </c>
      <c r="U850" s="724">
        <v>0</v>
      </c>
      <c r="V850" s="724">
        <v>0</v>
      </c>
      <c r="W850" s="92">
        <v>0</v>
      </c>
      <c r="X850" s="92" t="s">
        <v>463</v>
      </c>
      <c r="Y850" s="738">
        <v>508</v>
      </c>
      <c r="Z850" s="738">
        <v>2294</v>
      </c>
      <c r="AA850" s="738">
        <v>2</v>
      </c>
      <c r="AB850" s="92"/>
      <c r="AC850" s="92"/>
      <c r="AD850" s="146" t="s">
        <v>249</v>
      </c>
      <c r="AE850" s="146" t="s">
        <v>579</v>
      </c>
      <c r="AF850" s="146" t="s">
        <v>578</v>
      </c>
      <c r="AG850" s="92"/>
    </row>
    <row r="851" s="570" customFormat="1" ht="29" customHeight="1" spans="1:33">
      <c r="A851" s="705"/>
      <c r="B851" s="146" t="s">
        <v>91</v>
      </c>
      <c r="C851" s="812" t="s">
        <v>52</v>
      </c>
      <c r="D851" s="152" t="s">
        <v>150</v>
      </c>
      <c r="E851" s="92">
        <v>2</v>
      </c>
      <c r="F851" s="92" t="s">
        <v>91</v>
      </c>
      <c r="G851" s="92"/>
      <c r="H851" s="724">
        <v>2</v>
      </c>
      <c r="I851" s="724">
        <v>1</v>
      </c>
      <c r="J851" s="724">
        <v>1</v>
      </c>
      <c r="K851" s="724">
        <v>0</v>
      </c>
      <c r="L851" s="724">
        <v>2018.01</v>
      </c>
      <c r="M851" s="724">
        <v>0</v>
      </c>
      <c r="N851" s="724">
        <v>150</v>
      </c>
      <c r="O851" s="724">
        <v>100</v>
      </c>
      <c r="P851" s="724">
        <v>50</v>
      </c>
      <c r="Q851" s="724">
        <v>0</v>
      </c>
      <c r="R851" s="724">
        <v>0</v>
      </c>
      <c r="S851" s="724">
        <v>150</v>
      </c>
      <c r="T851" s="724">
        <v>0</v>
      </c>
      <c r="U851" s="724">
        <v>0</v>
      </c>
      <c r="V851" s="724">
        <v>0</v>
      </c>
      <c r="W851" s="92">
        <v>0</v>
      </c>
      <c r="X851" s="92" t="s">
        <v>463</v>
      </c>
      <c r="Y851" s="738">
        <v>34</v>
      </c>
      <c r="Z851" s="738">
        <v>118</v>
      </c>
      <c r="AA851" s="738">
        <v>2</v>
      </c>
      <c r="AB851" s="92"/>
      <c r="AC851" s="92"/>
      <c r="AD851" s="146" t="s">
        <v>249</v>
      </c>
      <c r="AE851" s="146" t="s">
        <v>579</v>
      </c>
      <c r="AF851" s="146" t="s">
        <v>578</v>
      </c>
      <c r="AG851" s="92"/>
    </row>
    <row r="852" s="570" customFormat="1" ht="29" customHeight="1" spans="1:33">
      <c r="A852" s="705"/>
      <c r="B852" s="813" t="s">
        <v>580</v>
      </c>
      <c r="C852" s="381" t="s">
        <v>52</v>
      </c>
      <c r="D852" s="381" t="s">
        <v>150</v>
      </c>
      <c r="E852" s="92">
        <v>5</v>
      </c>
      <c r="F852" s="92">
        <v>0</v>
      </c>
      <c r="G852" s="92"/>
      <c r="H852" s="724">
        <v>5</v>
      </c>
      <c r="I852" s="724">
        <v>0</v>
      </c>
      <c r="J852" s="724">
        <v>5</v>
      </c>
      <c r="K852" s="724">
        <v>0</v>
      </c>
      <c r="L852" s="724">
        <v>0</v>
      </c>
      <c r="M852" s="724">
        <v>0</v>
      </c>
      <c r="N852" s="724">
        <v>500</v>
      </c>
      <c r="O852" s="724">
        <v>0</v>
      </c>
      <c r="P852" s="724">
        <v>500</v>
      </c>
      <c r="Q852" s="724">
        <v>0</v>
      </c>
      <c r="R852" s="724">
        <v>0</v>
      </c>
      <c r="S852" s="724">
        <v>500</v>
      </c>
      <c r="T852" s="724">
        <v>0</v>
      </c>
      <c r="U852" s="724">
        <v>0</v>
      </c>
      <c r="V852" s="724">
        <v>0</v>
      </c>
      <c r="W852" s="92">
        <v>0</v>
      </c>
      <c r="X852" s="92" t="s">
        <v>463</v>
      </c>
      <c r="Y852" s="738">
        <v>289</v>
      </c>
      <c r="Z852" s="738">
        <v>475</v>
      </c>
      <c r="AA852" s="738">
        <v>5</v>
      </c>
      <c r="AB852" s="92"/>
      <c r="AC852" s="92"/>
      <c r="AD852" s="381" t="s">
        <v>581</v>
      </c>
      <c r="AE852" s="381" t="s">
        <v>582</v>
      </c>
      <c r="AF852" s="212" t="s">
        <v>583</v>
      </c>
      <c r="AG852" s="92"/>
    </row>
    <row r="853" s="570" customFormat="1" ht="29" customHeight="1" spans="1:33">
      <c r="A853" s="705"/>
      <c r="B853" s="814" t="s">
        <v>72</v>
      </c>
      <c r="C853" s="381" t="s">
        <v>52</v>
      </c>
      <c r="D853" s="381" t="s">
        <v>150</v>
      </c>
      <c r="E853" s="92">
        <v>1</v>
      </c>
      <c r="F853" s="92" t="s">
        <v>72</v>
      </c>
      <c r="G853" s="92"/>
      <c r="H853" s="724">
        <v>1</v>
      </c>
      <c r="I853" s="724">
        <v>0</v>
      </c>
      <c r="J853" s="724">
        <v>1</v>
      </c>
      <c r="K853" s="724">
        <v>0</v>
      </c>
      <c r="L853" s="724">
        <v>0</v>
      </c>
      <c r="M853" s="724">
        <v>0</v>
      </c>
      <c r="N853" s="724">
        <v>100</v>
      </c>
      <c r="O853" s="724">
        <v>0</v>
      </c>
      <c r="P853" s="724">
        <v>100</v>
      </c>
      <c r="Q853" s="724">
        <v>0</v>
      </c>
      <c r="R853" s="724">
        <v>0</v>
      </c>
      <c r="S853" s="724">
        <v>100</v>
      </c>
      <c r="T853" s="724">
        <v>0</v>
      </c>
      <c r="U853" s="724">
        <v>0</v>
      </c>
      <c r="V853" s="724">
        <v>0</v>
      </c>
      <c r="W853" s="92">
        <v>0</v>
      </c>
      <c r="X853" s="92" t="s">
        <v>463</v>
      </c>
      <c r="Y853" s="738">
        <v>95</v>
      </c>
      <c r="Z853" s="738">
        <v>165</v>
      </c>
      <c r="AA853" s="738">
        <v>1</v>
      </c>
      <c r="AB853" s="92"/>
      <c r="AC853" s="92"/>
      <c r="AD853" s="381" t="s">
        <v>581</v>
      </c>
      <c r="AE853" s="381" t="s">
        <v>582</v>
      </c>
      <c r="AF853" s="212" t="s">
        <v>583</v>
      </c>
      <c r="AG853" s="92"/>
    </row>
    <row r="854" s="570" customFormat="1" ht="29" customHeight="1" spans="1:33">
      <c r="A854" s="705"/>
      <c r="B854" s="814" t="s">
        <v>64</v>
      </c>
      <c r="C854" s="381" t="s">
        <v>52</v>
      </c>
      <c r="D854" s="381" t="s">
        <v>150</v>
      </c>
      <c r="E854" s="92">
        <v>2</v>
      </c>
      <c r="F854" s="92" t="s">
        <v>64</v>
      </c>
      <c r="G854" s="92"/>
      <c r="H854" s="724">
        <v>2</v>
      </c>
      <c r="I854" s="724">
        <v>0</v>
      </c>
      <c r="J854" s="724">
        <v>2</v>
      </c>
      <c r="K854" s="724">
        <v>0</v>
      </c>
      <c r="L854" s="724">
        <v>0</v>
      </c>
      <c r="M854" s="724">
        <v>0</v>
      </c>
      <c r="N854" s="724">
        <v>200</v>
      </c>
      <c r="O854" s="724">
        <v>0</v>
      </c>
      <c r="P854" s="724">
        <v>200</v>
      </c>
      <c r="Q854" s="724">
        <v>0</v>
      </c>
      <c r="R854" s="724">
        <v>0</v>
      </c>
      <c r="S854" s="724">
        <v>200</v>
      </c>
      <c r="T854" s="724">
        <v>0</v>
      </c>
      <c r="U854" s="724">
        <v>0</v>
      </c>
      <c r="V854" s="724">
        <v>0</v>
      </c>
      <c r="W854" s="92">
        <v>0</v>
      </c>
      <c r="X854" s="92" t="s">
        <v>463</v>
      </c>
      <c r="Y854" s="738">
        <v>121</v>
      </c>
      <c r="Z854" s="738">
        <v>178</v>
      </c>
      <c r="AA854" s="738">
        <v>2</v>
      </c>
      <c r="AB854" s="92"/>
      <c r="AC854" s="92"/>
      <c r="AD854" s="381" t="s">
        <v>581</v>
      </c>
      <c r="AE854" s="381" t="s">
        <v>582</v>
      </c>
      <c r="AF854" s="212" t="s">
        <v>583</v>
      </c>
      <c r="AG854" s="92"/>
    </row>
    <row r="855" s="570" customFormat="1" ht="29" customHeight="1" spans="1:33">
      <c r="A855" s="705"/>
      <c r="B855" s="150" t="s">
        <v>91</v>
      </c>
      <c r="C855" s="381" t="s">
        <v>52</v>
      </c>
      <c r="D855" s="381" t="s">
        <v>150</v>
      </c>
      <c r="E855" s="92">
        <v>2</v>
      </c>
      <c r="F855" s="92" t="s">
        <v>91</v>
      </c>
      <c r="G855" s="92"/>
      <c r="H855" s="724">
        <v>2</v>
      </c>
      <c r="I855" s="724">
        <v>0</v>
      </c>
      <c r="J855" s="724">
        <v>2</v>
      </c>
      <c r="K855" s="724">
        <v>0</v>
      </c>
      <c r="L855" s="724">
        <v>0</v>
      </c>
      <c r="M855" s="724">
        <v>0</v>
      </c>
      <c r="N855" s="724">
        <v>200</v>
      </c>
      <c r="O855" s="724">
        <v>0</v>
      </c>
      <c r="P855" s="724">
        <v>200</v>
      </c>
      <c r="Q855" s="724">
        <v>0</v>
      </c>
      <c r="R855" s="724">
        <v>0</v>
      </c>
      <c r="S855" s="724">
        <v>200</v>
      </c>
      <c r="T855" s="724">
        <v>0</v>
      </c>
      <c r="U855" s="724">
        <v>0</v>
      </c>
      <c r="V855" s="724">
        <v>0</v>
      </c>
      <c r="W855" s="92">
        <v>0</v>
      </c>
      <c r="X855" s="92" t="s">
        <v>463</v>
      </c>
      <c r="Y855" s="738">
        <v>73</v>
      </c>
      <c r="Z855" s="738">
        <v>132</v>
      </c>
      <c r="AA855" s="738">
        <v>2</v>
      </c>
      <c r="AB855" s="92"/>
      <c r="AC855" s="92"/>
      <c r="AD855" s="381" t="s">
        <v>581</v>
      </c>
      <c r="AE855" s="381" t="s">
        <v>582</v>
      </c>
      <c r="AF855" s="212" t="s">
        <v>583</v>
      </c>
      <c r="AG855" s="92"/>
    </row>
    <row r="856" s="570" customFormat="1" ht="37" customHeight="1" spans="1:33">
      <c r="A856" s="705"/>
      <c r="B856" s="813" t="s">
        <v>584</v>
      </c>
      <c r="C856" s="381" t="s">
        <v>52</v>
      </c>
      <c r="D856" s="381" t="s">
        <v>150</v>
      </c>
      <c r="E856" s="92">
        <v>1</v>
      </c>
      <c r="F856" s="92">
        <v>0</v>
      </c>
      <c r="G856" s="92"/>
      <c r="H856" s="724">
        <v>1</v>
      </c>
      <c r="I856" s="724">
        <v>0</v>
      </c>
      <c r="J856" s="724">
        <v>1</v>
      </c>
      <c r="K856" s="724">
        <v>0</v>
      </c>
      <c r="L856" s="724">
        <v>0</v>
      </c>
      <c r="M856" s="724">
        <v>0</v>
      </c>
      <c r="N856" s="724">
        <v>20</v>
      </c>
      <c r="O856" s="724">
        <v>0</v>
      </c>
      <c r="P856" s="724">
        <v>20</v>
      </c>
      <c r="Q856" s="724">
        <v>0</v>
      </c>
      <c r="R856" s="724">
        <v>0</v>
      </c>
      <c r="S856" s="724">
        <v>20</v>
      </c>
      <c r="T856" s="724">
        <v>0</v>
      </c>
      <c r="U856" s="724">
        <v>0</v>
      </c>
      <c r="V856" s="724">
        <v>0</v>
      </c>
      <c r="W856" s="92">
        <v>0</v>
      </c>
      <c r="X856" s="92">
        <v>0</v>
      </c>
      <c r="Y856" s="738">
        <v>42</v>
      </c>
      <c r="Z856" s="738">
        <v>145</v>
      </c>
      <c r="AA856" s="738">
        <v>1</v>
      </c>
      <c r="AB856" s="92"/>
      <c r="AC856" s="92"/>
      <c r="AD856" s="743" t="s">
        <v>585</v>
      </c>
      <c r="AE856" s="743"/>
      <c r="AF856" s="743" t="s">
        <v>500</v>
      </c>
      <c r="AG856" s="92"/>
    </row>
    <row r="857" s="570" customFormat="1" ht="24.95" customHeight="1" spans="1:33">
      <c r="A857" s="705">
        <v>106</v>
      </c>
      <c r="B857" s="708" t="s">
        <v>586</v>
      </c>
      <c r="C857" s="708"/>
      <c r="D857" s="709"/>
      <c r="E857" s="92">
        <v>0</v>
      </c>
      <c r="F857" s="92">
        <v>0</v>
      </c>
      <c r="G857" s="92"/>
      <c r="H857" s="724">
        <v>0</v>
      </c>
      <c r="I857" s="724">
        <v>0</v>
      </c>
      <c r="J857" s="724">
        <v>0</v>
      </c>
      <c r="K857" s="724">
        <v>0</v>
      </c>
      <c r="L857" s="724">
        <v>0</v>
      </c>
      <c r="M857" s="724">
        <v>0</v>
      </c>
      <c r="N857" s="724">
        <v>0</v>
      </c>
      <c r="O857" s="724">
        <v>0</v>
      </c>
      <c r="P857" s="724">
        <v>0</v>
      </c>
      <c r="Q857" s="724">
        <v>0</v>
      </c>
      <c r="R857" s="724">
        <v>0</v>
      </c>
      <c r="S857" s="724">
        <v>0</v>
      </c>
      <c r="T857" s="724">
        <v>0</v>
      </c>
      <c r="U857" s="724">
        <v>0</v>
      </c>
      <c r="V857" s="724">
        <v>0</v>
      </c>
      <c r="W857" s="92">
        <v>0</v>
      </c>
      <c r="X857" s="92">
        <v>0</v>
      </c>
      <c r="Y857" s="738">
        <v>0</v>
      </c>
      <c r="Z857" s="738">
        <v>0</v>
      </c>
      <c r="AA857" s="738">
        <v>0</v>
      </c>
      <c r="AB857" s="708"/>
      <c r="AC857" s="708"/>
      <c r="AD857" s="708"/>
      <c r="AE857" s="708"/>
      <c r="AF857" s="708"/>
      <c r="AG857" s="708"/>
    </row>
    <row r="858" s="320" customFormat="1" ht="189" customHeight="1" spans="1:33">
      <c r="A858" s="873" t="s">
        <v>587</v>
      </c>
      <c r="B858" s="873"/>
      <c r="C858" s="873"/>
      <c r="D858" s="873"/>
      <c r="E858" s="874"/>
      <c r="F858" s="874"/>
      <c r="G858" s="874"/>
      <c r="H858" s="874"/>
      <c r="I858" s="874"/>
      <c r="J858" s="874"/>
      <c r="K858" s="874"/>
      <c r="L858" s="874"/>
      <c r="M858" s="874"/>
      <c r="N858" s="874"/>
      <c r="O858" s="874"/>
      <c r="P858" s="874"/>
      <c r="Q858" s="874"/>
      <c r="R858" s="874"/>
      <c r="S858" s="874"/>
      <c r="T858" s="874"/>
      <c r="U858" s="874"/>
      <c r="V858" s="874"/>
      <c r="W858" s="874"/>
      <c r="X858" s="874"/>
      <c r="Y858" s="874"/>
      <c r="Z858" s="874"/>
      <c r="AA858" s="873"/>
      <c r="AB858" s="873"/>
      <c r="AC858" s="873"/>
      <c r="AD858" s="873"/>
      <c r="AE858" s="873"/>
      <c r="AF858" s="873"/>
      <c r="AG858" s="873"/>
    </row>
    <row r="859" ht="20.25" spans="1:32">
      <c r="A859" s="875"/>
      <c r="B859" s="876"/>
      <c r="E859" s="877"/>
      <c r="F859" s="877"/>
      <c r="G859" s="877"/>
      <c r="H859" s="877"/>
      <c r="I859" s="877"/>
      <c r="J859" s="877"/>
      <c r="K859" s="877"/>
      <c r="L859" s="877"/>
      <c r="M859" s="877"/>
      <c r="N859" s="878"/>
      <c r="O859" s="878"/>
      <c r="P859" s="878"/>
      <c r="Q859" s="878"/>
      <c r="R859" s="878"/>
      <c r="S859" s="878"/>
      <c r="T859" s="878"/>
      <c r="U859" s="878"/>
      <c r="V859" s="877"/>
      <c r="W859" s="877"/>
      <c r="X859" s="877"/>
      <c r="Y859" s="877"/>
      <c r="Z859" s="877"/>
      <c r="AA859" s="876"/>
      <c r="AB859" s="876"/>
      <c r="AC859" s="876"/>
      <c r="AD859" s="876"/>
      <c r="AE859" s="876"/>
      <c r="AF859" s="876"/>
    </row>
    <row r="860" ht="20.25" spans="1:32">
      <c r="A860" s="875"/>
      <c r="B860" s="876"/>
      <c r="E860" s="877"/>
      <c r="F860" s="877"/>
      <c r="G860" s="877"/>
      <c r="H860" s="877"/>
      <c r="I860" s="877"/>
      <c r="J860" s="877"/>
      <c r="K860" s="877"/>
      <c r="L860" s="877"/>
      <c r="M860" s="877"/>
      <c r="N860" s="878"/>
      <c r="O860" s="878"/>
      <c r="P860" s="878"/>
      <c r="Q860" s="878"/>
      <c r="R860" s="878"/>
      <c r="S860" s="878"/>
      <c r="T860" s="878"/>
      <c r="U860" s="878"/>
      <c r="V860" s="877"/>
      <c r="W860" s="877"/>
      <c r="X860" s="877"/>
      <c r="Y860" s="877"/>
      <c r="Z860" s="877"/>
      <c r="AA860" s="876"/>
      <c r="AB860" s="876"/>
      <c r="AC860" s="876"/>
      <c r="AD860" s="876"/>
      <c r="AE860" s="876"/>
      <c r="AF860" s="876"/>
    </row>
    <row r="861" ht="20.25" spans="1:32">
      <c r="A861" s="875"/>
      <c r="B861" s="876"/>
      <c r="E861" s="877"/>
      <c r="F861" s="877"/>
      <c r="G861" s="877"/>
      <c r="H861" s="877"/>
      <c r="I861" s="877"/>
      <c r="J861" s="877"/>
      <c r="K861" s="877"/>
      <c r="L861" s="877"/>
      <c r="M861" s="877"/>
      <c r="N861" s="878"/>
      <c r="O861" s="878"/>
      <c r="P861" s="878"/>
      <c r="Q861" s="878"/>
      <c r="R861" s="878"/>
      <c r="S861" s="878"/>
      <c r="T861" s="878"/>
      <c r="U861" s="878"/>
      <c r="V861" s="877"/>
      <c r="W861" s="877"/>
      <c r="X861" s="877"/>
      <c r="Y861" s="877"/>
      <c r="Z861" s="877"/>
      <c r="AA861" s="876"/>
      <c r="AB861" s="876"/>
      <c r="AC861" s="876"/>
      <c r="AD861" s="876"/>
      <c r="AE861" s="876"/>
      <c r="AF861" s="876"/>
    </row>
    <row r="862" ht="20.25" spans="1:32">
      <c r="A862" s="875"/>
      <c r="B862" s="876"/>
      <c r="E862" s="877"/>
      <c r="F862" s="877"/>
      <c r="G862" s="877"/>
      <c r="H862" s="877"/>
      <c r="I862" s="877"/>
      <c r="J862" s="877"/>
      <c r="K862" s="877"/>
      <c r="L862" s="877"/>
      <c r="M862" s="877"/>
      <c r="N862" s="878"/>
      <c r="O862" s="878"/>
      <c r="P862" s="878"/>
      <c r="Q862" s="878"/>
      <c r="R862" s="878"/>
      <c r="S862" s="878"/>
      <c r="T862" s="878"/>
      <c r="U862" s="878"/>
      <c r="V862" s="877"/>
      <c r="W862" s="877"/>
      <c r="X862" s="877"/>
      <c r="Y862" s="877"/>
      <c r="Z862" s="877"/>
      <c r="AA862" s="876"/>
      <c r="AB862" s="876"/>
      <c r="AC862" s="876"/>
      <c r="AD862" s="876"/>
      <c r="AE862" s="876"/>
      <c r="AF862" s="876"/>
    </row>
    <row r="863" ht="20.25" spans="1:32">
      <c r="A863" s="875"/>
      <c r="B863" s="876"/>
      <c r="E863" s="877"/>
      <c r="F863" s="877"/>
      <c r="G863" s="877"/>
      <c r="H863" s="877"/>
      <c r="I863" s="877"/>
      <c r="J863" s="877"/>
      <c r="K863" s="877"/>
      <c r="L863" s="877"/>
      <c r="M863" s="877"/>
      <c r="N863" s="878"/>
      <c r="O863" s="878"/>
      <c r="P863" s="878"/>
      <c r="Q863" s="878"/>
      <c r="R863" s="878"/>
      <c r="S863" s="878"/>
      <c r="T863" s="878"/>
      <c r="U863" s="878"/>
      <c r="V863" s="877"/>
      <c r="W863" s="877"/>
      <c r="X863" s="877"/>
      <c r="Y863" s="877"/>
      <c r="Z863" s="877"/>
      <c r="AA863" s="876"/>
      <c r="AB863" s="876"/>
      <c r="AC863" s="876"/>
      <c r="AD863" s="876"/>
      <c r="AE863" s="876"/>
      <c r="AF863" s="876"/>
    </row>
    <row r="864" ht="20.25" spans="1:32">
      <c r="A864" s="875"/>
      <c r="B864" s="876"/>
      <c r="E864" s="877"/>
      <c r="F864" s="877"/>
      <c r="G864" s="877"/>
      <c r="H864" s="877"/>
      <c r="I864" s="877"/>
      <c r="J864" s="877"/>
      <c r="K864" s="877"/>
      <c r="L864" s="877"/>
      <c r="M864" s="877"/>
      <c r="N864" s="878"/>
      <c r="O864" s="878"/>
      <c r="P864" s="878"/>
      <c r="Q864" s="878"/>
      <c r="R864" s="878"/>
      <c r="S864" s="878"/>
      <c r="T864" s="878"/>
      <c r="U864" s="878"/>
      <c r="V864" s="877"/>
      <c r="W864" s="877"/>
      <c r="X864" s="877"/>
      <c r="Y864" s="877"/>
      <c r="Z864" s="877"/>
      <c r="AA864" s="876"/>
      <c r="AB864" s="876"/>
      <c r="AC864" s="876"/>
      <c r="AD864" s="876"/>
      <c r="AE864" s="876"/>
      <c r="AF864" s="876"/>
    </row>
    <row r="865" ht="20.25" spans="1:32">
      <c r="A865" s="875"/>
      <c r="B865" s="876"/>
      <c r="E865" s="877"/>
      <c r="F865" s="877"/>
      <c r="G865" s="877"/>
      <c r="H865" s="877"/>
      <c r="I865" s="877"/>
      <c r="J865" s="877"/>
      <c r="K865" s="877"/>
      <c r="L865" s="877"/>
      <c r="M865" s="877"/>
      <c r="N865" s="878"/>
      <c r="O865" s="878"/>
      <c r="P865" s="878"/>
      <c r="Q865" s="878"/>
      <c r="R865" s="878"/>
      <c r="S865" s="878"/>
      <c r="T865" s="878"/>
      <c r="U865" s="878"/>
      <c r="V865" s="877"/>
      <c r="W865" s="877"/>
      <c r="X865" s="877"/>
      <c r="Y865" s="877"/>
      <c r="Z865" s="877"/>
      <c r="AA865" s="876"/>
      <c r="AB865" s="876"/>
      <c r="AC865" s="876"/>
      <c r="AD865" s="876"/>
      <c r="AE865" s="876"/>
      <c r="AF865" s="876"/>
    </row>
    <row r="866" ht="20.25" spans="1:32">
      <c r="A866" s="875"/>
      <c r="B866" s="876"/>
      <c r="E866" s="877"/>
      <c r="F866" s="877"/>
      <c r="G866" s="877"/>
      <c r="H866" s="877"/>
      <c r="I866" s="877"/>
      <c r="J866" s="877"/>
      <c r="K866" s="877"/>
      <c r="L866" s="877"/>
      <c r="M866" s="877"/>
      <c r="N866" s="878"/>
      <c r="O866" s="878"/>
      <c r="P866" s="878"/>
      <c r="Q866" s="878"/>
      <c r="R866" s="878"/>
      <c r="S866" s="878"/>
      <c r="T866" s="878"/>
      <c r="U866" s="878"/>
      <c r="V866" s="877"/>
      <c r="W866" s="877"/>
      <c r="X866" s="877"/>
      <c r="Y866" s="877"/>
      <c r="Z866" s="877"/>
      <c r="AA866" s="876"/>
      <c r="AB866" s="876"/>
      <c r="AC866" s="876"/>
      <c r="AD866" s="876"/>
      <c r="AE866" s="876"/>
      <c r="AF866" s="876"/>
    </row>
    <row r="867" ht="20.25" spans="1:32">
      <c r="A867" s="875"/>
      <c r="B867" s="876"/>
      <c r="E867" s="877"/>
      <c r="F867" s="877"/>
      <c r="G867" s="877"/>
      <c r="H867" s="877"/>
      <c r="I867" s="877"/>
      <c r="J867" s="877"/>
      <c r="K867" s="877"/>
      <c r="L867" s="877"/>
      <c r="M867" s="877"/>
      <c r="N867" s="878"/>
      <c r="O867" s="878"/>
      <c r="P867" s="878"/>
      <c r="Q867" s="878"/>
      <c r="R867" s="878"/>
      <c r="S867" s="878"/>
      <c r="T867" s="878"/>
      <c r="U867" s="878"/>
      <c r="V867" s="877"/>
      <c r="W867" s="877"/>
      <c r="X867" s="877"/>
      <c r="Y867" s="877"/>
      <c r="Z867" s="877"/>
      <c r="AA867" s="876"/>
      <c r="AB867" s="876"/>
      <c r="AC867" s="876"/>
      <c r="AD867" s="876"/>
      <c r="AE867" s="876"/>
      <c r="AF867" s="876"/>
    </row>
    <row r="868" ht="20.25" spans="1:32">
      <c r="A868" s="875"/>
      <c r="B868" s="876"/>
      <c r="E868" s="877"/>
      <c r="F868" s="877"/>
      <c r="G868" s="877"/>
      <c r="H868" s="877"/>
      <c r="I868" s="877"/>
      <c r="J868" s="877"/>
      <c r="K868" s="877"/>
      <c r="L868" s="877"/>
      <c r="M868" s="877"/>
      <c r="N868" s="878"/>
      <c r="O868" s="878"/>
      <c r="P868" s="878"/>
      <c r="Q868" s="878"/>
      <c r="R868" s="878"/>
      <c r="S868" s="878"/>
      <c r="T868" s="878"/>
      <c r="U868" s="878"/>
      <c r="V868" s="877"/>
      <c r="W868" s="877"/>
      <c r="X868" s="877"/>
      <c r="Y868" s="877"/>
      <c r="Z868" s="877"/>
      <c r="AA868" s="876"/>
      <c r="AB868" s="876"/>
      <c r="AC868" s="876"/>
      <c r="AD868" s="876"/>
      <c r="AE868" s="876"/>
      <c r="AF868" s="876"/>
    </row>
    <row r="869" ht="20.25" spans="1:32">
      <c r="A869" s="875"/>
      <c r="B869" s="876"/>
      <c r="E869" s="877"/>
      <c r="F869" s="877"/>
      <c r="G869" s="877"/>
      <c r="H869" s="877"/>
      <c r="I869" s="877"/>
      <c r="J869" s="877"/>
      <c r="K869" s="877"/>
      <c r="L869" s="877"/>
      <c r="M869" s="877"/>
      <c r="N869" s="878"/>
      <c r="O869" s="878"/>
      <c r="P869" s="878"/>
      <c r="Q869" s="878"/>
      <c r="R869" s="878"/>
      <c r="S869" s="878"/>
      <c r="T869" s="878"/>
      <c r="U869" s="878"/>
      <c r="V869" s="877"/>
      <c r="W869" s="877"/>
      <c r="X869" s="877"/>
      <c r="Y869" s="877"/>
      <c r="Z869" s="877"/>
      <c r="AA869" s="876"/>
      <c r="AB869" s="876"/>
      <c r="AC869" s="876"/>
      <c r="AD869" s="876"/>
      <c r="AE869" s="876"/>
      <c r="AF869" s="876"/>
    </row>
    <row r="870" ht="20.25" spans="1:32">
      <c r="A870" s="875"/>
      <c r="B870" s="876"/>
      <c r="E870" s="877"/>
      <c r="F870" s="877"/>
      <c r="G870" s="877"/>
      <c r="H870" s="877"/>
      <c r="I870" s="877"/>
      <c r="J870" s="877"/>
      <c r="K870" s="877"/>
      <c r="L870" s="877"/>
      <c r="M870" s="877"/>
      <c r="N870" s="878"/>
      <c r="O870" s="878"/>
      <c r="P870" s="878"/>
      <c r="Q870" s="878"/>
      <c r="R870" s="878"/>
      <c r="S870" s="878"/>
      <c r="T870" s="878"/>
      <c r="U870" s="878"/>
      <c r="V870" s="877"/>
      <c r="W870" s="877"/>
      <c r="X870" s="877"/>
      <c r="Y870" s="877"/>
      <c r="Z870" s="877"/>
      <c r="AA870" s="876"/>
      <c r="AB870" s="876"/>
      <c r="AC870" s="876"/>
      <c r="AD870" s="876"/>
      <c r="AE870" s="876"/>
      <c r="AF870" s="876"/>
    </row>
    <row r="871" ht="20.25" spans="1:32">
      <c r="A871" s="875"/>
      <c r="B871" s="876"/>
      <c r="E871" s="877"/>
      <c r="F871" s="877"/>
      <c r="G871" s="877"/>
      <c r="H871" s="877"/>
      <c r="I871" s="877"/>
      <c r="J871" s="877"/>
      <c r="K871" s="877"/>
      <c r="L871" s="877"/>
      <c r="M871" s="877"/>
      <c r="N871" s="878"/>
      <c r="O871" s="878"/>
      <c r="P871" s="878"/>
      <c r="Q871" s="878"/>
      <c r="R871" s="878"/>
      <c r="S871" s="878"/>
      <c r="T871" s="878"/>
      <c r="U871" s="878"/>
      <c r="V871" s="877"/>
      <c r="W871" s="877"/>
      <c r="X871" s="877"/>
      <c r="Y871" s="877"/>
      <c r="Z871" s="877"/>
      <c r="AA871" s="876"/>
      <c r="AB871" s="876"/>
      <c r="AC871" s="876"/>
      <c r="AD871" s="876"/>
      <c r="AE871" s="876"/>
      <c r="AF871" s="876"/>
    </row>
    <row r="872" ht="20.25" spans="1:32">
      <c r="A872" s="875"/>
      <c r="B872" s="876"/>
      <c r="E872" s="877"/>
      <c r="F872" s="877"/>
      <c r="G872" s="877"/>
      <c r="H872" s="877"/>
      <c r="I872" s="877"/>
      <c r="J872" s="877"/>
      <c r="K872" s="877"/>
      <c r="L872" s="877"/>
      <c r="M872" s="877"/>
      <c r="N872" s="878"/>
      <c r="O872" s="878"/>
      <c r="P872" s="878"/>
      <c r="Q872" s="878"/>
      <c r="R872" s="878"/>
      <c r="S872" s="878"/>
      <c r="T872" s="878"/>
      <c r="U872" s="878"/>
      <c r="V872" s="877"/>
      <c r="W872" s="877"/>
      <c r="X872" s="877"/>
      <c r="Y872" s="877"/>
      <c r="Z872" s="877"/>
      <c r="AA872" s="876"/>
      <c r="AB872" s="876"/>
      <c r="AC872" s="876"/>
      <c r="AD872" s="876"/>
      <c r="AE872" s="876"/>
      <c r="AF872" s="876"/>
    </row>
    <row r="873" ht="20.25" spans="1:32">
      <c r="A873" s="875"/>
      <c r="B873" s="876"/>
      <c r="E873" s="877"/>
      <c r="F873" s="877"/>
      <c r="G873" s="877"/>
      <c r="H873" s="877"/>
      <c r="I873" s="877"/>
      <c r="J873" s="877"/>
      <c r="K873" s="877"/>
      <c r="L873" s="877"/>
      <c r="M873" s="877"/>
      <c r="N873" s="878"/>
      <c r="O873" s="878"/>
      <c r="P873" s="878"/>
      <c r="Q873" s="878"/>
      <c r="R873" s="878"/>
      <c r="S873" s="878"/>
      <c r="T873" s="878"/>
      <c r="U873" s="878"/>
      <c r="V873" s="877"/>
      <c r="W873" s="877"/>
      <c r="X873" s="877"/>
      <c r="Y873" s="877"/>
      <c r="Z873" s="877"/>
      <c r="AA873" s="876"/>
      <c r="AB873" s="876"/>
      <c r="AC873" s="876"/>
      <c r="AD873" s="876"/>
      <c r="AE873" s="876"/>
      <c r="AF873" s="876"/>
    </row>
    <row r="874" ht="20.25" spans="1:32">
      <c r="A874" s="875"/>
      <c r="B874" s="876"/>
      <c r="E874" s="877"/>
      <c r="F874" s="877"/>
      <c r="G874" s="877"/>
      <c r="H874" s="877"/>
      <c r="I874" s="877"/>
      <c r="J874" s="877"/>
      <c r="K874" s="877"/>
      <c r="L874" s="877"/>
      <c r="M874" s="877"/>
      <c r="N874" s="878"/>
      <c r="O874" s="878"/>
      <c r="P874" s="878"/>
      <c r="Q874" s="878"/>
      <c r="R874" s="878"/>
      <c r="S874" s="878"/>
      <c r="T874" s="878"/>
      <c r="U874" s="878"/>
      <c r="V874" s="877"/>
      <c r="W874" s="877"/>
      <c r="X874" s="877"/>
      <c r="Y874" s="877"/>
      <c r="Z874" s="877"/>
      <c r="AA874" s="876"/>
      <c r="AB874" s="876"/>
      <c r="AC874" s="876"/>
      <c r="AD874" s="876"/>
      <c r="AE874" s="876"/>
      <c r="AF874" s="876"/>
    </row>
    <row r="875" ht="20.25" spans="1:32">
      <c r="A875" s="875"/>
      <c r="B875" s="876"/>
      <c r="E875" s="877"/>
      <c r="F875" s="877"/>
      <c r="G875" s="877"/>
      <c r="H875" s="877"/>
      <c r="I875" s="877"/>
      <c r="J875" s="877"/>
      <c r="K875" s="877"/>
      <c r="L875" s="877"/>
      <c r="M875" s="877"/>
      <c r="N875" s="878"/>
      <c r="O875" s="878"/>
      <c r="P875" s="878"/>
      <c r="Q875" s="878"/>
      <c r="R875" s="878"/>
      <c r="S875" s="878"/>
      <c r="T875" s="878"/>
      <c r="U875" s="878"/>
      <c r="V875" s="877"/>
      <c r="W875" s="877"/>
      <c r="X875" s="877"/>
      <c r="Y875" s="877"/>
      <c r="Z875" s="877"/>
      <c r="AA875" s="876"/>
      <c r="AB875" s="876"/>
      <c r="AC875" s="876"/>
      <c r="AD875" s="876"/>
      <c r="AE875" s="876"/>
      <c r="AF875" s="876"/>
    </row>
    <row r="876" ht="20.25" spans="1:32">
      <c r="A876" s="875"/>
      <c r="B876" s="876"/>
      <c r="E876" s="877"/>
      <c r="F876" s="877"/>
      <c r="G876" s="877"/>
      <c r="H876" s="877"/>
      <c r="I876" s="877"/>
      <c r="J876" s="877"/>
      <c r="K876" s="877"/>
      <c r="L876" s="877"/>
      <c r="M876" s="877"/>
      <c r="N876" s="878"/>
      <c r="O876" s="878"/>
      <c r="P876" s="878"/>
      <c r="Q876" s="878"/>
      <c r="R876" s="878"/>
      <c r="S876" s="878"/>
      <c r="T876" s="878"/>
      <c r="U876" s="878"/>
      <c r="V876" s="877"/>
      <c r="W876" s="877"/>
      <c r="X876" s="877"/>
      <c r="Y876" s="877"/>
      <c r="Z876" s="877"/>
      <c r="AA876" s="876"/>
      <c r="AB876" s="876"/>
      <c r="AC876" s="876"/>
      <c r="AD876" s="876"/>
      <c r="AE876" s="876"/>
      <c r="AF876" s="876"/>
    </row>
    <row r="877" ht="20.25" spans="1:32">
      <c r="A877" s="875"/>
      <c r="B877" s="876"/>
      <c r="E877" s="877"/>
      <c r="F877" s="877"/>
      <c r="G877" s="877"/>
      <c r="H877" s="877"/>
      <c r="I877" s="877"/>
      <c r="J877" s="877"/>
      <c r="K877" s="877"/>
      <c r="L877" s="877"/>
      <c r="M877" s="877"/>
      <c r="N877" s="878"/>
      <c r="O877" s="878"/>
      <c r="P877" s="878"/>
      <c r="Q877" s="878"/>
      <c r="R877" s="878"/>
      <c r="S877" s="878"/>
      <c r="T877" s="878"/>
      <c r="U877" s="878"/>
      <c r="V877" s="877"/>
      <c r="W877" s="877"/>
      <c r="X877" s="877"/>
      <c r="Y877" s="877"/>
      <c r="Z877" s="877"/>
      <c r="AA877" s="876"/>
      <c r="AB877" s="876"/>
      <c r="AC877" s="876"/>
      <c r="AD877" s="876"/>
      <c r="AE877" s="876"/>
      <c r="AF877" s="876"/>
    </row>
  </sheetData>
  <mergeCells count="37">
    <mergeCell ref="A1:B1"/>
    <mergeCell ref="A2:AG2"/>
    <mergeCell ref="A3:AG3"/>
    <mergeCell ref="H4:K4"/>
    <mergeCell ref="L4:M4"/>
    <mergeCell ref="N4:Q4"/>
    <mergeCell ref="R4:V4"/>
    <mergeCell ref="Y4:Z4"/>
    <mergeCell ref="AA4:AC4"/>
    <mergeCell ref="I5:K5"/>
    <mergeCell ref="N5:Q5"/>
    <mergeCell ref="A858:AG858"/>
    <mergeCell ref="A4:A6"/>
    <mergeCell ref="B4:B6"/>
    <mergeCell ref="C4:C6"/>
    <mergeCell ref="D4:D6"/>
    <mergeCell ref="E4:E6"/>
    <mergeCell ref="F4:F6"/>
    <mergeCell ref="G4:G6"/>
    <mergeCell ref="H5:H6"/>
    <mergeCell ref="L5:L6"/>
    <mergeCell ref="M5:M6"/>
    <mergeCell ref="R5:R6"/>
    <mergeCell ref="S5:S6"/>
    <mergeCell ref="T5:T6"/>
    <mergeCell ref="U5:U6"/>
    <mergeCell ref="V5:V6"/>
    <mergeCell ref="W4:W6"/>
    <mergeCell ref="X4:X6"/>
    <mergeCell ref="Y5:Y6"/>
    <mergeCell ref="Z5:Z6"/>
    <mergeCell ref="AA5:AA6"/>
    <mergeCell ref="AB5:AB6"/>
    <mergeCell ref="AC5:AC6"/>
    <mergeCell ref="AF4:AF6"/>
    <mergeCell ref="AG4:AG6"/>
    <mergeCell ref="AD4:AE6"/>
  </mergeCells>
  <dataValidations count="2">
    <dataValidation allowBlank="1" showInputMessage="1" showErrorMessage="1" sqref="A2"/>
    <dataValidation type="textLength" operator="between" allowBlank="1" showInputMessage="1" showErrorMessage="1" sqref="AD582:AE582 AD596:AE596">
      <formula1>0</formula1>
      <formula2>120</formula2>
    </dataValidation>
  </dataValidations>
  <printOptions horizontalCentered="1"/>
  <pageMargins left="0.786805555555556" right="0.786805555555556" top="0.786805555555556" bottom="0.590277777777778" header="0.275" footer="0.393055555555556"/>
  <pageSetup paperSize="9" scale="38"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V363"/>
  <sheetViews>
    <sheetView zoomScale="83" zoomScaleNormal="83" workbookViewId="0">
      <pane xSplit="4" ySplit="8" topLeftCell="E15" activePane="bottomRight" state="frozen"/>
      <selection/>
      <selection pane="topRight"/>
      <selection pane="bottomLeft"/>
      <selection pane="bottomRight" activeCell="L21" sqref="L21"/>
    </sheetView>
  </sheetViews>
  <sheetFormatPr defaultColWidth="9" defaultRowHeight="13.5"/>
  <cols>
    <col min="1" max="1" width="3.88333333333333" style="67" customWidth="1"/>
    <col min="2" max="2" width="25.6333333333333" style="68" customWidth="1"/>
    <col min="3" max="3" width="8.63333333333333" style="67" customWidth="1"/>
    <col min="4" max="4" width="6.88333333333333" style="67" customWidth="1"/>
    <col min="5" max="5" width="9.5" style="67" customWidth="1"/>
    <col min="6" max="7" width="10.6333333333333" style="67" customWidth="1"/>
    <col min="8" max="8" width="9.88333333333333" style="67" customWidth="1"/>
    <col min="9" max="9" width="6.88333333333333" style="67" customWidth="1"/>
    <col min="10" max="10" width="14" style="67" customWidth="1"/>
    <col min="11" max="11" width="18.1333333333333" style="67" customWidth="1"/>
    <col min="12" max="12" width="13.75" style="67" customWidth="1"/>
    <col min="13" max="13" width="11.6333333333333" style="67" customWidth="1"/>
    <col min="14" max="14" width="17.75" style="423" customWidth="1"/>
    <col min="15" max="15" width="11" style="423" customWidth="1"/>
    <col min="16" max="16" width="10.1333333333333" style="423" customWidth="1"/>
    <col min="17" max="17" width="10.6333333333333" style="423" customWidth="1"/>
    <col min="18" max="18" width="10.1333333333333" style="423" customWidth="1"/>
    <col min="19" max="21" width="6.63333333333333" style="67" customWidth="1"/>
    <col min="22" max="22" width="17.5" style="68" customWidth="1"/>
    <col min="23" max="16384" width="9" style="68"/>
  </cols>
  <sheetData>
    <row r="1" ht="19.5" customHeight="1" spans="1:22">
      <c r="A1" s="325" t="s">
        <v>0</v>
      </c>
      <c r="B1" s="325"/>
      <c r="C1" s="4"/>
      <c r="D1" s="4"/>
      <c r="E1" s="4"/>
      <c r="F1" s="4"/>
      <c r="G1" s="4"/>
      <c r="H1" s="4"/>
      <c r="I1" s="4"/>
      <c r="J1" s="4"/>
      <c r="K1" s="4"/>
      <c r="L1" s="4"/>
      <c r="M1" s="4"/>
      <c r="N1" s="426"/>
      <c r="O1" s="426"/>
      <c r="P1" s="426"/>
      <c r="Q1" s="426"/>
      <c r="R1" s="426"/>
      <c r="S1" s="4"/>
      <c r="T1" s="4"/>
      <c r="U1" s="4"/>
      <c r="V1" s="69"/>
    </row>
    <row r="2" ht="25.5" customHeight="1" spans="1:22">
      <c r="A2" s="8" t="s">
        <v>1794</v>
      </c>
      <c r="B2" s="8"/>
      <c r="C2" s="8"/>
      <c r="D2" s="8"/>
      <c r="E2" s="8"/>
      <c r="F2" s="8"/>
      <c r="G2" s="8"/>
      <c r="H2" s="8"/>
      <c r="I2" s="8"/>
      <c r="J2" s="8"/>
      <c r="K2" s="8"/>
      <c r="L2" s="8"/>
      <c r="M2" s="8"/>
      <c r="N2" s="427"/>
      <c r="O2" s="427"/>
      <c r="P2" s="427"/>
      <c r="Q2" s="427"/>
      <c r="R2" s="427"/>
      <c r="S2" s="8"/>
      <c r="T2" s="8"/>
      <c r="U2" s="8"/>
      <c r="V2" s="46"/>
    </row>
    <row r="3" s="59" customFormat="1" ht="24" customHeight="1" spans="1:22">
      <c r="A3" s="424" t="s">
        <v>1795</v>
      </c>
      <c r="B3" s="125"/>
      <c r="C3" s="125"/>
      <c r="D3" s="125"/>
      <c r="E3" s="125"/>
      <c r="F3" s="125"/>
      <c r="G3" s="125"/>
      <c r="H3" s="125"/>
      <c r="I3" s="125"/>
      <c r="J3" s="125"/>
      <c r="K3" s="125"/>
      <c r="L3" s="125"/>
      <c r="M3" s="125"/>
      <c r="N3" s="428"/>
      <c r="O3" s="428"/>
      <c r="P3" s="428"/>
      <c r="Q3" s="428"/>
      <c r="R3" s="428"/>
      <c r="S3" s="125"/>
      <c r="T3" s="125"/>
      <c r="U3" s="125"/>
      <c r="V3" s="69"/>
    </row>
    <row r="4" s="59" customFormat="1" ht="21.75" customHeight="1" spans="1:22">
      <c r="A4" s="56" t="s">
        <v>3</v>
      </c>
      <c r="B4" s="56" t="s">
        <v>4</v>
      </c>
      <c r="C4" s="56" t="s">
        <v>1066</v>
      </c>
      <c r="D4" s="112" t="s">
        <v>6</v>
      </c>
      <c r="E4" s="56" t="s">
        <v>736</v>
      </c>
      <c r="F4" s="112" t="s">
        <v>737</v>
      </c>
      <c r="G4" s="112"/>
      <c r="H4" s="56" t="s">
        <v>11</v>
      </c>
      <c r="I4" s="56"/>
      <c r="J4" s="118" t="s">
        <v>12</v>
      </c>
      <c r="K4" s="118"/>
      <c r="L4" s="118"/>
      <c r="M4" s="118"/>
      <c r="N4" s="119" t="s">
        <v>13</v>
      </c>
      <c r="O4" s="119"/>
      <c r="P4" s="119"/>
      <c r="Q4" s="119"/>
      <c r="R4" s="119"/>
      <c r="S4" s="118" t="s">
        <v>18</v>
      </c>
      <c r="T4" s="118"/>
      <c r="U4" s="118" t="s">
        <v>19</v>
      </c>
      <c r="V4" s="56" t="s">
        <v>1796</v>
      </c>
    </row>
    <row r="5" ht="34.5" customHeight="1" spans="1:22">
      <c r="A5" s="56"/>
      <c r="B5" s="56"/>
      <c r="C5" s="56"/>
      <c r="D5" s="112"/>
      <c r="E5" s="56"/>
      <c r="F5" s="56" t="s">
        <v>384</v>
      </c>
      <c r="G5" s="56" t="s">
        <v>147</v>
      </c>
      <c r="H5" s="56" t="s">
        <v>22</v>
      </c>
      <c r="I5" s="56" t="s">
        <v>23</v>
      </c>
      <c r="J5" s="429" t="s">
        <v>38</v>
      </c>
      <c r="K5" s="56" t="s">
        <v>591</v>
      </c>
      <c r="L5" s="56" t="s">
        <v>592</v>
      </c>
      <c r="M5" s="56" t="s">
        <v>593</v>
      </c>
      <c r="N5" s="121" t="s">
        <v>25</v>
      </c>
      <c r="O5" s="121" t="s">
        <v>26</v>
      </c>
      <c r="P5" s="121" t="s">
        <v>27</v>
      </c>
      <c r="Q5" s="121" t="s">
        <v>28</v>
      </c>
      <c r="R5" s="121" t="s">
        <v>29</v>
      </c>
      <c r="S5" s="118"/>
      <c r="T5" s="118"/>
      <c r="U5" s="118"/>
      <c r="V5" s="56"/>
    </row>
    <row r="6" ht="22.5" customHeight="1" spans="1:22">
      <c r="A6" s="56"/>
      <c r="B6" s="56"/>
      <c r="C6" s="56"/>
      <c r="D6" s="56">
        <v>1</v>
      </c>
      <c r="E6" s="56">
        <v>2</v>
      </c>
      <c r="F6" s="56">
        <v>3</v>
      </c>
      <c r="G6" s="56">
        <v>4</v>
      </c>
      <c r="H6" s="56">
        <v>5</v>
      </c>
      <c r="I6" s="56">
        <v>6</v>
      </c>
      <c r="J6" s="56" t="s">
        <v>740</v>
      </c>
      <c r="K6" s="56">
        <v>8</v>
      </c>
      <c r="L6" s="56">
        <v>9</v>
      </c>
      <c r="M6" s="56">
        <v>10</v>
      </c>
      <c r="N6" s="122">
        <v>11</v>
      </c>
      <c r="O6" s="122">
        <v>12</v>
      </c>
      <c r="P6" s="122">
        <v>13</v>
      </c>
      <c r="Q6" s="122">
        <v>14</v>
      </c>
      <c r="R6" s="122">
        <v>15</v>
      </c>
      <c r="S6" s="56">
        <v>16</v>
      </c>
      <c r="T6" s="56">
        <v>17</v>
      </c>
      <c r="U6" s="56">
        <v>18</v>
      </c>
      <c r="V6" s="56"/>
    </row>
    <row r="7" ht="23.25" customHeight="1" spans="1:22">
      <c r="A7" s="425">
        <v>0</v>
      </c>
      <c r="B7" s="425" t="s">
        <v>39</v>
      </c>
      <c r="C7" s="425"/>
      <c r="D7" s="425"/>
      <c r="E7" s="425"/>
      <c r="F7" s="212">
        <f>SUM(F8,F15,F28,F114,F140,F179,F200,F233,F345)</f>
        <v>2158</v>
      </c>
      <c r="G7" s="212">
        <f>SUM(G8,G15,G28,G114,G140,G179,G200,G233,G345)</f>
        <v>3581</v>
      </c>
      <c r="H7" s="212">
        <v>2018</v>
      </c>
      <c r="I7" s="212">
        <v>2020</v>
      </c>
      <c r="J7" s="430">
        <f>K7+L7+M7</f>
        <v>16660.86664718</v>
      </c>
      <c r="K7" s="430">
        <f>SUM(K8,K15,K28,K114,K140,K179,K200,K233,K345)</f>
        <v>7298.966578</v>
      </c>
      <c r="L7" s="430">
        <f t="shared" ref="L7:R7" si="0">SUM(L8,L15,L28,L114,L140,L179,L200,L233,L345)</f>
        <v>7279.0743438</v>
      </c>
      <c r="M7" s="430">
        <f t="shared" si="0"/>
        <v>2082.82572538</v>
      </c>
      <c r="N7" s="430">
        <f t="shared" si="0"/>
        <v>3894.99894318</v>
      </c>
      <c r="O7" s="430">
        <f t="shared" si="0"/>
        <v>9730.373304</v>
      </c>
      <c r="P7" s="430">
        <f t="shared" si="0"/>
        <v>2016.8894</v>
      </c>
      <c r="Q7" s="430">
        <f t="shared" si="0"/>
        <v>1018.605</v>
      </c>
      <c r="R7" s="430">
        <f t="shared" si="0"/>
        <v>0</v>
      </c>
      <c r="S7" s="425"/>
      <c r="T7" s="425"/>
      <c r="U7" s="425"/>
      <c r="V7" s="116"/>
    </row>
    <row r="8" ht="23.25" customHeight="1" spans="1:22">
      <c r="A8" s="71">
        <v>1</v>
      </c>
      <c r="B8" s="74" t="s">
        <v>742</v>
      </c>
      <c r="C8" s="71" t="s">
        <v>52</v>
      </c>
      <c r="D8" s="71" t="s">
        <v>384</v>
      </c>
      <c r="E8" s="212">
        <f>E9+E10+E14</f>
        <v>2042</v>
      </c>
      <c r="F8" s="212">
        <f>F9+F10</f>
        <v>1734</v>
      </c>
      <c r="G8" s="212">
        <f>G9+G10</f>
        <v>3156</v>
      </c>
      <c r="H8" s="212">
        <v>2018</v>
      </c>
      <c r="I8" s="212">
        <v>2019</v>
      </c>
      <c r="J8" s="212">
        <f>K8+L8+M8</f>
        <v>4325.87</v>
      </c>
      <c r="K8" s="212">
        <f>K9+K10+K14</f>
        <v>2987.4</v>
      </c>
      <c r="L8" s="212">
        <f>L9+L10+L14</f>
        <v>1338.47</v>
      </c>
      <c r="M8" s="212">
        <f t="shared" ref="M8:R8" si="1">M9+M10+M14</f>
        <v>0</v>
      </c>
      <c r="N8" s="212">
        <f t="shared" si="1"/>
        <v>46.8</v>
      </c>
      <c r="O8" s="212">
        <f t="shared" si="1"/>
        <v>3982.4</v>
      </c>
      <c r="P8" s="212">
        <f t="shared" si="1"/>
        <v>289.67</v>
      </c>
      <c r="Q8" s="212">
        <f t="shared" si="1"/>
        <v>7</v>
      </c>
      <c r="R8" s="212">
        <f t="shared" si="1"/>
        <v>0</v>
      </c>
      <c r="S8" s="212"/>
      <c r="T8" s="212"/>
      <c r="U8" s="212"/>
      <c r="V8" s="112"/>
    </row>
    <row r="9" ht="23.25" customHeight="1" spans="1:22">
      <c r="A9" s="71">
        <v>2</v>
      </c>
      <c r="B9" s="73" t="s">
        <v>380</v>
      </c>
      <c r="C9" s="71" t="s">
        <v>52</v>
      </c>
      <c r="D9" s="71" t="s">
        <v>384</v>
      </c>
      <c r="E9" s="212">
        <v>1</v>
      </c>
      <c r="F9" s="212">
        <v>1</v>
      </c>
      <c r="G9" s="212">
        <v>6</v>
      </c>
      <c r="H9" s="212">
        <v>2019</v>
      </c>
      <c r="I9" s="212">
        <v>2019</v>
      </c>
      <c r="J9" s="212">
        <f>SUM(K9:M9)</f>
        <v>46.8</v>
      </c>
      <c r="K9" s="212"/>
      <c r="L9" s="212">
        <f>G9*7.8</f>
        <v>46.8</v>
      </c>
      <c r="M9" s="212"/>
      <c r="N9" s="212">
        <f>J9</f>
        <v>46.8</v>
      </c>
      <c r="O9" s="212"/>
      <c r="P9" s="212"/>
      <c r="Q9" s="212"/>
      <c r="R9" s="212"/>
      <c r="S9" s="431" t="s">
        <v>1797</v>
      </c>
      <c r="T9" s="431" t="s">
        <v>1798</v>
      </c>
      <c r="U9" s="431" t="s">
        <v>201</v>
      </c>
      <c r="V9" s="112" t="s">
        <v>1799</v>
      </c>
    </row>
    <row r="10" ht="23.25" customHeight="1" spans="1:22">
      <c r="A10" s="71">
        <v>3</v>
      </c>
      <c r="B10" s="73" t="s">
        <v>761</v>
      </c>
      <c r="C10" s="71" t="s">
        <v>52</v>
      </c>
      <c r="D10" s="71" t="s">
        <v>384</v>
      </c>
      <c r="E10" s="212">
        <f t="shared" ref="E10:G10" si="2">SUM(E11:E13)</f>
        <v>1880</v>
      </c>
      <c r="F10" s="212">
        <f t="shared" si="2"/>
        <v>1733</v>
      </c>
      <c r="G10" s="212">
        <f t="shared" si="2"/>
        <v>3150</v>
      </c>
      <c r="H10" s="212">
        <v>2018</v>
      </c>
      <c r="I10" s="212">
        <v>2018</v>
      </c>
      <c r="J10" s="212">
        <f>SUM(J11:J13)</f>
        <v>3989.4</v>
      </c>
      <c r="K10" s="212">
        <f>SUM(K11:K13)</f>
        <v>2987.4</v>
      </c>
      <c r="L10" s="212">
        <f t="shared" ref="L10:R10" si="3">SUM(L11:L13)</f>
        <v>1002</v>
      </c>
      <c r="M10" s="212">
        <f t="shared" si="3"/>
        <v>0</v>
      </c>
      <c r="N10" s="212">
        <f t="shared" si="3"/>
        <v>0</v>
      </c>
      <c r="O10" s="212">
        <f t="shared" si="3"/>
        <v>3982.4</v>
      </c>
      <c r="P10" s="212">
        <f t="shared" si="3"/>
        <v>0</v>
      </c>
      <c r="Q10" s="212">
        <f t="shared" si="3"/>
        <v>7</v>
      </c>
      <c r="R10" s="212">
        <f t="shared" si="3"/>
        <v>0</v>
      </c>
      <c r="S10" s="431" t="s">
        <v>1797</v>
      </c>
      <c r="T10" s="431" t="s">
        <v>1798</v>
      </c>
      <c r="U10" s="212"/>
      <c r="V10" s="112"/>
    </row>
    <row r="11" ht="23.25" customHeight="1" spans="1:22">
      <c r="A11" s="71">
        <v>4</v>
      </c>
      <c r="B11" s="73" t="s">
        <v>1072</v>
      </c>
      <c r="C11" s="71" t="s">
        <v>52</v>
      </c>
      <c r="D11" s="71" t="s">
        <v>384</v>
      </c>
      <c r="E11" s="212">
        <v>334</v>
      </c>
      <c r="F11" s="212">
        <v>220</v>
      </c>
      <c r="G11" s="212">
        <f>660-6</f>
        <v>654</v>
      </c>
      <c r="H11" s="212">
        <v>2018</v>
      </c>
      <c r="I11" s="212">
        <v>2018</v>
      </c>
      <c r="J11" s="212">
        <v>1002</v>
      </c>
      <c r="K11" s="212"/>
      <c r="L11" s="212">
        <f>J11</f>
        <v>1002</v>
      </c>
      <c r="M11" s="212"/>
      <c r="N11" s="212"/>
      <c r="O11" s="212">
        <f>J11-Q11</f>
        <v>999</v>
      </c>
      <c r="P11" s="212"/>
      <c r="Q11" s="212">
        <v>3</v>
      </c>
      <c r="R11" s="212"/>
      <c r="S11" s="431" t="s">
        <v>1797</v>
      </c>
      <c r="T11" s="431" t="s">
        <v>1798</v>
      </c>
      <c r="U11" s="431" t="s">
        <v>273</v>
      </c>
      <c r="V11" s="112" t="s">
        <v>1800</v>
      </c>
    </row>
    <row r="12" ht="23.25" customHeight="1" spans="1:22">
      <c r="A12" s="71">
        <v>5</v>
      </c>
      <c r="B12" s="73" t="s">
        <v>1074</v>
      </c>
      <c r="C12" s="71" t="s">
        <v>52</v>
      </c>
      <c r="D12" s="71" t="s">
        <v>384</v>
      </c>
      <c r="E12" s="212">
        <v>1453</v>
      </c>
      <c r="F12" s="212">
        <v>1446</v>
      </c>
      <c r="G12" s="212">
        <v>2377</v>
      </c>
      <c r="H12" s="212">
        <v>2018</v>
      </c>
      <c r="I12" s="212">
        <v>2018</v>
      </c>
      <c r="J12" s="212">
        <v>2615.4</v>
      </c>
      <c r="K12" s="212">
        <f>J12</f>
        <v>2615.4</v>
      </c>
      <c r="L12" s="212"/>
      <c r="M12" s="212"/>
      <c r="N12" s="212"/>
      <c r="O12" s="212">
        <f>J12</f>
        <v>2615.4</v>
      </c>
      <c r="P12" s="212"/>
      <c r="Q12" s="212"/>
      <c r="R12" s="212"/>
      <c r="S12" s="431" t="s">
        <v>1797</v>
      </c>
      <c r="T12" s="431" t="s">
        <v>1798</v>
      </c>
      <c r="U12" s="431" t="s">
        <v>273</v>
      </c>
      <c r="V12" s="112" t="s">
        <v>1800</v>
      </c>
    </row>
    <row r="13" ht="23.25" customHeight="1" spans="1:22">
      <c r="A13" s="71">
        <v>6</v>
      </c>
      <c r="B13" s="74" t="s">
        <v>1075</v>
      </c>
      <c r="C13" s="71" t="s">
        <v>52</v>
      </c>
      <c r="D13" s="71" t="s">
        <v>384</v>
      </c>
      <c r="E13" s="212">
        <v>93</v>
      </c>
      <c r="F13" s="212">
        <v>67</v>
      </c>
      <c r="G13" s="212">
        <v>119</v>
      </c>
      <c r="H13" s="212">
        <v>2018</v>
      </c>
      <c r="I13" s="212">
        <v>2018</v>
      </c>
      <c r="J13" s="212">
        <v>372</v>
      </c>
      <c r="K13" s="212">
        <f>J13</f>
        <v>372</v>
      </c>
      <c r="L13" s="212"/>
      <c r="M13" s="212"/>
      <c r="N13" s="212"/>
      <c r="O13" s="212">
        <f>J13-4</f>
        <v>368</v>
      </c>
      <c r="P13" s="212"/>
      <c r="Q13" s="212">
        <v>4</v>
      </c>
      <c r="R13" s="212"/>
      <c r="S13" s="431" t="s">
        <v>1797</v>
      </c>
      <c r="T13" s="431" t="s">
        <v>1798</v>
      </c>
      <c r="U13" s="431" t="s">
        <v>273</v>
      </c>
      <c r="V13" s="112" t="s">
        <v>1800</v>
      </c>
    </row>
    <row r="14" ht="23.25" customHeight="1" spans="1:22">
      <c r="A14" s="71">
        <v>7</v>
      </c>
      <c r="B14" s="73" t="s">
        <v>1076</v>
      </c>
      <c r="C14" s="71" t="s">
        <v>52</v>
      </c>
      <c r="D14" s="71" t="s">
        <v>384</v>
      </c>
      <c r="E14" s="212">
        <v>161</v>
      </c>
      <c r="F14" s="212">
        <v>0</v>
      </c>
      <c r="G14" s="212">
        <v>0</v>
      </c>
      <c r="H14" s="212">
        <v>2018</v>
      </c>
      <c r="I14" s="212">
        <v>2018</v>
      </c>
      <c r="J14" s="212">
        <f>SUM(K14:M14)</f>
        <v>289.67</v>
      </c>
      <c r="K14" s="212"/>
      <c r="L14" s="212">
        <f>E14*1.8-K14-0.13</f>
        <v>289.67</v>
      </c>
      <c r="M14" s="212"/>
      <c r="N14" s="212"/>
      <c r="O14" s="212"/>
      <c r="P14" s="212">
        <f>J14</f>
        <v>289.67</v>
      </c>
      <c r="Q14" s="212"/>
      <c r="R14" s="212"/>
      <c r="S14" s="431" t="s">
        <v>1797</v>
      </c>
      <c r="T14" s="431" t="s">
        <v>1798</v>
      </c>
      <c r="U14" s="431" t="s">
        <v>273</v>
      </c>
      <c r="V14" s="112" t="s">
        <v>1800</v>
      </c>
    </row>
    <row r="15" ht="23.25" customHeight="1" spans="1:22">
      <c r="A15" s="71">
        <v>8</v>
      </c>
      <c r="B15" s="74" t="s">
        <v>779</v>
      </c>
      <c r="C15" s="71"/>
      <c r="D15" s="71"/>
      <c r="E15" s="71">
        <f t="shared" ref="E15:G15" si="4">E16+E19+E20+E21+E22+E27</f>
        <v>326</v>
      </c>
      <c r="F15" s="71">
        <f t="shared" si="4"/>
        <v>326</v>
      </c>
      <c r="G15" s="71">
        <f t="shared" si="4"/>
        <v>326</v>
      </c>
      <c r="H15" s="71">
        <v>2018</v>
      </c>
      <c r="I15" s="71">
        <v>2020</v>
      </c>
      <c r="J15" s="212">
        <f>K15+L15+M15</f>
        <v>428.175</v>
      </c>
      <c r="K15" s="86">
        <f t="shared" ref="K15:P15" si="5">SUM(K19:K22)</f>
        <v>142.725</v>
      </c>
      <c r="L15" s="86">
        <f t="shared" si="5"/>
        <v>142.725</v>
      </c>
      <c r="M15" s="86">
        <f t="shared" si="5"/>
        <v>142.725</v>
      </c>
      <c r="N15" s="86">
        <f t="shared" si="5"/>
        <v>212.475</v>
      </c>
      <c r="O15" s="86">
        <f t="shared" si="5"/>
        <v>95.4</v>
      </c>
      <c r="P15" s="86">
        <f t="shared" si="5"/>
        <v>120.3</v>
      </c>
      <c r="Q15" s="86"/>
      <c r="R15" s="76"/>
      <c r="S15" s="86" t="s">
        <v>1801</v>
      </c>
      <c r="T15" s="86" t="s">
        <v>1802</v>
      </c>
      <c r="U15" s="71"/>
      <c r="V15" s="56"/>
    </row>
    <row r="16" ht="31.5" customHeight="1" spans="1:22">
      <c r="A16" s="71">
        <v>9</v>
      </c>
      <c r="B16" s="73" t="s">
        <v>295</v>
      </c>
      <c r="C16" s="71"/>
      <c r="D16" s="71" t="s">
        <v>147</v>
      </c>
      <c r="E16" s="71"/>
      <c r="F16" s="71"/>
      <c r="G16" s="71"/>
      <c r="H16" s="71"/>
      <c r="I16" s="71"/>
      <c r="J16" s="86"/>
      <c r="K16" s="86"/>
      <c r="L16" s="86"/>
      <c r="M16" s="86"/>
      <c r="N16" s="86"/>
      <c r="O16" s="86"/>
      <c r="P16" s="86"/>
      <c r="Q16" s="86"/>
      <c r="R16" s="76"/>
      <c r="S16" s="71" t="s">
        <v>1801</v>
      </c>
      <c r="T16" s="71" t="s">
        <v>1802</v>
      </c>
      <c r="U16" s="86" t="s">
        <v>294</v>
      </c>
      <c r="V16" s="56"/>
    </row>
    <row r="17" ht="31.5" customHeight="1" spans="1:22">
      <c r="A17" s="71">
        <v>10</v>
      </c>
      <c r="B17" s="73" t="s">
        <v>783</v>
      </c>
      <c r="C17" s="71"/>
      <c r="D17" s="71" t="s">
        <v>147</v>
      </c>
      <c r="E17" s="71"/>
      <c r="F17" s="71"/>
      <c r="G17" s="71"/>
      <c r="H17" s="71"/>
      <c r="I17" s="71"/>
      <c r="J17" s="86"/>
      <c r="K17" s="86"/>
      <c r="L17" s="86"/>
      <c r="M17" s="86"/>
      <c r="N17" s="86"/>
      <c r="O17" s="86"/>
      <c r="P17" s="86"/>
      <c r="Q17" s="86"/>
      <c r="R17" s="76"/>
      <c r="S17" s="71" t="s">
        <v>1801</v>
      </c>
      <c r="T17" s="71" t="s">
        <v>1802</v>
      </c>
      <c r="U17" s="86" t="s">
        <v>294</v>
      </c>
      <c r="V17" s="56"/>
    </row>
    <row r="18" ht="31.5" customHeight="1" spans="1:22">
      <c r="A18" s="71">
        <v>11</v>
      </c>
      <c r="B18" s="73" t="s">
        <v>784</v>
      </c>
      <c r="C18" s="71"/>
      <c r="D18" s="71" t="s">
        <v>147</v>
      </c>
      <c r="E18" s="71"/>
      <c r="F18" s="71"/>
      <c r="G18" s="71"/>
      <c r="H18" s="71"/>
      <c r="I18" s="71"/>
      <c r="J18" s="86"/>
      <c r="K18" s="86"/>
      <c r="L18" s="86"/>
      <c r="M18" s="86"/>
      <c r="N18" s="86"/>
      <c r="O18" s="86"/>
      <c r="P18" s="86"/>
      <c r="Q18" s="86"/>
      <c r="R18" s="76"/>
      <c r="S18" s="71" t="s">
        <v>1801</v>
      </c>
      <c r="T18" s="71" t="s">
        <v>1802</v>
      </c>
      <c r="U18" s="86" t="s">
        <v>294</v>
      </c>
      <c r="V18" s="56"/>
    </row>
    <row r="19" ht="23.25" customHeight="1" spans="1:22">
      <c r="A19" s="71">
        <v>12</v>
      </c>
      <c r="B19" s="73" t="s">
        <v>319</v>
      </c>
      <c r="C19" s="71"/>
      <c r="D19" s="71" t="s">
        <v>147</v>
      </c>
      <c r="E19" s="71">
        <v>41</v>
      </c>
      <c r="F19" s="71">
        <v>41</v>
      </c>
      <c r="G19" s="71">
        <v>41</v>
      </c>
      <c r="H19" s="71">
        <v>2018</v>
      </c>
      <c r="I19" s="71">
        <v>2020</v>
      </c>
      <c r="J19" s="71">
        <f t="shared" ref="J19:J21" si="6">SUM(K19:M19)</f>
        <v>15.375</v>
      </c>
      <c r="K19" s="71">
        <f>E19*0.125</f>
        <v>5.125</v>
      </c>
      <c r="L19" s="71">
        <f>E19*0.125</f>
        <v>5.125</v>
      </c>
      <c r="M19" s="71">
        <f>E19*0.125</f>
        <v>5.125</v>
      </c>
      <c r="N19" s="71"/>
      <c r="O19" s="71"/>
      <c r="P19" s="71">
        <f>E19*0.125*3</f>
        <v>15.375</v>
      </c>
      <c r="Q19" s="71"/>
      <c r="R19" s="71"/>
      <c r="S19" s="71" t="s">
        <v>1801</v>
      </c>
      <c r="T19" s="71" t="s">
        <v>1802</v>
      </c>
      <c r="U19" s="86" t="s">
        <v>294</v>
      </c>
      <c r="V19" s="112" t="s">
        <v>1800</v>
      </c>
    </row>
    <row r="20" ht="23.25" customHeight="1" spans="1:22">
      <c r="A20" s="71">
        <v>13</v>
      </c>
      <c r="B20" s="73" t="s">
        <v>321</v>
      </c>
      <c r="C20" s="71"/>
      <c r="D20" s="71" t="s">
        <v>147</v>
      </c>
      <c r="E20" s="71">
        <v>99</v>
      </c>
      <c r="F20" s="71">
        <v>99</v>
      </c>
      <c r="G20" s="71">
        <v>99</v>
      </c>
      <c r="H20" s="71">
        <v>2018</v>
      </c>
      <c r="I20" s="71">
        <v>2020</v>
      </c>
      <c r="J20" s="71">
        <f t="shared" si="6"/>
        <v>163.35</v>
      </c>
      <c r="K20" s="71">
        <f t="shared" ref="K20:K24" si="7">E20*0.55</f>
        <v>54.45</v>
      </c>
      <c r="L20" s="71">
        <f t="shared" ref="L20:L24" si="8">E20*0.55</f>
        <v>54.45</v>
      </c>
      <c r="M20" s="71">
        <f t="shared" ref="M20:M24" si="9">E20*0.55</f>
        <v>54.45</v>
      </c>
      <c r="N20" s="71">
        <f>E20*3*0.425</f>
        <v>126.225</v>
      </c>
      <c r="O20" s="71"/>
      <c r="P20" s="71">
        <f>E20*3*0.125</f>
        <v>37.125</v>
      </c>
      <c r="Q20" s="71"/>
      <c r="R20" s="71"/>
      <c r="S20" s="71" t="s">
        <v>1801</v>
      </c>
      <c r="T20" s="71" t="s">
        <v>1802</v>
      </c>
      <c r="U20" s="86" t="s">
        <v>294</v>
      </c>
      <c r="V20" s="112" t="s">
        <v>1800</v>
      </c>
    </row>
    <row r="21" ht="23.25" customHeight="1" spans="1:22">
      <c r="A21" s="71">
        <v>14</v>
      </c>
      <c r="B21" s="73" t="s">
        <v>322</v>
      </c>
      <c r="C21" s="71"/>
      <c r="D21" s="71" t="s">
        <v>147</v>
      </c>
      <c r="E21" s="71">
        <v>53</v>
      </c>
      <c r="F21" s="71">
        <v>53</v>
      </c>
      <c r="G21" s="71">
        <v>53</v>
      </c>
      <c r="H21" s="71">
        <v>2018</v>
      </c>
      <c r="I21" s="71">
        <v>2020</v>
      </c>
      <c r="J21" s="71">
        <f t="shared" si="6"/>
        <v>87.45</v>
      </c>
      <c r="K21" s="71">
        <f t="shared" si="7"/>
        <v>29.15</v>
      </c>
      <c r="L21" s="71">
        <f t="shared" si="8"/>
        <v>29.15</v>
      </c>
      <c r="M21" s="71">
        <f t="shared" si="9"/>
        <v>29.15</v>
      </c>
      <c r="N21" s="71">
        <f>E21*3*0.2</f>
        <v>31.8</v>
      </c>
      <c r="O21" s="71">
        <f>E21*3*0.3</f>
        <v>47.7</v>
      </c>
      <c r="P21" s="71">
        <f>E21*3*0.05</f>
        <v>7.95</v>
      </c>
      <c r="Q21" s="71"/>
      <c r="R21" s="71"/>
      <c r="S21" s="71" t="s">
        <v>1801</v>
      </c>
      <c r="T21" s="71" t="s">
        <v>1802</v>
      </c>
      <c r="U21" s="86" t="s">
        <v>294</v>
      </c>
      <c r="V21" s="112" t="s">
        <v>1800</v>
      </c>
    </row>
    <row r="22" ht="23.25" customHeight="1" spans="1:22">
      <c r="A22" s="71">
        <v>15</v>
      </c>
      <c r="B22" s="73" t="s">
        <v>323</v>
      </c>
      <c r="C22" s="71"/>
      <c r="D22" s="71" t="s">
        <v>147</v>
      </c>
      <c r="E22" s="71">
        <f t="shared" ref="E22:P22" si="10">SUM(E23:E26)</f>
        <v>133</v>
      </c>
      <c r="F22" s="71">
        <f t="shared" si="10"/>
        <v>133</v>
      </c>
      <c r="G22" s="71">
        <v>133</v>
      </c>
      <c r="H22" s="71">
        <v>2018</v>
      </c>
      <c r="I22" s="71">
        <v>2020</v>
      </c>
      <c r="J22" s="71">
        <f t="shared" si="10"/>
        <v>162</v>
      </c>
      <c r="K22" s="71">
        <f t="shared" si="10"/>
        <v>54</v>
      </c>
      <c r="L22" s="71">
        <f t="shared" si="10"/>
        <v>54</v>
      </c>
      <c r="M22" s="71">
        <f t="shared" si="10"/>
        <v>54</v>
      </c>
      <c r="N22" s="71">
        <f t="shared" si="10"/>
        <v>54.45</v>
      </c>
      <c r="O22" s="71">
        <f t="shared" si="10"/>
        <v>47.7</v>
      </c>
      <c r="P22" s="71">
        <f t="shared" si="10"/>
        <v>59.85</v>
      </c>
      <c r="Q22" s="71"/>
      <c r="R22" s="71"/>
      <c r="S22" s="71" t="s">
        <v>1801</v>
      </c>
      <c r="T22" s="71" t="s">
        <v>1802</v>
      </c>
      <c r="U22" s="86" t="s">
        <v>294</v>
      </c>
      <c r="V22" s="112" t="s">
        <v>1800</v>
      </c>
    </row>
    <row r="23" ht="23.25" customHeight="1" spans="1:22">
      <c r="A23" s="71">
        <v>16</v>
      </c>
      <c r="B23" s="71" t="s">
        <v>1803</v>
      </c>
      <c r="C23" s="71"/>
      <c r="D23" s="71" t="s">
        <v>147</v>
      </c>
      <c r="E23" s="71">
        <v>20</v>
      </c>
      <c r="F23" s="71">
        <v>20</v>
      </c>
      <c r="G23" s="71">
        <v>20</v>
      </c>
      <c r="H23" s="71">
        <v>2018</v>
      </c>
      <c r="I23" s="71">
        <v>2020</v>
      </c>
      <c r="J23" s="71">
        <f t="shared" ref="J23:J26" si="11">SUM(K23:M23)</f>
        <v>36</v>
      </c>
      <c r="K23" s="71">
        <f>E23*0.6</f>
        <v>12</v>
      </c>
      <c r="L23" s="71">
        <f>E23*0.6</f>
        <v>12</v>
      </c>
      <c r="M23" s="71">
        <f>E23*0.6</f>
        <v>12</v>
      </c>
      <c r="N23" s="71">
        <f>E23*0.15*3</f>
        <v>9</v>
      </c>
      <c r="O23" s="71">
        <f>E23*0.3*3</f>
        <v>18</v>
      </c>
      <c r="P23" s="71">
        <f t="shared" ref="P23:P25" si="12">E23*0.15*3</f>
        <v>9</v>
      </c>
      <c r="Q23" s="71"/>
      <c r="R23" s="71"/>
      <c r="S23" s="71" t="s">
        <v>1801</v>
      </c>
      <c r="T23" s="71" t="s">
        <v>1802</v>
      </c>
      <c r="U23" s="86" t="s">
        <v>294</v>
      </c>
      <c r="V23" s="112" t="s">
        <v>1804</v>
      </c>
    </row>
    <row r="24" ht="23.25" customHeight="1" spans="1:22">
      <c r="A24" s="71">
        <v>17</v>
      </c>
      <c r="B24" s="71" t="s">
        <v>1805</v>
      </c>
      <c r="C24" s="71"/>
      <c r="D24" s="71" t="s">
        <v>147</v>
      </c>
      <c r="E24" s="71">
        <v>33</v>
      </c>
      <c r="F24" s="71">
        <v>33</v>
      </c>
      <c r="G24" s="71">
        <v>33</v>
      </c>
      <c r="H24" s="71">
        <v>2018</v>
      </c>
      <c r="I24" s="71">
        <v>2020</v>
      </c>
      <c r="J24" s="71">
        <f t="shared" si="11"/>
        <v>54.45</v>
      </c>
      <c r="K24" s="71">
        <f t="shared" si="7"/>
        <v>18.15</v>
      </c>
      <c r="L24" s="71">
        <f t="shared" si="8"/>
        <v>18.15</v>
      </c>
      <c r="M24" s="71">
        <f t="shared" si="9"/>
        <v>18.15</v>
      </c>
      <c r="N24" s="71">
        <f>E24*0.1*3</f>
        <v>9.9</v>
      </c>
      <c r="O24" s="71">
        <f>E24*0.3*3</f>
        <v>29.7</v>
      </c>
      <c r="P24" s="71">
        <f t="shared" si="12"/>
        <v>14.85</v>
      </c>
      <c r="Q24" s="71"/>
      <c r="R24" s="71"/>
      <c r="S24" s="71" t="s">
        <v>1801</v>
      </c>
      <c r="T24" s="71" t="s">
        <v>1802</v>
      </c>
      <c r="U24" s="86" t="s">
        <v>294</v>
      </c>
      <c r="V24" s="112" t="s">
        <v>1804</v>
      </c>
    </row>
    <row r="25" ht="23.25" customHeight="1" spans="1:22">
      <c r="A25" s="71">
        <v>18</v>
      </c>
      <c r="B25" s="71" t="s">
        <v>1806</v>
      </c>
      <c r="C25" s="71"/>
      <c r="D25" s="71" t="s">
        <v>147</v>
      </c>
      <c r="E25" s="71">
        <v>79</v>
      </c>
      <c r="F25" s="71">
        <v>79</v>
      </c>
      <c r="G25" s="71">
        <v>79</v>
      </c>
      <c r="H25" s="71">
        <v>2018</v>
      </c>
      <c r="I25" s="71">
        <v>2020</v>
      </c>
      <c r="J25" s="71">
        <f t="shared" si="11"/>
        <v>71.1</v>
      </c>
      <c r="K25" s="71">
        <f>E25*0.3</f>
        <v>23.7</v>
      </c>
      <c r="L25" s="71">
        <f>E25*0.3</f>
        <v>23.7</v>
      </c>
      <c r="M25" s="71">
        <f>E25*0.3</f>
        <v>23.7</v>
      </c>
      <c r="N25" s="71">
        <f>E25*0.15*3</f>
        <v>35.55</v>
      </c>
      <c r="O25" s="71"/>
      <c r="P25" s="71">
        <f t="shared" si="12"/>
        <v>35.55</v>
      </c>
      <c r="Q25" s="71"/>
      <c r="R25" s="71"/>
      <c r="S25" s="71" t="s">
        <v>1801</v>
      </c>
      <c r="T25" s="71" t="s">
        <v>1802</v>
      </c>
      <c r="U25" s="86" t="s">
        <v>294</v>
      </c>
      <c r="V25" s="112" t="s">
        <v>1804</v>
      </c>
    </row>
    <row r="26" ht="23.25" customHeight="1" spans="1:22">
      <c r="A26" s="71">
        <v>19</v>
      </c>
      <c r="B26" s="71" t="s">
        <v>1807</v>
      </c>
      <c r="C26" s="71"/>
      <c r="D26" s="71" t="s">
        <v>147</v>
      </c>
      <c r="E26" s="71">
        <v>1</v>
      </c>
      <c r="F26" s="71">
        <v>1</v>
      </c>
      <c r="G26" s="71">
        <v>1</v>
      </c>
      <c r="H26" s="71">
        <v>2018</v>
      </c>
      <c r="I26" s="71">
        <v>2020</v>
      </c>
      <c r="J26" s="71">
        <f t="shared" si="11"/>
        <v>0.45</v>
      </c>
      <c r="K26" s="71">
        <f>E26*0.15</f>
        <v>0.15</v>
      </c>
      <c r="L26" s="71">
        <f>E26*0.15</f>
        <v>0.15</v>
      </c>
      <c r="M26" s="71">
        <f>E26*0.15</f>
        <v>0.15</v>
      </c>
      <c r="N26" s="71"/>
      <c r="O26" s="71"/>
      <c r="P26" s="71">
        <f>J26</f>
        <v>0.45</v>
      </c>
      <c r="Q26" s="71"/>
      <c r="R26" s="71"/>
      <c r="S26" s="71" t="s">
        <v>1801</v>
      </c>
      <c r="T26" s="71" t="s">
        <v>1802</v>
      </c>
      <c r="U26" s="86" t="s">
        <v>294</v>
      </c>
      <c r="V26" s="112" t="s">
        <v>1804</v>
      </c>
    </row>
    <row r="27" ht="23.25" customHeight="1" spans="1:22">
      <c r="A27" s="71">
        <v>20</v>
      </c>
      <c r="B27" s="73" t="s">
        <v>324</v>
      </c>
      <c r="C27" s="71"/>
      <c r="D27" s="71" t="s">
        <v>147</v>
      </c>
      <c r="E27" s="71"/>
      <c r="F27" s="71"/>
      <c r="G27" s="71"/>
      <c r="H27" s="71"/>
      <c r="I27" s="71"/>
      <c r="J27" s="71"/>
      <c r="K27" s="71"/>
      <c r="L27" s="71"/>
      <c r="M27" s="71"/>
      <c r="N27" s="71"/>
      <c r="O27" s="71"/>
      <c r="P27" s="71"/>
      <c r="Q27" s="71"/>
      <c r="R27" s="71"/>
      <c r="S27" s="71" t="s">
        <v>1801</v>
      </c>
      <c r="T27" s="71" t="s">
        <v>1802</v>
      </c>
      <c r="U27" s="86" t="s">
        <v>294</v>
      </c>
      <c r="V27" s="56"/>
    </row>
    <row r="28" ht="23.25" customHeight="1" spans="1:22">
      <c r="A28" s="71">
        <v>21</v>
      </c>
      <c r="B28" s="74" t="s">
        <v>802</v>
      </c>
      <c r="C28" s="71"/>
      <c r="D28" s="71"/>
      <c r="E28" s="71"/>
      <c r="F28" s="71"/>
      <c r="G28" s="71"/>
      <c r="H28" s="71"/>
      <c r="I28" s="71"/>
      <c r="J28" s="212">
        <f>K28+L28+M28</f>
        <v>638.34613518</v>
      </c>
      <c r="K28" s="86">
        <f t="shared" ref="K28:R28" si="13">SUM(K29,K38,K47,K56,K65)</f>
        <v>207.152778</v>
      </c>
      <c r="L28" s="86">
        <f t="shared" si="13"/>
        <v>212.6004558</v>
      </c>
      <c r="M28" s="86">
        <f t="shared" si="13"/>
        <v>218.59290138</v>
      </c>
      <c r="N28" s="86">
        <f t="shared" si="13"/>
        <v>450.55573518</v>
      </c>
      <c r="O28" s="86">
        <f t="shared" si="13"/>
        <v>0</v>
      </c>
      <c r="P28" s="86">
        <f t="shared" si="13"/>
        <v>187.7904</v>
      </c>
      <c r="Q28" s="86">
        <f t="shared" si="13"/>
        <v>0</v>
      </c>
      <c r="R28" s="86">
        <f t="shared" si="13"/>
        <v>0</v>
      </c>
      <c r="S28" s="86"/>
      <c r="T28" s="86"/>
      <c r="U28" s="71"/>
      <c r="V28" s="56"/>
    </row>
    <row r="29" ht="23.25" customHeight="1" spans="1:22">
      <c r="A29" s="71">
        <v>22</v>
      </c>
      <c r="B29" s="73" t="s">
        <v>327</v>
      </c>
      <c r="C29" s="71"/>
      <c r="D29" s="71" t="s">
        <v>147</v>
      </c>
      <c r="E29" s="71">
        <v>8482</v>
      </c>
      <c r="F29" s="71">
        <v>2057</v>
      </c>
      <c r="G29" s="71">
        <v>8482</v>
      </c>
      <c r="H29" s="71">
        <v>2018</v>
      </c>
      <c r="I29" s="71">
        <v>2020</v>
      </c>
      <c r="J29" s="86">
        <f t="shared" ref="J29:J37" si="14">SUM(K29:M29)</f>
        <v>458.028</v>
      </c>
      <c r="K29" s="86">
        <f t="shared" ref="K29:K37" si="15">G29*0.018</f>
        <v>152.676</v>
      </c>
      <c r="L29" s="86">
        <f t="shared" ref="L29:L37" si="16">G29*0.018</f>
        <v>152.676</v>
      </c>
      <c r="M29" s="86">
        <f t="shared" ref="M29:M37" si="17">G29*0.018</f>
        <v>152.676</v>
      </c>
      <c r="N29" s="86">
        <f t="shared" ref="N29:N37" si="18">J29-P29</f>
        <v>270.2376</v>
      </c>
      <c r="O29" s="86"/>
      <c r="P29" s="86">
        <f>(4665*0.009+3817*0.0054)*3</f>
        <v>187.7904</v>
      </c>
      <c r="Q29" s="86"/>
      <c r="R29" s="76"/>
      <c r="S29" s="86" t="s">
        <v>1808</v>
      </c>
      <c r="T29" s="86" t="s">
        <v>1802</v>
      </c>
      <c r="U29" s="86" t="s">
        <v>195</v>
      </c>
      <c r="V29" s="112" t="s">
        <v>1800</v>
      </c>
    </row>
    <row r="30" ht="23.25" customHeight="1" spans="1:22">
      <c r="A30" s="71"/>
      <c r="B30" s="71" t="s">
        <v>1809</v>
      </c>
      <c r="C30" s="71"/>
      <c r="D30" s="71"/>
      <c r="E30" s="71">
        <v>891</v>
      </c>
      <c r="F30" s="71">
        <v>214</v>
      </c>
      <c r="G30" s="71">
        <v>891</v>
      </c>
      <c r="H30" s="71">
        <v>2018</v>
      </c>
      <c r="I30" s="71">
        <v>2020</v>
      </c>
      <c r="J30" s="86">
        <f t="shared" si="14"/>
        <v>48.114</v>
      </c>
      <c r="K30" s="86">
        <f t="shared" si="15"/>
        <v>16.038</v>
      </c>
      <c r="L30" s="86">
        <f t="shared" si="16"/>
        <v>16.038</v>
      </c>
      <c r="M30" s="86">
        <f t="shared" si="17"/>
        <v>16.038</v>
      </c>
      <c r="N30" s="86">
        <f t="shared" si="18"/>
        <v>24.6294</v>
      </c>
      <c r="O30" s="86"/>
      <c r="P30" s="86">
        <v>23.4846</v>
      </c>
      <c r="Q30" s="86"/>
      <c r="R30" s="76"/>
      <c r="S30" s="86"/>
      <c r="T30" s="86"/>
      <c r="U30" s="86"/>
      <c r="V30" s="112"/>
    </row>
    <row r="31" ht="23.25" customHeight="1" spans="1:22">
      <c r="A31" s="71"/>
      <c r="B31" s="71" t="s">
        <v>1810</v>
      </c>
      <c r="C31" s="71"/>
      <c r="D31" s="71"/>
      <c r="E31" s="71">
        <v>1453</v>
      </c>
      <c r="F31" s="71">
        <v>361</v>
      </c>
      <c r="G31" s="71">
        <v>1453</v>
      </c>
      <c r="H31" s="71">
        <v>2018</v>
      </c>
      <c r="I31" s="71">
        <v>2020</v>
      </c>
      <c r="J31" s="86">
        <f t="shared" si="14"/>
        <v>78.462</v>
      </c>
      <c r="K31" s="86">
        <f t="shared" si="15"/>
        <v>26.154</v>
      </c>
      <c r="L31" s="86">
        <f t="shared" si="16"/>
        <v>26.154</v>
      </c>
      <c r="M31" s="86">
        <f t="shared" si="17"/>
        <v>26.154</v>
      </c>
      <c r="N31" s="86">
        <f t="shared" si="18"/>
        <v>46.845</v>
      </c>
      <c r="O31" s="86"/>
      <c r="P31" s="86">
        <v>31.617</v>
      </c>
      <c r="Q31" s="86"/>
      <c r="R31" s="76"/>
      <c r="S31" s="86"/>
      <c r="T31" s="86"/>
      <c r="U31" s="86"/>
      <c r="V31" s="112"/>
    </row>
    <row r="32" ht="23.25" customHeight="1" spans="1:22">
      <c r="A32" s="71"/>
      <c r="B32" s="71" t="s">
        <v>1811</v>
      </c>
      <c r="C32" s="71"/>
      <c r="D32" s="71"/>
      <c r="E32" s="71">
        <v>1101</v>
      </c>
      <c r="F32" s="71">
        <v>278</v>
      </c>
      <c r="G32" s="71">
        <v>1101</v>
      </c>
      <c r="H32" s="71">
        <v>2018</v>
      </c>
      <c r="I32" s="71">
        <v>2020</v>
      </c>
      <c r="J32" s="86">
        <f t="shared" si="14"/>
        <v>59.454</v>
      </c>
      <c r="K32" s="86">
        <f t="shared" si="15"/>
        <v>19.818</v>
      </c>
      <c r="L32" s="86">
        <f t="shared" si="16"/>
        <v>19.818</v>
      </c>
      <c r="M32" s="86">
        <f t="shared" si="17"/>
        <v>19.818</v>
      </c>
      <c r="N32" s="86">
        <f t="shared" si="18"/>
        <v>34.9974</v>
      </c>
      <c r="O32" s="86"/>
      <c r="P32" s="86">
        <v>24.4566</v>
      </c>
      <c r="Q32" s="86"/>
      <c r="R32" s="76"/>
      <c r="S32" s="86"/>
      <c r="T32" s="86"/>
      <c r="U32" s="86"/>
      <c r="V32" s="112"/>
    </row>
    <row r="33" ht="23.25" customHeight="1" spans="1:22">
      <c r="A33" s="71"/>
      <c r="B33" s="71" t="s">
        <v>1812</v>
      </c>
      <c r="C33" s="71"/>
      <c r="D33" s="71"/>
      <c r="E33" s="71">
        <v>557</v>
      </c>
      <c r="F33" s="71">
        <v>139</v>
      </c>
      <c r="G33" s="71">
        <v>557</v>
      </c>
      <c r="H33" s="71">
        <v>2018</v>
      </c>
      <c r="I33" s="71">
        <v>2020</v>
      </c>
      <c r="J33" s="86">
        <f t="shared" si="14"/>
        <v>30.078</v>
      </c>
      <c r="K33" s="86">
        <f t="shared" si="15"/>
        <v>10.026</v>
      </c>
      <c r="L33" s="86">
        <f t="shared" si="16"/>
        <v>10.026</v>
      </c>
      <c r="M33" s="86">
        <f t="shared" si="17"/>
        <v>10.026</v>
      </c>
      <c r="N33" s="86">
        <f t="shared" si="18"/>
        <v>17.847</v>
      </c>
      <c r="O33" s="86"/>
      <c r="P33" s="86">
        <v>12.231</v>
      </c>
      <c r="Q33" s="86"/>
      <c r="R33" s="76"/>
      <c r="S33" s="86"/>
      <c r="T33" s="86"/>
      <c r="U33" s="86"/>
      <c r="V33" s="112"/>
    </row>
    <row r="34" ht="23.25" customHeight="1" spans="1:22">
      <c r="A34" s="71"/>
      <c r="B34" s="71" t="s">
        <v>1813</v>
      </c>
      <c r="C34" s="71"/>
      <c r="D34" s="71"/>
      <c r="E34" s="71">
        <v>1204</v>
      </c>
      <c r="F34" s="71">
        <v>292</v>
      </c>
      <c r="G34" s="71">
        <v>1204</v>
      </c>
      <c r="H34" s="71">
        <v>2018</v>
      </c>
      <c r="I34" s="71">
        <v>2020</v>
      </c>
      <c r="J34" s="86">
        <f t="shared" si="14"/>
        <v>65.016</v>
      </c>
      <c r="K34" s="86">
        <f t="shared" si="15"/>
        <v>21.672</v>
      </c>
      <c r="L34" s="86">
        <f t="shared" si="16"/>
        <v>21.672</v>
      </c>
      <c r="M34" s="86">
        <f t="shared" si="17"/>
        <v>21.672</v>
      </c>
      <c r="N34" s="86">
        <f t="shared" si="18"/>
        <v>37.584</v>
      </c>
      <c r="O34" s="86"/>
      <c r="P34" s="86">
        <v>27.432</v>
      </c>
      <c r="Q34" s="86"/>
      <c r="R34" s="76"/>
      <c r="S34" s="86"/>
      <c r="T34" s="86"/>
      <c r="U34" s="86"/>
      <c r="V34" s="112"/>
    </row>
    <row r="35" ht="23.25" customHeight="1" spans="1:22">
      <c r="A35" s="71"/>
      <c r="B35" s="71" t="s">
        <v>1814</v>
      </c>
      <c r="C35" s="71"/>
      <c r="D35" s="71"/>
      <c r="E35" s="71">
        <v>1292</v>
      </c>
      <c r="F35" s="71">
        <v>313</v>
      </c>
      <c r="G35" s="71">
        <v>1292</v>
      </c>
      <c r="H35" s="71">
        <v>2018</v>
      </c>
      <c r="I35" s="71">
        <v>2020</v>
      </c>
      <c r="J35" s="86">
        <f t="shared" si="14"/>
        <v>69.768</v>
      </c>
      <c r="K35" s="86">
        <f t="shared" si="15"/>
        <v>23.256</v>
      </c>
      <c r="L35" s="86">
        <f t="shared" si="16"/>
        <v>23.256</v>
      </c>
      <c r="M35" s="86">
        <f t="shared" si="17"/>
        <v>23.256</v>
      </c>
      <c r="N35" s="86">
        <f t="shared" si="18"/>
        <v>41.2884</v>
      </c>
      <c r="O35" s="86"/>
      <c r="P35" s="86">
        <v>28.4796</v>
      </c>
      <c r="Q35" s="86"/>
      <c r="R35" s="76"/>
      <c r="S35" s="86"/>
      <c r="T35" s="86"/>
      <c r="U35" s="86"/>
      <c r="V35" s="112"/>
    </row>
    <row r="36" ht="23.25" customHeight="1" spans="1:22">
      <c r="A36" s="71"/>
      <c r="B36" s="71" t="s">
        <v>1815</v>
      </c>
      <c r="C36" s="71"/>
      <c r="D36" s="71"/>
      <c r="E36" s="71">
        <v>1246</v>
      </c>
      <c r="F36" s="71">
        <v>284</v>
      </c>
      <c r="G36" s="71">
        <v>1246</v>
      </c>
      <c r="H36" s="71">
        <v>2018</v>
      </c>
      <c r="I36" s="71">
        <v>2020</v>
      </c>
      <c r="J36" s="86">
        <f t="shared" si="14"/>
        <v>67.284</v>
      </c>
      <c r="K36" s="86">
        <f t="shared" si="15"/>
        <v>22.428</v>
      </c>
      <c r="L36" s="86">
        <f t="shared" si="16"/>
        <v>22.428</v>
      </c>
      <c r="M36" s="86">
        <f t="shared" si="17"/>
        <v>22.428</v>
      </c>
      <c r="N36" s="86">
        <f t="shared" si="18"/>
        <v>43.1568</v>
      </c>
      <c r="O36" s="86"/>
      <c r="P36" s="86">
        <v>24.1272</v>
      </c>
      <c r="Q36" s="86"/>
      <c r="R36" s="76"/>
      <c r="S36" s="86"/>
      <c r="T36" s="86"/>
      <c r="U36" s="86"/>
      <c r="V36" s="112"/>
    </row>
    <row r="37" ht="23.25" customHeight="1" spans="1:22">
      <c r="A37" s="71"/>
      <c r="B37" s="71" t="s">
        <v>1816</v>
      </c>
      <c r="C37" s="71"/>
      <c r="D37" s="71"/>
      <c r="E37" s="71">
        <v>738</v>
      </c>
      <c r="F37" s="71">
        <v>176</v>
      </c>
      <c r="G37" s="71">
        <v>738</v>
      </c>
      <c r="H37" s="71">
        <v>2018</v>
      </c>
      <c r="I37" s="71">
        <v>2020</v>
      </c>
      <c r="J37" s="86">
        <f t="shared" si="14"/>
        <v>39.852</v>
      </c>
      <c r="K37" s="86">
        <f t="shared" si="15"/>
        <v>13.284</v>
      </c>
      <c r="L37" s="86">
        <f t="shared" si="16"/>
        <v>13.284</v>
      </c>
      <c r="M37" s="86">
        <f t="shared" si="17"/>
        <v>13.284</v>
      </c>
      <c r="N37" s="86">
        <f t="shared" si="18"/>
        <v>23.8896</v>
      </c>
      <c r="O37" s="86"/>
      <c r="P37" s="86">
        <v>15.9624</v>
      </c>
      <c r="Q37" s="86"/>
      <c r="R37" s="76"/>
      <c r="S37" s="86"/>
      <c r="T37" s="86"/>
      <c r="U37" s="86"/>
      <c r="V37" s="112"/>
    </row>
    <row r="38" ht="23.25" customHeight="1" spans="1:22">
      <c r="A38" s="71">
        <v>23</v>
      </c>
      <c r="B38" s="73" t="s">
        <v>332</v>
      </c>
      <c r="C38" s="71"/>
      <c r="D38" s="71" t="s">
        <v>147</v>
      </c>
      <c r="E38" s="71">
        <v>8482</v>
      </c>
      <c r="F38" s="71">
        <v>2057</v>
      </c>
      <c r="G38" s="71">
        <v>8482</v>
      </c>
      <c r="H38" s="71">
        <v>2018</v>
      </c>
      <c r="I38" s="71">
        <v>2020</v>
      </c>
      <c r="J38" s="86"/>
      <c r="K38" s="86"/>
      <c r="L38" s="86"/>
      <c r="M38" s="86"/>
      <c r="N38" s="86"/>
      <c r="O38" s="86"/>
      <c r="P38" s="86"/>
      <c r="Q38" s="86"/>
      <c r="R38" s="76"/>
      <c r="S38" s="86" t="s">
        <v>1808</v>
      </c>
      <c r="T38" s="86" t="s">
        <v>1802</v>
      </c>
      <c r="U38" s="86" t="s">
        <v>195</v>
      </c>
      <c r="V38" s="112" t="s">
        <v>1800</v>
      </c>
    </row>
    <row r="39" ht="23.25" customHeight="1" spans="1:22">
      <c r="A39" s="71"/>
      <c r="B39" s="71" t="s">
        <v>1809</v>
      </c>
      <c r="C39" s="71"/>
      <c r="D39" s="71"/>
      <c r="E39" s="71">
        <v>891</v>
      </c>
      <c r="F39" s="71">
        <v>214</v>
      </c>
      <c r="G39" s="71">
        <v>891</v>
      </c>
      <c r="H39" s="71">
        <v>2018</v>
      </c>
      <c r="I39" s="71">
        <v>2020</v>
      </c>
      <c r="J39" s="86"/>
      <c r="K39" s="86"/>
      <c r="L39" s="86"/>
      <c r="M39" s="86"/>
      <c r="N39" s="86"/>
      <c r="O39" s="86"/>
      <c r="P39" s="86"/>
      <c r="Q39" s="86"/>
      <c r="R39" s="76"/>
      <c r="S39" s="86"/>
      <c r="T39" s="86"/>
      <c r="U39" s="86"/>
      <c r="V39" s="112"/>
    </row>
    <row r="40" ht="23.25" customHeight="1" spans="1:22">
      <c r="A40" s="71"/>
      <c r="B40" s="71" t="s">
        <v>1810</v>
      </c>
      <c r="C40" s="71"/>
      <c r="D40" s="71"/>
      <c r="E40" s="71">
        <v>1453</v>
      </c>
      <c r="F40" s="71">
        <v>361</v>
      </c>
      <c r="G40" s="71">
        <v>1453</v>
      </c>
      <c r="H40" s="71">
        <v>2018</v>
      </c>
      <c r="I40" s="71">
        <v>2020</v>
      </c>
      <c r="J40" s="86"/>
      <c r="K40" s="86"/>
      <c r="L40" s="86"/>
      <c r="M40" s="86"/>
      <c r="N40" s="86"/>
      <c r="O40" s="86"/>
      <c r="P40" s="86"/>
      <c r="Q40" s="86"/>
      <c r="R40" s="76"/>
      <c r="S40" s="86"/>
      <c r="T40" s="86"/>
      <c r="U40" s="86"/>
      <c r="V40" s="112"/>
    </row>
    <row r="41" ht="23.25" customHeight="1" spans="1:22">
      <c r="A41" s="71"/>
      <c r="B41" s="71" t="s">
        <v>1811</v>
      </c>
      <c r="C41" s="71"/>
      <c r="D41" s="71"/>
      <c r="E41" s="71">
        <v>1101</v>
      </c>
      <c r="F41" s="71">
        <v>278</v>
      </c>
      <c r="G41" s="71">
        <v>1101</v>
      </c>
      <c r="H41" s="71">
        <v>2018</v>
      </c>
      <c r="I41" s="71">
        <v>2020</v>
      </c>
      <c r="J41" s="86"/>
      <c r="K41" s="86"/>
      <c r="L41" s="86"/>
      <c r="M41" s="86"/>
      <c r="N41" s="86"/>
      <c r="O41" s="86"/>
      <c r="P41" s="86"/>
      <c r="Q41" s="86"/>
      <c r="R41" s="76"/>
      <c r="S41" s="86"/>
      <c r="T41" s="86"/>
      <c r="U41" s="86"/>
      <c r="V41" s="112"/>
    </row>
    <row r="42" ht="23.25" customHeight="1" spans="1:22">
      <c r="A42" s="71"/>
      <c r="B42" s="71" t="s">
        <v>1812</v>
      </c>
      <c r="C42" s="71"/>
      <c r="D42" s="71"/>
      <c r="E42" s="71">
        <v>557</v>
      </c>
      <c r="F42" s="71">
        <v>139</v>
      </c>
      <c r="G42" s="71">
        <v>557</v>
      </c>
      <c r="H42" s="71">
        <v>2018</v>
      </c>
      <c r="I42" s="71">
        <v>2020</v>
      </c>
      <c r="J42" s="86"/>
      <c r="K42" s="86"/>
      <c r="L42" s="86"/>
      <c r="M42" s="86"/>
      <c r="N42" s="86"/>
      <c r="O42" s="86"/>
      <c r="P42" s="86"/>
      <c r="Q42" s="86"/>
      <c r="R42" s="76"/>
      <c r="S42" s="86"/>
      <c r="T42" s="86"/>
      <c r="U42" s="86"/>
      <c r="V42" s="112"/>
    </row>
    <row r="43" ht="23.25" customHeight="1" spans="1:22">
      <c r="A43" s="71"/>
      <c r="B43" s="71" t="s">
        <v>1813</v>
      </c>
      <c r="C43" s="71"/>
      <c r="D43" s="71"/>
      <c r="E43" s="71">
        <v>1204</v>
      </c>
      <c r="F43" s="71">
        <v>292</v>
      </c>
      <c r="G43" s="71">
        <v>1204</v>
      </c>
      <c r="H43" s="71">
        <v>2018</v>
      </c>
      <c r="I43" s="71">
        <v>2020</v>
      </c>
      <c r="J43" s="86"/>
      <c r="K43" s="86"/>
      <c r="L43" s="86"/>
      <c r="M43" s="86"/>
      <c r="N43" s="86"/>
      <c r="O43" s="86"/>
      <c r="P43" s="86"/>
      <c r="Q43" s="86"/>
      <c r="R43" s="76"/>
      <c r="S43" s="86"/>
      <c r="T43" s="86"/>
      <c r="U43" s="86"/>
      <c r="V43" s="112"/>
    </row>
    <row r="44" ht="23.25" customHeight="1" spans="1:22">
      <c r="A44" s="71"/>
      <c r="B44" s="71" t="s">
        <v>1814</v>
      </c>
      <c r="C44" s="71"/>
      <c r="D44" s="71"/>
      <c r="E44" s="71">
        <v>1292</v>
      </c>
      <c r="F44" s="71">
        <v>313</v>
      </c>
      <c r="G44" s="71">
        <v>1292</v>
      </c>
      <c r="H44" s="71">
        <v>2018</v>
      </c>
      <c r="I44" s="71">
        <v>2020</v>
      </c>
      <c r="J44" s="86"/>
      <c r="K44" s="86"/>
      <c r="L44" s="86"/>
      <c r="M44" s="86"/>
      <c r="N44" s="86"/>
      <c r="O44" s="86"/>
      <c r="P44" s="86"/>
      <c r="Q44" s="86"/>
      <c r="R44" s="76"/>
      <c r="S44" s="86"/>
      <c r="T44" s="86"/>
      <c r="U44" s="86"/>
      <c r="V44" s="112"/>
    </row>
    <row r="45" ht="23.25" customHeight="1" spans="1:22">
      <c r="A45" s="71"/>
      <c r="B45" s="71" t="s">
        <v>1815</v>
      </c>
      <c r="C45" s="71"/>
      <c r="D45" s="71"/>
      <c r="E45" s="71">
        <v>1246</v>
      </c>
      <c r="F45" s="71">
        <v>284</v>
      </c>
      <c r="G45" s="71">
        <v>1246</v>
      </c>
      <c r="H45" s="71">
        <v>2018</v>
      </c>
      <c r="I45" s="71">
        <v>2020</v>
      </c>
      <c r="J45" s="86"/>
      <c r="K45" s="86"/>
      <c r="L45" s="86"/>
      <c r="M45" s="86"/>
      <c r="N45" s="86"/>
      <c r="O45" s="86"/>
      <c r="P45" s="86"/>
      <c r="Q45" s="86"/>
      <c r="R45" s="76"/>
      <c r="S45" s="86"/>
      <c r="T45" s="86"/>
      <c r="U45" s="86"/>
      <c r="V45" s="112"/>
    </row>
    <row r="46" ht="23.25" customHeight="1" spans="1:22">
      <c r="A46" s="71"/>
      <c r="B46" s="71" t="s">
        <v>1816</v>
      </c>
      <c r="C46" s="71"/>
      <c r="D46" s="71"/>
      <c r="E46" s="71">
        <v>738</v>
      </c>
      <c r="F46" s="71">
        <v>176</v>
      </c>
      <c r="G46" s="71">
        <v>738</v>
      </c>
      <c r="H46" s="71">
        <v>2018</v>
      </c>
      <c r="I46" s="71">
        <v>2020</v>
      </c>
      <c r="J46" s="86"/>
      <c r="K46" s="86"/>
      <c r="L46" s="86"/>
      <c r="M46" s="86"/>
      <c r="N46" s="86"/>
      <c r="O46" s="86"/>
      <c r="P46" s="86"/>
      <c r="Q46" s="86"/>
      <c r="R46" s="76"/>
      <c r="S46" s="86"/>
      <c r="T46" s="86"/>
      <c r="U46" s="86"/>
      <c r="V46" s="112"/>
    </row>
    <row r="47" ht="23.25" customHeight="1" spans="1:22">
      <c r="A47" s="71">
        <v>24</v>
      </c>
      <c r="B47" s="73" t="s">
        <v>335</v>
      </c>
      <c r="C47" s="71"/>
      <c r="D47" s="71" t="s">
        <v>194</v>
      </c>
      <c r="E47" s="151">
        <f>SUM(E48:E55)</f>
        <v>2130</v>
      </c>
      <c r="F47" s="71">
        <v>1701</v>
      </c>
      <c r="G47" s="151">
        <f>E47</f>
        <v>2130</v>
      </c>
      <c r="H47" s="71">
        <v>2018</v>
      </c>
      <c r="I47" s="71">
        <v>2020</v>
      </c>
      <c r="J47" s="86">
        <f t="shared" ref="J47:R47" si="19">SUM(J48:J55)</f>
        <v>130.42947425</v>
      </c>
      <c r="K47" s="86">
        <f t="shared" si="19"/>
        <v>39.404675</v>
      </c>
      <c r="L47" s="86">
        <f t="shared" si="19"/>
        <v>43.3451425</v>
      </c>
      <c r="M47" s="86">
        <f t="shared" si="19"/>
        <v>47.67965675</v>
      </c>
      <c r="N47" s="86">
        <f t="shared" si="19"/>
        <v>130.42947425</v>
      </c>
      <c r="O47" s="86">
        <f t="shared" si="19"/>
        <v>0</v>
      </c>
      <c r="P47" s="86">
        <f t="shared" si="19"/>
        <v>0</v>
      </c>
      <c r="Q47" s="86">
        <f t="shared" si="19"/>
        <v>0</v>
      </c>
      <c r="R47" s="86">
        <f t="shared" si="19"/>
        <v>0</v>
      </c>
      <c r="S47" s="86" t="s">
        <v>1817</v>
      </c>
      <c r="T47" s="86" t="s">
        <v>1802</v>
      </c>
      <c r="U47" s="86" t="s">
        <v>358</v>
      </c>
      <c r="V47" s="112" t="s">
        <v>1800</v>
      </c>
    </row>
    <row r="48" ht="23.25" customHeight="1" spans="1:22">
      <c r="A48" s="71"/>
      <c r="B48" s="71" t="s">
        <v>1809</v>
      </c>
      <c r="C48" s="71"/>
      <c r="D48" s="71" t="s">
        <v>194</v>
      </c>
      <c r="E48" s="151">
        <v>229</v>
      </c>
      <c r="F48" s="71">
        <v>183</v>
      </c>
      <c r="G48" s="151">
        <v>230</v>
      </c>
      <c r="H48" s="71">
        <v>2018</v>
      </c>
      <c r="I48" s="71">
        <v>2020</v>
      </c>
      <c r="J48" s="86">
        <v>15.26361484</v>
      </c>
      <c r="K48" s="86">
        <v>4.611364</v>
      </c>
      <c r="L48" s="86">
        <v>5.0725004</v>
      </c>
      <c r="M48" s="86">
        <v>5.57975044</v>
      </c>
      <c r="N48" s="86">
        <v>15.26361484</v>
      </c>
      <c r="O48" s="86"/>
      <c r="P48" s="86"/>
      <c r="Q48" s="86"/>
      <c r="R48" s="76"/>
      <c r="S48" s="86"/>
      <c r="T48" s="86"/>
      <c r="U48" s="86"/>
      <c r="V48" s="112"/>
    </row>
    <row r="49" ht="23.25" customHeight="1" spans="1:22">
      <c r="A49" s="71"/>
      <c r="B49" s="71" t="s">
        <v>1810</v>
      </c>
      <c r="C49" s="71"/>
      <c r="D49" s="71" t="s">
        <v>194</v>
      </c>
      <c r="E49" s="151">
        <v>340</v>
      </c>
      <c r="F49" s="71">
        <v>272</v>
      </c>
      <c r="G49" s="151">
        <v>340</v>
      </c>
      <c r="H49" s="71">
        <v>2018</v>
      </c>
      <c r="I49" s="71">
        <v>2020</v>
      </c>
      <c r="J49" s="86">
        <v>20.62051222</v>
      </c>
      <c r="K49" s="86">
        <v>6.229762</v>
      </c>
      <c r="L49" s="86">
        <v>6.8527382</v>
      </c>
      <c r="M49" s="86">
        <v>7.53801202</v>
      </c>
      <c r="N49" s="86">
        <v>20.62051222</v>
      </c>
      <c r="O49" s="86"/>
      <c r="P49" s="86"/>
      <c r="Q49" s="86"/>
      <c r="R49" s="76"/>
      <c r="S49" s="86"/>
      <c r="T49" s="86"/>
      <c r="U49" s="86"/>
      <c r="V49" s="112"/>
    </row>
    <row r="50" ht="23.25" customHeight="1" spans="1:22">
      <c r="A50" s="71"/>
      <c r="B50" s="71" t="s">
        <v>1811</v>
      </c>
      <c r="C50" s="71"/>
      <c r="D50" s="71" t="s">
        <v>194</v>
      </c>
      <c r="E50" s="151">
        <v>304</v>
      </c>
      <c r="F50" s="71">
        <v>243</v>
      </c>
      <c r="G50" s="151">
        <v>304</v>
      </c>
      <c r="H50" s="71">
        <v>2018</v>
      </c>
      <c r="I50" s="71">
        <v>2020</v>
      </c>
      <c r="J50" s="86">
        <v>20.07208163</v>
      </c>
      <c r="K50" s="86">
        <v>6.064073</v>
      </c>
      <c r="L50" s="86">
        <v>6.6704803</v>
      </c>
      <c r="M50" s="86">
        <v>7.33752833</v>
      </c>
      <c r="N50" s="86">
        <v>20.07208163</v>
      </c>
      <c r="O50" s="86"/>
      <c r="P50" s="86"/>
      <c r="Q50" s="86"/>
      <c r="R50" s="76"/>
      <c r="S50" s="86"/>
      <c r="T50" s="86"/>
      <c r="U50" s="86"/>
      <c r="V50" s="112"/>
    </row>
    <row r="51" ht="23.25" customHeight="1" spans="1:22">
      <c r="A51" s="71"/>
      <c r="B51" s="71" t="s">
        <v>1812</v>
      </c>
      <c r="C51" s="71"/>
      <c r="D51" s="71" t="s">
        <v>194</v>
      </c>
      <c r="E51" s="151">
        <v>180</v>
      </c>
      <c r="F51" s="71">
        <v>144</v>
      </c>
      <c r="G51" s="151">
        <v>180</v>
      </c>
      <c r="H51" s="71">
        <v>2018</v>
      </c>
      <c r="I51" s="71">
        <v>2020</v>
      </c>
      <c r="J51" s="86">
        <v>10.82107186</v>
      </c>
      <c r="K51" s="86">
        <v>3.269206</v>
      </c>
      <c r="L51" s="86">
        <v>3.5961266</v>
      </c>
      <c r="M51" s="86">
        <v>3.95573926</v>
      </c>
      <c r="N51" s="86">
        <v>10.82107186</v>
      </c>
      <c r="O51" s="86"/>
      <c r="P51" s="86"/>
      <c r="Q51" s="86"/>
      <c r="R51" s="76"/>
      <c r="S51" s="86"/>
      <c r="T51" s="86"/>
      <c r="U51" s="86"/>
      <c r="V51" s="112"/>
    </row>
    <row r="52" ht="23.25" customHeight="1" spans="1:22">
      <c r="A52" s="71"/>
      <c r="B52" s="71" t="s">
        <v>1813</v>
      </c>
      <c r="C52" s="71"/>
      <c r="D52" s="71" t="s">
        <v>194</v>
      </c>
      <c r="E52" s="151">
        <v>314</v>
      </c>
      <c r="F52" s="71">
        <v>251</v>
      </c>
      <c r="G52" s="151">
        <v>314</v>
      </c>
      <c r="H52" s="71">
        <v>2018</v>
      </c>
      <c r="I52" s="71">
        <v>2020</v>
      </c>
      <c r="J52" s="86">
        <v>23.19344804</v>
      </c>
      <c r="K52" s="86">
        <v>7.007084</v>
      </c>
      <c r="L52" s="86">
        <v>7.7077924</v>
      </c>
      <c r="M52" s="86">
        <v>8.47857164</v>
      </c>
      <c r="N52" s="86">
        <v>23.19344804</v>
      </c>
      <c r="O52" s="86"/>
      <c r="P52" s="86"/>
      <c r="Q52" s="86"/>
      <c r="R52" s="76"/>
      <c r="S52" s="86"/>
      <c r="T52" s="86"/>
      <c r="U52" s="86"/>
      <c r="V52" s="112"/>
    </row>
    <row r="53" ht="23.25" customHeight="1" spans="1:22">
      <c r="A53" s="71"/>
      <c r="B53" s="71" t="s">
        <v>1814</v>
      </c>
      <c r="C53" s="71"/>
      <c r="D53" s="71" t="s">
        <v>194</v>
      </c>
      <c r="E53" s="151">
        <v>321</v>
      </c>
      <c r="F53" s="71">
        <v>256</v>
      </c>
      <c r="G53" s="151">
        <v>321</v>
      </c>
      <c r="H53" s="71">
        <v>2018</v>
      </c>
      <c r="I53" s="71">
        <v>2020</v>
      </c>
      <c r="J53" s="86">
        <v>16.42043336</v>
      </c>
      <c r="K53" s="86">
        <v>4.960856</v>
      </c>
      <c r="L53" s="86">
        <v>5.4569416</v>
      </c>
      <c r="M53" s="86">
        <v>6.00263576</v>
      </c>
      <c r="N53" s="86">
        <v>16.42043336</v>
      </c>
      <c r="O53" s="86"/>
      <c r="P53" s="86"/>
      <c r="Q53" s="86"/>
      <c r="R53" s="76"/>
      <c r="S53" s="86"/>
      <c r="T53" s="86"/>
      <c r="U53" s="86"/>
      <c r="V53" s="112"/>
    </row>
    <row r="54" ht="23.25" customHeight="1" spans="1:22">
      <c r="A54" s="71"/>
      <c r="B54" s="71" t="s">
        <v>1815</v>
      </c>
      <c r="C54" s="71"/>
      <c r="D54" s="71" t="s">
        <v>194</v>
      </c>
      <c r="E54" s="151">
        <v>226</v>
      </c>
      <c r="F54" s="71">
        <v>180</v>
      </c>
      <c r="G54" s="151">
        <v>226</v>
      </c>
      <c r="H54" s="71">
        <v>2018</v>
      </c>
      <c r="I54" s="71">
        <v>2020</v>
      </c>
      <c r="J54" s="86">
        <v>10.99785896</v>
      </c>
      <c r="K54" s="86">
        <v>3.322616</v>
      </c>
      <c r="L54" s="86">
        <v>3.6548776</v>
      </c>
      <c r="M54" s="86">
        <v>4.02036536</v>
      </c>
      <c r="N54" s="86">
        <v>10.99785896</v>
      </c>
      <c r="O54" s="86"/>
      <c r="P54" s="86"/>
      <c r="Q54" s="86"/>
      <c r="R54" s="76"/>
      <c r="S54" s="86"/>
      <c r="T54" s="86"/>
      <c r="U54" s="86"/>
      <c r="V54" s="112"/>
    </row>
    <row r="55" ht="23.25" customHeight="1" spans="1:22">
      <c r="A55" s="71"/>
      <c r="B55" s="71" t="s">
        <v>1816</v>
      </c>
      <c r="C55" s="71"/>
      <c r="D55" s="71" t="s">
        <v>194</v>
      </c>
      <c r="E55" s="151">
        <v>216</v>
      </c>
      <c r="F55" s="71">
        <v>172</v>
      </c>
      <c r="G55" s="151">
        <v>216</v>
      </c>
      <c r="H55" s="71">
        <v>2018</v>
      </c>
      <c r="I55" s="71">
        <v>2020</v>
      </c>
      <c r="J55" s="86">
        <v>13.04045334</v>
      </c>
      <c r="K55" s="86">
        <v>3.939714</v>
      </c>
      <c r="L55" s="86">
        <v>4.3336854</v>
      </c>
      <c r="M55" s="86">
        <v>4.76705394</v>
      </c>
      <c r="N55" s="86">
        <v>13.04045334</v>
      </c>
      <c r="O55" s="86"/>
      <c r="P55" s="86"/>
      <c r="Q55" s="86"/>
      <c r="R55" s="76"/>
      <c r="S55" s="86"/>
      <c r="T55" s="86"/>
      <c r="U55" s="86"/>
      <c r="V55" s="112"/>
    </row>
    <row r="56" ht="23.25" customHeight="1" spans="1:22">
      <c r="A56" s="71">
        <v>25</v>
      </c>
      <c r="B56" s="73" t="s">
        <v>355</v>
      </c>
      <c r="C56" s="71"/>
      <c r="D56" s="71" t="s">
        <v>194</v>
      </c>
      <c r="E56" s="71">
        <f>SUM(E57:E64)</f>
        <v>41</v>
      </c>
      <c r="F56" s="71">
        <v>32</v>
      </c>
      <c r="G56" s="71">
        <f>SUM(G57:G64)</f>
        <v>41</v>
      </c>
      <c r="H56" s="71">
        <v>2018</v>
      </c>
      <c r="I56" s="71">
        <v>2020</v>
      </c>
      <c r="J56" s="86"/>
      <c r="K56" s="86"/>
      <c r="L56" s="86"/>
      <c r="M56" s="86"/>
      <c r="N56" s="86"/>
      <c r="O56" s="86"/>
      <c r="P56" s="86"/>
      <c r="Q56" s="86"/>
      <c r="R56" s="76"/>
      <c r="S56" s="86" t="s">
        <v>1817</v>
      </c>
      <c r="T56" s="86" t="s">
        <v>1802</v>
      </c>
      <c r="U56" s="86" t="s">
        <v>358</v>
      </c>
      <c r="V56" s="112" t="s">
        <v>1800</v>
      </c>
    </row>
    <row r="57" ht="23.25" customHeight="1" spans="1:22">
      <c r="A57" s="71"/>
      <c r="B57" s="71" t="s">
        <v>1809</v>
      </c>
      <c r="C57" s="71"/>
      <c r="D57" s="71" t="s">
        <v>194</v>
      </c>
      <c r="E57" s="71">
        <v>5</v>
      </c>
      <c r="F57" s="71">
        <v>4</v>
      </c>
      <c r="G57" s="71">
        <v>5</v>
      </c>
      <c r="H57" s="71">
        <v>2018</v>
      </c>
      <c r="I57" s="71">
        <v>2020</v>
      </c>
      <c r="J57" s="86"/>
      <c r="K57" s="86"/>
      <c r="L57" s="86"/>
      <c r="M57" s="86"/>
      <c r="N57" s="86"/>
      <c r="O57" s="86"/>
      <c r="P57" s="86"/>
      <c r="Q57" s="86"/>
      <c r="R57" s="76"/>
      <c r="S57" s="86"/>
      <c r="T57" s="86"/>
      <c r="U57" s="86"/>
      <c r="V57" s="112"/>
    </row>
    <row r="58" ht="23.25" customHeight="1" spans="1:22">
      <c r="A58" s="71"/>
      <c r="B58" s="71" t="s">
        <v>1810</v>
      </c>
      <c r="C58" s="71"/>
      <c r="D58" s="71" t="s">
        <v>194</v>
      </c>
      <c r="E58" s="71">
        <v>1</v>
      </c>
      <c r="F58" s="71">
        <v>1</v>
      </c>
      <c r="G58" s="71">
        <v>1</v>
      </c>
      <c r="H58" s="71">
        <v>2018</v>
      </c>
      <c r="I58" s="71">
        <v>2020</v>
      </c>
      <c r="J58" s="86"/>
      <c r="K58" s="86"/>
      <c r="L58" s="86"/>
      <c r="M58" s="86"/>
      <c r="N58" s="86"/>
      <c r="O58" s="86"/>
      <c r="P58" s="86"/>
      <c r="Q58" s="86"/>
      <c r="R58" s="76"/>
      <c r="S58" s="86"/>
      <c r="T58" s="86"/>
      <c r="U58" s="86"/>
      <c r="V58" s="112"/>
    </row>
    <row r="59" ht="23.25" customHeight="1" spans="1:22">
      <c r="A59" s="71"/>
      <c r="B59" s="71" t="s">
        <v>1811</v>
      </c>
      <c r="C59" s="71"/>
      <c r="D59" s="71" t="s">
        <v>194</v>
      </c>
      <c r="E59" s="71">
        <v>6</v>
      </c>
      <c r="F59" s="71">
        <v>5</v>
      </c>
      <c r="G59" s="71">
        <v>6</v>
      </c>
      <c r="H59" s="71">
        <v>2018</v>
      </c>
      <c r="I59" s="71">
        <v>2020</v>
      </c>
      <c r="J59" s="86"/>
      <c r="K59" s="86"/>
      <c r="L59" s="86"/>
      <c r="M59" s="86"/>
      <c r="N59" s="86"/>
      <c r="O59" s="86"/>
      <c r="P59" s="86"/>
      <c r="Q59" s="86"/>
      <c r="R59" s="76"/>
      <c r="S59" s="86"/>
      <c r="T59" s="86"/>
      <c r="U59" s="86"/>
      <c r="V59" s="112"/>
    </row>
    <row r="60" ht="23.25" customHeight="1" spans="1:22">
      <c r="A60" s="71"/>
      <c r="B60" s="71" t="s">
        <v>1812</v>
      </c>
      <c r="C60" s="71"/>
      <c r="D60" s="71" t="s">
        <v>194</v>
      </c>
      <c r="E60" s="71">
        <v>7</v>
      </c>
      <c r="F60" s="71">
        <v>6</v>
      </c>
      <c r="G60" s="71">
        <v>7</v>
      </c>
      <c r="H60" s="71">
        <v>2018</v>
      </c>
      <c r="I60" s="71">
        <v>2020</v>
      </c>
      <c r="J60" s="86"/>
      <c r="K60" s="86"/>
      <c r="L60" s="86"/>
      <c r="M60" s="86"/>
      <c r="N60" s="86"/>
      <c r="O60" s="86"/>
      <c r="P60" s="86"/>
      <c r="Q60" s="86"/>
      <c r="R60" s="76"/>
      <c r="S60" s="86"/>
      <c r="T60" s="86"/>
      <c r="U60" s="86"/>
      <c r="V60" s="112"/>
    </row>
    <row r="61" ht="23.25" customHeight="1" spans="1:22">
      <c r="A61" s="71"/>
      <c r="B61" s="71" t="s">
        <v>1813</v>
      </c>
      <c r="C61" s="71"/>
      <c r="D61" s="71" t="s">
        <v>194</v>
      </c>
      <c r="E61" s="71">
        <v>11</v>
      </c>
      <c r="F61" s="71">
        <v>8</v>
      </c>
      <c r="G61" s="71">
        <v>11</v>
      </c>
      <c r="H61" s="71">
        <v>2018</v>
      </c>
      <c r="I61" s="71">
        <v>2020</v>
      </c>
      <c r="J61" s="86"/>
      <c r="K61" s="86"/>
      <c r="L61" s="86"/>
      <c r="M61" s="86"/>
      <c r="N61" s="86"/>
      <c r="O61" s="86"/>
      <c r="P61" s="86"/>
      <c r="Q61" s="86"/>
      <c r="R61" s="76"/>
      <c r="S61" s="86"/>
      <c r="T61" s="86"/>
      <c r="U61" s="86"/>
      <c r="V61" s="112"/>
    </row>
    <row r="62" ht="23.25" customHeight="1" spans="1:22">
      <c r="A62" s="71"/>
      <c r="B62" s="71" t="s">
        <v>1814</v>
      </c>
      <c r="C62" s="71"/>
      <c r="D62" s="71" t="s">
        <v>194</v>
      </c>
      <c r="E62" s="71">
        <v>5</v>
      </c>
      <c r="F62" s="71">
        <v>4</v>
      </c>
      <c r="G62" s="71">
        <v>5</v>
      </c>
      <c r="H62" s="71">
        <v>2018</v>
      </c>
      <c r="I62" s="71">
        <v>2020</v>
      </c>
      <c r="J62" s="86"/>
      <c r="K62" s="86"/>
      <c r="L62" s="86"/>
      <c r="M62" s="86"/>
      <c r="N62" s="86"/>
      <c r="O62" s="86"/>
      <c r="P62" s="86"/>
      <c r="Q62" s="86"/>
      <c r="R62" s="76"/>
      <c r="S62" s="86"/>
      <c r="T62" s="86"/>
      <c r="U62" s="86"/>
      <c r="V62" s="112"/>
    </row>
    <row r="63" ht="23.25" customHeight="1" spans="1:22">
      <c r="A63" s="71"/>
      <c r="B63" s="71" t="s">
        <v>1815</v>
      </c>
      <c r="C63" s="71"/>
      <c r="D63" s="71" t="s">
        <v>194</v>
      </c>
      <c r="E63" s="71">
        <v>3</v>
      </c>
      <c r="F63" s="71">
        <v>2</v>
      </c>
      <c r="G63" s="71">
        <v>3</v>
      </c>
      <c r="H63" s="71">
        <v>2018</v>
      </c>
      <c r="I63" s="71">
        <v>2020</v>
      </c>
      <c r="J63" s="86"/>
      <c r="K63" s="86"/>
      <c r="L63" s="86"/>
      <c r="M63" s="86"/>
      <c r="N63" s="86"/>
      <c r="O63" s="86"/>
      <c r="P63" s="86"/>
      <c r="Q63" s="86"/>
      <c r="R63" s="76"/>
      <c r="S63" s="86"/>
      <c r="T63" s="86"/>
      <c r="U63" s="86"/>
      <c r="V63" s="112"/>
    </row>
    <row r="64" ht="23.25" customHeight="1" spans="1:22">
      <c r="A64" s="71"/>
      <c r="B64" s="71" t="s">
        <v>1816</v>
      </c>
      <c r="C64" s="71"/>
      <c r="D64" s="71" t="s">
        <v>194</v>
      </c>
      <c r="E64" s="71">
        <v>3</v>
      </c>
      <c r="F64" s="71">
        <v>2</v>
      </c>
      <c r="G64" s="71">
        <v>3</v>
      </c>
      <c r="H64" s="71">
        <v>2018</v>
      </c>
      <c r="I64" s="71">
        <v>2020</v>
      </c>
      <c r="J64" s="86"/>
      <c r="K64" s="86"/>
      <c r="L64" s="86"/>
      <c r="M64" s="86"/>
      <c r="N64" s="86"/>
      <c r="O64" s="86"/>
      <c r="P64" s="86"/>
      <c r="Q64" s="86"/>
      <c r="R64" s="76"/>
      <c r="S64" s="86"/>
      <c r="T64" s="86"/>
      <c r="U64" s="86"/>
      <c r="V64" s="112"/>
    </row>
    <row r="65" ht="23.25" customHeight="1" spans="1:22">
      <c r="A65" s="71">
        <v>26</v>
      </c>
      <c r="B65" s="73" t="s">
        <v>370</v>
      </c>
      <c r="C65" s="71"/>
      <c r="D65" s="71" t="s">
        <v>194</v>
      </c>
      <c r="E65" s="151">
        <v>1528</v>
      </c>
      <c r="F65" s="71">
        <v>1220</v>
      </c>
      <c r="G65" s="151">
        <f t="shared" ref="G65:R65" si="20">SUM(G66:G73)</f>
        <v>1528</v>
      </c>
      <c r="H65" s="71">
        <v>2018</v>
      </c>
      <c r="I65" s="71">
        <v>2020</v>
      </c>
      <c r="J65" s="86">
        <f t="shared" si="20"/>
        <v>49.88866093</v>
      </c>
      <c r="K65" s="86">
        <f t="shared" si="20"/>
        <v>15.072103</v>
      </c>
      <c r="L65" s="86">
        <f t="shared" si="20"/>
        <v>16.5793133</v>
      </c>
      <c r="M65" s="86">
        <f t="shared" si="20"/>
        <v>18.23724463</v>
      </c>
      <c r="N65" s="86">
        <f t="shared" si="20"/>
        <v>49.88866093</v>
      </c>
      <c r="O65" s="86">
        <f t="shared" si="20"/>
        <v>0</v>
      </c>
      <c r="P65" s="86">
        <f t="shared" si="20"/>
        <v>0</v>
      </c>
      <c r="Q65" s="86">
        <f t="shared" si="20"/>
        <v>0</v>
      </c>
      <c r="R65" s="86">
        <f t="shared" si="20"/>
        <v>0</v>
      </c>
      <c r="S65" s="86" t="s">
        <v>1817</v>
      </c>
      <c r="T65" s="86" t="s">
        <v>1802</v>
      </c>
      <c r="U65" s="86" t="s">
        <v>358</v>
      </c>
      <c r="V65" s="112" t="s">
        <v>1800</v>
      </c>
    </row>
    <row r="66" ht="23.25" customHeight="1" spans="1:22">
      <c r="A66" s="71"/>
      <c r="B66" s="71" t="s">
        <v>1809</v>
      </c>
      <c r="C66" s="71"/>
      <c r="D66" s="71" t="s">
        <v>194</v>
      </c>
      <c r="E66" s="151">
        <v>141</v>
      </c>
      <c r="F66" s="71">
        <v>112</v>
      </c>
      <c r="G66" s="151">
        <v>141</v>
      </c>
      <c r="H66" s="71">
        <v>2018</v>
      </c>
      <c r="I66" s="71">
        <v>2020</v>
      </c>
      <c r="J66" s="86">
        <f t="shared" ref="J66:J73" si="21">SUM(K66:M66)</f>
        <v>7.33516853</v>
      </c>
      <c r="K66" s="86">
        <v>2.216063</v>
      </c>
      <c r="L66" s="86">
        <f t="shared" ref="L66:L73" si="22">K66*1.1</f>
        <v>2.4376693</v>
      </c>
      <c r="M66" s="86">
        <f t="shared" ref="M66:M73" si="23">L66*1.1</f>
        <v>2.68143623</v>
      </c>
      <c r="N66" s="86">
        <f t="shared" ref="N66:N73" si="24">J66</f>
        <v>7.33516853</v>
      </c>
      <c r="O66" s="86"/>
      <c r="P66" s="86"/>
      <c r="Q66" s="86"/>
      <c r="R66" s="76"/>
      <c r="S66" s="86"/>
      <c r="T66" s="86"/>
      <c r="U66" s="86"/>
      <c r="V66" s="112"/>
    </row>
    <row r="67" ht="23.25" customHeight="1" spans="1:22">
      <c r="A67" s="71"/>
      <c r="B67" s="71" t="s">
        <v>1810</v>
      </c>
      <c r="C67" s="71"/>
      <c r="D67" s="71" t="s">
        <v>194</v>
      </c>
      <c r="E67" s="151">
        <v>242</v>
      </c>
      <c r="F67" s="71">
        <v>193</v>
      </c>
      <c r="G67" s="151">
        <v>242</v>
      </c>
      <c r="H67" s="71">
        <v>2018</v>
      </c>
      <c r="I67" s="71">
        <v>2020</v>
      </c>
      <c r="J67" s="86">
        <f t="shared" si="21"/>
        <v>6.678587</v>
      </c>
      <c r="K67" s="86">
        <v>2.0177</v>
      </c>
      <c r="L67" s="86">
        <f t="shared" si="22"/>
        <v>2.21947</v>
      </c>
      <c r="M67" s="86">
        <f t="shared" si="23"/>
        <v>2.441417</v>
      </c>
      <c r="N67" s="86">
        <f t="shared" si="24"/>
        <v>6.678587</v>
      </c>
      <c r="O67" s="86"/>
      <c r="P67" s="86"/>
      <c r="Q67" s="86"/>
      <c r="R67" s="76"/>
      <c r="S67" s="86"/>
      <c r="T67" s="86"/>
      <c r="U67" s="86"/>
      <c r="V67" s="112"/>
    </row>
    <row r="68" ht="23.25" customHeight="1" spans="1:22">
      <c r="A68" s="71"/>
      <c r="B68" s="71" t="s">
        <v>1811</v>
      </c>
      <c r="C68" s="71"/>
      <c r="D68" s="71" t="s">
        <v>194</v>
      </c>
      <c r="E68" s="151">
        <v>226</v>
      </c>
      <c r="F68" s="71">
        <v>180</v>
      </c>
      <c r="G68" s="151">
        <v>226</v>
      </c>
      <c r="H68" s="71">
        <v>2018</v>
      </c>
      <c r="I68" s="71">
        <v>2020</v>
      </c>
      <c r="J68" s="86">
        <f t="shared" si="21"/>
        <v>5.08870463</v>
      </c>
      <c r="K68" s="86">
        <v>1.537373</v>
      </c>
      <c r="L68" s="86">
        <f t="shared" si="22"/>
        <v>1.6911103</v>
      </c>
      <c r="M68" s="86">
        <f t="shared" si="23"/>
        <v>1.86022133</v>
      </c>
      <c r="N68" s="86">
        <f t="shared" si="24"/>
        <v>5.08870463</v>
      </c>
      <c r="O68" s="86"/>
      <c r="P68" s="86"/>
      <c r="Q68" s="86"/>
      <c r="R68" s="76"/>
      <c r="S68" s="86"/>
      <c r="T68" s="86"/>
      <c r="U68" s="86"/>
      <c r="V68" s="112"/>
    </row>
    <row r="69" ht="23.25" customHeight="1" spans="1:22">
      <c r="A69" s="71"/>
      <c r="B69" s="71" t="s">
        <v>1812</v>
      </c>
      <c r="C69" s="71"/>
      <c r="D69" s="71" t="s">
        <v>194</v>
      </c>
      <c r="E69" s="151">
        <v>118</v>
      </c>
      <c r="F69" s="151">
        <v>94</v>
      </c>
      <c r="G69" s="151">
        <v>118</v>
      </c>
      <c r="H69" s="71">
        <v>2018</v>
      </c>
      <c r="I69" s="71">
        <v>2020</v>
      </c>
      <c r="J69" s="86">
        <f t="shared" si="21"/>
        <v>9.89800554</v>
      </c>
      <c r="K69" s="86">
        <v>2.990334</v>
      </c>
      <c r="L69" s="86">
        <f t="shared" si="22"/>
        <v>3.2893674</v>
      </c>
      <c r="M69" s="86">
        <f t="shared" si="23"/>
        <v>3.61830414</v>
      </c>
      <c r="N69" s="86">
        <f t="shared" si="24"/>
        <v>9.89800554</v>
      </c>
      <c r="O69" s="86"/>
      <c r="P69" s="86"/>
      <c r="Q69" s="86"/>
      <c r="R69" s="76"/>
      <c r="S69" s="86"/>
      <c r="T69" s="86"/>
      <c r="U69" s="86"/>
      <c r="V69" s="112"/>
    </row>
    <row r="70" ht="23.25" customHeight="1" spans="1:22">
      <c r="A70" s="71"/>
      <c r="B70" s="71" t="s">
        <v>1813</v>
      </c>
      <c r="C70" s="71"/>
      <c r="D70" s="71" t="s">
        <v>194</v>
      </c>
      <c r="E70" s="151">
        <v>229</v>
      </c>
      <c r="F70" s="151">
        <v>183</v>
      </c>
      <c r="G70" s="151">
        <v>229</v>
      </c>
      <c r="H70" s="71">
        <v>2018</v>
      </c>
      <c r="I70" s="71">
        <v>2020</v>
      </c>
      <c r="J70" s="86">
        <f t="shared" si="21"/>
        <v>12.38918767</v>
      </c>
      <c r="K70" s="86">
        <v>3.742957</v>
      </c>
      <c r="L70" s="86">
        <f t="shared" si="22"/>
        <v>4.1172527</v>
      </c>
      <c r="M70" s="86">
        <f t="shared" si="23"/>
        <v>4.52897797</v>
      </c>
      <c r="N70" s="86">
        <f t="shared" si="24"/>
        <v>12.38918767</v>
      </c>
      <c r="O70" s="86"/>
      <c r="P70" s="86"/>
      <c r="Q70" s="86"/>
      <c r="R70" s="76"/>
      <c r="S70" s="86"/>
      <c r="T70" s="86"/>
      <c r="U70" s="86"/>
      <c r="V70" s="112"/>
    </row>
    <row r="71" ht="23.25" customHeight="1" spans="1:22">
      <c r="A71" s="71"/>
      <c r="B71" s="71" t="s">
        <v>1814</v>
      </c>
      <c r="C71" s="71"/>
      <c r="D71" s="71" t="s">
        <v>194</v>
      </c>
      <c r="E71" s="151">
        <v>245</v>
      </c>
      <c r="F71" s="151">
        <v>196</v>
      </c>
      <c r="G71" s="151">
        <v>245</v>
      </c>
      <c r="H71" s="71">
        <v>2018</v>
      </c>
      <c r="I71" s="71">
        <v>2020</v>
      </c>
      <c r="J71" s="86">
        <f t="shared" si="21"/>
        <v>3.53558974</v>
      </c>
      <c r="K71" s="86">
        <v>1.068154</v>
      </c>
      <c r="L71" s="86">
        <f t="shared" si="22"/>
        <v>1.1749694</v>
      </c>
      <c r="M71" s="86">
        <f t="shared" si="23"/>
        <v>1.29246634</v>
      </c>
      <c r="N71" s="86">
        <f t="shared" si="24"/>
        <v>3.53558974</v>
      </c>
      <c r="O71" s="86"/>
      <c r="P71" s="86"/>
      <c r="Q71" s="86"/>
      <c r="R71" s="76"/>
      <c r="S71" s="86"/>
      <c r="T71" s="86"/>
      <c r="U71" s="86"/>
      <c r="V71" s="112"/>
    </row>
    <row r="72" ht="23.25" customHeight="1" spans="1:22">
      <c r="A72" s="71"/>
      <c r="B72" s="71" t="s">
        <v>1815</v>
      </c>
      <c r="C72" s="71"/>
      <c r="D72" s="71" t="s">
        <v>194</v>
      </c>
      <c r="E72" s="151">
        <v>167</v>
      </c>
      <c r="F72" s="151">
        <v>134</v>
      </c>
      <c r="G72" s="151">
        <v>167</v>
      </c>
      <c r="H72" s="71">
        <v>2018</v>
      </c>
      <c r="I72" s="71">
        <v>2020</v>
      </c>
      <c r="J72" s="86">
        <f t="shared" si="21"/>
        <v>1.93153395</v>
      </c>
      <c r="K72" s="86">
        <v>0.583545</v>
      </c>
      <c r="L72" s="86">
        <f t="shared" si="22"/>
        <v>0.6418995</v>
      </c>
      <c r="M72" s="86">
        <f t="shared" si="23"/>
        <v>0.70608945</v>
      </c>
      <c r="N72" s="86">
        <f t="shared" si="24"/>
        <v>1.93153395</v>
      </c>
      <c r="O72" s="86"/>
      <c r="P72" s="86"/>
      <c r="Q72" s="86"/>
      <c r="R72" s="76"/>
      <c r="S72" s="86"/>
      <c r="T72" s="86"/>
      <c r="U72" s="86"/>
      <c r="V72" s="112"/>
    </row>
    <row r="73" ht="23.25" customHeight="1" spans="1:22">
      <c r="A73" s="71"/>
      <c r="B73" s="71" t="s">
        <v>1816</v>
      </c>
      <c r="C73" s="71"/>
      <c r="D73" s="71" t="s">
        <v>194</v>
      </c>
      <c r="E73" s="151">
        <v>160</v>
      </c>
      <c r="F73" s="151">
        <v>128</v>
      </c>
      <c r="G73" s="151">
        <v>160</v>
      </c>
      <c r="H73" s="71">
        <v>2018</v>
      </c>
      <c r="I73" s="71">
        <v>2020</v>
      </c>
      <c r="J73" s="86">
        <f t="shared" si="21"/>
        <v>3.03188387</v>
      </c>
      <c r="K73" s="86">
        <v>0.915977</v>
      </c>
      <c r="L73" s="86">
        <f t="shared" si="22"/>
        <v>1.0075747</v>
      </c>
      <c r="M73" s="86">
        <f t="shared" si="23"/>
        <v>1.10833217</v>
      </c>
      <c r="N73" s="86">
        <f t="shared" si="24"/>
        <v>3.03188387</v>
      </c>
      <c r="O73" s="86"/>
      <c r="P73" s="86"/>
      <c r="Q73" s="86"/>
      <c r="R73" s="76"/>
      <c r="S73" s="86"/>
      <c r="T73" s="86"/>
      <c r="U73" s="86"/>
      <c r="V73" s="112"/>
    </row>
    <row r="74" ht="23.25" customHeight="1" spans="1:22">
      <c r="A74" s="71">
        <v>27</v>
      </c>
      <c r="B74" s="142" t="s">
        <v>819</v>
      </c>
      <c r="C74" s="71"/>
      <c r="D74" s="71"/>
      <c r="E74" s="71">
        <f t="shared" ref="E74:G74" si="25">E75+E105+E114</f>
        <v>11649</v>
      </c>
      <c r="F74" s="71">
        <f t="shared" si="25"/>
        <v>4174</v>
      </c>
      <c r="G74" s="71">
        <f t="shared" si="25"/>
        <v>5182</v>
      </c>
      <c r="H74" s="71">
        <v>2018</v>
      </c>
      <c r="I74" s="71">
        <v>2020</v>
      </c>
      <c r="J74" s="212">
        <f>K74+L74+M74</f>
        <v>336.2056</v>
      </c>
      <c r="K74" s="71">
        <f t="shared" ref="K74:R74" si="26">K75+K105+K114</f>
        <v>19.4496</v>
      </c>
      <c r="L74" s="71">
        <f t="shared" si="26"/>
        <v>158.378</v>
      </c>
      <c r="M74" s="71">
        <f t="shared" si="26"/>
        <v>158.378</v>
      </c>
      <c r="N74" s="71">
        <f t="shared" si="26"/>
        <v>14.13</v>
      </c>
      <c r="O74" s="71">
        <f t="shared" si="26"/>
        <v>0</v>
      </c>
      <c r="P74" s="71">
        <f t="shared" si="26"/>
        <v>222.1756</v>
      </c>
      <c r="Q74" s="71">
        <f t="shared" si="26"/>
        <v>99.9</v>
      </c>
      <c r="R74" s="71">
        <f t="shared" si="26"/>
        <v>0</v>
      </c>
      <c r="S74" s="89" t="s">
        <v>1818</v>
      </c>
      <c r="T74" s="86" t="s">
        <v>1802</v>
      </c>
      <c r="U74" s="89" t="s">
        <v>195</v>
      </c>
      <c r="V74" s="56"/>
    </row>
    <row r="75" ht="23.25" customHeight="1" spans="1:22">
      <c r="A75" s="71">
        <v>28</v>
      </c>
      <c r="B75" s="71" t="s">
        <v>239</v>
      </c>
      <c r="C75" s="71"/>
      <c r="D75" s="71" t="s">
        <v>147</v>
      </c>
      <c r="E75" s="71">
        <f t="shared" ref="E75:G75" si="27">E76+E85+E94+E103</f>
        <v>7800</v>
      </c>
      <c r="F75" s="71">
        <f t="shared" si="27"/>
        <v>2871</v>
      </c>
      <c r="G75" s="71">
        <f t="shared" si="27"/>
        <v>2871</v>
      </c>
      <c r="H75" s="71">
        <v>2018</v>
      </c>
      <c r="I75" s="71">
        <v>2020</v>
      </c>
      <c r="J75" s="86"/>
      <c r="K75" s="86"/>
      <c r="L75" s="86"/>
      <c r="M75" s="86"/>
      <c r="N75" s="86"/>
      <c r="O75" s="86"/>
      <c r="P75" s="86"/>
      <c r="Q75" s="86"/>
      <c r="R75" s="76"/>
      <c r="S75" s="89"/>
      <c r="T75" s="89"/>
      <c r="U75" s="71"/>
      <c r="V75" s="56"/>
    </row>
    <row r="76" ht="23.25" customHeight="1" spans="1:22">
      <c r="A76" s="71">
        <v>29</v>
      </c>
      <c r="B76" s="71" t="s">
        <v>241</v>
      </c>
      <c r="C76" s="71"/>
      <c r="D76" s="71" t="s">
        <v>147</v>
      </c>
      <c r="E76" s="71">
        <f t="shared" ref="E76:G76" si="28">SUM(E77:E84)</f>
        <v>2000</v>
      </c>
      <c r="F76" s="71">
        <f t="shared" si="28"/>
        <v>613</v>
      </c>
      <c r="G76" s="71">
        <f t="shared" si="28"/>
        <v>613</v>
      </c>
      <c r="H76" s="71">
        <v>2018</v>
      </c>
      <c r="I76" s="71">
        <v>2020</v>
      </c>
      <c r="J76" s="86"/>
      <c r="K76" s="86"/>
      <c r="L76" s="86"/>
      <c r="M76" s="86"/>
      <c r="N76" s="86"/>
      <c r="O76" s="86"/>
      <c r="P76" s="86"/>
      <c r="Q76" s="86"/>
      <c r="R76" s="76"/>
      <c r="S76" s="89" t="s">
        <v>1818</v>
      </c>
      <c r="T76" s="89" t="s">
        <v>1802</v>
      </c>
      <c r="U76" s="89" t="s">
        <v>195</v>
      </c>
      <c r="V76" s="56"/>
    </row>
    <row r="77" s="67" customFormat="1" ht="23.25" customHeight="1" spans="1:22">
      <c r="A77" s="71">
        <v>30</v>
      </c>
      <c r="B77" s="71" t="s">
        <v>1809</v>
      </c>
      <c r="C77" s="71"/>
      <c r="D77" s="71" t="s">
        <v>147</v>
      </c>
      <c r="E77" s="71">
        <v>150</v>
      </c>
      <c r="F77" s="71">
        <v>105</v>
      </c>
      <c r="G77" s="71">
        <v>105</v>
      </c>
      <c r="H77" s="71">
        <v>2018</v>
      </c>
      <c r="I77" s="71">
        <v>2020</v>
      </c>
      <c r="J77" s="86"/>
      <c r="K77" s="86"/>
      <c r="L77" s="86"/>
      <c r="M77" s="86"/>
      <c r="N77" s="86"/>
      <c r="O77" s="86"/>
      <c r="P77" s="86"/>
      <c r="Q77" s="138"/>
      <c r="R77" s="101"/>
      <c r="S77" s="101"/>
      <c r="T77" s="101"/>
      <c r="U77" s="101"/>
      <c r="V77" s="101" t="s">
        <v>1819</v>
      </c>
    </row>
    <row r="78" ht="23.25" customHeight="1" spans="1:22">
      <c r="A78" s="71">
        <v>31</v>
      </c>
      <c r="B78" s="71" t="s">
        <v>1810</v>
      </c>
      <c r="C78" s="71"/>
      <c r="D78" s="71" t="s">
        <v>147</v>
      </c>
      <c r="E78" s="71">
        <v>350</v>
      </c>
      <c r="F78" s="71">
        <v>151</v>
      </c>
      <c r="G78" s="71">
        <v>151</v>
      </c>
      <c r="H78" s="71">
        <v>2018</v>
      </c>
      <c r="I78" s="71">
        <v>2020</v>
      </c>
      <c r="J78" s="86"/>
      <c r="K78" s="86"/>
      <c r="L78" s="86"/>
      <c r="M78" s="86"/>
      <c r="N78" s="86"/>
      <c r="O78" s="86"/>
      <c r="P78" s="86"/>
      <c r="Q78" s="86"/>
      <c r="R78" s="76"/>
      <c r="S78" s="86"/>
      <c r="T78" s="86"/>
      <c r="U78" s="89"/>
      <c r="V78" s="101" t="s">
        <v>1819</v>
      </c>
    </row>
    <row r="79" ht="23.25" customHeight="1" spans="1:22">
      <c r="A79" s="71">
        <v>32</v>
      </c>
      <c r="B79" s="71" t="s">
        <v>1811</v>
      </c>
      <c r="C79" s="71"/>
      <c r="D79" s="71" t="s">
        <v>147</v>
      </c>
      <c r="E79" s="71">
        <v>350</v>
      </c>
      <c r="F79" s="71">
        <v>114</v>
      </c>
      <c r="G79" s="71">
        <v>114</v>
      </c>
      <c r="H79" s="71">
        <v>2018</v>
      </c>
      <c r="I79" s="71">
        <v>2020</v>
      </c>
      <c r="J79" s="86"/>
      <c r="K79" s="86"/>
      <c r="L79" s="86"/>
      <c r="M79" s="86"/>
      <c r="N79" s="86"/>
      <c r="O79" s="86"/>
      <c r="P79" s="86"/>
      <c r="Q79" s="86"/>
      <c r="R79" s="71"/>
      <c r="S79" s="89"/>
      <c r="T79" s="89"/>
      <c r="U79" s="89"/>
      <c r="V79" s="101" t="s">
        <v>1819</v>
      </c>
    </row>
    <row r="80" ht="23.25" customHeight="1" spans="1:22">
      <c r="A80" s="71">
        <v>33</v>
      </c>
      <c r="B80" s="71" t="s">
        <v>1812</v>
      </c>
      <c r="C80" s="71"/>
      <c r="D80" s="71" t="s">
        <v>147</v>
      </c>
      <c r="E80" s="71">
        <v>100</v>
      </c>
      <c r="F80" s="71">
        <v>42</v>
      </c>
      <c r="G80" s="71">
        <v>42</v>
      </c>
      <c r="H80" s="71">
        <v>2018</v>
      </c>
      <c r="I80" s="71">
        <v>2020</v>
      </c>
      <c r="J80" s="86"/>
      <c r="K80" s="86"/>
      <c r="L80" s="86"/>
      <c r="M80" s="86"/>
      <c r="N80" s="86"/>
      <c r="O80" s="86"/>
      <c r="P80" s="86"/>
      <c r="Q80" s="138"/>
      <c r="R80" s="102"/>
      <c r="S80" s="102"/>
      <c r="T80" s="102"/>
      <c r="U80" s="102"/>
      <c r="V80" s="101" t="s">
        <v>1819</v>
      </c>
    </row>
    <row r="81" ht="23.25" customHeight="1" spans="1:22">
      <c r="A81" s="71">
        <v>34</v>
      </c>
      <c r="B81" s="71" t="s">
        <v>1813</v>
      </c>
      <c r="C81" s="71"/>
      <c r="D81" s="71" t="s">
        <v>147</v>
      </c>
      <c r="E81" s="71">
        <v>350</v>
      </c>
      <c r="F81" s="71">
        <v>48</v>
      </c>
      <c r="G81" s="71">
        <v>48</v>
      </c>
      <c r="H81" s="71">
        <v>2018</v>
      </c>
      <c r="I81" s="71">
        <v>2020</v>
      </c>
      <c r="J81" s="86"/>
      <c r="K81" s="86"/>
      <c r="L81" s="86"/>
      <c r="M81" s="86"/>
      <c r="N81" s="86"/>
      <c r="O81" s="86"/>
      <c r="P81" s="86"/>
      <c r="Q81" s="138"/>
      <c r="R81" s="102"/>
      <c r="S81" s="102"/>
      <c r="T81" s="102"/>
      <c r="U81" s="102"/>
      <c r="V81" s="101" t="s">
        <v>1819</v>
      </c>
    </row>
    <row r="82" s="63" customFormat="1" ht="23.25" customHeight="1" spans="1:22">
      <c r="A82" s="71">
        <v>35</v>
      </c>
      <c r="B82" s="71" t="s">
        <v>1814</v>
      </c>
      <c r="C82" s="71"/>
      <c r="D82" s="71" t="s">
        <v>147</v>
      </c>
      <c r="E82" s="71">
        <v>350</v>
      </c>
      <c r="F82" s="71">
        <v>89</v>
      </c>
      <c r="G82" s="71">
        <v>89</v>
      </c>
      <c r="H82" s="71">
        <v>2018</v>
      </c>
      <c r="I82" s="71">
        <v>2020</v>
      </c>
      <c r="J82" s="86"/>
      <c r="K82" s="86"/>
      <c r="L82" s="86"/>
      <c r="M82" s="86"/>
      <c r="N82" s="153"/>
      <c r="O82" s="153"/>
      <c r="P82" s="153"/>
      <c r="Q82" s="153"/>
      <c r="R82" s="76"/>
      <c r="S82" s="76"/>
      <c r="T82" s="76"/>
      <c r="U82" s="76"/>
      <c r="V82" s="101" t="s">
        <v>1819</v>
      </c>
    </row>
    <row r="83" ht="23.25" customHeight="1" spans="1:22">
      <c r="A83" s="71">
        <v>36</v>
      </c>
      <c r="B83" s="71" t="s">
        <v>1815</v>
      </c>
      <c r="C83" s="71"/>
      <c r="D83" s="71" t="s">
        <v>147</v>
      </c>
      <c r="E83" s="71">
        <v>200</v>
      </c>
      <c r="F83" s="71">
        <v>54</v>
      </c>
      <c r="G83" s="71">
        <v>54</v>
      </c>
      <c r="H83" s="71">
        <v>2018</v>
      </c>
      <c r="I83" s="71">
        <v>2020</v>
      </c>
      <c r="J83" s="86"/>
      <c r="K83" s="86"/>
      <c r="L83" s="86"/>
      <c r="M83" s="86"/>
      <c r="N83" s="86"/>
      <c r="O83" s="86"/>
      <c r="P83" s="86"/>
      <c r="Q83" s="86"/>
      <c r="R83" s="76"/>
      <c r="S83" s="86"/>
      <c r="T83" s="86"/>
      <c r="U83" s="89"/>
      <c r="V83" s="101" t="s">
        <v>1819</v>
      </c>
    </row>
    <row r="84" ht="23.25" customHeight="1" spans="1:22">
      <c r="A84" s="71">
        <v>37</v>
      </c>
      <c r="B84" s="71" t="s">
        <v>1816</v>
      </c>
      <c r="C84" s="71"/>
      <c r="D84" s="71" t="s">
        <v>147</v>
      </c>
      <c r="E84" s="71">
        <v>150</v>
      </c>
      <c r="F84" s="71">
        <v>10</v>
      </c>
      <c r="G84" s="71">
        <v>10</v>
      </c>
      <c r="H84" s="71">
        <v>2018</v>
      </c>
      <c r="I84" s="71">
        <v>2020</v>
      </c>
      <c r="J84" s="86"/>
      <c r="K84" s="86"/>
      <c r="L84" s="86"/>
      <c r="M84" s="86"/>
      <c r="N84" s="86"/>
      <c r="O84" s="86"/>
      <c r="P84" s="86"/>
      <c r="Q84" s="86"/>
      <c r="R84" s="76"/>
      <c r="S84" s="86"/>
      <c r="T84" s="86"/>
      <c r="U84" s="89"/>
      <c r="V84" s="101" t="s">
        <v>1819</v>
      </c>
    </row>
    <row r="85" ht="23.25" customHeight="1" spans="1:22">
      <c r="A85" s="71">
        <v>38</v>
      </c>
      <c r="B85" s="71" t="s">
        <v>264</v>
      </c>
      <c r="C85" s="71"/>
      <c r="D85" s="71" t="s">
        <v>147</v>
      </c>
      <c r="E85" s="71">
        <f t="shared" ref="E85:G85" si="29">SUM(E86:E93)</f>
        <v>2200</v>
      </c>
      <c r="F85" s="71">
        <f t="shared" si="29"/>
        <v>680</v>
      </c>
      <c r="G85" s="71">
        <f t="shared" si="29"/>
        <v>680</v>
      </c>
      <c r="H85" s="71">
        <v>2018</v>
      </c>
      <c r="I85" s="71">
        <v>2020</v>
      </c>
      <c r="J85" s="86"/>
      <c r="K85" s="86"/>
      <c r="L85" s="86"/>
      <c r="M85" s="86"/>
      <c r="N85" s="86"/>
      <c r="O85" s="86"/>
      <c r="P85" s="86"/>
      <c r="Q85" s="86"/>
      <c r="R85" s="76"/>
      <c r="S85" s="89" t="s">
        <v>1818</v>
      </c>
      <c r="T85" s="86" t="s">
        <v>1802</v>
      </c>
      <c r="U85" s="89" t="s">
        <v>195</v>
      </c>
      <c r="V85" s="56"/>
    </row>
    <row r="86" s="67" customFormat="1" ht="23.25" customHeight="1" spans="1:22">
      <c r="A86" s="71">
        <v>39</v>
      </c>
      <c r="B86" s="71" t="s">
        <v>1809</v>
      </c>
      <c r="C86" s="71"/>
      <c r="D86" s="71" t="s">
        <v>147</v>
      </c>
      <c r="E86" s="71">
        <v>180</v>
      </c>
      <c r="F86" s="71">
        <v>112</v>
      </c>
      <c r="G86" s="71">
        <f t="shared" ref="G86:G93" si="30">F86</f>
        <v>112</v>
      </c>
      <c r="H86" s="71">
        <v>2018</v>
      </c>
      <c r="I86" s="71">
        <v>2020</v>
      </c>
      <c r="J86" s="86"/>
      <c r="K86" s="86"/>
      <c r="L86" s="86"/>
      <c r="M86" s="86"/>
      <c r="N86" s="86"/>
      <c r="O86" s="86"/>
      <c r="P86" s="86"/>
      <c r="Q86" s="138"/>
      <c r="R86" s="101"/>
      <c r="S86" s="101"/>
      <c r="T86" s="101"/>
      <c r="U86" s="101"/>
      <c r="V86" s="101" t="s">
        <v>1819</v>
      </c>
    </row>
    <row r="87" ht="23.25" customHeight="1" spans="1:22">
      <c r="A87" s="71">
        <v>40</v>
      </c>
      <c r="B87" s="71" t="s">
        <v>1810</v>
      </c>
      <c r="C87" s="71"/>
      <c r="D87" s="71" t="s">
        <v>147</v>
      </c>
      <c r="E87" s="71">
        <v>375</v>
      </c>
      <c r="F87" s="71">
        <v>68</v>
      </c>
      <c r="G87" s="71">
        <f t="shared" si="30"/>
        <v>68</v>
      </c>
      <c r="H87" s="71">
        <v>2018</v>
      </c>
      <c r="I87" s="71">
        <v>2020</v>
      </c>
      <c r="J87" s="86"/>
      <c r="K87" s="86"/>
      <c r="L87" s="86"/>
      <c r="M87" s="86"/>
      <c r="N87" s="86"/>
      <c r="O87" s="86"/>
      <c r="P87" s="86"/>
      <c r="Q87" s="86"/>
      <c r="R87" s="76"/>
      <c r="S87" s="86"/>
      <c r="T87" s="86"/>
      <c r="U87" s="89"/>
      <c r="V87" s="101" t="s">
        <v>1819</v>
      </c>
    </row>
    <row r="88" ht="23.25" customHeight="1" spans="1:22">
      <c r="A88" s="71">
        <v>41</v>
      </c>
      <c r="B88" s="71" t="s">
        <v>1811</v>
      </c>
      <c r="C88" s="71"/>
      <c r="D88" s="71" t="s">
        <v>147</v>
      </c>
      <c r="E88" s="71">
        <v>375</v>
      </c>
      <c r="F88" s="71">
        <v>166</v>
      </c>
      <c r="G88" s="71">
        <f t="shared" si="30"/>
        <v>166</v>
      </c>
      <c r="H88" s="71">
        <v>2018</v>
      </c>
      <c r="I88" s="71">
        <v>2020</v>
      </c>
      <c r="J88" s="86"/>
      <c r="K88" s="86"/>
      <c r="L88" s="86"/>
      <c r="M88" s="86"/>
      <c r="N88" s="86"/>
      <c r="O88" s="86"/>
      <c r="P88" s="86"/>
      <c r="Q88" s="86"/>
      <c r="R88" s="71"/>
      <c r="S88" s="89"/>
      <c r="T88" s="89"/>
      <c r="U88" s="89"/>
      <c r="V88" s="101" t="s">
        <v>1819</v>
      </c>
    </row>
    <row r="89" ht="23.25" customHeight="1" spans="1:22">
      <c r="A89" s="71">
        <v>42</v>
      </c>
      <c r="B89" s="71" t="s">
        <v>1812</v>
      </c>
      <c r="C89" s="71"/>
      <c r="D89" s="71" t="s">
        <v>147</v>
      </c>
      <c r="E89" s="71">
        <v>120</v>
      </c>
      <c r="F89" s="71">
        <v>72</v>
      </c>
      <c r="G89" s="71">
        <f t="shared" si="30"/>
        <v>72</v>
      </c>
      <c r="H89" s="71">
        <v>2018</v>
      </c>
      <c r="I89" s="71">
        <v>2020</v>
      </c>
      <c r="J89" s="86"/>
      <c r="K89" s="86"/>
      <c r="L89" s="86"/>
      <c r="M89" s="86"/>
      <c r="N89" s="86"/>
      <c r="O89" s="86"/>
      <c r="P89" s="86"/>
      <c r="Q89" s="138"/>
      <c r="R89" s="102"/>
      <c r="S89" s="102"/>
      <c r="T89" s="102"/>
      <c r="U89" s="102"/>
      <c r="V89" s="101" t="s">
        <v>1819</v>
      </c>
    </row>
    <row r="90" ht="23.25" customHeight="1" spans="1:22">
      <c r="A90" s="71">
        <v>43</v>
      </c>
      <c r="B90" s="71" t="s">
        <v>1813</v>
      </c>
      <c r="C90" s="71"/>
      <c r="D90" s="71" t="s">
        <v>147</v>
      </c>
      <c r="E90" s="71">
        <v>375</v>
      </c>
      <c r="F90" s="71">
        <v>97</v>
      </c>
      <c r="G90" s="71">
        <f t="shared" si="30"/>
        <v>97</v>
      </c>
      <c r="H90" s="71">
        <v>2018</v>
      </c>
      <c r="I90" s="71">
        <v>2020</v>
      </c>
      <c r="J90" s="86"/>
      <c r="K90" s="86"/>
      <c r="L90" s="86"/>
      <c r="M90" s="86"/>
      <c r="N90" s="86"/>
      <c r="O90" s="86"/>
      <c r="P90" s="86"/>
      <c r="Q90" s="138"/>
      <c r="R90" s="102"/>
      <c r="S90" s="102"/>
      <c r="T90" s="102"/>
      <c r="U90" s="102"/>
      <c r="V90" s="101" t="s">
        <v>1819</v>
      </c>
    </row>
    <row r="91" s="63" customFormat="1" ht="23.25" customHeight="1" spans="1:22">
      <c r="A91" s="71">
        <v>44</v>
      </c>
      <c r="B91" s="71" t="s">
        <v>1814</v>
      </c>
      <c r="C91" s="71"/>
      <c r="D91" s="71" t="s">
        <v>147</v>
      </c>
      <c r="E91" s="71">
        <v>375</v>
      </c>
      <c r="F91" s="71">
        <v>108</v>
      </c>
      <c r="G91" s="71">
        <f t="shared" si="30"/>
        <v>108</v>
      </c>
      <c r="H91" s="71">
        <v>2018</v>
      </c>
      <c r="I91" s="71">
        <v>2020</v>
      </c>
      <c r="J91" s="86"/>
      <c r="K91" s="86"/>
      <c r="L91" s="86"/>
      <c r="M91" s="86"/>
      <c r="N91" s="153"/>
      <c r="O91" s="153"/>
      <c r="P91" s="153"/>
      <c r="Q91" s="153"/>
      <c r="R91" s="76"/>
      <c r="S91" s="76"/>
      <c r="T91" s="76"/>
      <c r="U91" s="76"/>
      <c r="V91" s="101" t="s">
        <v>1819</v>
      </c>
    </row>
    <row r="92" ht="23.25" customHeight="1" spans="1:22">
      <c r="A92" s="71">
        <v>45</v>
      </c>
      <c r="B92" s="71" t="s">
        <v>1815</v>
      </c>
      <c r="C92" s="71"/>
      <c r="D92" s="71" t="s">
        <v>147</v>
      </c>
      <c r="E92" s="71">
        <v>250</v>
      </c>
      <c r="F92" s="71">
        <v>42</v>
      </c>
      <c r="G92" s="71">
        <f t="shared" si="30"/>
        <v>42</v>
      </c>
      <c r="H92" s="71">
        <v>2018</v>
      </c>
      <c r="I92" s="71">
        <v>2020</v>
      </c>
      <c r="J92" s="86"/>
      <c r="K92" s="86"/>
      <c r="L92" s="86"/>
      <c r="M92" s="86"/>
      <c r="N92" s="86"/>
      <c r="O92" s="86"/>
      <c r="P92" s="86"/>
      <c r="Q92" s="86"/>
      <c r="R92" s="76"/>
      <c r="S92" s="86"/>
      <c r="T92" s="86"/>
      <c r="U92" s="89"/>
      <c r="V92" s="101" t="s">
        <v>1819</v>
      </c>
    </row>
    <row r="93" ht="23.25" customHeight="1" spans="1:22">
      <c r="A93" s="71">
        <v>46</v>
      </c>
      <c r="B93" s="71" t="s">
        <v>1816</v>
      </c>
      <c r="C93" s="71"/>
      <c r="D93" s="71" t="s">
        <v>147</v>
      </c>
      <c r="E93" s="71">
        <v>150</v>
      </c>
      <c r="F93" s="71">
        <v>15</v>
      </c>
      <c r="G93" s="71">
        <f t="shared" si="30"/>
        <v>15</v>
      </c>
      <c r="H93" s="71">
        <v>2018</v>
      </c>
      <c r="I93" s="71">
        <v>2020</v>
      </c>
      <c r="J93" s="86"/>
      <c r="K93" s="86"/>
      <c r="L93" s="86"/>
      <c r="M93" s="86"/>
      <c r="N93" s="86"/>
      <c r="O93" s="86"/>
      <c r="P93" s="86"/>
      <c r="Q93" s="86"/>
      <c r="R93" s="76"/>
      <c r="S93" s="86"/>
      <c r="T93" s="86"/>
      <c r="U93" s="89"/>
      <c r="V93" s="101" t="s">
        <v>1819</v>
      </c>
    </row>
    <row r="94" ht="23.25" customHeight="1" spans="1:22">
      <c r="A94" s="71">
        <v>47</v>
      </c>
      <c r="B94" s="71" t="s">
        <v>265</v>
      </c>
      <c r="C94" s="71"/>
      <c r="D94" s="71" t="s">
        <v>147</v>
      </c>
      <c r="E94" s="71">
        <f t="shared" ref="E94:G94" si="31">SUM(E95:E102)</f>
        <v>3600</v>
      </c>
      <c r="F94" s="71">
        <f t="shared" si="31"/>
        <v>1578</v>
      </c>
      <c r="G94" s="71">
        <f t="shared" si="31"/>
        <v>1578</v>
      </c>
      <c r="H94" s="71">
        <v>2018</v>
      </c>
      <c r="I94" s="71">
        <v>2020</v>
      </c>
      <c r="J94" s="86"/>
      <c r="K94" s="86"/>
      <c r="L94" s="86"/>
      <c r="M94" s="86"/>
      <c r="N94" s="86"/>
      <c r="O94" s="86"/>
      <c r="P94" s="86"/>
      <c r="Q94" s="86"/>
      <c r="R94" s="76"/>
      <c r="S94" s="89" t="s">
        <v>1818</v>
      </c>
      <c r="T94" s="86" t="s">
        <v>1802</v>
      </c>
      <c r="U94" s="89" t="s">
        <v>195</v>
      </c>
      <c r="V94" s="56"/>
    </row>
    <row r="95" s="67" customFormat="1" ht="23.25" customHeight="1" spans="1:22">
      <c r="A95" s="71">
        <v>48</v>
      </c>
      <c r="B95" s="71" t="s">
        <v>1809</v>
      </c>
      <c r="C95" s="71"/>
      <c r="D95" s="71" t="s">
        <v>147</v>
      </c>
      <c r="E95" s="71">
        <v>350</v>
      </c>
      <c r="F95" s="71">
        <v>113</v>
      </c>
      <c r="G95" s="71">
        <f t="shared" ref="G95:G102" si="32">F95</f>
        <v>113</v>
      </c>
      <c r="H95" s="71">
        <v>2018</v>
      </c>
      <c r="I95" s="71">
        <v>2020</v>
      </c>
      <c r="J95" s="86"/>
      <c r="K95" s="86"/>
      <c r="L95" s="86"/>
      <c r="M95" s="86"/>
      <c r="N95" s="86"/>
      <c r="O95" s="86"/>
      <c r="P95" s="86"/>
      <c r="Q95" s="138"/>
      <c r="R95" s="101"/>
      <c r="S95" s="101"/>
      <c r="T95" s="101"/>
      <c r="U95" s="101"/>
      <c r="V95" s="101" t="s">
        <v>1819</v>
      </c>
    </row>
    <row r="96" ht="23.25" customHeight="1" spans="1:22">
      <c r="A96" s="71">
        <v>49</v>
      </c>
      <c r="B96" s="71" t="s">
        <v>1810</v>
      </c>
      <c r="C96" s="71"/>
      <c r="D96" s="71" t="s">
        <v>147</v>
      </c>
      <c r="E96" s="71">
        <v>560</v>
      </c>
      <c r="F96" s="71">
        <v>366</v>
      </c>
      <c r="G96" s="71">
        <f t="shared" si="32"/>
        <v>366</v>
      </c>
      <c r="H96" s="71">
        <v>2018</v>
      </c>
      <c r="I96" s="71">
        <v>2020</v>
      </c>
      <c r="J96" s="86"/>
      <c r="K96" s="86"/>
      <c r="L96" s="86"/>
      <c r="M96" s="86"/>
      <c r="N96" s="86"/>
      <c r="O96" s="86"/>
      <c r="P96" s="86"/>
      <c r="Q96" s="86"/>
      <c r="R96" s="76"/>
      <c r="S96" s="86"/>
      <c r="T96" s="86"/>
      <c r="U96" s="89"/>
      <c r="V96" s="101" t="s">
        <v>1819</v>
      </c>
    </row>
    <row r="97" ht="23.25" customHeight="1" spans="1:22">
      <c r="A97" s="71">
        <v>50</v>
      </c>
      <c r="B97" s="71" t="s">
        <v>1811</v>
      </c>
      <c r="C97" s="71"/>
      <c r="D97" s="71" t="s">
        <v>147</v>
      </c>
      <c r="E97" s="71">
        <v>560</v>
      </c>
      <c r="F97" s="71">
        <v>150</v>
      </c>
      <c r="G97" s="71">
        <f t="shared" si="32"/>
        <v>150</v>
      </c>
      <c r="H97" s="71">
        <v>2018</v>
      </c>
      <c r="I97" s="71">
        <v>2020</v>
      </c>
      <c r="J97" s="86"/>
      <c r="K97" s="86"/>
      <c r="L97" s="86"/>
      <c r="M97" s="86"/>
      <c r="N97" s="86"/>
      <c r="O97" s="86"/>
      <c r="P97" s="86"/>
      <c r="Q97" s="86"/>
      <c r="R97" s="71"/>
      <c r="S97" s="89"/>
      <c r="T97" s="89"/>
      <c r="U97" s="89"/>
      <c r="V97" s="101" t="s">
        <v>1819</v>
      </c>
    </row>
    <row r="98" ht="23.25" customHeight="1" spans="1:22">
      <c r="A98" s="71">
        <v>51</v>
      </c>
      <c r="B98" s="71" t="s">
        <v>1812</v>
      </c>
      <c r="C98" s="71"/>
      <c r="D98" s="71" t="s">
        <v>147</v>
      </c>
      <c r="E98" s="71">
        <v>260</v>
      </c>
      <c r="F98" s="71">
        <v>79</v>
      </c>
      <c r="G98" s="71">
        <f t="shared" si="32"/>
        <v>79</v>
      </c>
      <c r="H98" s="71">
        <v>2018</v>
      </c>
      <c r="I98" s="71">
        <v>2020</v>
      </c>
      <c r="J98" s="86"/>
      <c r="K98" s="86"/>
      <c r="L98" s="86"/>
      <c r="M98" s="86"/>
      <c r="N98" s="86"/>
      <c r="O98" s="86"/>
      <c r="P98" s="86"/>
      <c r="Q98" s="138"/>
      <c r="R98" s="102"/>
      <c r="S98" s="102"/>
      <c r="T98" s="102"/>
      <c r="U98" s="102"/>
      <c r="V98" s="101" t="s">
        <v>1819</v>
      </c>
    </row>
    <row r="99" ht="23.25" customHeight="1" spans="1:22">
      <c r="A99" s="71">
        <v>52</v>
      </c>
      <c r="B99" s="71" t="s">
        <v>1813</v>
      </c>
      <c r="C99" s="71"/>
      <c r="D99" s="71" t="s">
        <v>147</v>
      </c>
      <c r="E99" s="71">
        <v>500</v>
      </c>
      <c r="F99" s="71">
        <v>282</v>
      </c>
      <c r="G99" s="71">
        <f t="shared" si="32"/>
        <v>282</v>
      </c>
      <c r="H99" s="71">
        <v>2018</v>
      </c>
      <c r="I99" s="71">
        <v>2020</v>
      </c>
      <c r="J99" s="86"/>
      <c r="K99" s="86"/>
      <c r="L99" s="86"/>
      <c r="M99" s="86"/>
      <c r="N99" s="86"/>
      <c r="O99" s="86"/>
      <c r="P99" s="86"/>
      <c r="Q99" s="138"/>
      <c r="R99" s="102"/>
      <c r="S99" s="102"/>
      <c r="T99" s="102"/>
      <c r="U99" s="102"/>
      <c r="V99" s="101" t="s">
        <v>1819</v>
      </c>
    </row>
    <row r="100" s="63" customFormat="1" ht="23.25" customHeight="1" spans="1:22">
      <c r="A100" s="71">
        <v>53</v>
      </c>
      <c r="B100" s="71" t="s">
        <v>1814</v>
      </c>
      <c r="C100" s="71"/>
      <c r="D100" s="71" t="s">
        <v>147</v>
      </c>
      <c r="E100" s="71">
        <v>560</v>
      </c>
      <c r="F100" s="71">
        <v>232</v>
      </c>
      <c r="G100" s="71">
        <f t="shared" si="32"/>
        <v>232</v>
      </c>
      <c r="H100" s="71">
        <v>2018</v>
      </c>
      <c r="I100" s="71">
        <v>2020</v>
      </c>
      <c r="J100" s="86"/>
      <c r="K100" s="86"/>
      <c r="L100" s="86"/>
      <c r="M100" s="86"/>
      <c r="N100" s="153"/>
      <c r="O100" s="153"/>
      <c r="P100" s="153"/>
      <c r="Q100" s="153"/>
      <c r="R100" s="76"/>
      <c r="S100" s="76"/>
      <c r="T100" s="76"/>
      <c r="U100" s="76"/>
      <c r="V100" s="101" t="s">
        <v>1819</v>
      </c>
    </row>
    <row r="101" ht="23.25" customHeight="1" spans="1:22">
      <c r="A101" s="71">
        <v>54</v>
      </c>
      <c r="B101" s="71" t="s">
        <v>1815</v>
      </c>
      <c r="C101" s="71"/>
      <c r="D101" s="71" t="s">
        <v>147</v>
      </c>
      <c r="E101" s="71">
        <v>460</v>
      </c>
      <c r="F101" s="71">
        <v>306</v>
      </c>
      <c r="G101" s="71">
        <f t="shared" si="32"/>
        <v>306</v>
      </c>
      <c r="H101" s="71">
        <v>2018</v>
      </c>
      <c r="I101" s="71">
        <v>2020</v>
      </c>
      <c r="J101" s="86"/>
      <c r="K101" s="86"/>
      <c r="L101" s="86"/>
      <c r="M101" s="86"/>
      <c r="N101" s="86"/>
      <c r="O101" s="86"/>
      <c r="P101" s="86"/>
      <c r="Q101" s="86"/>
      <c r="R101" s="76"/>
      <c r="S101" s="86"/>
      <c r="T101" s="86"/>
      <c r="U101" s="89"/>
      <c r="V101" s="101" t="s">
        <v>1819</v>
      </c>
    </row>
    <row r="102" ht="23.25" customHeight="1" spans="1:22">
      <c r="A102" s="71">
        <v>55</v>
      </c>
      <c r="B102" s="71" t="s">
        <v>1816</v>
      </c>
      <c r="C102" s="71"/>
      <c r="D102" s="71" t="s">
        <v>147</v>
      </c>
      <c r="E102" s="71">
        <v>350</v>
      </c>
      <c r="F102" s="71">
        <v>50</v>
      </c>
      <c r="G102" s="71">
        <f t="shared" si="32"/>
        <v>50</v>
      </c>
      <c r="H102" s="71">
        <v>2018</v>
      </c>
      <c r="I102" s="71">
        <v>2020</v>
      </c>
      <c r="J102" s="86"/>
      <c r="K102" s="86"/>
      <c r="L102" s="86"/>
      <c r="M102" s="86"/>
      <c r="N102" s="86"/>
      <c r="O102" s="86"/>
      <c r="P102" s="86"/>
      <c r="Q102" s="86"/>
      <c r="R102" s="76"/>
      <c r="S102" s="86"/>
      <c r="T102" s="86"/>
      <c r="U102" s="89"/>
      <c r="V102" s="101" t="s">
        <v>1819</v>
      </c>
    </row>
    <row r="103" ht="23.25" customHeight="1" spans="1:22">
      <c r="A103" s="71">
        <v>56</v>
      </c>
      <c r="B103" s="71" t="s">
        <v>266</v>
      </c>
      <c r="C103" s="71"/>
      <c r="D103" s="71" t="s">
        <v>147</v>
      </c>
      <c r="E103" s="71"/>
      <c r="F103" s="71"/>
      <c r="G103" s="71"/>
      <c r="H103" s="71">
        <v>2018</v>
      </c>
      <c r="I103" s="71">
        <v>2020</v>
      </c>
      <c r="J103" s="86"/>
      <c r="K103" s="86"/>
      <c r="L103" s="86"/>
      <c r="M103" s="86"/>
      <c r="N103" s="86"/>
      <c r="O103" s="86"/>
      <c r="P103" s="86"/>
      <c r="Q103" s="86"/>
      <c r="R103" s="76"/>
      <c r="S103" s="89" t="s">
        <v>1818</v>
      </c>
      <c r="T103" s="86" t="s">
        <v>1802</v>
      </c>
      <c r="U103" s="89" t="s">
        <v>195</v>
      </c>
      <c r="V103" s="56"/>
    </row>
    <row r="104" ht="23.25" customHeight="1" spans="1:22">
      <c r="A104" s="71">
        <v>57</v>
      </c>
      <c r="B104" s="71" t="s">
        <v>1811</v>
      </c>
      <c r="C104" s="71"/>
      <c r="D104" s="71" t="s">
        <v>147</v>
      </c>
      <c r="E104" s="71"/>
      <c r="F104" s="71"/>
      <c r="G104" s="71"/>
      <c r="H104" s="71">
        <v>2018</v>
      </c>
      <c r="I104" s="71">
        <v>2020</v>
      </c>
      <c r="J104" s="86"/>
      <c r="K104" s="86"/>
      <c r="L104" s="86"/>
      <c r="M104" s="86"/>
      <c r="N104" s="86"/>
      <c r="O104" s="86"/>
      <c r="P104" s="86"/>
      <c r="Q104" s="86"/>
      <c r="R104" s="71"/>
      <c r="S104" s="89"/>
      <c r="T104" s="89"/>
      <c r="U104" s="89" t="s">
        <v>195</v>
      </c>
      <c r="V104" s="101" t="s">
        <v>1819</v>
      </c>
    </row>
    <row r="105" ht="23.25" customHeight="1" spans="1:22">
      <c r="A105" s="71">
        <v>58</v>
      </c>
      <c r="B105" s="71" t="s">
        <v>267</v>
      </c>
      <c r="C105" s="71" t="s">
        <v>52</v>
      </c>
      <c r="D105" s="71" t="s">
        <v>194</v>
      </c>
      <c r="E105" s="71">
        <f>SUM(E106:E113)</f>
        <v>3450</v>
      </c>
      <c r="F105" s="71">
        <v>1205</v>
      </c>
      <c r="G105" s="71">
        <v>2212</v>
      </c>
      <c r="H105" s="71">
        <v>2018</v>
      </c>
      <c r="I105" s="71">
        <v>2020</v>
      </c>
      <c r="J105" s="86"/>
      <c r="K105" s="86"/>
      <c r="L105" s="86"/>
      <c r="M105" s="86"/>
      <c r="N105" s="86"/>
      <c r="O105" s="86"/>
      <c r="P105" s="86"/>
      <c r="Q105" s="86"/>
      <c r="R105" s="76"/>
      <c r="S105" s="89" t="s">
        <v>1818</v>
      </c>
      <c r="T105" s="86" t="s">
        <v>1802</v>
      </c>
      <c r="U105" s="89" t="s">
        <v>195</v>
      </c>
      <c r="V105" s="56"/>
    </row>
    <row r="106" ht="23.25" customHeight="1" spans="1:22">
      <c r="A106" s="71">
        <v>59</v>
      </c>
      <c r="B106" s="71" t="s">
        <v>1810</v>
      </c>
      <c r="C106" s="71" t="s">
        <v>52</v>
      </c>
      <c r="D106" s="71" t="s">
        <v>194</v>
      </c>
      <c r="E106" s="71">
        <v>500</v>
      </c>
      <c r="F106" s="71">
        <v>327</v>
      </c>
      <c r="G106" s="71">
        <f t="shared" ref="G106:G113" si="33">F106</f>
        <v>327</v>
      </c>
      <c r="H106" s="71">
        <v>2018</v>
      </c>
      <c r="I106" s="71">
        <v>2020</v>
      </c>
      <c r="J106" s="86"/>
      <c r="K106" s="86"/>
      <c r="L106" s="86"/>
      <c r="M106" s="86"/>
      <c r="N106" s="86"/>
      <c r="O106" s="86"/>
      <c r="P106" s="86"/>
      <c r="Q106" s="86"/>
      <c r="R106" s="76"/>
      <c r="S106" s="89"/>
      <c r="T106" s="89"/>
      <c r="U106" s="89"/>
      <c r="V106" s="101" t="s">
        <v>1819</v>
      </c>
    </row>
    <row r="107" ht="23.25" customHeight="1" spans="1:22">
      <c r="A107" s="71">
        <v>60</v>
      </c>
      <c r="B107" s="71" t="s">
        <v>1809</v>
      </c>
      <c r="C107" s="71" t="s">
        <v>52</v>
      </c>
      <c r="D107" s="71" t="s">
        <v>194</v>
      </c>
      <c r="E107" s="71">
        <v>250</v>
      </c>
      <c r="F107" s="71">
        <v>35</v>
      </c>
      <c r="G107" s="71">
        <f t="shared" si="33"/>
        <v>35</v>
      </c>
      <c r="H107" s="71">
        <v>2018</v>
      </c>
      <c r="I107" s="71">
        <v>2020</v>
      </c>
      <c r="J107" s="86"/>
      <c r="K107" s="86"/>
      <c r="L107" s="86"/>
      <c r="M107" s="86"/>
      <c r="N107" s="86"/>
      <c r="O107" s="86"/>
      <c r="P107" s="86"/>
      <c r="Q107" s="86"/>
      <c r="R107" s="76"/>
      <c r="S107" s="89"/>
      <c r="T107" s="89"/>
      <c r="U107" s="89"/>
      <c r="V107" s="101" t="s">
        <v>1819</v>
      </c>
    </row>
    <row r="108" ht="23.25" customHeight="1" spans="1:22">
      <c r="A108" s="71">
        <v>61</v>
      </c>
      <c r="B108" s="71" t="s">
        <v>1811</v>
      </c>
      <c r="C108" s="71" t="s">
        <v>52</v>
      </c>
      <c r="D108" s="71" t="s">
        <v>194</v>
      </c>
      <c r="E108" s="71">
        <v>505</v>
      </c>
      <c r="F108" s="71">
        <v>184</v>
      </c>
      <c r="G108" s="71">
        <f t="shared" si="33"/>
        <v>184</v>
      </c>
      <c r="H108" s="71">
        <v>2018</v>
      </c>
      <c r="I108" s="71">
        <v>2020</v>
      </c>
      <c r="J108" s="86"/>
      <c r="K108" s="86"/>
      <c r="L108" s="86"/>
      <c r="M108" s="86"/>
      <c r="N108" s="86"/>
      <c r="O108" s="86"/>
      <c r="P108" s="86"/>
      <c r="Q108" s="86"/>
      <c r="R108" s="76"/>
      <c r="S108" s="89"/>
      <c r="T108" s="89"/>
      <c r="U108" s="89"/>
      <c r="V108" s="101" t="s">
        <v>1819</v>
      </c>
    </row>
    <row r="109" ht="23.25" customHeight="1" spans="1:22">
      <c r="A109" s="71">
        <v>62</v>
      </c>
      <c r="B109" s="71" t="s">
        <v>1812</v>
      </c>
      <c r="C109" s="71" t="s">
        <v>52</v>
      </c>
      <c r="D109" s="71" t="s">
        <v>194</v>
      </c>
      <c r="E109" s="71">
        <v>350</v>
      </c>
      <c r="F109" s="71">
        <v>73</v>
      </c>
      <c r="G109" s="71">
        <f t="shared" si="33"/>
        <v>73</v>
      </c>
      <c r="H109" s="71">
        <v>2018</v>
      </c>
      <c r="I109" s="71">
        <v>2020</v>
      </c>
      <c r="J109" s="86"/>
      <c r="K109" s="86"/>
      <c r="L109" s="86"/>
      <c r="M109" s="86"/>
      <c r="N109" s="86"/>
      <c r="O109" s="86"/>
      <c r="P109" s="86"/>
      <c r="Q109" s="138"/>
      <c r="R109" s="102"/>
      <c r="S109" s="102"/>
      <c r="T109" s="102"/>
      <c r="U109" s="102"/>
      <c r="V109" s="101" t="s">
        <v>1819</v>
      </c>
    </row>
    <row r="110" ht="23.25" customHeight="1" spans="1:22">
      <c r="A110" s="71">
        <v>63</v>
      </c>
      <c r="B110" s="71" t="s">
        <v>1813</v>
      </c>
      <c r="C110" s="71" t="s">
        <v>52</v>
      </c>
      <c r="D110" s="71" t="s">
        <v>194</v>
      </c>
      <c r="E110" s="71">
        <v>500</v>
      </c>
      <c r="F110" s="71">
        <v>191</v>
      </c>
      <c r="G110" s="71">
        <f t="shared" si="33"/>
        <v>191</v>
      </c>
      <c r="H110" s="71">
        <v>2018</v>
      </c>
      <c r="I110" s="71">
        <v>2020</v>
      </c>
      <c r="J110" s="86"/>
      <c r="K110" s="86"/>
      <c r="L110" s="86"/>
      <c r="M110" s="86"/>
      <c r="N110" s="86"/>
      <c r="O110" s="86"/>
      <c r="P110" s="86"/>
      <c r="Q110" s="138"/>
      <c r="R110" s="102"/>
      <c r="S110" s="102"/>
      <c r="T110" s="102"/>
      <c r="U110" s="102"/>
      <c r="V110" s="101" t="s">
        <v>1819</v>
      </c>
    </row>
    <row r="111" s="63" customFormat="1" ht="23.25" customHeight="1" spans="1:22">
      <c r="A111" s="71">
        <v>64</v>
      </c>
      <c r="B111" s="71" t="s">
        <v>1814</v>
      </c>
      <c r="C111" s="71" t="s">
        <v>52</v>
      </c>
      <c r="D111" s="71" t="s">
        <v>194</v>
      </c>
      <c r="E111" s="71">
        <v>575</v>
      </c>
      <c r="F111" s="71">
        <v>50</v>
      </c>
      <c r="G111" s="71">
        <f t="shared" si="33"/>
        <v>50</v>
      </c>
      <c r="H111" s="71">
        <v>2018</v>
      </c>
      <c r="I111" s="71">
        <v>2020</v>
      </c>
      <c r="J111" s="86"/>
      <c r="K111" s="86"/>
      <c r="L111" s="86"/>
      <c r="M111" s="86"/>
      <c r="N111" s="153"/>
      <c r="O111" s="153"/>
      <c r="P111" s="153"/>
      <c r="Q111" s="153"/>
      <c r="R111" s="76"/>
      <c r="S111" s="76"/>
      <c r="T111" s="76"/>
      <c r="U111" s="76"/>
      <c r="V111" s="101" t="s">
        <v>1819</v>
      </c>
    </row>
    <row r="112" s="63" customFormat="1" ht="23.25" customHeight="1" spans="1:22">
      <c r="A112" s="71">
        <v>65</v>
      </c>
      <c r="B112" s="71" t="s">
        <v>1815</v>
      </c>
      <c r="C112" s="71" t="s">
        <v>52</v>
      </c>
      <c r="D112" s="71" t="s">
        <v>194</v>
      </c>
      <c r="E112" s="71">
        <v>450</v>
      </c>
      <c r="F112" s="71">
        <v>170</v>
      </c>
      <c r="G112" s="71">
        <f t="shared" si="33"/>
        <v>170</v>
      </c>
      <c r="H112" s="71">
        <v>2018</v>
      </c>
      <c r="I112" s="71">
        <v>2020</v>
      </c>
      <c r="J112" s="86"/>
      <c r="K112" s="86"/>
      <c r="L112" s="86"/>
      <c r="M112" s="86"/>
      <c r="N112" s="153"/>
      <c r="O112" s="153"/>
      <c r="P112" s="153"/>
      <c r="Q112" s="153"/>
      <c r="R112" s="76"/>
      <c r="S112" s="76"/>
      <c r="T112" s="76"/>
      <c r="U112" s="76"/>
      <c r="V112" s="101" t="s">
        <v>1819</v>
      </c>
    </row>
    <row r="113" s="63" customFormat="1" ht="23.25" customHeight="1" spans="1:22">
      <c r="A113" s="71">
        <v>66</v>
      </c>
      <c r="B113" s="71" t="s">
        <v>1816</v>
      </c>
      <c r="C113" s="71" t="s">
        <v>52</v>
      </c>
      <c r="D113" s="71" t="s">
        <v>194</v>
      </c>
      <c r="E113" s="71">
        <v>320</v>
      </c>
      <c r="F113" s="71">
        <v>175</v>
      </c>
      <c r="G113" s="71">
        <f t="shared" si="33"/>
        <v>175</v>
      </c>
      <c r="H113" s="71">
        <v>2018</v>
      </c>
      <c r="I113" s="71">
        <v>2020</v>
      </c>
      <c r="J113" s="86"/>
      <c r="K113" s="86"/>
      <c r="L113" s="86"/>
      <c r="M113" s="86"/>
      <c r="N113" s="153"/>
      <c r="O113" s="153"/>
      <c r="P113" s="153"/>
      <c r="Q113" s="153"/>
      <c r="R113" s="76"/>
      <c r="S113" s="76"/>
      <c r="T113" s="76"/>
      <c r="U113" s="76"/>
      <c r="V113" s="101" t="s">
        <v>1819</v>
      </c>
    </row>
    <row r="114" ht="23.25" customHeight="1" spans="1:22">
      <c r="A114" s="71">
        <v>67</v>
      </c>
      <c r="B114" s="71" t="s">
        <v>268</v>
      </c>
      <c r="C114" s="71" t="s">
        <v>52</v>
      </c>
      <c r="D114" s="71" t="s">
        <v>147</v>
      </c>
      <c r="E114" s="71">
        <f t="shared" ref="E114:G114" si="34">E115+E116+E121+E131+E132+E133+E134+E135+E136+E137+E138+E139</f>
        <v>399</v>
      </c>
      <c r="F114" s="71">
        <f t="shared" si="34"/>
        <v>98</v>
      </c>
      <c r="G114" s="71">
        <f t="shared" si="34"/>
        <v>99</v>
      </c>
      <c r="H114" s="71">
        <v>2018</v>
      </c>
      <c r="I114" s="71">
        <v>2020</v>
      </c>
      <c r="J114" s="86">
        <f t="shared" ref="J114:Q114" si="35">J115+J116+J121+J131+J132+J133+J134+J135+J136+J137+J138+J139</f>
        <v>336.2056</v>
      </c>
      <c r="K114" s="86">
        <f t="shared" si="35"/>
        <v>19.4496</v>
      </c>
      <c r="L114" s="86">
        <f t="shared" si="35"/>
        <v>158.378</v>
      </c>
      <c r="M114" s="86">
        <f t="shared" si="35"/>
        <v>158.378</v>
      </c>
      <c r="N114" s="86">
        <f t="shared" si="35"/>
        <v>14.13</v>
      </c>
      <c r="O114" s="86">
        <f t="shared" si="35"/>
        <v>0</v>
      </c>
      <c r="P114" s="86">
        <f t="shared" si="35"/>
        <v>222.1756</v>
      </c>
      <c r="Q114" s="86">
        <f t="shared" si="35"/>
        <v>99.9</v>
      </c>
      <c r="R114" s="76"/>
      <c r="S114" s="89"/>
      <c r="T114" s="89"/>
      <c r="U114" s="71"/>
      <c r="V114" s="56"/>
    </row>
    <row r="115" ht="23.25" customHeight="1" spans="1:22">
      <c r="A115" s="71">
        <v>68</v>
      </c>
      <c r="B115" s="71" t="s">
        <v>269</v>
      </c>
      <c r="C115" s="71" t="s">
        <v>52</v>
      </c>
      <c r="D115" s="71" t="s">
        <v>147</v>
      </c>
      <c r="E115" s="71"/>
      <c r="F115" s="71"/>
      <c r="G115" s="71"/>
      <c r="H115" s="71"/>
      <c r="I115" s="71"/>
      <c r="J115" s="86"/>
      <c r="K115" s="86"/>
      <c r="L115" s="86"/>
      <c r="M115" s="86"/>
      <c r="N115" s="86"/>
      <c r="O115" s="86"/>
      <c r="P115" s="86"/>
      <c r="Q115" s="86"/>
      <c r="R115" s="432"/>
      <c r="S115" s="89" t="s">
        <v>1820</v>
      </c>
      <c r="T115" s="86" t="s">
        <v>1821</v>
      </c>
      <c r="U115" s="89" t="s">
        <v>201</v>
      </c>
      <c r="V115" s="89"/>
    </row>
    <row r="116" ht="23.25" customHeight="1" spans="1:22">
      <c r="A116" s="71">
        <v>69</v>
      </c>
      <c r="B116" s="71" t="s">
        <v>270</v>
      </c>
      <c r="C116" s="71" t="s">
        <v>52</v>
      </c>
      <c r="D116" s="71" t="s">
        <v>147</v>
      </c>
      <c r="E116" s="71">
        <f t="shared" ref="E116:G116" si="36">SUM(E117:E120)</f>
        <v>13</v>
      </c>
      <c r="F116" s="71">
        <f t="shared" si="36"/>
        <v>11</v>
      </c>
      <c r="G116" s="71">
        <f t="shared" si="36"/>
        <v>11</v>
      </c>
      <c r="H116" s="71">
        <v>2018</v>
      </c>
      <c r="I116" s="71">
        <v>2020</v>
      </c>
      <c r="J116" s="86">
        <f t="shared" ref="J116:M116" si="37">SUM(J117:J120)</f>
        <v>11.88</v>
      </c>
      <c r="K116" s="86">
        <f t="shared" si="37"/>
        <v>3.96</v>
      </c>
      <c r="L116" s="86">
        <f t="shared" si="37"/>
        <v>3.96</v>
      </c>
      <c r="M116" s="86">
        <f t="shared" si="37"/>
        <v>3.96</v>
      </c>
      <c r="N116" s="86">
        <f t="shared" ref="N116:N120" si="38">J116</f>
        <v>11.88</v>
      </c>
      <c r="O116" s="86"/>
      <c r="P116" s="86"/>
      <c r="Q116" s="86"/>
      <c r="R116" s="432"/>
      <c r="S116" s="89" t="s">
        <v>1820</v>
      </c>
      <c r="T116" s="86" t="s">
        <v>1821</v>
      </c>
      <c r="U116" s="89" t="s">
        <v>271</v>
      </c>
      <c r="V116" s="89" t="s">
        <v>1822</v>
      </c>
    </row>
    <row r="117" ht="23.25" customHeight="1" spans="1:22">
      <c r="A117" s="71">
        <v>70</v>
      </c>
      <c r="B117" s="71" t="s">
        <v>1809</v>
      </c>
      <c r="C117" s="71" t="s">
        <v>52</v>
      </c>
      <c r="D117" s="71" t="s">
        <v>147</v>
      </c>
      <c r="E117" s="71">
        <v>2</v>
      </c>
      <c r="F117" s="71">
        <v>2</v>
      </c>
      <c r="G117" s="71">
        <v>2</v>
      </c>
      <c r="H117" s="71">
        <v>2018</v>
      </c>
      <c r="I117" s="71">
        <v>2020</v>
      </c>
      <c r="J117" s="86">
        <v>1.44</v>
      </c>
      <c r="K117" s="86">
        <v>0.48</v>
      </c>
      <c r="L117" s="86">
        <v>0.48</v>
      </c>
      <c r="M117" s="86">
        <v>0.48</v>
      </c>
      <c r="N117" s="86">
        <f t="shared" si="38"/>
        <v>1.44</v>
      </c>
      <c r="O117" s="86"/>
      <c r="P117" s="86"/>
      <c r="Q117" s="86"/>
      <c r="R117" s="76"/>
      <c r="S117" s="89"/>
      <c r="T117" s="89"/>
      <c r="U117" s="56"/>
      <c r="V117" s="89" t="s">
        <v>1822</v>
      </c>
    </row>
    <row r="118" ht="23.25" customHeight="1" spans="1:22">
      <c r="A118" s="71">
        <v>71</v>
      </c>
      <c r="B118" s="71" t="s">
        <v>1810</v>
      </c>
      <c r="C118" s="71" t="s">
        <v>52</v>
      </c>
      <c r="D118" s="71" t="s">
        <v>147</v>
      </c>
      <c r="E118" s="71">
        <v>3</v>
      </c>
      <c r="F118" s="71">
        <v>3</v>
      </c>
      <c r="G118" s="71">
        <v>3</v>
      </c>
      <c r="H118" s="71">
        <v>2018</v>
      </c>
      <c r="I118" s="71">
        <v>2020</v>
      </c>
      <c r="J118" s="86">
        <v>1.8</v>
      </c>
      <c r="K118" s="86">
        <v>0.6</v>
      </c>
      <c r="L118" s="86">
        <v>0.6</v>
      </c>
      <c r="M118" s="86">
        <v>0.6</v>
      </c>
      <c r="N118" s="86">
        <f t="shared" si="38"/>
        <v>1.8</v>
      </c>
      <c r="O118" s="86"/>
      <c r="P118" s="86"/>
      <c r="Q118" s="86"/>
      <c r="R118" s="76"/>
      <c r="S118" s="89"/>
      <c r="T118" s="89"/>
      <c r="U118" s="56"/>
      <c r="V118" s="89" t="s">
        <v>1822</v>
      </c>
    </row>
    <row r="119" ht="23.25" customHeight="1" spans="1:22">
      <c r="A119" s="71">
        <v>74</v>
      </c>
      <c r="B119" s="71" t="s">
        <v>1815</v>
      </c>
      <c r="C119" s="71" t="s">
        <v>52</v>
      </c>
      <c r="D119" s="71" t="s">
        <v>147</v>
      </c>
      <c r="E119" s="71">
        <v>5</v>
      </c>
      <c r="F119" s="71">
        <v>5</v>
      </c>
      <c r="G119" s="71">
        <v>5</v>
      </c>
      <c r="H119" s="71">
        <v>2018</v>
      </c>
      <c r="I119" s="71">
        <v>2020</v>
      </c>
      <c r="J119" s="86">
        <v>6.84</v>
      </c>
      <c r="K119" s="86">
        <v>2.28</v>
      </c>
      <c r="L119" s="86">
        <v>2.28</v>
      </c>
      <c r="M119" s="86">
        <v>2.28</v>
      </c>
      <c r="N119" s="86">
        <f t="shared" si="38"/>
        <v>6.84</v>
      </c>
      <c r="O119" s="86"/>
      <c r="P119" s="86"/>
      <c r="Q119" s="86"/>
      <c r="R119" s="76"/>
      <c r="S119" s="86"/>
      <c r="T119" s="89"/>
      <c r="U119" s="56"/>
      <c r="V119" s="89" t="s">
        <v>1822</v>
      </c>
    </row>
    <row r="120" ht="23.25" customHeight="1" spans="1:22">
      <c r="A120" s="71">
        <v>75</v>
      </c>
      <c r="B120" s="71" t="s">
        <v>1816</v>
      </c>
      <c r="C120" s="71" t="s">
        <v>52</v>
      </c>
      <c r="D120" s="71" t="s">
        <v>147</v>
      </c>
      <c r="E120" s="71">
        <v>3</v>
      </c>
      <c r="F120" s="71">
        <v>1</v>
      </c>
      <c r="G120" s="71">
        <v>1</v>
      </c>
      <c r="H120" s="71">
        <v>2018</v>
      </c>
      <c r="I120" s="71">
        <v>2020</v>
      </c>
      <c r="J120" s="86">
        <v>1.8</v>
      </c>
      <c r="K120" s="86">
        <v>0.6</v>
      </c>
      <c r="L120" s="86">
        <v>0.6</v>
      </c>
      <c r="M120" s="86">
        <v>0.6</v>
      </c>
      <c r="N120" s="86">
        <f t="shared" si="38"/>
        <v>1.8</v>
      </c>
      <c r="O120" s="86"/>
      <c r="P120" s="86"/>
      <c r="Q120" s="86"/>
      <c r="R120" s="76"/>
      <c r="S120" s="86"/>
      <c r="T120" s="89"/>
      <c r="U120" s="56"/>
      <c r="V120" s="89" t="s">
        <v>1822</v>
      </c>
    </row>
    <row r="121" ht="23.25" customHeight="1" spans="1:22">
      <c r="A121" s="71">
        <v>76</v>
      </c>
      <c r="B121" s="71" t="s">
        <v>272</v>
      </c>
      <c r="C121" s="71" t="s">
        <v>52</v>
      </c>
      <c r="D121" s="71" t="s">
        <v>147</v>
      </c>
      <c r="E121" s="71">
        <f>321-36</f>
        <v>285</v>
      </c>
      <c r="F121" s="71">
        <v>1</v>
      </c>
      <c r="G121" s="71">
        <v>2</v>
      </c>
      <c r="H121" s="71">
        <v>2019</v>
      </c>
      <c r="I121" s="71">
        <v>2020</v>
      </c>
      <c r="J121" s="86">
        <f t="shared" ref="J121:M121" si="39">SUM(J122:J130)</f>
        <v>213.48</v>
      </c>
      <c r="K121" s="86">
        <f t="shared" si="39"/>
        <v>3.24</v>
      </c>
      <c r="L121" s="86">
        <f t="shared" si="39"/>
        <v>105.12</v>
      </c>
      <c r="M121" s="86">
        <f t="shared" si="39"/>
        <v>105.12</v>
      </c>
      <c r="N121" s="86"/>
      <c r="O121" s="86"/>
      <c r="P121" s="86">
        <f t="shared" ref="P121:P131" si="40">J121</f>
        <v>213.48</v>
      </c>
      <c r="Q121" s="86"/>
      <c r="R121" s="432"/>
      <c r="S121" s="89" t="s">
        <v>1823</v>
      </c>
      <c r="T121" s="86" t="s">
        <v>1824</v>
      </c>
      <c r="U121" s="71" t="s">
        <v>273</v>
      </c>
      <c r="V121" s="71"/>
    </row>
    <row r="122" ht="32.1" customHeight="1" spans="1:22">
      <c r="A122" s="71">
        <v>77</v>
      </c>
      <c r="B122" s="71" t="s">
        <v>1825</v>
      </c>
      <c r="C122" s="71" t="s">
        <v>52</v>
      </c>
      <c r="D122" s="71" t="s">
        <v>147</v>
      </c>
      <c r="E122" s="71">
        <v>2</v>
      </c>
      <c r="F122" s="71">
        <v>1</v>
      </c>
      <c r="G122" s="71">
        <v>2</v>
      </c>
      <c r="H122" s="71">
        <v>2018</v>
      </c>
      <c r="I122" s="71">
        <v>2020</v>
      </c>
      <c r="J122" s="86">
        <v>9.72</v>
      </c>
      <c r="K122" s="86">
        <v>3.24</v>
      </c>
      <c r="L122" s="86">
        <v>3.24</v>
      </c>
      <c r="M122" s="86">
        <v>3.24</v>
      </c>
      <c r="N122" s="86"/>
      <c r="O122" s="86"/>
      <c r="P122" s="86">
        <f t="shared" si="40"/>
        <v>9.72</v>
      </c>
      <c r="Q122" s="86"/>
      <c r="R122" s="432"/>
      <c r="S122" s="89"/>
      <c r="T122" s="89"/>
      <c r="U122" s="89"/>
      <c r="V122" s="56" t="s">
        <v>1826</v>
      </c>
    </row>
    <row r="123" ht="23.25" customHeight="1" spans="1:22">
      <c r="A123" s="71">
        <v>78</v>
      </c>
      <c r="B123" s="71" t="s">
        <v>1827</v>
      </c>
      <c r="C123" s="71" t="s">
        <v>52</v>
      </c>
      <c r="D123" s="71" t="s">
        <v>147</v>
      </c>
      <c r="E123" s="71">
        <f>22-6</f>
        <v>16</v>
      </c>
      <c r="F123" s="71">
        <v>16</v>
      </c>
      <c r="G123" s="71">
        <v>16</v>
      </c>
      <c r="H123" s="71">
        <v>2019</v>
      </c>
      <c r="I123" s="71">
        <v>2020</v>
      </c>
      <c r="J123" s="86">
        <f t="shared" ref="J123:J131" si="41">SUM(K123:M123)</f>
        <v>11.52</v>
      </c>
      <c r="K123" s="86"/>
      <c r="L123" s="86">
        <f t="shared" ref="L123:L131" si="42">E123*12*0.03</f>
        <v>5.76</v>
      </c>
      <c r="M123" s="86">
        <f t="shared" ref="M123:M131" si="43">E123*12*0.03</f>
        <v>5.76</v>
      </c>
      <c r="N123" s="86"/>
      <c r="O123" s="86"/>
      <c r="P123" s="86">
        <f t="shared" si="40"/>
        <v>11.52</v>
      </c>
      <c r="Q123" s="86"/>
      <c r="R123" s="432"/>
      <c r="S123" s="89"/>
      <c r="T123" s="89"/>
      <c r="U123" s="89"/>
      <c r="V123" s="56" t="s">
        <v>1828</v>
      </c>
    </row>
    <row r="124" ht="23.25" customHeight="1" spans="1:22">
      <c r="A124" s="71">
        <v>79</v>
      </c>
      <c r="B124" s="71" t="s">
        <v>1829</v>
      </c>
      <c r="C124" s="71" t="s">
        <v>52</v>
      </c>
      <c r="D124" s="71" t="s">
        <v>147</v>
      </c>
      <c r="E124" s="71">
        <f>28-4</f>
        <v>24</v>
      </c>
      <c r="F124" s="71">
        <f t="shared" ref="F124:F130" si="44">E124</f>
        <v>24</v>
      </c>
      <c r="G124" s="71">
        <f t="shared" ref="G124:G130" si="45">F124</f>
        <v>24</v>
      </c>
      <c r="H124" s="71">
        <v>2019</v>
      </c>
      <c r="I124" s="71">
        <v>2020</v>
      </c>
      <c r="J124" s="86">
        <f t="shared" si="41"/>
        <v>17.28</v>
      </c>
      <c r="K124" s="86"/>
      <c r="L124" s="86">
        <f t="shared" si="42"/>
        <v>8.64</v>
      </c>
      <c r="M124" s="86">
        <f t="shared" si="43"/>
        <v>8.64</v>
      </c>
      <c r="N124" s="86"/>
      <c r="O124" s="86"/>
      <c r="P124" s="86">
        <f t="shared" si="40"/>
        <v>17.28</v>
      </c>
      <c r="Q124" s="86"/>
      <c r="R124" s="432"/>
      <c r="S124" s="89"/>
      <c r="T124" s="89"/>
      <c r="U124" s="89"/>
      <c r="V124" s="56" t="s">
        <v>1828</v>
      </c>
    </row>
    <row r="125" ht="23.25" customHeight="1" spans="1:22">
      <c r="A125" s="71">
        <v>80</v>
      </c>
      <c r="B125" s="71" t="s">
        <v>1830</v>
      </c>
      <c r="C125" s="71" t="s">
        <v>52</v>
      </c>
      <c r="D125" s="71" t="s">
        <v>147</v>
      </c>
      <c r="E125" s="71">
        <f>45-10</f>
        <v>35</v>
      </c>
      <c r="F125" s="71">
        <f t="shared" si="44"/>
        <v>35</v>
      </c>
      <c r="G125" s="71">
        <f t="shared" si="45"/>
        <v>35</v>
      </c>
      <c r="H125" s="71">
        <v>2019</v>
      </c>
      <c r="I125" s="71">
        <v>2020</v>
      </c>
      <c r="J125" s="86">
        <f t="shared" si="41"/>
        <v>25.2</v>
      </c>
      <c r="K125" s="86"/>
      <c r="L125" s="86">
        <f t="shared" si="42"/>
        <v>12.6</v>
      </c>
      <c r="M125" s="86">
        <f t="shared" si="43"/>
        <v>12.6</v>
      </c>
      <c r="N125" s="86"/>
      <c r="O125" s="86"/>
      <c r="P125" s="86">
        <f t="shared" si="40"/>
        <v>25.2</v>
      </c>
      <c r="Q125" s="86"/>
      <c r="R125" s="432"/>
      <c r="S125" s="89"/>
      <c r="T125" s="89"/>
      <c r="U125" s="89"/>
      <c r="V125" s="56" t="s">
        <v>1828</v>
      </c>
    </row>
    <row r="126" ht="23.25" customHeight="1" spans="1:22">
      <c r="A126" s="71">
        <v>81</v>
      </c>
      <c r="B126" s="71" t="s">
        <v>1831</v>
      </c>
      <c r="C126" s="71" t="s">
        <v>52</v>
      </c>
      <c r="D126" s="71" t="s">
        <v>147</v>
      </c>
      <c r="E126" s="71">
        <f>53-1</f>
        <v>52</v>
      </c>
      <c r="F126" s="71">
        <f t="shared" si="44"/>
        <v>52</v>
      </c>
      <c r="G126" s="71">
        <f t="shared" si="45"/>
        <v>52</v>
      </c>
      <c r="H126" s="71">
        <v>2019</v>
      </c>
      <c r="I126" s="71">
        <v>2020</v>
      </c>
      <c r="J126" s="86">
        <f t="shared" si="41"/>
        <v>37.44</v>
      </c>
      <c r="K126" s="86"/>
      <c r="L126" s="86">
        <f t="shared" si="42"/>
        <v>18.72</v>
      </c>
      <c r="M126" s="86">
        <f t="shared" si="43"/>
        <v>18.72</v>
      </c>
      <c r="N126" s="86"/>
      <c r="O126" s="86"/>
      <c r="P126" s="86">
        <f t="shared" si="40"/>
        <v>37.44</v>
      </c>
      <c r="Q126" s="86"/>
      <c r="R126" s="432"/>
      <c r="S126" s="89"/>
      <c r="T126" s="89"/>
      <c r="U126" s="89"/>
      <c r="V126" s="56" t="s">
        <v>1828</v>
      </c>
    </row>
    <row r="127" ht="23.25" customHeight="1" spans="1:22">
      <c r="A127" s="71">
        <v>82</v>
      </c>
      <c r="B127" s="71" t="s">
        <v>1832</v>
      </c>
      <c r="C127" s="71" t="s">
        <v>52</v>
      </c>
      <c r="D127" s="71" t="s">
        <v>147</v>
      </c>
      <c r="E127" s="71">
        <f>32-2</f>
        <v>30</v>
      </c>
      <c r="F127" s="71">
        <f t="shared" si="44"/>
        <v>30</v>
      </c>
      <c r="G127" s="71">
        <f t="shared" si="45"/>
        <v>30</v>
      </c>
      <c r="H127" s="71">
        <v>2019</v>
      </c>
      <c r="I127" s="71">
        <v>2020</v>
      </c>
      <c r="J127" s="86">
        <f t="shared" si="41"/>
        <v>21.6</v>
      </c>
      <c r="K127" s="86"/>
      <c r="L127" s="86">
        <f t="shared" si="42"/>
        <v>10.8</v>
      </c>
      <c r="M127" s="86">
        <f t="shared" si="43"/>
        <v>10.8</v>
      </c>
      <c r="N127" s="86"/>
      <c r="O127" s="86"/>
      <c r="P127" s="86">
        <f t="shared" si="40"/>
        <v>21.6</v>
      </c>
      <c r="Q127" s="86"/>
      <c r="R127" s="432"/>
      <c r="S127" s="89"/>
      <c r="T127" s="89"/>
      <c r="U127" s="89"/>
      <c r="V127" s="56" t="s">
        <v>1828</v>
      </c>
    </row>
    <row r="128" ht="23.25" customHeight="1" spans="1:22">
      <c r="A128" s="71">
        <v>83</v>
      </c>
      <c r="B128" s="71" t="s">
        <v>1833</v>
      </c>
      <c r="C128" s="71" t="s">
        <v>52</v>
      </c>
      <c r="D128" s="71" t="s">
        <v>147</v>
      </c>
      <c r="E128" s="71">
        <f>36-1</f>
        <v>35</v>
      </c>
      <c r="F128" s="71">
        <f t="shared" si="44"/>
        <v>35</v>
      </c>
      <c r="G128" s="71">
        <f t="shared" si="45"/>
        <v>35</v>
      </c>
      <c r="H128" s="71">
        <v>2019</v>
      </c>
      <c r="I128" s="71">
        <v>2020</v>
      </c>
      <c r="J128" s="86">
        <f t="shared" si="41"/>
        <v>25.2</v>
      </c>
      <c r="K128" s="86"/>
      <c r="L128" s="86">
        <f t="shared" si="42"/>
        <v>12.6</v>
      </c>
      <c r="M128" s="86">
        <f t="shared" si="43"/>
        <v>12.6</v>
      </c>
      <c r="N128" s="86"/>
      <c r="O128" s="86"/>
      <c r="P128" s="86">
        <f t="shared" si="40"/>
        <v>25.2</v>
      </c>
      <c r="Q128" s="86"/>
      <c r="R128" s="432"/>
      <c r="S128" s="89"/>
      <c r="T128" s="89"/>
      <c r="U128" s="89"/>
      <c r="V128" s="56" t="s">
        <v>1828</v>
      </c>
    </row>
    <row r="129" ht="23.25" customHeight="1" spans="1:22">
      <c r="A129" s="71">
        <v>84</v>
      </c>
      <c r="B129" s="71" t="s">
        <v>1834</v>
      </c>
      <c r="C129" s="71" t="s">
        <v>52</v>
      </c>
      <c r="D129" s="71" t="s">
        <v>147</v>
      </c>
      <c r="E129" s="71">
        <f>52-7</f>
        <v>45</v>
      </c>
      <c r="F129" s="71">
        <f t="shared" si="44"/>
        <v>45</v>
      </c>
      <c r="G129" s="71">
        <f t="shared" si="45"/>
        <v>45</v>
      </c>
      <c r="H129" s="71">
        <v>2019</v>
      </c>
      <c r="I129" s="71">
        <v>2020</v>
      </c>
      <c r="J129" s="86">
        <f t="shared" si="41"/>
        <v>32.4</v>
      </c>
      <c r="K129" s="86"/>
      <c r="L129" s="86">
        <f t="shared" si="42"/>
        <v>16.2</v>
      </c>
      <c r="M129" s="86">
        <f t="shared" si="43"/>
        <v>16.2</v>
      </c>
      <c r="N129" s="86"/>
      <c r="O129" s="86"/>
      <c r="P129" s="86">
        <f t="shared" si="40"/>
        <v>32.4</v>
      </c>
      <c r="Q129" s="86"/>
      <c r="R129" s="432"/>
      <c r="S129" s="89"/>
      <c r="T129" s="89"/>
      <c r="U129" s="89"/>
      <c r="V129" s="56" t="s">
        <v>1828</v>
      </c>
    </row>
    <row r="130" ht="23.25" customHeight="1" spans="1:22">
      <c r="A130" s="71">
        <v>85</v>
      </c>
      <c r="B130" s="71" t="s">
        <v>1835</v>
      </c>
      <c r="C130" s="71" t="s">
        <v>52</v>
      </c>
      <c r="D130" s="71" t="s">
        <v>147</v>
      </c>
      <c r="E130" s="71">
        <f>51-5</f>
        <v>46</v>
      </c>
      <c r="F130" s="71">
        <f t="shared" si="44"/>
        <v>46</v>
      </c>
      <c r="G130" s="71">
        <f t="shared" si="45"/>
        <v>46</v>
      </c>
      <c r="H130" s="71">
        <v>2019</v>
      </c>
      <c r="I130" s="71">
        <v>2020</v>
      </c>
      <c r="J130" s="86">
        <f t="shared" si="41"/>
        <v>33.12</v>
      </c>
      <c r="K130" s="86"/>
      <c r="L130" s="86">
        <f t="shared" si="42"/>
        <v>16.56</v>
      </c>
      <c r="M130" s="86">
        <f t="shared" si="43"/>
        <v>16.56</v>
      </c>
      <c r="N130" s="86"/>
      <c r="O130" s="86"/>
      <c r="P130" s="86">
        <f t="shared" si="40"/>
        <v>33.12</v>
      </c>
      <c r="Q130" s="86"/>
      <c r="R130" s="432"/>
      <c r="S130" s="89"/>
      <c r="T130" s="89"/>
      <c r="U130" s="89"/>
      <c r="V130" s="56" t="s">
        <v>1828</v>
      </c>
    </row>
    <row r="131" ht="23.25" customHeight="1" spans="1:22">
      <c r="A131" s="71">
        <v>86</v>
      </c>
      <c r="B131" s="71" t="s">
        <v>274</v>
      </c>
      <c r="C131" s="71" t="s">
        <v>52</v>
      </c>
      <c r="D131" s="71" t="s">
        <v>147</v>
      </c>
      <c r="E131" s="71">
        <v>7</v>
      </c>
      <c r="F131" s="71">
        <v>7</v>
      </c>
      <c r="G131" s="71">
        <v>7</v>
      </c>
      <c r="H131" s="71">
        <v>2019</v>
      </c>
      <c r="I131" s="71">
        <v>2020</v>
      </c>
      <c r="J131" s="86">
        <f t="shared" si="41"/>
        <v>5.04</v>
      </c>
      <c r="K131" s="86"/>
      <c r="L131" s="86">
        <f t="shared" si="42"/>
        <v>2.52</v>
      </c>
      <c r="M131" s="86">
        <f t="shared" si="43"/>
        <v>2.52</v>
      </c>
      <c r="N131" s="86"/>
      <c r="O131" s="86"/>
      <c r="P131" s="86">
        <f t="shared" si="40"/>
        <v>5.04</v>
      </c>
      <c r="Q131" s="86"/>
      <c r="R131" s="432"/>
      <c r="S131" s="89" t="s">
        <v>1797</v>
      </c>
      <c r="T131" s="86" t="s">
        <v>1821</v>
      </c>
      <c r="U131" s="86" t="s">
        <v>1836</v>
      </c>
      <c r="V131" s="89" t="s">
        <v>1837</v>
      </c>
    </row>
    <row r="132" ht="23.25" customHeight="1" spans="1:22">
      <c r="A132" s="71">
        <v>87</v>
      </c>
      <c r="B132" s="71" t="s">
        <v>276</v>
      </c>
      <c r="C132" s="71" t="s">
        <v>52</v>
      </c>
      <c r="D132" s="71" t="s">
        <v>147</v>
      </c>
      <c r="E132" s="71">
        <v>20</v>
      </c>
      <c r="F132" s="71">
        <v>5</v>
      </c>
      <c r="G132" s="71">
        <v>5</v>
      </c>
      <c r="H132" s="71">
        <v>2018</v>
      </c>
      <c r="I132" s="71">
        <v>2020</v>
      </c>
      <c r="J132" s="86">
        <v>2.25</v>
      </c>
      <c r="K132" s="86">
        <v>0.75</v>
      </c>
      <c r="L132" s="86">
        <v>0.75</v>
      </c>
      <c r="M132" s="86">
        <v>0.75</v>
      </c>
      <c r="N132" s="86">
        <f>J132</f>
        <v>2.25</v>
      </c>
      <c r="O132" s="86"/>
      <c r="P132" s="86"/>
      <c r="Q132" s="86"/>
      <c r="R132" s="432"/>
      <c r="S132" s="89" t="s">
        <v>1838</v>
      </c>
      <c r="T132" s="89" t="s">
        <v>1821</v>
      </c>
      <c r="U132" s="86" t="s">
        <v>1836</v>
      </c>
      <c r="V132" s="89" t="s">
        <v>1839</v>
      </c>
    </row>
    <row r="133" ht="23.25" customHeight="1" spans="1:22">
      <c r="A133" s="71">
        <v>88</v>
      </c>
      <c r="B133" s="71" t="s">
        <v>1840</v>
      </c>
      <c r="C133" s="71" t="s">
        <v>52</v>
      </c>
      <c r="D133" s="71" t="s">
        <v>147</v>
      </c>
      <c r="E133" s="71">
        <v>36</v>
      </c>
      <c r="F133" s="71">
        <v>36</v>
      </c>
      <c r="G133" s="71">
        <v>36</v>
      </c>
      <c r="H133" s="71">
        <v>2018</v>
      </c>
      <c r="I133" s="71">
        <v>2020</v>
      </c>
      <c r="J133" s="138">
        <f t="shared" ref="J133:J139" si="46">SUM(K133:M133)</f>
        <v>50.3784</v>
      </c>
      <c r="K133" s="86">
        <f t="shared" ref="K133:K139" si="47">E133*3*(0.05+0.0018)</f>
        <v>5.5944</v>
      </c>
      <c r="L133" s="86">
        <f t="shared" ref="L133:L139" si="48">E133*12*0.05+0.022*G133</f>
        <v>22.392</v>
      </c>
      <c r="M133" s="86">
        <f t="shared" ref="M133:M139" si="49">E133*12*0.05+0.022*G133</f>
        <v>22.392</v>
      </c>
      <c r="N133" s="86"/>
      <c r="O133" s="86"/>
      <c r="P133" s="86">
        <f t="shared" ref="P133:P139" si="50">E133*0.0018*3+0.044*G133</f>
        <v>1.7784</v>
      </c>
      <c r="Q133" s="86">
        <f t="shared" ref="Q133:Q139" si="51">E133*27*0.05</f>
        <v>48.6</v>
      </c>
      <c r="R133" s="76"/>
      <c r="S133" s="89" t="s">
        <v>1818</v>
      </c>
      <c r="T133" s="89" t="s">
        <v>1802</v>
      </c>
      <c r="U133" s="89" t="s">
        <v>195</v>
      </c>
      <c r="V133" s="56" t="s">
        <v>1841</v>
      </c>
    </row>
    <row r="134" ht="23.25" customHeight="1" spans="1:22">
      <c r="A134" s="71">
        <v>89</v>
      </c>
      <c r="B134" s="71" t="s">
        <v>1842</v>
      </c>
      <c r="C134" s="71" t="s">
        <v>52</v>
      </c>
      <c r="D134" s="71" t="s">
        <v>147</v>
      </c>
      <c r="E134" s="71">
        <v>12</v>
      </c>
      <c r="F134" s="71">
        <v>12</v>
      </c>
      <c r="G134" s="71">
        <v>12</v>
      </c>
      <c r="H134" s="71">
        <v>2018</v>
      </c>
      <c r="I134" s="71">
        <v>2020</v>
      </c>
      <c r="J134" s="138">
        <f t="shared" si="46"/>
        <v>16.7928</v>
      </c>
      <c r="K134" s="86">
        <f t="shared" si="47"/>
        <v>1.8648</v>
      </c>
      <c r="L134" s="86">
        <f t="shared" si="48"/>
        <v>7.464</v>
      </c>
      <c r="M134" s="86">
        <f t="shared" si="49"/>
        <v>7.464</v>
      </c>
      <c r="N134" s="86"/>
      <c r="O134" s="86"/>
      <c r="P134" s="86">
        <f t="shared" si="50"/>
        <v>0.5928</v>
      </c>
      <c r="Q134" s="86">
        <f t="shared" si="51"/>
        <v>16.2</v>
      </c>
      <c r="R134" s="76"/>
      <c r="S134" s="89" t="s">
        <v>1818</v>
      </c>
      <c r="T134" s="89" t="s">
        <v>1802</v>
      </c>
      <c r="U134" s="89" t="s">
        <v>195</v>
      </c>
      <c r="V134" s="56" t="s">
        <v>1841</v>
      </c>
    </row>
    <row r="135" ht="23.25" customHeight="1" spans="1:22">
      <c r="A135" s="71">
        <v>90</v>
      </c>
      <c r="B135" s="71" t="s">
        <v>1843</v>
      </c>
      <c r="C135" s="71" t="s">
        <v>52</v>
      </c>
      <c r="D135" s="71" t="s">
        <v>147</v>
      </c>
      <c r="E135" s="71">
        <v>6</v>
      </c>
      <c r="F135" s="71">
        <v>6</v>
      </c>
      <c r="G135" s="71">
        <v>6</v>
      </c>
      <c r="H135" s="71">
        <v>2018</v>
      </c>
      <c r="I135" s="71">
        <v>2020</v>
      </c>
      <c r="J135" s="138">
        <f t="shared" si="46"/>
        <v>8.3964</v>
      </c>
      <c r="K135" s="86">
        <f t="shared" si="47"/>
        <v>0.9324</v>
      </c>
      <c r="L135" s="86">
        <f t="shared" si="48"/>
        <v>3.732</v>
      </c>
      <c r="M135" s="86">
        <f t="shared" si="49"/>
        <v>3.732</v>
      </c>
      <c r="N135" s="86"/>
      <c r="O135" s="86"/>
      <c r="P135" s="86">
        <f t="shared" si="50"/>
        <v>0.2964</v>
      </c>
      <c r="Q135" s="86">
        <f t="shared" si="51"/>
        <v>8.1</v>
      </c>
      <c r="R135" s="76"/>
      <c r="S135" s="89" t="s">
        <v>1818</v>
      </c>
      <c r="T135" s="89" t="s">
        <v>1802</v>
      </c>
      <c r="U135" s="89" t="s">
        <v>195</v>
      </c>
      <c r="V135" s="56" t="s">
        <v>1841</v>
      </c>
    </row>
    <row r="136" ht="23.25" customHeight="1" spans="1:22">
      <c r="A136" s="71">
        <v>91</v>
      </c>
      <c r="B136" s="71" t="s">
        <v>1844</v>
      </c>
      <c r="C136" s="71" t="s">
        <v>52</v>
      </c>
      <c r="D136" s="71" t="s">
        <v>147</v>
      </c>
      <c r="E136" s="101">
        <v>5</v>
      </c>
      <c r="F136" s="101">
        <v>5</v>
      </c>
      <c r="G136" s="101">
        <v>5</v>
      </c>
      <c r="H136" s="71">
        <v>2018</v>
      </c>
      <c r="I136" s="71">
        <v>2020</v>
      </c>
      <c r="J136" s="138">
        <f t="shared" si="46"/>
        <v>6.997</v>
      </c>
      <c r="K136" s="86">
        <f t="shared" si="47"/>
        <v>0.777</v>
      </c>
      <c r="L136" s="86">
        <f t="shared" si="48"/>
        <v>3.11</v>
      </c>
      <c r="M136" s="86">
        <f t="shared" si="49"/>
        <v>3.11</v>
      </c>
      <c r="N136" s="86"/>
      <c r="O136" s="86"/>
      <c r="P136" s="86">
        <f t="shared" si="50"/>
        <v>0.247</v>
      </c>
      <c r="Q136" s="86">
        <f t="shared" si="51"/>
        <v>6.75</v>
      </c>
      <c r="R136" s="76"/>
      <c r="S136" s="89" t="s">
        <v>1818</v>
      </c>
      <c r="T136" s="89" t="s">
        <v>1802</v>
      </c>
      <c r="U136" s="89" t="s">
        <v>195</v>
      </c>
      <c r="V136" s="56" t="s">
        <v>1841</v>
      </c>
    </row>
    <row r="137" ht="23.25" customHeight="1" spans="1:22">
      <c r="A137" s="71">
        <v>92</v>
      </c>
      <c r="B137" s="71" t="s">
        <v>1845</v>
      </c>
      <c r="C137" s="71" t="s">
        <v>52</v>
      </c>
      <c r="D137" s="71" t="s">
        <v>147</v>
      </c>
      <c r="E137" s="71">
        <v>7</v>
      </c>
      <c r="F137" s="71">
        <v>7</v>
      </c>
      <c r="G137" s="71">
        <v>7</v>
      </c>
      <c r="H137" s="71">
        <v>2018</v>
      </c>
      <c r="I137" s="71">
        <v>2020</v>
      </c>
      <c r="J137" s="138">
        <f t="shared" si="46"/>
        <v>9.7958</v>
      </c>
      <c r="K137" s="86">
        <f t="shared" si="47"/>
        <v>1.0878</v>
      </c>
      <c r="L137" s="86">
        <f t="shared" si="48"/>
        <v>4.354</v>
      </c>
      <c r="M137" s="86">
        <f t="shared" si="49"/>
        <v>4.354</v>
      </c>
      <c r="N137" s="86"/>
      <c r="O137" s="86"/>
      <c r="P137" s="86">
        <f t="shared" si="50"/>
        <v>0.3458</v>
      </c>
      <c r="Q137" s="86">
        <f t="shared" si="51"/>
        <v>9.45</v>
      </c>
      <c r="R137" s="76"/>
      <c r="S137" s="89" t="s">
        <v>1818</v>
      </c>
      <c r="T137" s="89" t="s">
        <v>1802</v>
      </c>
      <c r="U137" s="89" t="s">
        <v>195</v>
      </c>
      <c r="V137" s="56" t="s">
        <v>1841</v>
      </c>
    </row>
    <row r="138" ht="23.25" customHeight="1" spans="1:22">
      <c r="A138" s="71">
        <v>93</v>
      </c>
      <c r="B138" s="71" t="s">
        <v>1846</v>
      </c>
      <c r="C138" s="71" t="s">
        <v>52</v>
      </c>
      <c r="D138" s="71" t="s">
        <v>147</v>
      </c>
      <c r="E138" s="71">
        <v>4</v>
      </c>
      <c r="F138" s="71">
        <v>4</v>
      </c>
      <c r="G138" s="71">
        <v>4</v>
      </c>
      <c r="H138" s="71">
        <v>2018</v>
      </c>
      <c r="I138" s="71">
        <v>2020</v>
      </c>
      <c r="J138" s="138">
        <f t="shared" si="46"/>
        <v>5.5976</v>
      </c>
      <c r="K138" s="86">
        <f t="shared" si="47"/>
        <v>0.6216</v>
      </c>
      <c r="L138" s="86">
        <f t="shared" si="48"/>
        <v>2.488</v>
      </c>
      <c r="M138" s="86">
        <f t="shared" si="49"/>
        <v>2.488</v>
      </c>
      <c r="N138" s="86"/>
      <c r="O138" s="86"/>
      <c r="P138" s="86">
        <f t="shared" si="50"/>
        <v>0.1976</v>
      </c>
      <c r="Q138" s="86">
        <f t="shared" si="51"/>
        <v>5.4</v>
      </c>
      <c r="R138" s="76"/>
      <c r="S138" s="89" t="s">
        <v>1818</v>
      </c>
      <c r="T138" s="89" t="s">
        <v>1802</v>
      </c>
      <c r="U138" s="89" t="s">
        <v>195</v>
      </c>
      <c r="V138" s="56" t="s">
        <v>1841</v>
      </c>
    </row>
    <row r="139" ht="23.25" customHeight="1" spans="1:22">
      <c r="A139" s="71">
        <v>94</v>
      </c>
      <c r="B139" s="71" t="s">
        <v>1847</v>
      </c>
      <c r="C139" s="71" t="s">
        <v>52</v>
      </c>
      <c r="D139" s="71" t="s">
        <v>147</v>
      </c>
      <c r="E139" s="71">
        <v>4</v>
      </c>
      <c r="F139" s="71">
        <v>4</v>
      </c>
      <c r="G139" s="71">
        <v>4</v>
      </c>
      <c r="H139" s="71">
        <v>2018</v>
      </c>
      <c r="I139" s="71">
        <v>2020</v>
      </c>
      <c r="J139" s="138">
        <f t="shared" si="46"/>
        <v>5.5976</v>
      </c>
      <c r="K139" s="86">
        <f t="shared" si="47"/>
        <v>0.6216</v>
      </c>
      <c r="L139" s="86">
        <f t="shared" si="48"/>
        <v>2.488</v>
      </c>
      <c r="M139" s="86">
        <f t="shared" si="49"/>
        <v>2.488</v>
      </c>
      <c r="N139" s="86"/>
      <c r="O139" s="86"/>
      <c r="P139" s="86">
        <f t="shared" si="50"/>
        <v>0.1976</v>
      </c>
      <c r="Q139" s="86">
        <f t="shared" si="51"/>
        <v>5.4</v>
      </c>
      <c r="R139" s="76"/>
      <c r="S139" s="89" t="s">
        <v>1818</v>
      </c>
      <c r="T139" s="89" t="s">
        <v>1802</v>
      </c>
      <c r="U139" s="89" t="s">
        <v>195</v>
      </c>
      <c r="V139" s="56" t="s">
        <v>1841</v>
      </c>
    </row>
    <row r="140" ht="23.25" customHeight="1" spans="1:22">
      <c r="A140" s="71">
        <v>95</v>
      </c>
      <c r="B140" s="74" t="s">
        <v>857</v>
      </c>
      <c r="C140" s="71"/>
      <c r="D140" s="71"/>
      <c r="E140" s="71"/>
      <c r="F140" s="71"/>
      <c r="G140" s="71"/>
      <c r="H140" s="71"/>
      <c r="I140" s="71"/>
      <c r="J140" s="212">
        <f>K140+L140+M140</f>
        <v>4881.324304</v>
      </c>
      <c r="K140" s="86">
        <f t="shared" ref="K140:R140" si="52">SUM(K150,K160,K169)</f>
        <v>1185.156</v>
      </c>
      <c r="L140" s="86">
        <f t="shared" si="52"/>
        <v>3658.662768</v>
      </c>
      <c r="M140" s="86">
        <f t="shared" si="52"/>
        <v>37.505536</v>
      </c>
      <c r="N140" s="86">
        <f t="shared" si="52"/>
        <v>0</v>
      </c>
      <c r="O140" s="86">
        <f t="shared" si="52"/>
        <v>4694.338304</v>
      </c>
      <c r="P140" s="86">
        <f t="shared" si="52"/>
        <v>8</v>
      </c>
      <c r="Q140" s="86">
        <f t="shared" si="52"/>
        <v>178.986</v>
      </c>
      <c r="R140" s="86">
        <f t="shared" si="52"/>
        <v>0</v>
      </c>
      <c r="S140" s="86"/>
      <c r="T140" s="86"/>
      <c r="U140" s="71"/>
      <c r="V140" s="56"/>
    </row>
    <row r="141" ht="23.25" customHeight="1" spans="1:22">
      <c r="A141" s="71">
        <v>96</v>
      </c>
      <c r="B141" s="71" t="s">
        <v>42</v>
      </c>
      <c r="C141" s="71"/>
      <c r="D141" s="71"/>
      <c r="E141" s="71"/>
      <c r="F141" s="71"/>
      <c r="G141" s="71"/>
      <c r="H141" s="71"/>
      <c r="I141" s="71"/>
      <c r="J141" s="86"/>
      <c r="K141" s="86"/>
      <c r="L141" s="86"/>
      <c r="M141" s="86"/>
      <c r="N141" s="86"/>
      <c r="O141" s="86"/>
      <c r="P141" s="86"/>
      <c r="Q141" s="86"/>
      <c r="R141" s="76"/>
      <c r="S141" s="86"/>
      <c r="T141" s="86"/>
      <c r="U141" s="71"/>
      <c r="V141" s="56"/>
    </row>
    <row r="142" ht="23.25" customHeight="1" spans="1:22">
      <c r="A142" s="71">
        <v>97</v>
      </c>
      <c r="B142" s="71" t="s">
        <v>1114</v>
      </c>
      <c r="C142" s="71" t="s">
        <v>52</v>
      </c>
      <c r="D142" s="71" t="s">
        <v>45</v>
      </c>
      <c r="E142" s="71"/>
      <c r="F142" s="71"/>
      <c r="G142" s="71"/>
      <c r="H142" s="71"/>
      <c r="I142" s="71"/>
      <c r="J142" s="86"/>
      <c r="K142" s="86"/>
      <c r="L142" s="86"/>
      <c r="M142" s="86"/>
      <c r="N142" s="86"/>
      <c r="O142" s="86"/>
      <c r="P142" s="86"/>
      <c r="Q142" s="86"/>
      <c r="R142" s="76"/>
      <c r="S142" s="86"/>
      <c r="T142" s="86"/>
      <c r="U142" s="71"/>
      <c r="V142" s="56"/>
    </row>
    <row r="143" ht="23.25" customHeight="1" spans="1:22">
      <c r="A143" s="71">
        <v>141</v>
      </c>
      <c r="B143" s="71" t="s">
        <v>1123</v>
      </c>
      <c r="C143" s="71" t="s">
        <v>1124</v>
      </c>
      <c r="D143" s="71" t="s">
        <v>45</v>
      </c>
      <c r="E143" s="71"/>
      <c r="F143" s="71"/>
      <c r="G143" s="71"/>
      <c r="H143" s="71"/>
      <c r="I143" s="71"/>
      <c r="J143" s="86"/>
      <c r="K143" s="86"/>
      <c r="L143" s="86"/>
      <c r="M143" s="86"/>
      <c r="N143" s="86"/>
      <c r="O143" s="86"/>
      <c r="P143" s="86"/>
      <c r="Q143" s="86"/>
      <c r="R143" s="76"/>
      <c r="S143" s="86"/>
      <c r="T143" s="86"/>
      <c r="U143" s="86" t="s">
        <v>43</v>
      </c>
      <c r="V143" s="56"/>
    </row>
    <row r="144" ht="23.25" customHeight="1" spans="1:22">
      <c r="A144" s="71">
        <v>142</v>
      </c>
      <c r="B144" s="71" t="s">
        <v>1848</v>
      </c>
      <c r="C144" s="71"/>
      <c r="D144" s="71"/>
      <c r="E144" s="71"/>
      <c r="F144" s="71"/>
      <c r="G144" s="71"/>
      <c r="H144" s="71"/>
      <c r="I144" s="71"/>
      <c r="J144" s="86"/>
      <c r="K144" s="86"/>
      <c r="L144" s="86"/>
      <c r="M144" s="86"/>
      <c r="N144" s="86"/>
      <c r="O144" s="86"/>
      <c r="P144" s="86"/>
      <c r="Q144" s="86"/>
      <c r="R144" s="76"/>
      <c r="S144" s="86"/>
      <c r="T144" s="86"/>
      <c r="U144" s="86"/>
      <c r="V144" s="56"/>
    </row>
    <row r="145" ht="23.25" customHeight="1" spans="1:22">
      <c r="A145" s="71">
        <v>143</v>
      </c>
      <c r="B145" s="71" t="s">
        <v>130</v>
      </c>
      <c r="C145" s="71"/>
      <c r="D145" s="71"/>
      <c r="E145" s="71"/>
      <c r="F145" s="71"/>
      <c r="G145" s="71"/>
      <c r="H145" s="71"/>
      <c r="I145" s="71"/>
      <c r="J145" s="86"/>
      <c r="K145" s="86"/>
      <c r="L145" s="86"/>
      <c r="M145" s="86"/>
      <c r="N145" s="86"/>
      <c r="O145" s="86"/>
      <c r="P145" s="86"/>
      <c r="Q145" s="86"/>
      <c r="R145" s="76"/>
      <c r="S145" s="86"/>
      <c r="T145" s="86"/>
      <c r="U145" s="56" t="s">
        <v>43</v>
      </c>
      <c r="V145" s="56"/>
    </row>
    <row r="146" ht="26.1" customHeight="1" spans="1:22">
      <c r="A146" s="71">
        <v>144</v>
      </c>
      <c r="B146" s="71" t="s">
        <v>1125</v>
      </c>
      <c r="C146" s="71" t="s">
        <v>52</v>
      </c>
      <c r="D146" s="71" t="s">
        <v>131</v>
      </c>
      <c r="E146" s="71"/>
      <c r="F146" s="71"/>
      <c r="G146" s="71"/>
      <c r="H146" s="71"/>
      <c r="I146" s="71"/>
      <c r="J146" s="86"/>
      <c r="K146" s="86"/>
      <c r="L146" s="86"/>
      <c r="M146" s="86"/>
      <c r="N146" s="86"/>
      <c r="O146" s="86"/>
      <c r="P146" s="86"/>
      <c r="Q146" s="86"/>
      <c r="R146" s="76"/>
      <c r="S146" s="86"/>
      <c r="T146" s="86"/>
      <c r="U146" s="56" t="s">
        <v>43</v>
      </c>
      <c r="V146" s="56"/>
    </row>
    <row r="147" ht="41.25" customHeight="1" spans="1:22">
      <c r="A147" s="71">
        <v>183</v>
      </c>
      <c r="B147" s="71" t="s">
        <v>1129</v>
      </c>
      <c r="C147" s="71" t="s">
        <v>1124</v>
      </c>
      <c r="D147" s="71" t="s">
        <v>1130</v>
      </c>
      <c r="E147" s="71"/>
      <c r="F147" s="71"/>
      <c r="G147" s="71"/>
      <c r="H147" s="71"/>
      <c r="I147" s="71"/>
      <c r="J147" s="86"/>
      <c r="K147" s="86"/>
      <c r="L147" s="86"/>
      <c r="M147" s="86"/>
      <c r="N147" s="86"/>
      <c r="O147" s="86"/>
      <c r="P147" s="86"/>
      <c r="Q147" s="86"/>
      <c r="R147" s="76"/>
      <c r="S147" s="86"/>
      <c r="T147" s="86"/>
      <c r="U147" s="86" t="s">
        <v>43</v>
      </c>
      <c r="V147" s="56"/>
    </row>
    <row r="148" ht="23.25" customHeight="1" spans="1:22">
      <c r="A148" s="71">
        <v>184</v>
      </c>
      <c r="B148" s="71" t="s">
        <v>1848</v>
      </c>
      <c r="C148" s="71"/>
      <c r="D148" s="71"/>
      <c r="E148" s="71"/>
      <c r="F148" s="71"/>
      <c r="G148" s="71"/>
      <c r="H148" s="71"/>
      <c r="I148" s="71"/>
      <c r="J148" s="86"/>
      <c r="K148" s="86"/>
      <c r="L148" s="86"/>
      <c r="M148" s="86"/>
      <c r="N148" s="86"/>
      <c r="O148" s="86"/>
      <c r="P148" s="86"/>
      <c r="Q148" s="86"/>
      <c r="R148" s="76"/>
      <c r="S148" s="86"/>
      <c r="T148" s="86"/>
      <c r="U148" s="86"/>
      <c r="V148" s="56"/>
    </row>
    <row r="149" ht="49.5" customHeight="1" spans="1:22">
      <c r="A149" s="71">
        <v>185</v>
      </c>
      <c r="B149" s="71" t="s">
        <v>146</v>
      </c>
      <c r="C149" s="71" t="s">
        <v>52</v>
      </c>
      <c r="D149" s="71" t="s">
        <v>1130</v>
      </c>
      <c r="E149" s="71"/>
      <c r="F149" s="71"/>
      <c r="G149" s="71"/>
      <c r="H149" s="71"/>
      <c r="I149" s="71"/>
      <c r="J149" s="86"/>
      <c r="K149" s="86"/>
      <c r="L149" s="86"/>
      <c r="M149" s="86"/>
      <c r="N149" s="86"/>
      <c r="O149" s="86"/>
      <c r="P149" s="86"/>
      <c r="Q149" s="86"/>
      <c r="R149" s="76"/>
      <c r="S149" s="86"/>
      <c r="T149" s="86"/>
      <c r="U149" s="86" t="s">
        <v>1133</v>
      </c>
      <c r="V149" s="56"/>
    </row>
    <row r="150" ht="23.25" customHeight="1" spans="1:22">
      <c r="A150" s="71">
        <v>186</v>
      </c>
      <c r="B150" s="381" t="s">
        <v>893</v>
      </c>
      <c r="C150" s="71" t="s">
        <v>52</v>
      </c>
      <c r="D150" s="71" t="s">
        <v>150</v>
      </c>
      <c r="E150" s="71">
        <f>SUM(E151:E159)</f>
        <v>9</v>
      </c>
      <c r="F150" s="71">
        <f>SUM(F151:F158)</f>
        <v>2044</v>
      </c>
      <c r="G150" s="71">
        <f>SUM(G151:G158)</f>
        <v>8374</v>
      </c>
      <c r="H150" s="71">
        <v>2018</v>
      </c>
      <c r="I150" s="71">
        <v>2020</v>
      </c>
      <c r="J150" s="71">
        <f t="shared" ref="J150:R150" si="53">SUM(J151:J159)</f>
        <v>916.8</v>
      </c>
      <c r="K150" s="71">
        <f t="shared" si="53"/>
        <v>336.9</v>
      </c>
      <c r="L150" s="71">
        <f t="shared" si="53"/>
        <v>579.9</v>
      </c>
      <c r="M150" s="71">
        <f t="shared" si="53"/>
        <v>0</v>
      </c>
      <c r="N150" s="71">
        <f t="shared" si="53"/>
        <v>0</v>
      </c>
      <c r="O150" s="71">
        <f t="shared" si="53"/>
        <v>916.8</v>
      </c>
      <c r="P150" s="71">
        <f t="shared" si="53"/>
        <v>0</v>
      </c>
      <c r="Q150" s="71">
        <f t="shared" si="53"/>
        <v>0</v>
      </c>
      <c r="R150" s="71">
        <f t="shared" si="53"/>
        <v>0</v>
      </c>
      <c r="S150" s="89" t="s">
        <v>1849</v>
      </c>
      <c r="T150" s="89" t="s">
        <v>1821</v>
      </c>
      <c r="U150" s="86" t="s">
        <v>43</v>
      </c>
      <c r="V150" s="56"/>
    </row>
    <row r="151" s="67" customFormat="1" ht="63" customHeight="1" spans="1:22">
      <c r="A151" s="71">
        <v>187</v>
      </c>
      <c r="B151" s="381" t="s">
        <v>1850</v>
      </c>
      <c r="C151" s="71" t="s">
        <v>52</v>
      </c>
      <c r="D151" s="71" t="s">
        <v>150</v>
      </c>
      <c r="E151" s="71">
        <v>1</v>
      </c>
      <c r="F151" s="71">
        <v>209</v>
      </c>
      <c r="G151" s="71">
        <v>851</v>
      </c>
      <c r="H151" s="71">
        <v>2018</v>
      </c>
      <c r="I151" s="71">
        <v>2020</v>
      </c>
      <c r="J151" s="86">
        <f t="shared" ref="J151:J158" si="54">SUM(K151:M151)</f>
        <v>64.5</v>
      </c>
      <c r="K151" s="86">
        <v>64.5</v>
      </c>
      <c r="L151" s="86"/>
      <c r="M151" s="86"/>
      <c r="N151" s="86"/>
      <c r="O151" s="86">
        <f t="shared" ref="O151:O168" si="55">J151</f>
        <v>64.5</v>
      </c>
      <c r="P151" s="86"/>
      <c r="Q151" s="138"/>
      <c r="R151" s="101"/>
      <c r="S151" s="101"/>
      <c r="T151" s="101"/>
      <c r="U151" s="101"/>
      <c r="V151" s="139" t="s">
        <v>1851</v>
      </c>
    </row>
    <row r="152" s="67" customFormat="1" ht="63" customHeight="1" spans="1:22">
      <c r="A152" s="71">
        <v>188</v>
      </c>
      <c r="B152" s="381" t="s">
        <v>1852</v>
      </c>
      <c r="C152" s="71" t="s">
        <v>52</v>
      </c>
      <c r="D152" s="71" t="s">
        <v>150</v>
      </c>
      <c r="E152" s="71">
        <v>1</v>
      </c>
      <c r="F152" s="71">
        <v>358</v>
      </c>
      <c r="G152" s="71">
        <v>1430</v>
      </c>
      <c r="H152" s="71">
        <v>2019</v>
      </c>
      <c r="I152" s="71">
        <v>2020</v>
      </c>
      <c r="J152" s="86">
        <f t="shared" si="54"/>
        <v>107.4</v>
      </c>
      <c r="K152" s="86"/>
      <c r="L152" s="86">
        <f>F152*0.3</f>
        <v>107.4</v>
      </c>
      <c r="M152" s="86"/>
      <c r="N152" s="86"/>
      <c r="O152" s="86">
        <f t="shared" si="55"/>
        <v>107.4</v>
      </c>
      <c r="P152" s="86"/>
      <c r="Q152" s="138"/>
      <c r="R152" s="101"/>
      <c r="S152" s="101"/>
      <c r="T152" s="101"/>
      <c r="U152" s="101"/>
      <c r="V152" s="139" t="s">
        <v>1853</v>
      </c>
    </row>
    <row r="153" s="67" customFormat="1" ht="63" customHeight="1" spans="1:22">
      <c r="A153" s="71">
        <v>189</v>
      </c>
      <c r="B153" s="381" t="s">
        <v>1854</v>
      </c>
      <c r="C153" s="71" t="s">
        <v>52</v>
      </c>
      <c r="D153" s="71" t="s">
        <v>150</v>
      </c>
      <c r="E153" s="71">
        <v>1</v>
      </c>
      <c r="F153" s="71">
        <v>278</v>
      </c>
      <c r="G153" s="71">
        <v>1078</v>
      </c>
      <c r="H153" s="71">
        <v>2018</v>
      </c>
      <c r="I153" s="71">
        <v>2020</v>
      </c>
      <c r="J153" s="86">
        <f t="shared" si="54"/>
        <v>83.7</v>
      </c>
      <c r="K153" s="86">
        <v>83.7</v>
      </c>
      <c r="L153" s="86"/>
      <c r="M153" s="86"/>
      <c r="N153" s="86"/>
      <c r="O153" s="86">
        <f t="shared" si="55"/>
        <v>83.7</v>
      </c>
      <c r="P153" s="86"/>
      <c r="Q153" s="138"/>
      <c r="R153" s="101"/>
      <c r="S153" s="101"/>
      <c r="T153" s="101"/>
      <c r="U153" s="101"/>
      <c r="V153" s="139" t="s">
        <v>1851</v>
      </c>
    </row>
    <row r="154" s="67" customFormat="1" ht="63" customHeight="1" spans="1:22">
      <c r="A154" s="71">
        <v>190</v>
      </c>
      <c r="B154" s="381" t="s">
        <v>1855</v>
      </c>
      <c r="C154" s="71" t="s">
        <v>546</v>
      </c>
      <c r="D154" s="71" t="s">
        <v>150</v>
      </c>
      <c r="E154" s="71">
        <v>1</v>
      </c>
      <c r="F154" s="71">
        <v>139</v>
      </c>
      <c r="G154" s="71">
        <v>552</v>
      </c>
      <c r="H154" s="71">
        <v>2018</v>
      </c>
      <c r="I154" s="71">
        <v>2020</v>
      </c>
      <c r="J154" s="86">
        <f t="shared" si="54"/>
        <v>41.7</v>
      </c>
      <c r="K154" s="86">
        <f>F154*0.3</f>
        <v>41.7</v>
      </c>
      <c r="L154" s="86"/>
      <c r="M154" s="86"/>
      <c r="N154" s="86"/>
      <c r="O154" s="86">
        <f t="shared" si="55"/>
        <v>41.7</v>
      </c>
      <c r="P154" s="86"/>
      <c r="Q154" s="138"/>
      <c r="R154" s="101"/>
      <c r="S154" s="101"/>
      <c r="T154" s="101"/>
      <c r="U154" s="101"/>
      <c r="V154" s="139" t="s">
        <v>1851</v>
      </c>
    </row>
    <row r="155" s="67" customFormat="1" ht="63" customHeight="1" spans="1:22">
      <c r="A155" s="71">
        <v>191</v>
      </c>
      <c r="B155" s="381" t="s">
        <v>1856</v>
      </c>
      <c r="C155" s="71" t="s">
        <v>546</v>
      </c>
      <c r="D155" s="71" t="s">
        <v>150</v>
      </c>
      <c r="E155" s="71">
        <v>1</v>
      </c>
      <c r="F155" s="71">
        <v>291</v>
      </c>
      <c r="G155" s="71">
        <v>1203</v>
      </c>
      <c r="H155" s="71">
        <v>2019</v>
      </c>
      <c r="I155" s="71">
        <v>2020</v>
      </c>
      <c r="J155" s="86">
        <f t="shared" si="54"/>
        <v>87.3</v>
      </c>
      <c r="K155" s="86"/>
      <c r="L155" s="86">
        <f>F155*0.3</f>
        <v>87.3</v>
      </c>
      <c r="M155" s="86"/>
      <c r="N155" s="86"/>
      <c r="O155" s="86">
        <f t="shared" si="55"/>
        <v>87.3</v>
      </c>
      <c r="P155" s="86"/>
      <c r="Q155" s="138"/>
      <c r="R155" s="101"/>
      <c r="S155" s="101"/>
      <c r="T155" s="101"/>
      <c r="U155" s="101"/>
      <c r="V155" s="139" t="s">
        <v>1853</v>
      </c>
    </row>
    <row r="156" s="67" customFormat="1" ht="63" customHeight="1" spans="1:22">
      <c r="A156" s="71">
        <v>192</v>
      </c>
      <c r="B156" s="381" t="s">
        <v>1857</v>
      </c>
      <c r="C156" s="71" t="s">
        <v>546</v>
      </c>
      <c r="D156" s="71" t="s">
        <v>150</v>
      </c>
      <c r="E156" s="71">
        <v>1</v>
      </c>
      <c r="F156" s="71">
        <v>310</v>
      </c>
      <c r="G156" s="71">
        <v>1265</v>
      </c>
      <c r="H156" s="71">
        <v>2018</v>
      </c>
      <c r="I156" s="71">
        <v>2020</v>
      </c>
      <c r="J156" s="86">
        <f t="shared" si="54"/>
        <v>94.2</v>
      </c>
      <c r="K156" s="86">
        <v>94.2</v>
      </c>
      <c r="L156" s="86"/>
      <c r="M156" s="86"/>
      <c r="N156" s="86"/>
      <c r="O156" s="86">
        <f t="shared" si="55"/>
        <v>94.2</v>
      </c>
      <c r="P156" s="86"/>
      <c r="Q156" s="138"/>
      <c r="R156" s="101"/>
      <c r="S156" s="101"/>
      <c r="T156" s="101"/>
      <c r="U156" s="101"/>
      <c r="V156" s="139" t="s">
        <v>1851</v>
      </c>
    </row>
    <row r="157" s="67" customFormat="1" ht="63" customHeight="1" spans="1:22">
      <c r="A157" s="71">
        <v>193</v>
      </c>
      <c r="B157" s="381" t="s">
        <v>1858</v>
      </c>
      <c r="C157" s="71" t="s">
        <v>52</v>
      </c>
      <c r="D157" s="71" t="s">
        <v>150</v>
      </c>
      <c r="E157" s="71">
        <v>1</v>
      </c>
      <c r="F157" s="71">
        <v>284</v>
      </c>
      <c r="G157" s="71">
        <v>1266</v>
      </c>
      <c r="H157" s="71">
        <v>2019</v>
      </c>
      <c r="I157" s="71">
        <v>2020</v>
      </c>
      <c r="J157" s="86">
        <f t="shared" si="54"/>
        <v>85.2</v>
      </c>
      <c r="K157" s="86"/>
      <c r="L157" s="86">
        <v>85.2</v>
      </c>
      <c r="M157" s="86"/>
      <c r="N157" s="86"/>
      <c r="O157" s="86">
        <f t="shared" si="55"/>
        <v>85.2</v>
      </c>
      <c r="P157" s="86"/>
      <c r="Q157" s="138"/>
      <c r="R157" s="101"/>
      <c r="S157" s="101"/>
      <c r="T157" s="101"/>
      <c r="U157" s="101"/>
      <c r="V157" s="139" t="s">
        <v>1853</v>
      </c>
    </row>
    <row r="158" s="67" customFormat="1" ht="63" customHeight="1" spans="1:22">
      <c r="A158" s="71">
        <v>194</v>
      </c>
      <c r="B158" s="381" t="s">
        <v>1859</v>
      </c>
      <c r="C158" s="71" t="s">
        <v>52</v>
      </c>
      <c r="D158" s="71" t="s">
        <v>150</v>
      </c>
      <c r="E158" s="71">
        <v>1</v>
      </c>
      <c r="F158" s="71">
        <v>175</v>
      </c>
      <c r="G158" s="71">
        <v>729</v>
      </c>
      <c r="H158" s="71">
        <v>2018</v>
      </c>
      <c r="I158" s="71">
        <v>2020</v>
      </c>
      <c r="J158" s="86">
        <f t="shared" si="54"/>
        <v>52.8</v>
      </c>
      <c r="K158" s="86">
        <v>52.8</v>
      </c>
      <c r="L158" s="86"/>
      <c r="M158" s="86"/>
      <c r="N158" s="86"/>
      <c r="O158" s="86">
        <f t="shared" si="55"/>
        <v>52.8</v>
      </c>
      <c r="P158" s="86"/>
      <c r="Q158" s="138"/>
      <c r="R158" s="101"/>
      <c r="S158" s="101"/>
      <c r="T158" s="101"/>
      <c r="U158" s="101"/>
      <c r="V158" s="139" t="s">
        <v>1851</v>
      </c>
    </row>
    <row r="159" s="67" customFormat="1" ht="63" customHeight="1" spans="1:22">
      <c r="A159" s="71"/>
      <c r="B159" s="381" t="s">
        <v>1860</v>
      </c>
      <c r="C159" s="71" t="s">
        <v>52</v>
      </c>
      <c r="D159" s="71" t="s">
        <v>150</v>
      </c>
      <c r="E159" s="71">
        <v>1</v>
      </c>
      <c r="F159" s="433">
        <v>2044</v>
      </c>
      <c r="G159" s="433">
        <v>8374</v>
      </c>
      <c r="H159" s="71">
        <v>2019</v>
      </c>
      <c r="I159" s="71">
        <v>2019</v>
      </c>
      <c r="J159" s="86">
        <f>L159</f>
        <v>300</v>
      </c>
      <c r="K159" s="86"/>
      <c r="L159" s="86">
        <v>300</v>
      </c>
      <c r="M159" s="86"/>
      <c r="N159" s="86"/>
      <c r="O159" s="86">
        <f t="shared" si="55"/>
        <v>300</v>
      </c>
      <c r="P159" s="86"/>
      <c r="Q159" s="138"/>
      <c r="R159" s="101"/>
      <c r="S159" s="101"/>
      <c r="T159" s="101"/>
      <c r="U159" s="101"/>
      <c r="V159" s="139" t="s">
        <v>52</v>
      </c>
    </row>
    <row r="160" ht="23.25" customHeight="1" spans="1:22">
      <c r="A160" s="71">
        <v>195</v>
      </c>
      <c r="B160" s="381" t="s">
        <v>158</v>
      </c>
      <c r="C160" s="71" t="s">
        <v>52</v>
      </c>
      <c r="D160" s="71" t="s">
        <v>163</v>
      </c>
      <c r="E160" s="71">
        <v>1033</v>
      </c>
      <c r="F160" s="71">
        <v>470</v>
      </c>
      <c r="G160" s="71">
        <v>1645</v>
      </c>
      <c r="H160" s="71">
        <v>2018</v>
      </c>
      <c r="I160" s="71">
        <v>2020</v>
      </c>
      <c r="J160" s="144">
        <f t="shared" ref="J160:J168" si="56">SUM(K160:M160)</f>
        <v>67.163304</v>
      </c>
      <c r="K160" s="144">
        <v>7.27</v>
      </c>
      <c r="L160" s="144">
        <v>22.387768</v>
      </c>
      <c r="M160" s="144">
        <v>37.505536</v>
      </c>
      <c r="N160" s="86"/>
      <c r="O160" s="86">
        <f t="shared" si="55"/>
        <v>67.163304</v>
      </c>
      <c r="P160" s="86"/>
      <c r="Q160" s="86"/>
      <c r="R160" s="76"/>
      <c r="S160" s="89" t="s">
        <v>1861</v>
      </c>
      <c r="T160" s="89" t="s">
        <v>1862</v>
      </c>
      <c r="U160" s="86" t="s">
        <v>160</v>
      </c>
      <c r="V160" s="56" t="s">
        <v>1800</v>
      </c>
    </row>
    <row r="161" ht="23.25" customHeight="1" spans="1:22">
      <c r="A161" s="71">
        <v>196</v>
      </c>
      <c r="B161" s="381" t="s">
        <v>1809</v>
      </c>
      <c r="C161" s="71" t="s">
        <v>52</v>
      </c>
      <c r="D161" s="71" t="s">
        <v>163</v>
      </c>
      <c r="E161" s="71">
        <v>110</v>
      </c>
      <c r="F161" s="71">
        <v>84</v>
      </c>
      <c r="G161" s="71">
        <v>274</v>
      </c>
      <c r="H161" s="71">
        <v>2018</v>
      </c>
      <c r="I161" s="71">
        <v>2020</v>
      </c>
      <c r="J161" s="86">
        <f t="shared" si="56"/>
        <v>13.4918518518519</v>
      </c>
      <c r="K161" s="86">
        <v>3.64</v>
      </c>
      <c r="L161" s="86">
        <f t="shared" ref="L161:L168" si="57">40/810*F161</f>
        <v>4.14814814814815</v>
      </c>
      <c r="M161" s="86">
        <f t="shared" ref="M161:M168" si="58">55/810*F161</f>
        <v>5.7037037037037</v>
      </c>
      <c r="N161" s="86"/>
      <c r="O161" s="86">
        <f t="shared" si="55"/>
        <v>13.4918518518519</v>
      </c>
      <c r="P161" s="86"/>
      <c r="Q161" s="86"/>
      <c r="R161" s="76"/>
      <c r="S161" s="89"/>
      <c r="T161" s="89"/>
      <c r="U161" s="86"/>
      <c r="V161" s="56" t="s">
        <v>1800</v>
      </c>
    </row>
    <row r="162" ht="23.25" customHeight="1" spans="1:22">
      <c r="A162" s="71">
        <v>197</v>
      </c>
      <c r="B162" s="381" t="s">
        <v>1810</v>
      </c>
      <c r="C162" s="71" t="s">
        <v>52</v>
      </c>
      <c r="D162" s="71" t="s">
        <v>163</v>
      </c>
      <c r="E162" s="71">
        <v>186</v>
      </c>
      <c r="F162" s="71">
        <v>142</v>
      </c>
      <c r="G162" s="71">
        <v>496</v>
      </c>
      <c r="H162" s="71">
        <v>2018</v>
      </c>
      <c r="I162" s="71">
        <v>2020</v>
      </c>
      <c r="J162" s="86">
        <f t="shared" si="56"/>
        <v>22.5143209876543</v>
      </c>
      <c r="K162" s="86">
        <v>5.86</v>
      </c>
      <c r="L162" s="86">
        <f t="shared" si="57"/>
        <v>7.01234567901234</v>
      </c>
      <c r="M162" s="86">
        <f t="shared" si="58"/>
        <v>9.64197530864197</v>
      </c>
      <c r="N162" s="86"/>
      <c r="O162" s="86">
        <f t="shared" si="55"/>
        <v>22.5143209876543</v>
      </c>
      <c r="P162" s="86"/>
      <c r="Q162" s="86"/>
      <c r="R162" s="76"/>
      <c r="S162" s="89"/>
      <c r="T162" s="89"/>
      <c r="U162" s="86"/>
      <c r="V162" s="56" t="s">
        <v>1800</v>
      </c>
    </row>
    <row r="163" ht="23.25" customHeight="1" spans="1:22">
      <c r="A163" s="71">
        <v>198</v>
      </c>
      <c r="B163" s="381" t="s">
        <v>1811</v>
      </c>
      <c r="C163" s="71" t="s">
        <v>52</v>
      </c>
      <c r="D163" s="71" t="s">
        <v>163</v>
      </c>
      <c r="E163" s="71">
        <v>142</v>
      </c>
      <c r="F163" s="71">
        <v>110</v>
      </c>
      <c r="G163" s="71">
        <v>382</v>
      </c>
      <c r="H163" s="71">
        <v>2018</v>
      </c>
      <c r="I163" s="71">
        <v>2020</v>
      </c>
      <c r="J163" s="86">
        <f t="shared" si="56"/>
        <v>15.7612345679012</v>
      </c>
      <c r="K163" s="86">
        <v>2.86</v>
      </c>
      <c r="L163" s="86">
        <f t="shared" si="57"/>
        <v>5.4320987654321</v>
      </c>
      <c r="M163" s="86">
        <f t="shared" si="58"/>
        <v>7.46913580246914</v>
      </c>
      <c r="N163" s="86"/>
      <c r="O163" s="86">
        <f t="shared" si="55"/>
        <v>15.7612345679012</v>
      </c>
      <c r="P163" s="86"/>
      <c r="Q163" s="86"/>
      <c r="R163" s="76"/>
      <c r="S163" s="89"/>
      <c r="T163" s="89"/>
      <c r="U163" s="86"/>
      <c r="V163" s="56" t="s">
        <v>1800</v>
      </c>
    </row>
    <row r="164" ht="23.25" customHeight="1" spans="1:22">
      <c r="A164" s="71">
        <v>199</v>
      </c>
      <c r="B164" s="381" t="s">
        <v>1812</v>
      </c>
      <c r="C164" s="71" t="s">
        <v>52</v>
      </c>
      <c r="D164" s="71" t="s">
        <v>163</v>
      </c>
      <c r="E164" s="71">
        <v>72</v>
      </c>
      <c r="F164" s="71">
        <v>55</v>
      </c>
      <c r="G164" s="71">
        <v>193</v>
      </c>
      <c r="H164" s="71">
        <v>2018</v>
      </c>
      <c r="I164" s="71">
        <v>2020</v>
      </c>
      <c r="J164" s="86">
        <f t="shared" si="56"/>
        <v>8.25061728395062</v>
      </c>
      <c r="K164" s="86">
        <v>1.8</v>
      </c>
      <c r="L164" s="86">
        <f t="shared" si="57"/>
        <v>2.71604938271605</v>
      </c>
      <c r="M164" s="86">
        <f t="shared" si="58"/>
        <v>3.73456790123457</v>
      </c>
      <c r="N164" s="86"/>
      <c r="O164" s="86">
        <f t="shared" si="55"/>
        <v>8.25061728395062</v>
      </c>
      <c r="P164" s="86"/>
      <c r="Q164" s="86"/>
      <c r="R164" s="76"/>
      <c r="S164" s="89"/>
      <c r="T164" s="89"/>
      <c r="U164" s="86"/>
      <c r="V164" s="56" t="s">
        <v>1800</v>
      </c>
    </row>
    <row r="165" ht="23.25" customHeight="1" spans="1:22">
      <c r="A165" s="71">
        <v>200</v>
      </c>
      <c r="B165" s="381" t="s">
        <v>1813</v>
      </c>
      <c r="C165" s="71" t="s">
        <v>52</v>
      </c>
      <c r="D165" s="71" t="s">
        <v>163</v>
      </c>
      <c r="E165" s="71">
        <v>151</v>
      </c>
      <c r="F165" s="71">
        <v>115</v>
      </c>
      <c r="G165" s="71">
        <v>404</v>
      </c>
      <c r="H165" s="71">
        <v>2018</v>
      </c>
      <c r="I165" s="71">
        <v>2020</v>
      </c>
      <c r="J165" s="86">
        <f t="shared" si="56"/>
        <v>15.7076543209877</v>
      </c>
      <c r="K165" s="435">
        <v>2.22</v>
      </c>
      <c r="L165" s="86">
        <f t="shared" si="57"/>
        <v>5.67901234567901</v>
      </c>
      <c r="M165" s="86">
        <f t="shared" si="58"/>
        <v>7.80864197530864</v>
      </c>
      <c r="N165" s="86"/>
      <c r="O165" s="86">
        <f t="shared" si="55"/>
        <v>15.7076543209877</v>
      </c>
      <c r="P165" s="86"/>
      <c r="Q165" s="86"/>
      <c r="R165" s="76"/>
      <c r="S165" s="89"/>
      <c r="T165" s="89"/>
      <c r="U165" s="86"/>
      <c r="V165" s="56" t="s">
        <v>1800</v>
      </c>
    </row>
    <row r="166" ht="23.25" customHeight="1" spans="1:22">
      <c r="A166" s="71">
        <v>201</v>
      </c>
      <c r="B166" s="381" t="s">
        <v>1814</v>
      </c>
      <c r="C166" s="71" t="s">
        <v>52</v>
      </c>
      <c r="D166" s="71" t="s">
        <v>163</v>
      </c>
      <c r="E166" s="71">
        <v>161</v>
      </c>
      <c r="F166" s="71">
        <v>123</v>
      </c>
      <c r="G166" s="71">
        <v>431</v>
      </c>
      <c r="H166" s="71">
        <v>2018</v>
      </c>
      <c r="I166" s="71">
        <v>2020</v>
      </c>
      <c r="J166" s="86">
        <f t="shared" si="56"/>
        <v>16.4959259259259</v>
      </c>
      <c r="K166" s="86">
        <v>2.07</v>
      </c>
      <c r="L166" s="86">
        <f t="shared" si="57"/>
        <v>6.07407407407407</v>
      </c>
      <c r="M166" s="86">
        <f t="shared" si="58"/>
        <v>8.35185185185185</v>
      </c>
      <c r="N166" s="86"/>
      <c r="O166" s="86">
        <f t="shared" si="55"/>
        <v>16.4959259259259</v>
      </c>
      <c r="P166" s="86"/>
      <c r="Q166" s="86"/>
      <c r="R166" s="76"/>
      <c r="S166" s="89"/>
      <c r="T166" s="89"/>
      <c r="U166" s="86"/>
      <c r="V166" s="56" t="s">
        <v>1800</v>
      </c>
    </row>
    <row r="167" ht="23.25" customHeight="1" spans="1:22">
      <c r="A167" s="71">
        <v>202</v>
      </c>
      <c r="B167" s="381" t="s">
        <v>1815</v>
      </c>
      <c r="C167" s="71" t="s">
        <v>52</v>
      </c>
      <c r="D167" s="71" t="s">
        <v>163</v>
      </c>
      <c r="E167" s="71">
        <v>146</v>
      </c>
      <c r="F167" s="71">
        <v>111</v>
      </c>
      <c r="G167" s="71">
        <v>390</v>
      </c>
      <c r="H167" s="71">
        <v>2018</v>
      </c>
      <c r="I167" s="71">
        <v>2020</v>
      </c>
      <c r="J167" s="86">
        <f t="shared" si="56"/>
        <v>15.6085185185185</v>
      </c>
      <c r="K167" s="86">
        <v>2.59</v>
      </c>
      <c r="L167" s="86">
        <f t="shared" si="57"/>
        <v>5.48148148148148</v>
      </c>
      <c r="M167" s="86">
        <f t="shared" si="58"/>
        <v>7.53703703703704</v>
      </c>
      <c r="N167" s="86"/>
      <c r="O167" s="86">
        <f t="shared" si="55"/>
        <v>15.6085185185185</v>
      </c>
      <c r="P167" s="86"/>
      <c r="Q167" s="86"/>
      <c r="R167" s="76"/>
      <c r="S167" s="89"/>
      <c r="T167" s="89"/>
      <c r="U167" s="86"/>
      <c r="V167" s="56" t="s">
        <v>1800</v>
      </c>
    </row>
    <row r="168" ht="23.25" customHeight="1" spans="1:22">
      <c r="A168" s="71">
        <v>203</v>
      </c>
      <c r="B168" s="381" t="s">
        <v>1816</v>
      </c>
      <c r="C168" s="71" t="s">
        <v>52</v>
      </c>
      <c r="D168" s="71" t="s">
        <v>163</v>
      </c>
      <c r="E168" s="71">
        <v>91</v>
      </c>
      <c r="F168" s="71">
        <v>70</v>
      </c>
      <c r="G168" s="71">
        <v>243</v>
      </c>
      <c r="H168" s="71">
        <v>2018</v>
      </c>
      <c r="I168" s="71">
        <v>2020</v>
      </c>
      <c r="J168" s="86">
        <f t="shared" si="56"/>
        <v>12.1698765432099</v>
      </c>
      <c r="K168" s="86">
        <v>3.96</v>
      </c>
      <c r="L168" s="86">
        <f t="shared" si="57"/>
        <v>3.45679012345679</v>
      </c>
      <c r="M168" s="86">
        <f t="shared" si="58"/>
        <v>4.75308641975309</v>
      </c>
      <c r="N168" s="86"/>
      <c r="O168" s="86">
        <f t="shared" si="55"/>
        <v>12.1698765432099</v>
      </c>
      <c r="P168" s="86"/>
      <c r="Q168" s="86"/>
      <c r="R168" s="76"/>
      <c r="S168" s="89"/>
      <c r="T168" s="89"/>
      <c r="U168" s="86"/>
      <c r="V168" s="56" t="s">
        <v>1800</v>
      </c>
    </row>
    <row r="169" s="63" customFormat="1" ht="23.25" customHeight="1" spans="1:22">
      <c r="A169" s="71">
        <v>204</v>
      </c>
      <c r="B169" s="74" t="s">
        <v>897</v>
      </c>
      <c r="C169" s="76"/>
      <c r="D169" s="76"/>
      <c r="E169" s="76">
        <f t="shared" ref="E169:G169" si="59">E170</f>
        <v>386767</v>
      </c>
      <c r="F169" s="76">
        <f t="shared" si="59"/>
        <v>1557</v>
      </c>
      <c r="G169" s="76">
        <f t="shared" si="59"/>
        <v>6329</v>
      </c>
      <c r="H169" s="76">
        <v>2018</v>
      </c>
      <c r="I169" s="76">
        <v>2019</v>
      </c>
      <c r="J169" s="76">
        <f t="shared" ref="J169:R169" si="60">J170</f>
        <v>3897.361</v>
      </c>
      <c r="K169" s="76">
        <f t="shared" si="60"/>
        <v>840.986</v>
      </c>
      <c r="L169" s="76">
        <f t="shared" si="60"/>
        <v>3056.375</v>
      </c>
      <c r="M169" s="76">
        <f t="shared" si="60"/>
        <v>0</v>
      </c>
      <c r="N169" s="76">
        <f t="shared" si="60"/>
        <v>0</v>
      </c>
      <c r="O169" s="76">
        <f t="shared" si="60"/>
        <v>3710.375</v>
      </c>
      <c r="P169" s="76">
        <f t="shared" si="60"/>
        <v>8</v>
      </c>
      <c r="Q169" s="76">
        <f t="shared" si="60"/>
        <v>178.986</v>
      </c>
      <c r="R169" s="76">
        <f t="shared" si="60"/>
        <v>0</v>
      </c>
      <c r="S169" s="76"/>
      <c r="T169" s="76"/>
      <c r="U169" s="76"/>
      <c r="V169" s="136"/>
    </row>
    <row r="170" ht="60" customHeight="1" spans="1:22">
      <c r="A170" s="71">
        <v>205</v>
      </c>
      <c r="B170" s="381" t="s">
        <v>898</v>
      </c>
      <c r="C170" s="71" t="s">
        <v>1124</v>
      </c>
      <c r="D170" s="71" t="s">
        <v>560</v>
      </c>
      <c r="E170" s="71">
        <f t="shared" ref="E170:G170" si="61">SUM(E171:E178)</f>
        <v>386767</v>
      </c>
      <c r="F170" s="71">
        <f t="shared" si="61"/>
        <v>1557</v>
      </c>
      <c r="G170" s="71">
        <f t="shared" si="61"/>
        <v>6329</v>
      </c>
      <c r="H170" s="71">
        <v>2018</v>
      </c>
      <c r="I170" s="71">
        <v>2019</v>
      </c>
      <c r="J170" s="71">
        <f t="shared" ref="J170:Q170" si="62">SUM(J171:J178)</f>
        <v>3897.361</v>
      </c>
      <c r="K170" s="71">
        <f t="shared" si="62"/>
        <v>840.986</v>
      </c>
      <c r="L170" s="71">
        <f t="shared" si="62"/>
        <v>3056.375</v>
      </c>
      <c r="M170" s="71">
        <f t="shared" si="62"/>
        <v>0</v>
      </c>
      <c r="N170" s="71">
        <f t="shared" si="62"/>
        <v>0</v>
      </c>
      <c r="O170" s="71">
        <f t="shared" si="62"/>
        <v>3710.375</v>
      </c>
      <c r="P170" s="71">
        <f t="shared" si="62"/>
        <v>8</v>
      </c>
      <c r="Q170" s="71">
        <f t="shared" si="62"/>
        <v>178.986</v>
      </c>
      <c r="R170" s="76"/>
      <c r="S170" s="86" t="s">
        <v>1797</v>
      </c>
      <c r="T170" s="86" t="s">
        <v>1798</v>
      </c>
      <c r="U170" s="86" t="s">
        <v>1863</v>
      </c>
      <c r="V170" s="56" t="s">
        <v>1800</v>
      </c>
    </row>
    <row r="171" ht="60.95" customHeight="1" spans="1:22">
      <c r="A171" s="71">
        <v>206</v>
      </c>
      <c r="B171" s="381" t="s">
        <v>1827</v>
      </c>
      <c r="C171" s="71" t="s">
        <v>52</v>
      </c>
      <c r="D171" s="71" t="s">
        <v>560</v>
      </c>
      <c r="E171" s="71">
        <v>15658</v>
      </c>
      <c r="F171" s="71">
        <v>119</v>
      </c>
      <c r="G171" s="71">
        <v>460</v>
      </c>
      <c r="H171" s="71">
        <v>2018</v>
      </c>
      <c r="I171" s="71">
        <v>2019</v>
      </c>
      <c r="J171" s="71">
        <f>K171</f>
        <v>178.986</v>
      </c>
      <c r="K171" s="71">
        <v>178.986</v>
      </c>
      <c r="L171" s="71"/>
      <c r="M171" s="71"/>
      <c r="N171" s="71"/>
      <c r="O171" s="71"/>
      <c r="P171" s="71"/>
      <c r="Q171" s="71">
        <f>K171</f>
        <v>178.986</v>
      </c>
      <c r="R171" s="71"/>
      <c r="S171" s="86"/>
      <c r="T171" s="86"/>
      <c r="U171" s="86"/>
      <c r="V171" s="56" t="s">
        <v>1800</v>
      </c>
    </row>
    <row r="172" ht="60" customHeight="1" spans="1:22">
      <c r="A172" s="71">
        <v>207</v>
      </c>
      <c r="B172" s="381" t="s">
        <v>1829</v>
      </c>
      <c r="C172" s="71" t="s">
        <v>52</v>
      </c>
      <c r="D172" s="71" t="s">
        <v>560</v>
      </c>
      <c r="E172" s="71">
        <v>58789.5</v>
      </c>
      <c r="F172" s="71">
        <v>226</v>
      </c>
      <c r="G172" s="71">
        <v>918</v>
      </c>
      <c r="H172" s="71">
        <v>2018</v>
      </c>
      <c r="I172" s="71">
        <v>2019</v>
      </c>
      <c r="J172" s="71">
        <f t="shared" ref="J172:J178" si="63">SUM(K172:M172)</f>
        <v>595.895</v>
      </c>
      <c r="K172" s="71">
        <v>8</v>
      </c>
      <c r="L172" s="71">
        <f>E172*0.01</f>
        <v>587.895</v>
      </c>
      <c r="M172" s="71"/>
      <c r="N172" s="71"/>
      <c r="O172" s="71">
        <f>J172-P172</f>
        <v>587.895</v>
      </c>
      <c r="P172" s="71">
        <v>8</v>
      </c>
      <c r="Q172" s="71"/>
      <c r="R172" s="71"/>
      <c r="S172" s="86"/>
      <c r="T172" s="86"/>
      <c r="U172" s="86"/>
      <c r="V172" s="56" t="s">
        <v>1800</v>
      </c>
    </row>
    <row r="173" ht="60" customHeight="1" spans="1:22">
      <c r="A173" s="71">
        <v>208</v>
      </c>
      <c r="B173" s="381" t="s">
        <v>1830</v>
      </c>
      <c r="C173" s="71" t="s">
        <v>52</v>
      </c>
      <c r="D173" s="71" t="s">
        <v>560</v>
      </c>
      <c r="E173" s="71">
        <v>116825</v>
      </c>
      <c r="F173" s="71">
        <v>358</v>
      </c>
      <c r="G173" s="71">
        <v>1430</v>
      </c>
      <c r="H173" s="71">
        <v>2019</v>
      </c>
      <c r="I173" s="71">
        <v>2019</v>
      </c>
      <c r="J173" s="71">
        <f t="shared" si="63"/>
        <v>1168.25</v>
      </c>
      <c r="K173" s="71"/>
      <c r="L173" s="71">
        <f>E173*0.01</f>
        <v>1168.25</v>
      </c>
      <c r="M173" s="71"/>
      <c r="N173" s="71"/>
      <c r="O173" s="71">
        <f t="shared" ref="O173:O178" si="64">J173</f>
        <v>1168.25</v>
      </c>
      <c r="P173" s="71"/>
      <c r="Q173" s="71"/>
      <c r="R173" s="71"/>
      <c r="S173" s="86"/>
      <c r="T173" s="86"/>
      <c r="U173" s="86"/>
      <c r="V173" s="56" t="s">
        <v>1837</v>
      </c>
    </row>
    <row r="174" ht="60" customHeight="1" spans="1:22">
      <c r="A174" s="71">
        <v>209</v>
      </c>
      <c r="B174" s="381" t="s">
        <v>1831</v>
      </c>
      <c r="C174" s="71" t="s">
        <v>52</v>
      </c>
      <c r="D174" s="71" t="s">
        <v>560</v>
      </c>
      <c r="E174" s="71">
        <v>53395</v>
      </c>
      <c r="F174" s="71">
        <v>202</v>
      </c>
      <c r="G174" s="71">
        <v>805</v>
      </c>
      <c r="H174" s="71">
        <v>2018</v>
      </c>
      <c r="I174" s="71">
        <v>2019</v>
      </c>
      <c r="J174" s="71">
        <f t="shared" si="63"/>
        <v>533.95</v>
      </c>
      <c r="K174" s="71">
        <v>324</v>
      </c>
      <c r="L174" s="71">
        <f>E174*0.01-K174</f>
        <v>209.95</v>
      </c>
      <c r="M174" s="71"/>
      <c r="N174" s="71"/>
      <c r="O174" s="71">
        <f t="shared" si="64"/>
        <v>533.95</v>
      </c>
      <c r="P174" s="71"/>
      <c r="Q174" s="71"/>
      <c r="R174" s="71"/>
      <c r="S174" s="86"/>
      <c r="T174" s="86"/>
      <c r="U174" s="86"/>
      <c r="V174" s="56" t="s">
        <v>1800</v>
      </c>
    </row>
    <row r="175" ht="60" customHeight="1" spans="1:22">
      <c r="A175" s="71">
        <v>210</v>
      </c>
      <c r="B175" s="381" t="s">
        <v>1832</v>
      </c>
      <c r="C175" s="71" t="s">
        <v>52</v>
      </c>
      <c r="D175" s="71" t="s">
        <v>560</v>
      </c>
      <c r="E175" s="71">
        <v>43178</v>
      </c>
      <c r="F175" s="381">
        <v>131</v>
      </c>
      <c r="G175" s="71">
        <v>555</v>
      </c>
      <c r="H175" s="71">
        <v>2018</v>
      </c>
      <c r="I175" s="71">
        <v>2019</v>
      </c>
      <c r="J175" s="71">
        <f t="shared" si="63"/>
        <v>431.78</v>
      </c>
      <c r="K175" s="71">
        <v>132</v>
      </c>
      <c r="L175" s="71">
        <f>E175*0.01-K175</f>
        <v>299.78</v>
      </c>
      <c r="M175" s="71"/>
      <c r="N175" s="71"/>
      <c r="O175" s="71">
        <f t="shared" si="64"/>
        <v>431.78</v>
      </c>
      <c r="P175" s="71"/>
      <c r="Q175" s="71"/>
      <c r="R175" s="71"/>
      <c r="S175" s="86"/>
      <c r="T175" s="86"/>
      <c r="U175" s="86"/>
      <c r="V175" s="56" t="s">
        <v>1800</v>
      </c>
    </row>
    <row r="176" ht="60" customHeight="1" spans="1:22">
      <c r="A176" s="71">
        <v>211</v>
      </c>
      <c r="B176" s="381" t="s">
        <v>1833</v>
      </c>
      <c r="C176" s="71" t="s">
        <v>52</v>
      </c>
      <c r="D176" s="71" t="s">
        <v>560</v>
      </c>
      <c r="E176" s="71">
        <v>3152.5</v>
      </c>
      <c r="F176" s="71">
        <v>22</v>
      </c>
      <c r="G176" s="71">
        <v>81</v>
      </c>
      <c r="H176" s="71">
        <v>2018</v>
      </c>
      <c r="I176" s="71">
        <v>2019</v>
      </c>
      <c r="J176" s="71">
        <f t="shared" si="63"/>
        <v>31</v>
      </c>
      <c r="K176" s="71">
        <v>4</v>
      </c>
      <c r="L176" s="71">
        <v>27</v>
      </c>
      <c r="M176" s="71"/>
      <c r="N176" s="71"/>
      <c r="O176" s="71">
        <f t="shared" si="64"/>
        <v>31</v>
      </c>
      <c r="P176" s="71"/>
      <c r="Q176" s="71"/>
      <c r="R176" s="71"/>
      <c r="S176" s="86"/>
      <c r="T176" s="86"/>
      <c r="U176" s="86"/>
      <c r="V176" s="56" t="s">
        <v>1800</v>
      </c>
    </row>
    <row r="177" ht="60" customHeight="1" spans="1:22">
      <c r="A177" s="71">
        <v>212</v>
      </c>
      <c r="B177" s="381" t="s">
        <v>1834</v>
      </c>
      <c r="C177" s="71" t="s">
        <v>52</v>
      </c>
      <c r="D177" s="71" t="s">
        <v>560</v>
      </c>
      <c r="E177" s="71">
        <v>32019</v>
      </c>
      <c r="F177" s="71">
        <v>208</v>
      </c>
      <c r="G177" s="71">
        <v>869</v>
      </c>
      <c r="H177" s="71">
        <v>2018</v>
      </c>
      <c r="I177" s="71">
        <v>2019</v>
      </c>
      <c r="J177" s="71">
        <f t="shared" si="63"/>
        <v>320</v>
      </c>
      <c r="K177" s="71">
        <v>194</v>
      </c>
      <c r="L177" s="71">
        <v>126</v>
      </c>
      <c r="M177" s="71"/>
      <c r="N177" s="71"/>
      <c r="O177" s="71">
        <f t="shared" si="64"/>
        <v>320</v>
      </c>
      <c r="P177" s="71"/>
      <c r="Q177" s="71"/>
      <c r="R177" s="71"/>
      <c r="S177" s="86"/>
      <c r="T177" s="86"/>
      <c r="U177" s="86"/>
      <c r="V177" s="56" t="s">
        <v>1800</v>
      </c>
    </row>
    <row r="178" ht="60" customHeight="1" spans="1:22">
      <c r="A178" s="71">
        <v>213</v>
      </c>
      <c r="B178" s="381" t="s">
        <v>1835</v>
      </c>
      <c r="C178" s="71" t="s">
        <v>52</v>
      </c>
      <c r="D178" s="71" t="s">
        <v>560</v>
      </c>
      <c r="E178" s="71">
        <v>63750</v>
      </c>
      <c r="F178" s="71">
        <v>291</v>
      </c>
      <c r="G178" s="71">
        <v>1211</v>
      </c>
      <c r="H178" s="71">
        <v>2019</v>
      </c>
      <c r="I178" s="71">
        <v>2019</v>
      </c>
      <c r="J178" s="71">
        <f t="shared" si="63"/>
        <v>637.5</v>
      </c>
      <c r="K178" s="71"/>
      <c r="L178" s="71">
        <f>E178*0.01</f>
        <v>637.5</v>
      </c>
      <c r="M178" s="71"/>
      <c r="N178" s="71"/>
      <c r="O178" s="71">
        <f t="shared" si="64"/>
        <v>637.5</v>
      </c>
      <c r="P178" s="71"/>
      <c r="Q178" s="71"/>
      <c r="R178" s="71"/>
      <c r="S178" s="86"/>
      <c r="T178" s="86"/>
      <c r="U178" s="86"/>
      <c r="V178" s="56" t="s">
        <v>1837</v>
      </c>
    </row>
    <row r="179" ht="23.25" customHeight="1" spans="1:22">
      <c r="A179" s="71">
        <v>214</v>
      </c>
      <c r="B179" s="74" t="s">
        <v>916</v>
      </c>
      <c r="C179" s="71"/>
      <c r="D179" s="71"/>
      <c r="E179" s="71"/>
      <c r="F179" s="71"/>
      <c r="G179" s="71"/>
      <c r="H179" s="71"/>
      <c r="I179" s="71"/>
      <c r="J179" s="212">
        <f>K179+L179+M179</f>
        <v>2573.2</v>
      </c>
      <c r="K179" s="86">
        <f t="shared" ref="K179:R179" si="65">K180+K186+K189</f>
        <v>744.4</v>
      </c>
      <c r="L179" s="86">
        <f t="shared" si="65"/>
        <v>994.4</v>
      </c>
      <c r="M179" s="86">
        <f t="shared" si="65"/>
        <v>834.4</v>
      </c>
      <c r="N179" s="86">
        <f t="shared" si="65"/>
        <v>2573.2</v>
      </c>
      <c r="O179" s="86">
        <f t="shared" si="65"/>
        <v>0</v>
      </c>
      <c r="P179" s="86">
        <f t="shared" si="65"/>
        <v>0</v>
      </c>
      <c r="Q179" s="86">
        <f t="shared" si="65"/>
        <v>0</v>
      </c>
      <c r="R179" s="86">
        <f t="shared" si="65"/>
        <v>0</v>
      </c>
      <c r="S179" s="86"/>
      <c r="T179" s="86"/>
      <c r="U179" s="71"/>
      <c r="V179" s="56"/>
    </row>
    <row r="180" ht="23.25" customHeight="1" spans="1:22">
      <c r="A180" s="71">
        <v>215</v>
      </c>
      <c r="B180" s="71" t="s">
        <v>917</v>
      </c>
      <c r="C180" s="71"/>
      <c r="D180" s="71" t="s">
        <v>45</v>
      </c>
      <c r="E180" s="71">
        <v>15000</v>
      </c>
      <c r="F180" s="71">
        <f t="shared" ref="F180:L180" si="66">SUM(F181:F185)</f>
        <v>278</v>
      </c>
      <c r="G180" s="71">
        <f t="shared" si="66"/>
        <v>1215</v>
      </c>
      <c r="H180" s="71">
        <v>2018</v>
      </c>
      <c r="I180" s="71">
        <v>2020</v>
      </c>
      <c r="J180" s="86">
        <f>SUM(K180:M180)</f>
        <v>2400</v>
      </c>
      <c r="K180" s="86">
        <f t="shared" si="66"/>
        <v>640</v>
      </c>
      <c r="L180" s="86">
        <f t="shared" si="66"/>
        <v>960</v>
      </c>
      <c r="M180" s="86">
        <f>5000*0.16</f>
        <v>800</v>
      </c>
      <c r="N180" s="86">
        <f t="shared" ref="N180:N189" si="67">J180</f>
        <v>2400</v>
      </c>
      <c r="O180" s="86"/>
      <c r="P180" s="86"/>
      <c r="Q180" s="86"/>
      <c r="R180" s="76"/>
      <c r="S180" s="86" t="s">
        <v>1864</v>
      </c>
      <c r="T180" s="86" t="s">
        <v>1821</v>
      </c>
      <c r="U180" s="86" t="s">
        <v>417</v>
      </c>
      <c r="V180" s="56" t="s">
        <v>1800</v>
      </c>
    </row>
    <row r="181" ht="23.25" customHeight="1" spans="1:22">
      <c r="A181" s="71">
        <v>216</v>
      </c>
      <c r="B181" s="71" t="s">
        <v>1810</v>
      </c>
      <c r="C181" s="71"/>
      <c r="D181" s="71" t="s">
        <v>45</v>
      </c>
      <c r="E181" s="71">
        <v>3000</v>
      </c>
      <c r="F181" s="71">
        <v>120</v>
      </c>
      <c r="G181" s="71">
        <v>546</v>
      </c>
      <c r="H181" s="71">
        <v>2019</v>
      </c>
      <c r="I181" s="71">
        <v>2019</v>
      </c>
      <c r="J181" s="86">
        <v>480</v>
      </c>
      <c r="K181" s="86">
        <v>0</v>
      </c>
      <c r="L181" s="86">
        <v>480</v>
      </c>
      <c r="M181" s="86">
        <v>0</v>
      </c>
      <c r="N181" s="86">
        <f t="shared" si="67"/>
        <v>480</v>
      </c>
      <c r="O181" s="86"/>
      <c r="P181" s="86"/>
      <c r="Q181" s="86"/>
      <c r="R181" s="76"/>
      <c r="S181" s="86"/>
      <c r="T181" s="86"/>
      <c r="U181" s="86"/>
      <c r="V181" s="56" t="s">
        <v>1800</v>
      </c>
    </row>
    <row r="182" ht="23.25" customHeight="1" spans="1:22">
      <c r="A182" s="71">
        <v>217</v>
      </c>
      <c r="B182" s="71" t="s">
        <v>1811</v>
      </c>
      <c r="C182" s="71"/>
      <c r="D182" s="71" t="s">
        <v>45</v>
      </c>
      <c r="E182" s="71">
        <v>1352</v>
      </c>
      <c r="F182" s="71">
        <v>26</v>
      </c>
      <c r="G182" s="71">
        <v>149</v>
      </c>
      <c r="H182" s="71">
        <v>2018</v>
      </c>
      <c r="I182" s="71">
        <v>2018</v>
      </c>
      <c r="J182" s="86">
        <v>216.32</v>
      </c>
      <c r="K182" s="86">
        <v>216.32</v>
      </c>
      <c r="L182" s="86"/>
      <c r="M182" s="86"/>
      <c r="N182" s="86">
        <f t="shared" si="67"/>
        <v>216.32</v>
      </c>
      <c r="O182" s="86"/>
      <c r="P182" s="86"/>
      <c r="Q182" s="86"/>
      <c r="R182" s="76"/>
      <c r="S182" s="86"/>
      <c r="T182" s="86"/>
      <c r="U182" s="86"/>
      <c r="V182" s="56" t="s">
        <v>1800</v>
      </c>
    </row>
    <row r="183" ht="23.25" customHeight="1" spans="1:22">
      <c r="A183" s="71">
        <v>218</v>
      </c>
      <c r="B183" s="71" t="s">
        <v>1813</v>
      </c>
      <c r="C183" s="71"/>
      <c r="D183" s="71" t="s">
        <v>45</v>
      </c>
      <c r="E183" s="71">
        <v>2526</v>
      </c>
      <c r="F183" s="71">
        <v>32</v>
      </c>
      <c r="G183" s="71">
        <v>137</v>
      </c>
      <c r="H183" s="71">
        <v>2018</v>
      </c>
      <c r="I183" s="71">
        <v>2019</v>
      </c>
      <c r="J183" s="86">
        <v>404.16</v>
      </c>
      <c r="K183" s="86">
        <v>84.16</v>
      </c>
      <c r="L183" s="86">
        <v>320</v>
      </c>
      <c r="M183" s="86"/>
      <c r="N183" s="86">
        <f t="shared" si="67"/>
        <v>404.16</v>
      </c>
      <c r="O183" s="86"/>
      <c r="P183" s="86"/>
      <c r="Q183" s="86"/>
      <c r="R183" s="76"/>
      <c r="S183" s="86"/>
      <c r="T183" s="86"/>
      <c r="U183" s="86"/>
      <c r="V183" s="56" t="s">
        <v>1800</v>
      </c>
    </row>
    <row r="184" ht="23.25" customHeight="1" spans="1:22">
      <c r="A184" s="71">
        <v>219</v>
      </c>
      <c r="B184" s="71" t="s">
        <v>1814</v>
      </c>
      <c r="C184" s="71"/>
      <c r="D184" s="71" t="s">
        <v>45</v>
      </c>
      <c r="E184" s="71">
        <v>500</v>
      </c>
      <c r="F184" s="71">
        <v>15</v>
      </c>
      <c r="G184" s="71">
        <v>48</v>
      </c>
      <c r="H184" s="71">
        <v>2019</v>
      </c>
      <c r="I184" s="71">
        <v>2019</v>
      </c>
      <c r="J184" s="86">
        <v>80</v>
      </c>
      <c r="K184" s="86"/>
      <c r="L184" s="86">
        <v>80</v>
      </c>
      <c r="M184" s="86"/>
      <c r="N184" s="86">
        <f t="shared" si="67"/>
        <v>80</v>
      </c>
      <c r="O184" s="86"/>
      <c r="P184" s="86"/>
      <c r="Q184" s="86"/>
      <c r="R184" s="76"/>
      <c r="S184" s="86"/>
      <c r="T184" s="86"/>
      <c r="U184" s="86"/>
      <c r="V184" s="56" t="s">
        <v>1800</v>
      </c>
    </row>
    <row r="185" ht="23.25" customHeight="1" spans="1:22">
      <c r="A185" s="71">
        <v>220</v>
      </c>
      <c r="B185" s="71" t="s">
        <v>1815</v>
      </c>
      <c r="C185" s="71"/>
      <c r="D185" s="71" t="s">
        <v>45</v>
      </c>
      <c r="E185" s="71">
        <v>2622</v>
      </c>
      <c r="F185" s="71">
        <v>85</v>
      </c>
      <c r="G185" s="71">
        <v>335</v>
      </c>
      <c r="H185" s="71">
        <v>2018</v>
      </c>
      <c r="I185" s="71">
        <v>2019</v>
      </c>
      <c r="J185" s="86">
        <f>K185+L185+M185</f>
        <v>419.52</v>
      </c>
      <c r="K185" s="86">
        <v>339.52</v>
      </c>
      <c r="L185" s="86">
        <v>80</v>
      </c>
      <c r="M185" s="86"/>
      <c r="N185" s="86">
        <f t="shared" si="67"/>
        <v>419.52</v>
      </c>
      <c r="O185" s="86"/>
      <c r="P185" s="86"/>
      <c r="Q185" s="86"/>
      <c r="R185" s="76"/>
      <c r="S185" s="86"/>
      <c r="T185" s="86"/>
      <c r="U185" s="86"/>
      <c r="V185" s="56" t="s">
        <v>1800</v>
      </c>
    </row>
    <row r="186" ht="23.25" customHeight="1" spans="1:22">
      <c r="A186" s="71">
        <v>221</v>
      </c>
      <c r="B186" s="71" t="s">
        <v>919</v>
      </c>
      <c r="C186" s="71"/>
      <c r="D186" s="71" t="s">
        <v>45</v>
      </c>
      <c r="E186" s="71">
        <v>700</v>
      </c>
      <c r="F186" s="71">
        <v>1</v>
      </c>
      <c r="G186" s="71">
        <v>4</v>
      </c>
      <c r="H186" s="71">
        <v>2018</v>
      </c>
      <c r="I186" s="71">
        <v>2018</v>
      </c>
      <c r="J186" s="86">
        <v>70</v>
      </c>
      <c r="K186" s="86">
        <v>70</v>
      </c>
      <c r="L186" s="86">
        <v>0</v>
      </c>
      <c r="M186" s="86"/>
      <c r="N186" s="86">
        <f t="shared" si="67"/>
        <v>70</v>
      </c>
      <c r="O186" s="86"/>
      <c r="P186" s="86"/>
      <c r="Q186" s="86"/>
      <c r="R186" s="76"/>
      <c r="S186" s="86" t="s">
        <v>1865</v>
      </c>
      <c r="T186" s="86" t="s">
        <v>1821</v>
      </c>
      <c r="U186" s="86" t="s">
        <v>435</v>
      </c>
      <c r="V186" s="56" t="s">
        <v>1866</v>
      </c>
    </row>
    <row r="187" ht="23.25" customHeight="1" spans="1:22">
      <c r="A187" s="71">
        <v>222</v>
      </c>
      <c r="B187" s="71" t="s">
        <v>1810</v>
      </c>
      <c r="C187" s="71"/>
      <c r="D187" s="71" t="s">
        <v>45</v>
      </c>
      <c r="E187" s="71">
        <v>550</v>
      </c>
      <c r="F187" s="71">
        <v>1</v>
      </c>
      <c r="G187" s="71">
        <v>4</v>
      </c>
      <c r="H187" s="71">
        <v>2018</v>
      </c>
      <c r="I187" s="71">
        <v>2018</v>
      </c>
      <c r="J187" s="86">
        <f>K187</f>
        <v>55</v>
      </c>
      <c r="K187" s="86">
        <f>E187*0.1</f>
        <v>55</v>
      </c>
      <c r="L187" s="86"/>
      <c r="M187" s="86"/>
      <c r="N187" s="86">
        <f t="shared" si="67"/>
        <v>55</v>
      </c>
      <c r="O187" s="86"/>
      <c r="P187" s="86"/>
      <c r="Q187" s="86"/>
      <c r="R187" s="76"/>
      <c r="S187" s="86"/>
      <c r="T187" s="86"/>
      <c r="U187" s="86"/>
      <c r="V187" s="56" t="s">
        <v>1866</v>
      </c>
    </row>
    <row r="188" ht="23.25" customHeight="1" spans="1:22">
      <c r="A188" s="71">
        <v>223</v>
      </c>
      <c r="B188" s="71" t="s">
        <v>1815</v>
      </c>
      <c r="C188" s="71"/>
      <c r="D188" s="71" t="s">
        <v>45</v>
      </c>
      <c r="E188" s="71">
        <v>150</v>
      </c>
      <c r="F188" s="71">
        <v>0</v>
      </c>
      <c r="G188" s="71">
        <v>0</v>
      </c>
      <c r="H188" s="71">
        <v>2018</v>
      </c>
      <c r="I188" s="71">
        <v>2018</v>
      </c>
      <c r="J188" s="86">
        <f>K188</f>
        <v>15</v>
      </c>
      <c r="K188" s="86">
        <f>E188*0.1</f>
        <v>15</v>
      </c>
      <c r="L188" s="86"/>
      <c r="M188" s="86"/>
      <c r="N188" s="86">
        <f t="shared" si="67"/>
        <v>15</v>
      </c>
      <c r="O188" s="86"/>
      <c r="P188" s="86"/>
      <c r="Q188" s="86"/>
      <c r="R188" s="76"/>
      <c r="S188" s="86"/>
      <c r="T188" s="86"/>
      <c r="U188" s="86"/>
      <c r="V188" s="56" t="s">
        <v>1866</v>
      </c>
    </row>
    <row r="189" ht="23.25" customHeight="1" spans="1:22">
      <c r="A189" s="71">
        <v>224</v>
      </c>
      <c r="B189" s="381" t="s">
        <v>423</v>
      </c>
      <c r="C189" s="71"/>
      <c r="D189" s="71" t="s">
        <v>147</v>
      </c>
      <c r="E189" s="71">
        <f t="shared" ref="E189:G189" si="68">SUM(E190:E197)</f>
        <v>43</v>
      </c>
      <c r="F189" s="71">
        <f t="shared" si="68"/>
        <v>43</v>
      </c>
      <c r="G189" s="71">
        <f t="shared" si="68"/>
        <v>43</v>
      </c>
      <c r="H189" s="71">
        <v>2018</v>
      </c>
      <c r="I189" s="71">
        <v>2020</v>
      </c>
      <c r="J189" s="86">
        <v>103.2</v>
      </c>
      <c r="K189" s="86">
        <v>34.4</v>
      </c>
      <c r="L189" s="86">
        <v>34.4</v>
      </c>
      <c r="M189" s="86">
        <v>34.4</v>
      </c>
      <c r="N189" s="86">
        <f t="shared" si="67"/>
        <v>103.2</v>
      </c>
      <c r="O189" s="86"/>
      <c r="P189" s="86"/>
      <c r="Q189" s="86"/>
      <c r="R189" s="76"/>
      <c r="S189" s="86" t="s">
        <v>1864</v>
      </c>
      <c r="T189" s="86" t="s">
        <v>1821</v>
      </c>
      <c r="U189" s="86" t="s">
        <v>417</v>
      </c>
      <c r="V189" s="56" t="s">
        <v>1866</v>
      </c>
    </row>
    <row r="190" s="67" customFormat="1" ht="23.25" customHeight="1" spans="1:22">
      <c r="A190" s="71">
        <v>225</v>
      </c>
      <c r="B190" s="71" t="s">
        <v>1809</v>
      </c>
      <c r="C190" s="71"/>
      <c r="D190" s="71" t="s">
        <v>147</v>
      </c>
      <c r="E190" s="71">
        <v>8</v>
      </c>
      <c r="F190" s="71">
        <v>8</v>
      </c>
      <c r="G190" s="71">
        <v>8</v>
      </c>
      <c r="H190" s="71">
        <v>2018</v>
      </c>
      <c r="I190" s="71">
        <v>2020</v>
      </c>
      <c r="J190" s="86">
        <v>19.2</v>
      </c>
      <c r="K190" s="86">
        <v>6.4</v>
      </c>
      <c r="L190" s="86">
        <v>6.4</v>
      </c>
      <c r="M190" s="86">
        <v>6.4</v>
      </c>
      <c r="N190" s="86">
        <v>19.2</v>
      </c>
      <c r="O190" s="86"/>
      <c r="P190" s="86"/>
      <c r="Q190" s="138"/>
      <c r="R190" s="101"/>
      <c r="S190" s="101"/>
      <c r="T190" s="101"/>
      <c r="U190" s="101"/>
      <c r="V190" s="101" t="s">
        <v>1866</v>
      </c>
    </row>
    <row r="191" ht="23.25" customHeight="1" spans="1:22">
      <c r="A191" s="71">
        <v>226</v>
      </c>
      <c r="B191" s="71" t="s">
        <v>1810</v>
      </c>
      <c r="C191" s="71"/>
      <c r="D191" s="71" t="s">
        <v>147</v>
      </c>
      <c r="E191" s="71">
        <v>5</v>
      </c>
      <c r="F191" s="71">
        <v>5</v>
      </c>
      <c r="G191" s="71">
        <v>5</v>
      </c>
      <c r="H191" s="71">
        <v>2018</v>
      </c>
      <c r="I191" s="71">
        <v>2020</v>
      </c>
      <c r="J191" s="86">
        <v>12</v>
      </c>
      <c r="K191" s="86">
        <v>4</v>
      </c>
      <c r="L191" s="86">
        <v>4</v>
      </c>
      <c r="M191" s="86">
        <v>4</v>
      </c>
      <c r="N191" s="86">
        <v>12</v>
      </c>
      <c r="O191" s="86"/>
      <c r="P191" s="86"/>
      <c r="Q191" s="86"/>
      <c r="R191" s="76"/>
      <c r="S191" s="86"/>
      <c r="T191" s="86"/>
      <c r="U191" s="86"/>
      <c r="V191" s="56" t="s">
        <v>1866</v>
      </c>
    </row>
    <row r="192" ht="23.25" customHeight="1" spans="1:22">
      <c r="A192" s="71">
        <v>227</v>
      </c>
      <c r="B192" s="71" t="s">
        <v>1811</v>
      </c>
      <c r="C192" s="71"/>
      <c r="D192" s="71" t="s">
        <v>147</v>
      </c>
      <c r="E192" s="71">
        <v>5</v>
      </c>
      <c r="F192" s="71">
        <v>5</v>
      </c>
      <c r="G192" s="71">
        <v>5</v>
      </c>
      <c r="H192" s="434">
        <v>2018</v>
      </c>
      <c r="I192" s="212">
        <v>2020</v>
      </c>
      <c r="J192" s="86">
        <v>12</v>
      </c>
      <c r="K192" s="86">
        <v>4</v>
      </c>
      <c r="L192" s="86">
        <v>4</v>
      </c>
      <c r="M192" s="86">
        <v>4</v>
      </c>
      <c r="N192" s="86">
        <v>12</v>
      </c>
      <c r="O192" s="86"/>
      <c r="P192" s="86"/>
      <c r="Q192" s="86"/>
      <c r="R192" s="71"/>
      <c r="S192" s="86"/>
      <c r="T192" s="86"/>
      <c r="U192" s="86"/>
      <c r="V192" s="56" t="s">
        <v>1866</v>
      </c>
    </row>
    <row r="193" ht="23.25" customHeight="1" spans="1:22">
      <c r="A193" s="71">
        <v>228</v>
      </c>
      <c r="B193" s="71" t="s">
        <v>1812</v>
      </c>
      <c r="C193" s="71"/>
      <c r="D193" s="71" t="s">
        <v>147</v>
      </c>
      <c r="E193" s="71">
        <v>4</v>
      </c>
      <c r="F193" s="71">
        <v>4</v>
      </c>
      <c r="G193" s="71">
        <v>4</v>
      </c>
      <c r="H193" s="71">
        <v>2018</v>
      </c>
      <c r="I193" s="71">
        <v>2020</v>
      </c>
      <c r="J193" s="86">
        <v>9.6</v>
      </c>
      <c r="K193" s="86">
        <v>3.2</v>
      </c>
      <c r="L193" s="86">
        <v>3.2</v>
      </c>
      <c r="M193" s="86">
        <v>3.2</v>
      </c>
      <c r="N193" s="86">
        <v>9.6</v>
      </c>
      <c r="O193" s="86"/>
      <c r="P193" s="86"/>
      <c r="Q193" s="138"/>
      <c r="R193" s="102"/>
      <c r="S193" s="102"/>
      <c r="T193" s="102"/>
      <c r="U193" s="102"/>
      <c r="V193" s="102" t="s">
        <v>1866</v>
      </c>
    </row>
    <row r="194" ht="23.25" customHeight="1" spans="1:22">
      <c r="A194" s="71">
        <v>229</v>
      </c>
      <c r="B194" s="71" t="s">
        <v>1813</v>
      </c>
      <c r="C194" s="71"/>
      <c r="D194" s="71" t="s">
        <v>147</v>
      </c>
      <c r="E194" s="71">
        <v>4</v>
      </c>
      <c r="F194" s="71">
        <v>4</v>
      </c>
      <c r="G194" s="71">
        <v>4</v>
      </c>
      <c r="H194" s="71">
        <v>2018</v>
      </c>
      <c r="I194" s="71">
        <v>2020</v>
      </c>
      <c r="J194" s="86">
        <v>9.6</v>
      </c>
      <c r="K194" s="86">
        <v>3.2</v>
      </c>
      <c r="L194" s="86">
        <v>3.2</v>
      </c>
      <c r="M194" s="86">
        <v>3.2</v>
      </c>
      <c r="N194" s="86">
        <v>9.6</v>
      </c>
      <c r="O194" s="86"/>
      <c r="P194" s="86"/>
      <c r="Q194" s="138"/>
      <c r="R194" s="102"/>
      <c r="S194" s="102"/>
      <c r="T194" s="102"/>
      <c r="U194" s="102"/>
      <c r="V194" s="102" t="s">
        <v>1866</v>
      </c>
    </row>
    <row r="195" s="63" customFormat="1" ht="23.25" customHeight="1" spans="1:22">
      <c r="A195" s="71">
        <v>230</v>
      </c>
      <c r="B195" s="71" t="s">
        <v>1814</v>
      </c>
      <c r="C195" s="71"/>
      <c r="D195" s="71" t="s">
        <v>147</v>
      </c>
      <c r="E195" s="71">
        <v>9</v>
      </c>
      <c r="F195" s="71">
        <v>9</v>
      </c>
      <c r="G195" s="71">
        <v>9</v>
      </c>
      <c r="H195" s="71">
        <v>2018</v>
      </c>
      <c r="I195" s="71">
        <v>2020</v>
      </c>
      <c r="J195" s="86">
        <v>21.6</v>
      </c>
      <c r="K195" s="86">
        <v>7.2</v>
      </c>
      <c r="L195" s="86">
        <v>7.2</v>
      </c>
      <c r="M195" s="86">
        <v>7.2</v>
      </c>
      <c r="N195" s="86">
        <v>21.6</v>
      </c>
      <c r="O195" s="86"/>
      <c r="P195" s="86"/>
      <c r="Q195" s="86"/>
      <c r="R195" s="76"/>
      <c r="S195" s="71"/>
      <c r="T195" s="71"/>
      <c r="U195" s="86"/>
      <c r="V195" s="56" t="s">
        <v>1866</v>
      </c>
    </row>
    <row r="196" ht="23.25" customHeight="1" spans="1:22">
      <c r="A196" s="71">
        <v>231</v>
      </c>
      <c r="B196" s="71" t="s">
        <v>1815</v>
      </c>
      <c r="C196" s="71"/>
      <c r="D196" s="71" t="s">
        <v>147</v>
      </c>
      <c r="E196" s="71">
        <v>4</v>
      </c>
      <c r="F196" s="71">
        <v>4</v>
      </c>
      <c r="G196" s="71">
        <v>4</v>
      </c>
      <c r="H196" s="71">
        <v>2018</v>
      </c>
      <c r="I196" s="71">
        <v>2020</v>
      </c>
      <c r="J196" s="86">
        <v>9.6</v>
      </c>
      <c r="K196" s="86">
        <v>3.2</v>
      </c>
      <c r="L196" s="86">
        <v>3.2</v>
      </c>
      <c r="M196" s="86">
        <v>3.2</v>
      </c>
      <c r="N196" s="86">
        <v>9.6</v>
      </c>
      <c r="O196" s="86"/>
      <c r="P196" s="86"/>
      <c r="Q196" s="86"/>
      <c r="R196" s="76"/>
      <c r="S196" s="86"/>
      <c r="T196" s="86"/>
      <c r="U196" s="86"/>
      <c r="V196" s="56" t="s">
        <v>1866</v>
      </c>
    </row>
    <row r="197" ht="23.25" customHeight="1" spans="1:22">
      <c r="A197" s="71">
        <v>232</v>
      </c>
      <c r="B197" s="71" t="s">
        <v>1816</v>
      </c>
      <c r="C197" s="71"/>
      <c r="D197" s="71"/>
      <c r="E197" s="71">
        <v>4</v>
      </c>
      <c r="F197" s="71">
        <v>4</v>
      </c>
      <c r="G197" s="71">
        <v>4</v>
      </c>
      <c r="H197" s="71">
        <v>2018</v>
      </c>
      <c r="I197" s="71">
        <v>2020</v>
      </c>
      <c r="J197" s="86">
        <v>9.6</v>
      </c>
      <c r="K197" s="86">
        <v>3.2</v>
      </c>
      <c r="L197" s="86">
        <v>3.2</v>
      </c>
      <c r="M197" s="86">
        <v>3.2</v>
      </c>
      <c r="N197" s="86">
        <v>9.6</v>
      </c>
      <c r="O197" s="86"/>
      <c r="P197" s="86"/>
      <c r="Q197" s="86"/>
      <c r="R197" s="76"/>
      <c r="S197" s="86"/>
      <c r="T197" s="86"/>
      <c r="U197" s="86"/>
      <c r="V197" s="56" t="s">
        <v>1866</v>
      </c>
    </row>
    <row r="198" ht="23.25" customHeight="1" spans="1:22">
      <c r="A198" s="71">
        <v>233</v>
      </c>
      <c r="B198" s="381" t="s">
        <v>434</v>
      </c>
      <c r="C198" s="71"/>
      <c r="D198" s="71" t="s">
        <v>147</v>
      </c>
      <c r="E198" s="71"/>
      <c r="F198" s="71"/>
      <c r="G198" s="71"/>
      <c r="H198" s="71"/>
      <c r="I198" s="71"/>
      <c r="J198" s="86"/>
      <c r="K198" s="86"/>
      <c r="L198" s="86"/>
      <c r="M198" s="86"/>
      <c r="N198" s="86"/>
      <c r="O198" s="86"/>
      <c r="P198" s="86"/>
      <c r="Q198" s="86"/>
      <c r="R198" s="76"/>
      <c r="S198" s="86"/>
      <c r="T198" s="86"/>
      <c r="U198" s="86"/>
      <c r="V198" s="56"/>
    </row>
    <row r="199" ht="23.25" customHeight="1" spans="1:22">
      <c r="A199" s="71">
        <v>234</v>
      </c>
      <c r="B199" s="71" t="s">
        <v>436</v>
      </c>
      <c r="C199" s="71" t="s">
        <v>52</v>
      </c>
      <c r="D199" s="71" t="s">
        <v>150</v>
      </c>
      <c r="E199" s="71"/>
      <c r="F199" s="71"/>
      <c r="G199" s="71"/>
      <c r="H199" s="71"/>
      <c r="I199" s="71"/>
      <c r="J199" s="86"/>
      <c r="K199" s="86"/>
      <c r="L199" s="86"/>
      <c r="M199" s="86"/>
      <c r="N199" s="86"/>
      <c r="O199" s="86"/>
      <c r="P199" s="86"/>
      <c r="Q199" s="86"/>
      <c r="R199" s="76"/>
      <c r="S199" s="86"/>
      <c r="T199" s="86"/>
      <c r="U199" s="86"/>
      <c r="V199" s="56"/>
    </row>
    <row r="200" s="65" customFormat="1" ht="23.25" customHeight="1" spans="1:22">
      <c r="A200" s="71">
        <v>235</v>
      </c>
      <c r="B200" s="74" t="s">
        <v>924</v>
      </c>
      <c r="C200" s="71"/>
      <c r="D200" s="71"/>
      <c r="E200" s="71"/>
      <c r="F200" s="71"/>
      <c r="G200" s="71"/>
      <c r="H200" s="71"/>
      <c r="I200" s="71"/>
      <c r="J200" s="431">
        <f>K200+L200+M200</f>
        <v>439.118208</v>
      </c>
      <c r="K200" s="86">
        <f t="shared" ref="K200:R200" si="69">K201+K210+K221</f>
        <v>139.4508</v>
      </c>
      <c r="L200" s="86">
        <f t="shared" si="69"/>
        <v>146.04312</v>
      </c>
      <c r="M200" s="86">
        <f t="shared" si="69"/>
        <v>153.624288</v>
      </c>
      <c r="N200" s="86">
        <f t="shared" si="69"/>
        <v>439.118208</v>
      </c>
      <c r="O200" s="86">
        <f t="shared" si="69"/>
        <v>0</v>
      </c>
      <c r="P200" s="86">
        <f t="shared" si="69"/>
        <v>0</v>
      </c>
      <c r="Q200" s="86">
        <f t="shared" si="69"/>
        <v>0</v>
      </c>
      <c r="R200" s="86">
        <f t="shared" si="69"/>
        <v>0</v>
      </c>
      <c r="S200" s="86"/>
      <c r="T200" s="86"/>
      <c r="U200" s="71"/>
      <c r="V200" s="56"/>
    </row>
    <row r="201" s="65" customFormat="1" ht="23.25" customHeight="1" spans="1:22">
      <c r="A201" s="71">
        <v>236</v>
      </c>
      <c r="B201" s="71" t="s">
        <v>443</v>
      </c>
      <c r="C201" s="71"/>
      <c r="D201" s="71" t="s">
        <v>384</v>
      </c>
      <c r="E201" s="71">
        <f t="shared" ref="E201:G201" si="70">SUM(E202:E209)</f>
        <v>108</v>
      </c>
      <c r="F201" s="71">
        <f t="shared" si="70"/>
        <v>108</v>
      </c>
      <c r="G201" s="71">
        <f t="shared" si="70"/>
        <v>218</v>
      </c>
      <c r="H201" s="71">
        <v>2018</v>
      </c>
      <c r="I201" s="71">
        <v>2020</v>
      </c>
      <c r="J201" s="86">
        <f t="shared" ref="J201:J209" si="71">SUM(K201:M201)</f>
        <v>152.612208</v>
      </c>
      <c r="K201" s="86">
        <f t="shared" ref="K201:M201" si="72">SUM(K202:K209)</f>
        <v>43.9488</v>
      </c>
      <c r="L201" s="86">
        <f t="shared" si="72"/>
        <v>50.54112</v>
      </c>
      <c r="M201" s="86">
        <f t="shared" si="72"/>
        <v>58.122288</v>
      </c>
      <c r="N201" s="86">
        <f t="shared" ref="N201:N209" si="73">J201</f>
        <v>152.612208</v>
      </c>
      <c r="O201" s="86"/>
      <c r="P201" s="86"/>
      <c r="Q201" s="86"/>
      <c r="R201" s="76"/>
      <c r="S201" s="86" t="s">
        <v>1867</v>
      </c>
      <c r="T201" s="86" t="s">
        <v>1802</v>
      </c>
      <c r="U201" s="86" t="s">
        <v>338</v>
      </c>
      <c r="V201" s="56" t="s">
        <v>1868</v>
      </c>
    </row>
    <row r="202" s="167" customFormat="1" ht="23.25" customHeight="1" spans="1:22">
      <c r="A202" s="71">
        <v>237</v>
      </c>
      <c r="B202" s="71" t="s">
        <v>1809</v>
      </c>
      <c r="C202" s="71"/>
      <c r="D202" s="71" t="s">
        <v>384</v>
      </c>
      <c r="E202" s="71">
        <v>5</v>
      </c>
      <c r="F202" s="71">
        <v>5</v>
      </c>
      <c r="G202" s="71">
        <v>12</v>
      </c>
      <c r="H202" s="71">
        <v>2018</v>
      </c>
      <c r="I202" s="71">
        <v>2020</v>
      </c>
      <c r="J202" s="86">
        <f t="shared" si="71"/>
        <v>8.400672</v>
      </c>
      <c r="K202" s="86">
        <f t="shared" ref="K202:K209" si="74">G202*0.0168*12</f>
        <v>2.4192</v>
      </c>
      <c r="L202" s="86">
        <f t="shared" ref="L202:L209" si="75">K202*1.15</f>
        <v>2.78208</v>
      </c>
      <c r="M202" s="86">
        <f t="shared" ref="M202:M209" si="76">L202*1.15</f>
        <v>3.199392</v>
      </c>
      <c r="N202" s="86">
        <f t="shared" si="73"/>
        <v>8.400672</v>
      </c>
      <c r="O202" s="86"/>
      <c r="P202" s="86"/>
      <c r="Q202" s="138"/>
      <c r="R202" s="71"/>
      <c r="S202" s="71"/>
      <c r="T202" s="71"/>
      <c r="U202" s="71"/>
      <c r="V202" s="71"/>
    </row>
    <row r="203" s="65" customFormat="1" ht="23.25" customHeight="1" spans="1:22">
      <c r="A203" s="71">
        <v>238</v>
      </c>
      <c r="B203" s="71" t="s">
        <v>1810</v>
      </c>
      <c r="C203" s="71"/>
      <c r="D203" s="71" t="s">
        <v>384</v>
      </c>
      <c r="E203" s="71">
        <v>21</v>
      </c>
      <c r="F203" s="71">
        <v>21</v>
      </c>
      <c r="G203" s="71">
        <v>51</v>
      </c>
      <c r="H203" s="71">
        <v>2018</v>
      </c>
      <c r="I203" s="71">
        <v>2020</v>
      </c>
      <c r="J203" s="86">
        <f t="shared" si="71"/>
        <v>35.702856</v>
      </c>
      <c r="K203" s="86">
        <f t="shared" si="74"/>
        <v>10.2816</v>
      </c>
      <c r="L203" s="86">
        <f t="shared" si="75"/>
        <v>11.82384</v>
      </c>
      <c r="M203" s="86">
        <f t="shared" si="76"/>
        <v>13.597416</v>
      </c>
      <c r="N203" s="86">
        <f t="shared" si="73"/>
        <v>35.702856</v>
      </c>
      <c r="O203" s="86"/>
      <c r="P203" s="86"/>
      <c r="Q203" s="86"/>
      <c r="R203" s="76"/>
      <c r="S203" s="86"/>
      <c r="T203" s="86"/>
      <c r="U203" s="86"/>
      <c r="V203" s="56"/>
    </row>
    <row r="204" s="65" customFormat="1" ht="23.25" customHeight="1" spans="1:22">
      <c r="A204" s="71">
        <v>239</v>
      </c>
      <c r="B204" s="71" t="s">
        <v>1811</v>
      </c>
      <c r="C204" s="71"/>
      <c r="D204" s="71" t="s">
        <v>384</v>
      </c>
      <c r="E204" s="71">
        <v>21</v>
      </c>
      <c r="F204" s="71">
        <v>21</v>
      </c>
      <c r="G204" s="71">
        <v>38</v>
      </c>
      <c r="H204" s="71">
        <v>2018</v>
      </c>
      <c r="I204" s="71">
        <v>2020</v>
      </c>
      <c r="J204" s="86">
        <f t="shared" si="71"/>
        <v>26.602128</v>
      </c>
      <c r="K204" s="86">
        <f t="shared" si="74"/>
        <v>7.6608</v>
      </c>
      <c r="L204" s="86">
        <f t="shared" si="75"/>
        <v>8.80992</v>
      </c>
      <c r="M204" s="86">
        <f t="shared" si="76"/>
        <v>10.131408</v>
      </c>
      <c r="N204" s="86">
        <f t="shared" si="73"/>
        <v>26.602128</v>
      </c>
      <c r="O204" s="86"/>
      <c r="P204" s="86"/>
      <c r="Q204" s="86"/>
      <c r="R204" s="76"/>
      <c r="S204" s="86"/>
      <c r="T204" s="86"/>
      <c r="U204" s="86"/>
      <c r="V204" s="56"/>
    </row>
    <row r="205" s="65" customFormat="1" ht="23.25" customHeight="1" spans="1:22">
      <c r="A205" s="71">
        <v>240</v>
      </c>
      <c r="B205" s="71" t="s">
        <v>1812</v>
      </c>
      <c r="C205" s="71"/>
      <c r="D205" s="71" t="s">
        <v>384</v>
      </c>
      <c r="E205" s="71">
        <v>5</v>
      </c>
      <c r="F205" s="71">
        <v>5</v>
      </c>
      <c r="G205" s="71">
        <v>7</v>
      </c>
      <c r="H205" s="71">
        <v>2018</v>
      </c>
      <c r="I205" s="71">
        <v>2020</v>
      </c>
      <c r="J205" s="86">
        <f t="shared" si="71"/>
        <v>4.900392</v>
      </c>
      <c r="K205" s="86">
        <f t="shared" si="74"/>
        <v>1.4112</v>
      </c>
      <c r="L205" s="86">
        <f t="shared" si="75"/>
        <v>1.62288</v>
      </c>
      <c r="M205" s="86">
        <f t="shared" si="76"/>
        <v>1.866312</v>
      </c>
      <c r="N205" s="86">
        <f t="shared" si="73"/>
        <v>4.900392</v>
      </c>
      <c r="O205" s="86"/>
      <c r="P205" s="86"/>
      <c r="Q205" s="86"/>
      <c r="R205" s="76"/>
      <c r="S205" s="86"/>
      <c r="T205" s="86"/>
      <c r="U205" s="86"/>
      <c r="V205" s="56"/>
    </row>
    <row r="206" s="65" customFormat="1" ht="23.25" customHeight="1" spans="1:22">
      <c r="A206" s="71">
        <v>241</v>
      </c>
      <c r="B206" s="71" t="s">
        <v>1813</v>
      </c>
      <c r="C206" s="71"/>
      <c r="D206" s="71" t="s">
        <v>384</v>
      </c>
      <c r="E206" s="76">
        <v>7</v>
      </c>
      <c r="F206" s="76">
        <v>7</v>
      </c>
      <c r="G206" s="76">
        <v>16</v>
      </c>
      <c r="H206" s="71">
        <v>2018</v>
      </c>
      <c r="I206" s="71">
        <v>2020</v>
      </c>
      <c r="J206" s="86">
        <f t="shared" si="71"/>
        <v>11.200896</v>
      </c>
      <c r="K206" s="86">
        <f t="shared" si="74"/>
        <v>3.2256</v>
      </c>
      <c r="L206" s="86">
        <f t="shared" si="75"/>
        <v>3.70944</v>
      </c>
      <c r="M206" s="86">
        <f t="shared" si="76"/>
        <v>4.265856</v>
      </c>
      <c r="N206" s="86">
        <f t="shared" si="73"/>
        <v>11.200896</v>
      </c>
      <c r="O206" s="86"/>
      <c r="P206" s="86"/>
      <c r="Q206" s="86"/>
      <c r="R206" s="76"/>
      <c r="S206" s="86"/>
      <c r="T206" s="86"/>
      <c r="U206" s="86"/>
      <c r="V206" s="56"/>
    </row>
    <row r="207" s="65" customFormat="1" ht="23.25" customHeight="1" spans="1:22">
      <c r="A207" s="71">
        <v>242</v>
      </c>
      <c r="B207" s="71" t="s">
        <v>1814</v>
      </c>
      <c r="C207" s="71"/>
      <c r="D207" s="71" t="s">
        <v>384</v>
      </c>
      <c r="E207" s="71">
        <v>14</v>
      </c>
      <c r="F207" s="71">
        <v>14</v>
      </c>
      <c r="G207" s="71">
        <v>24</v>
      </c>
      <c r="H207" s="71">
        <v>2018</v>
      </c>
      <c r="I207" s="71">
        <v>2020</v>
      </c>
      <c r="J207" s="86">
        <f t="shared" si="71"/>
        <v>16.801344</v>
      </c>
      <c r="K207" s="86">
        <f t="shared" si="74"/>
        <v>4.8384</v>
      </c>
      <c r="L207" s="86">
        <f t="shared" si="75"/>
        <v>5.56416</v>
      </c>
      <c r="M207" s="86">
        <f t="shared" si="76"/>
        <v>6.398784</v>
      </c>
      <c r="N207" s="86">
        <f t="shared" si="73"/>
        <v>16.801344</v>
      </c>
      <c r="O207" s="86"/>
      <c r="P207" s="86"/>
      <c r="Q207" s="86"/>
      <c r="R207" s="76"/>
      <c r="S207" s="86"/>
      <c r="T207" s="86"/>
      <c r="U207" s="86"/>
      <c r="V207" s="56"/>
    </row>
    <row r="208" s="65" customFormat="1" ht="23.25" customHeight="1" spans="1:22">
      <c r="A208" s="71">
        <v>243</v>
      </c>
      <c r="B208" s="71" t="s">
        <v>1815</v>
      </c>
      <c r="C208" s="71"/>
      <c r="D208" s="71" t="s">
        <v>384</v>
      </c>
      <c r="E208" s="71">
        <v>21</v>
      </c>
      <c r="F208" s="71">
        <v>21</v>
      </c>
      <c r="G208" s="71">
        <v>41</v>
      </c>
      <c r="H208" s="71">
        <v>2018</v>
      </c>
      <c r="I208" s="71">
        <v>2020</v>
      </c>
      <c r="J208" s="86">
        <f t="shared" si="71"/>
        <v>28.702296</v>
      </c>
      <c r="K208" s="86">
        <f t="shared" si="74"/>
        <v>8.2656</v>
      </c>
      <c r="L208" s="86">
        <f t="shared" si="75"/>
        <v>9.50544</v>
      </c>
      <c r="M208" s="86">
        <f t="shared" si="76"/>
        <v>10.931256</v>
      </c>
      <c r="N208" s="86">
        <f t="shared" si="73"/>
        <v>28.702296</v>
      </c>
      <c r="O208" s="86"/>
      <c r="P208" s="86"/>
      <c r="Q208" s="86"/>
      <c r="R208" s="76"/>
      <c r="S208" s="86"/>
      <c r="T208" s="86"/>
      <c r="U208" s="86"/>
      <c r="V208" s="56"/>
    </row>
    <row r="209" s="65" customFormat="1" ht="23.25" customHeight="1" spans="1:22">
      <c r="A209" s="71">
        <v>244</v>
      </c>
      <c r="B209" s="71" t="s">
        <v>1816</v>
      </c>
      <c r="C209" s="71"/>
      <c r="D209" s="71" t="s">
        <v>384</v>
      </c>
      <c r="E209" s="71">
        <v>14</v>
      </c>
      <c r="F209" s="71">
        <v>14</v>
      </c>
      <c r="G209" s="71">
        <v>29</v>
      </c>
      <c r="H209" s="71">
        <v>2018</v>
      </c>
      <c r="I209" s="71">
        <v>2020</v>
      </c>
      <c r="J209" s="86">
        <f t="shared" si="71"/>
        <v>20.301624</v>
      </c>
      <c r="K209" s="86">
        <f t="shared" si="74"/>
        <v>5.8464</v>
      </c>
      <c r="L209" s="86">
        <f t="shared" si="75"/>
        <v>6.72336</v>
      </c>
      <c r="M209" s="86">
        <f t="shared" si="76"/>
        <v>7.731864</v>
      </c>
      <c r="N209" s="86">
        <f t="shared" si="73"/>
        <v>20.301624</v>
      </c>
      <c r="O209" s="86"/>
      <c r="P209" s="86"/>
      <c r="Q209" s="86"/>
      <c r="R209" s="76"/>
      <c r="S209" s="86"/>
      <c r="T209" s="86"/>
      <c r="U209" s="86"/>
      <c r="V209" s="56"/>
    </row>
    <row r="210" s="65" customFormat="1" ht="23.25" customHeight="1" spans="1:22">
      <c r="A210" s="71">
        <v>245</v>
      </c>
      <c r="B210" s="71" t="s">
        <v>446</v>
      </c>
      <c r="C210" s="71"/>
      <c r="D210" s="71" t="s">
        <v>147</v>
      </c>
      <c r="E210" s="71"/>
      <c r="F210" s="71"/>
      <c r="G210" s="71"/>
      <c r="H210" s="71"/>
      <c r="I210" s="71"/>
      <c r="J210" s="86">
        <f t="shared" ref="J210:R210" si="77">J211</f>
        <v>194.922</v>
      </c>
      <c r="K210" s="86">
        <f t="shared" si="77"/>
        <v>64.974</v>
      </c>
      <c r="L210" s="86">
        <f t="shared" si="77"/>
        <v>64.974</v>
      </c>
      <c r="M210" s="86">
        <f t="shared" si="77"/>
        <v>64.974</v>
      </c>
      <c r="N210" s="86">
        <f t="shared" si="77"/>
        <v>194.922</v>
      </c>
      <c r="O210" s="86">
        <f t="shared" si="77"/>
        <v>0</v>
      </c>
      <c r="P210" s="86">
        <f t="shared" si="77"/>
        <v>0</v>
      </c>
      <c r="Q210" s="86">
        <f t="shared" si="77"/>
        <v>0</v>
      </c>
      <c r="R210" s="86">
        <f t="shared" si="77"/>
        <v>0</v>
      </c>
      <c r="S210" s="86"/>
      <c r="T210" s="86"/>
      <c r="U210" s="71"/>
      <c r="V210" s="56"/>
    </row>
    <row r="211" s="65" customFormat="1" ht="23.25" customHeight="1" spans="1:22">
      <c r="A211" s="71">
        <v>246</v>
      </c>
      <c r="B211" s="71" t="s">
        <v>447</v>
      </c>
      <c r="C211" s="71"/>
      <c r="D211" s="71" t="s">
        <v>147</v>
      </c>
      <c r="E211" s="71">
        <f t="shared" ref="E211:G211" si="78">SUM(E212:E220)</f>
        <v>119</v>
      </c>
      <c r="F211" s="71">
        <f t="shared" si="78"/>
        <v>58</v>
      </c>
      <c r="G211" s="71">
        <f t="shared" si="78"/>
        <v>58</v>
      </c>
      <c r="H211" s="71">
        <v>2018</v>
      </c>
      <c r="I211" s="71">
        <v>2020</v>
      </c>
      <c r="J211" s="86">
        <f t="shared" ref="J211:M211" si="79">SUM(J212:J219)</f>
        <v>194.922</v>
      </c>
      <c r="K211" s="86">
        <f t="shared" si="79"/>
        <v>64.974</v>
      </c>
      <c r="L211" s="86">
        <f t="shared" si="79"/>
        <v>64.974</v>
      </c>
      <c r="M211" s="86">
        <f t="shared" si="79"/>
        <v>64.974</v>
      </c>
      <c r="N211" s="86">
        <f t="shared" ref="N211:N219" si="80">J211</f>
        <v>194.922</v>
      </c>
      <c r="O211" s="86"/>
      <c r="P211" s="86"/>
      <c r="Q211" s="86"/>
      <c r="R211" s="76"/>
      <c r="S211" s="86" t="s">
        <v>1867</v>
      </c>
      <c r="T211" s="86" t="s">
        <v>1802</v>
      </c>
      <c r="U211" s="86" t="s">
        <v>338</v>
      </c>
      <c r="V211" s="56" t="s">
        <v>1441</v>
      </c>
    </row>
    <row r="212" s="167" customFormat="1" ht="23.25" customHeight="1" spans="1:22">
      <c r="A212" s="71">
        <v>247</v>
      </c>
      <c r="B212" s="71" t="s">
        <v>1809</v>
      </c>
      <c r="C212" s="71"/>
      <c r="D212" s="71" t="s">
        <v>147</v>
      </c>
      <c r="E212" s="71">
        <v>19</v>
      </c>
      <c r="F212" s="71">
        <v>9</v>
      </c>
      <c r="G212" s="71">
        <v>9</v>
      </c>
      <c r="H212" s="71">
        <v>2018</v>
      </c>
      <c r="I212" s="71">
        <v>2020</v>
      </c>
      <c r="J212" s="86">
        <f t="shared" ref="J212:J219" si="81">SUM(K212:M212)</f>
        <v>31.122</v>
      </c>
      <c r="K212" s="86">
        <f t="shared" ref="K212:K219" si="82">E212*0.0455*12</f>
        <v>10.374</v>
      </c>
      <c r="L212" s="86">
        <f t="shared" ref="L212:L219" si="83">E212*0.0455*12</f>
        <v>10.374</v>
      </c>
      <c r="M212" s="86">
        <f t="shared" ref="M212:M219" si="84">E212*0.0455*12</f>
        <v>10.374</v>
      </c>
      <c r="N212" s="86">
        <f t="shared" si="80"/>
        <v>31.122</v>
      </c>
      <c r="O212" s="86"/>
      <c r="P212" s="86"/>
      <c r="Q212" s="138"/>
      <c r="R212" s="71"/>
      <c r="S212" s="71"/>
      <c r="T212" s="71"/>
      <c r="V212" s="71" t="s">
        <v>1839</v>
      </c>
    </row>
    <row r="213" s="65" customFormat="1" ht="23.25" customHeight="1" spans="1:22">
      <c r="A213" s="71">
        <v>248</v>
      </c>
      <c r="B213" s="71" t="s">
        <v>1810</v>
      </c>
      <c r="C213" s="71"/>
      <c r="D213" s="71" t="s">
        <v>147</v>
      </c>
      <c r="E213" s="71">
        <v>15</v>
      </c>
      <c r="F213" s="71">
        <v>10</v>
      </c>
      <c r="G213" s="71">
        <v>10</v>
      </c>
      <c r="H213" s="71">
        <v>2018</v>
      </c>
      <c r="I213" s="71">
        <v>2020</v>
      </c>
      <c r="J213" s="86">
        <f t="shared" si="81"/>
        <v>24.57</v>
      </c>
      <c r="K213" s="86">
        <f t="shared" si="82"/>
        <v>8.19</v>
      </c>
      <c r="L213" s="86">
        <f t="shared" si="83"/>
        <v>8.19</v>
      </c>
      <c r="M213" s="86">
        <f t="shared" si="84"/>
        <v>8.19</v>
      </c>
      <c r="N213" s="86">
        <f t="shared" si="80"/>
        <v>24.57</v>
      </c>
      <c r="O213" s="86"/>
      <c r="P213" s="86"/>
      <c r="Q213" s="86"/>
      <c r="R213" s="76"/>
      <c r="S213" s="86"/>
      <c r="T213" s="86"/>
      <c r="U213" s="86"/>
      <c r="V213" s="71" t="s">
        <v>1839</v>
      </c>
    </row>
    <row r="214" s="65" customFormat="1" ht="23.25" customHeight="1" spans="1:22">
      <c r="A214" s="71">
        <v>249</v>
      </c>
      <c r="B214" s="71" t="s">
        <v>1811</v>
      </c>
      <c r="C214" s="71"/>
      <c r="D214" s="71" t="s">
        <v>147</v>
      </c>
      <c r="E214" s="71">
        <v>12</v>
      </c>
      <c r="F214" s="71">
        <v>5</v>
      </c>
      <c r="G214" s="71">
        <v>5</v>
      </c>
      <c r="H214" s="71">
        <v>2018</v>
      </c>
      <c r="I214" s="71">
        <v>2020</v>
      </c>
      <c r="J214" s="86">
        <f t="shared" si="81"/>
        <v>19.656</v>
      </c>
      <c r="K214" s="86">
        <f t="shared" si="82"/>
        <v>6.552</v>
      </c>
      <c r="L214" s="86">
        <f t="shared" si="83"/>
        <v>6.552</v>
      </c>
      <c r="M214" s="86">
        <f t="shared" si="84"/>
        <v>6.552</v>
      </c>
      <c r="N214" s="86">
        <f t="shared" si="80"/>
        <v>19.656</v>
      </c>
      <c r="O214" s="86"/>
      <c r="P214" s="86"/>
      <c r="Q214" s="86"/>
      <c r="R214" s="71"/>
      <c r="S214" s="71"/>
      <c r="T214" s="71"/>
      <c r="U214" s="86"/>
      <c r="V214" s="71" t="s">
        <v>1839</v>
      </c>
    </row>
    <row r="215" s="65" customFormat="1" ht="23.25" customHeight="1" spans="1:22">
      <c r="A215" s="71">
        <v>250</v>
      </c>
      <c r="B215" s="71" t="s">
        <v>1812</v>
      </c>
      <c r="C215" s="71"/>
      <c r="D215" s="71" t="s">
        <v>147</v>
      </c>
      <c r="E215" s="71">
        <v>9</v>
      </c>
      <c r="F215" s="71">
        <v>6</v>
      </c>
      <c r="G215" s="71">
        <v>6</v>
      </c>
      <c r="H215" s="71">
        <v>2018</v>
      </c>
      <c r="I215" s="71">
        <v>2020</v>
      </c>
      <c r="J215" s="86">
        <f t="shared" si="81"/>
        <v>14.742</v>
      </c>
      <c r="K215" s="86">
        <f t="shared" si="82"/>
        <v>4.914</v>
      </c>
      <c r="L215" s="86">
        <f t="shared" si="83"/>
        <v>4.914</v>
      </c>
      <c r="M215" s="86">
        <f t="shared" si="84"/>
        <v>4.914</v>
      </c>
      <c r="N215" s="86">
        <f t="shared" si="80"/>
        <v>14.742</v>
      </c>
      <c r="O215" s="86"/>
      <c r="P215" s="86"/>
      <c r="Q215" s="138"/>
      <c r="R215" s="73"/>
      <c r="S215" s="73"/>
      <c r="T215" s="73"/>
      <c r="U215" s="73"/>
      <c r="V215" s="71" t="s">
        <v>1839</v>
      </c>
    </row>
    <row r="216" ht="23.25" customHeight="1" spans="1:22">
      <c r="A216" s="71">
        <v>251</v>
      </c>
      <c r="B216" s="71" t="s">
        <v>1813</v>
      </c>
      <c r="C216" s="71"/>
      <c r="D216" s="71" t="s">
        <v>147</v>
      </c>
      <c r="E216" s="71">
        <v>11</v>
      </c>
      <c r="F216" s="71">
        <v>11</v>
      </c>
      <c r="G216" s="71">
        <v>11</v>
      </c>
      <c r="H216" s="71">
        <v>2018</v>
      </c>
      <c r="I216" s="71">
        <v>2020</v>
      </c>
      <c r="J216" s="86">
        <f t="shared" si="81"/>
        <v>18.018</v>
      </c>
      <c r="K216" s="86">
        <f t="shared" si="82"/>
        <v>6.006</v>
      </c>
      <c r="L216" s="86">
        <f t="shared" si="83"/>
        <v>6.006</v>
      </c>
      <c r="M216" s="86">
        <f t="shared" si="84"/>
        <v>6.006</v>
      </c>
      <c r="N216" s="86">
        <f t="shared" si="80"/>
        <v>18.018</v>
      </c>
      <c r="O216" s="86"/>
      <c r="P216" s="86"/>
      <c r="Q216" s="138"/>
      <c r="R216" s="86"/>
      <c r="S216" s="102"/>
      <c r="T216" s="102"/>
      <c r="U216" s="71"/>
      <c r="V216" s="71" t="s">
        <v>1839</v>
      </c>
    </row>
    <row r="217" s="65" customFormat="1" ht="23.25" customHeight="1" spans="1:22">
      <c r="A217" s="71">
        <v>252</v>
      </c>
      <c r="B217" s="71" t="s">
        <v>1814</v>
      </c>
      <c r="C217" s="71"/>
      <c r="D217" s="71" t="s">
        <v>147</v>
      </c>
      <c r="E217" s="71">
        <v>18</v>
      </c>
      <c r="F217" s="71">
        <v>7</v>
      </c>
      <c r="G217" s="71">
        <v>7</v>
      </c>
      <c r="H217" s="71">
        <v>2018</v>
      </c>
      <c r="I217" s="71">
        <v>2020</v>
      </c>
      <c r="J217" s="86">
        <f t="shared" si="81"/>
        <v>29.484</v>
      </c>
      <c r="K217" s="86">
        <f t="shared" si="82"/>
        <v>9.828</v>
      </c>
      <c r="L217" s="86">
        <f t="shared" si="83"/>
        <v>9.828</v>
      </c>
      <c r="M217" s="86">
        <f t="shared" si="84"/>
        <v>9.828</v>
      </c>
      <c r="N217" s="86">
        <f t="shared" si="80"/>
        <v>29.484</v>
      </c>
      <c r="O217" s="86"/>
      <c r="P217" s="86"/>
      <c r="Q217" s="86"/>
      <c r="R217" s="76"/>
      <c r="S217" s="71"/>
      <c r="T217" s="71"/>
      <c r="U217" s="86"/>
      <c r="V217" s="71" t="s">
        <v>1839</v>
      </c>
    </row>
    <row r="218" s="65" customFormat="1" ht="23.25" customHeight="1" spans="1:22">
      <c r="A218" s="71">
        <v>253</v>
      </c>
      <c r="B218" s="71" t="s">
        <v>1815</v>
      </c>
      <c r="C218" s="71"/>
      <c r="D218" s="71" t="s">
        <v>147</v>
      </c>
      <c r="E218" s="71">
        <v>12</v>
      </c>
      <c r="F218" s="71">
        <v>9</v>
      </c>
      <c r="G218" s="71">
        <v>9</v>
      </c>
      <c r="H218" s="71">
        <v>2018</v>
      </c>
      <c r="I218" s="71">
        <v>2020</v>
      </c>
      <c r="J218" s="86">
        <f t="shared" si="81"/>
        <v>19.656</v>
      </c>
      <c r="K218" s="86">
        <f t="shared" si="82"/>
        <v>6.552</v>
      </c>
      <c r="L218" s="86">
        <f t="shared" si="83"/>
        <v>6.552</v>
      </c>
      <c r="M218" s="86">
        <f t="shared" si="84"/>
        <v>6.552</v>
      </c>
      <c r="N218" s="86">
        <f t="shared" si="80"/>
        <v>19.656</v>
      </c>
      <c r="O218" s="86"/>
      <c r="P218" s="86"/>
      <c r="Q218" s="86"/>
      <c r="R218" s="76"/>
      <c r="S218" s="71"/>
      <c r="T218" s="71"/>
      <c r="U218" s="86"/>
      <c r="V218" s="71" t="s">
        <v>1839</v>
      </c>
    </row>
    <row r="219" s="65" customFormat="1" ht="23.25" customHeight="1" spans="1:22">
      <c r="A219" s="71">
        <v>254</v>
      </c>
      <c r="B219" s="71" t="s">
        <v>1816</v>
      </c>
      <c r="C219" s="71"/>
      <c r="D219" s="71" t="s">
        <v>147</v>
      </c>
      <c r="E219" s="71">
        <v>23</v>
      </c>
      <c r="F219" s="71">
        <v>1</v>
      </c>
      <c r="G219" s="71">
        <v>1</v>
      </c>
      <c r="H219" s="71">
        <v>2018</v>
      </c>
      <c r="I219" s="71">
        <v>2020</v>
      </c>
      <c r="J219" s="86">
        <f t="shared" si="81"/>
        <v>37.674</v>
      </c>
      <c r="K219" s="86">
        <f t="shared" si="82"/>
        <v>12.558</v>
      </c>
      <c r="L219" s="86">
        <f t="shared" si="83"/>
        <v>12.558</v>
      </c>
      <c r="M219" s="86">
        <f t="shared" si="84"/>
        <v>12.558</v>
      </c>
      <c r="N219" s="86">
        <f t="shared" si="80"/>
        <v>37.674</v>
      </c>
      <c r="O219" s="86"/>
      <c r="P219" s="86"/>
      <c r="Q219" s="86"/>
      <c r="R219" s="76"/>
      <c r="S219" s="71"/>
      <c r="T219" s="71"/>
      <c r="U219" s="86"/>
      <c r="V219" s="71" t="s">
        <v>1839</v>
      </c>
    </row>
    <row r="220" s="65" customFormat="1" ht="23.25" customHeight="1" spans="1:22">
      <c r="A220" s="71">
        <v>255</v>
      </c>
      <c r="B220" s="71" t="s">
        <v>448</v>
      </c>
      <c r="C220" s="71"/>
      <c r="D220" s="71" t="s">
        <v>147</v>
      </c>
      <c r="E220" s="71"/>
      <c r="F220" s="71"/>
      <c r="G220" s="71"/>
      <c r="H220" s="71"/>
      <c r="I220" s="71"/>
      <c r="J220" s="86"/>
      <c r="K220" s="86"/>
      <c r="L220" s="86"/>
      <c r="M220" s="86"/>
      <c r="N220" s="86"/>
      <c r="O220" s="86"/>
      <c r="P220" s="86"/>
      <c r="Q220" s="86"/>
      <c r="R220" s="76"/>
      <c r="S220" s="86"/>
      <c r="T220" s="86"/>
      <c r="U220" s="86"/>
      <c r="V220" s="71" t="s">
        <v>1839</v>
      </c>
    </row>
    <row r="221" s="65" customFormat="1" ht="23.25" customHeight="1" spans="1:22">
      <c r="A221" s="71">
        <v>256</v>
      </c>
      <c r="B221" s="71" t="s">
        <v>449</v>
      </c>
      <c r="C221" s="71"/>
      <c r="D221" s="71" t="s">
        <v>147</v>
      </c>
      <c r="E221" s="71">
        <f>SUM(E222:E229)</f>
        <v>234</v>
      </c>
      <c r="F221" s="71">
        <v>118</v>
      </c>
      <c r="G221" s="71">
        <f t="shared" ref="G221:M221" si="85">SUM(G222:G229)</f>
        <v>126</v>
      </c>
      <c r="H221" s="71">
        <v>2018</v>
      </c>
      <c r="I221" s="71">
        <v>2020</v>
      </c>
      <c r="J221" s="86">
        <f t="shared" ref="J221:J229" si="86">SUM(K221:M221)</f>
        <v>91.584</v>
      </c>
      <c r="K221" s="86">
        <f t="shared" si="85"/>
        <v>30.528</v>
      </c>
      <c r="L221" s="86">
        <f t="shared" si="85"/>
        <v>30.528</v>
      </c>
      <c r="M221" s="86">
        <f t="shared" si="85"/>
        <v>30.528</v>
      </c>
      <c r="N221" s="86">
        <f t="shared" ref="N221:N229" si="87">J221</f>
        <v>91.584</v>
      </c>
      <c r="O221" s="86"/>
      <c r="P221" s="86"/>
      <c r="Q221" s="86"/>
      <c r="R221" s="76"/>
      <c r="S221" s="86" t="s">
        <v>1869</v>
      </c>
      <c r="T221" s="86" t="s">
        <v>1802</v>
      </c>
      <c r="U221" s="86" t="s">
        <v>452</v>
      </c>
      <c r="V221" s="56" t="s">
        <v>1800</v>
      </c>
    </row>
    <row r="222" s="167" customFormat="1" ht="23.25" customHeight="1" spans="1:22">
      <c r="A222" s="71">
        <v>257</v>
      </c>
      <c r="B222" s="71" t="s">
        <v>1809</v>
      </c>
      <c r="C222" s="71"/>
      <c r="D222" s="71" t="s">
        <v>147</v>
      </c>
      <c r="E222" s="71">
        <v>21</v>
      </c>
      <c r="F222" s="71">
        <v>14</v>
      </c>
      <c r="G222" s="71">
        <v>15</v>
      </c>
      <c r="H222" s="71">
        <v>2018</v>
      </c>
      <c r="I222" s="71">
        <v>2020</v>
      </c>
      <c r="J222" s="86">
        <f t="shared" si="86"/>
        <v>8.532</v>
      </c>
      <c r="K222" s="86">
        <v>2.844</v>
      </c>
      <c r="L222" s="86">
        <v>2.844</v>
      </c>
      <c r="M222" s="86">
        <v>2.844</v>
      </c>
      <c r="N222" s="86">
        <f t="shared" si="87"/>
        <v>8.532</v>
      </c>
      <c r="O222" s="86"/>
      <c r="P222" s="86"/>
      <c r="Q222" s="138"/>
      <c r="R222" s="71"/>
      <c r="S222" s="71"/>
      <c r="T222" s="71"/>
      <c r="U222" s="71"/>
      <c r="V222" s="71" t="s">
        <v>1800</v>
      </c>
    </row>
    <row r="223" s="65" customFormat="1" ht="23.25" customHeight="1" spans="1:22">
      <c r="A223" s="71">
        <v>258</v>
      </c>
      <c r="B223" s="71" t="s">
        <v>1810</v>
      </c>
      <c r="C223" s="71"/>
      <c r="D223" s="71" t="s">
        <v>147</v>
      </c>
      <c r="E223" s="71">
        <v>30</v>
      </c>
      <c r="F223" s="71">
        <v>18</v>
      </c>
      <c r="G223" s="71">
        <v>18</v>
      </c>
      <c r="H223" s="71">
        <v>2018</v>
      </c>
      <c r="I223" s="71">
        <v>2020</v>
      </c>
      <c r="J223" s="86">
        <f t="shared" si="86"/>
        <v>11.664</v>
      </c>
      <c r="K223" s="86">
        <v>3.888</v>
      </c>
      <c r="L223" s="86">
        <v>3.888</v>
      </c>
      <c r="M223" s="86">
        <v>3.888</v>
      </c>
      <c r="N223" s="86">
        <f t="shared" si="87"/>
        <v>11.664</v>
      </c>
      <c r="O223" s="86"/>
      <c r="P223" s="86"/>
      <c r="Q223" s="86"/>
      <c r="R223" s="76"/>
      <c r="S223" s="86"/>
      <c r="T223" s="86"/>
      <c r="U223" s="86"/>
      <c r="V223" s="71" t="s">
        <v>1800</v>
      </c>
    </row>
    <row r="224" s="65" customFormat="1" ht="23.25" customHeight="1" spans="1:22">
      <c r="A224" s="71">
        <v>259</v>
      </c>
      <c r="B224" s="71" t="s">
        <v>1811</v>
      </c>
      <c r="C224" s="71"/>
      <c r="D224" s="71" t="s">
        <v>147</v>
      </c>
      <c r="E224" s="71">
        <v>36</v>
      </c>
      <c r="F224" s="71">
        <v>16</v>
      </c>
      <c r="G224" s="71">
        <v>18</v>
      </c>
      <c r="H224" s="71">
        <v>2018</v>
      </c>
      <c r="I224" s="71">
        <v>2020</v>
      </c>
      <c r="J224" s="86">
        <f t="shared" si="86"/>
        <v>13.392</v>
      </c>
      <c r="K224" s="86">
        <v>4.464</v>
      </c>
      <c r="L224" s="86">
        <v>4.464</v>
      </c>
      <c r="M224" s="86">
        <v>4.464</v>
      </c>
      <c r="N224" s="86">
        <f t="shared" si="87"/>
        <v>13.392</v>
      </c>
      <c r="O224" s="86"/>
      <c r="P224" s="86"/>
      <c r="Q224" s="86"/>
      <c r="R224" s="76"/>
      <c r="S224" s="86"/>
      <c r="T224" s="86"/>
      <c r="U224" s="86"/>
      <c r="V224" s="71" t="s">
        <v>1800</v>
      </c>
    </row>
    <row r="225" s="65" customFormat="1" ht="23.25" customHeight="1" spans="1:22">
      <c r="A225" s="71">
        <v>260</v>
      </c>
      <c r="B225" s="71" t="s">
        <v>1812</v>
      </c>
      <c r="C225" s="71"/>
      <c r="D225" s="71" t="s">
        <v>147</v>
      </c>
      <c r="E225" s="71">
        <v>22</v>
      </c>
      <c r="F225" s="71">
        <v>12</v>
      </c>
      <c r="G225" s="71">
        <v>13</v>
      </c>
      <c r="H225" s="71">
        <v>2018</v>
      </c>
      <c r="I225" s="71">
        <v>2020</v>
      </c>
      <c r="J225" s="86">
        <f t="shared" si="86"/>
        <v>8.532</v>
      </c>
      <c r="K225" s="86">
        <v>2.844</v>
      </c>
      <c r="L225" s="86">
        <v>2.844</v>
      </c>
      <c r="M225" s="86">
        <v>2.844</v>
      </c>
      <c r="N225" s="86">
        <f t="shared" si="87"/>
        <v>8.532</v>
      </c>
      <c r="O225" s="86"/>
      <c r="P225" s="86"/>
      <c r="Q225" s="86"/>
      <c r="R225" s="76"/>
      <c r="S225" s="86"/>
      <c r="T225" s="86"/>
      <c r="U225" s="86"/>
      <c r="V225" s="71" t="s">
        <v>1800</v>
      </c>
    </row>
    <row r="226" s="65" customFormat="1" ht="23.25" customHeight="1" spans="1:22">
      <c r="A226" s="71">
        <v>261</v>
      </c>
      <c r="B226" s="71" t="s">
        <v>1813</v>
      </c>
      <c r="C226" s="71"/>
      <c r="D226" s="71" t="s">
        <v>147</v>
      </c>
      <c r="E226" s="71">
        <v>32</v>
      </c>
      <c r="F226" s="71">
        <v>13</v>
      </c>
      <c r="G226" s="71">
        <v>13</v>
      </c>
      <c r="H226" s="71">
        <v>2018</v>
      </c>
      <c r="I226" s="71">
        <v>2020</v>
      </c>
      <c r="J226" s="86">
        <f t="shared" si="86"/>
        <v>12.744</v>
      </c>
      <c r="K226" s="86">
        <v>4.248</v>
      </c>
      <c r="L226" s="86">
        <v>4.248</v>
      </c>
      <c r="M226" s="86">
        <v>4.248</v>
      </c>
      <c r="N226" s="86">
        <f t="shared" si="87"/>
        <v>12.744</v>
      </c>
      <c r="O226" s="86"/>
      <c r="P226" s="86"/>
      <c r="Q226" s="86"/>
      <c r="R226" s="76"/>
      <c r="S226" s="86"/>
      <c r="T226" s="86"/>
      <c r="U226" s="86"/>
      <c r="V226" s="71" t="s">
        <v>1800</v>
      </c>
    </row>
    <row r="227" s="65" customFormat="1" ht="23.25" customHeight="1" spans="1:22">
      <c r="A227" s="71">
        <v>262</v>
      </c>
      <c r="B227" s="71" t="s">
        <v>1814</v>
      </c>
      <c r="C227" s="71"/>
      <c r="D227" s="71" t="s">
        <v>147</v>
      </c>
      <c r="E227" s="71">
        <v>32</v>
      </c>
      <c r="F227" s="71">
        <v>17</v>
      </c>
      <c r="G227" s="71">
        <v>19</v>
      </c>
      <c r="H227" s="71">
        <v>2018</v>
      </c>
      <c r="I227" s="71">
        <v>2020</v>
      </c>
      <c r="J227" s="86">
        <f t="shared" si="86"/>
        <v>12.636</v>
      </c>
      <c r="K227" s="86">
        <v>4.212</v>
      </c>
      <c r="L227" s="86">
        <v>4.212</v>
      </c>
      <c r="M227" s="86">
        <v>4.212</v>
      </c>
      <c r="N227" s="86">
        <f t="shared" si="87"/>
        <v>12.636</v>
      </c>
      <c r="O227" s="86"/>
      <c r="P227" s="86"/>
      <c r="Q227" s="86"/>
      <c r="R227" s="76"/>
      <c r="S227" s="86"/>
      <c r="T227" s="86"/>
      <c r="U227" s="86"/>
      <c r="V227" s="71" t="s">
        <v>1800</v>
      </c>
    </row>
    <row r="228" s="65" customFormat="1" ht="23.25" customHeight="1" spans="1:22">
      <c r="A228" s="71">
        <v>263</v>
      </c>
      <c r="B228" s="71" t="s">
        <v>1815</v>
      </c>
      <c r="C228" s="71"/>
      <c r="D228" s="71" t="s">
        <v>147</v>
      </c>
      <c r="E228" s="71">
        <v>38</v>
      </c>
      <c r="F228" s="71">
        <v>17</v>
      </c>
      <c r="G228" s="71">
        <v>19</v>
      </c>
      <c r="H228" s="71">
        <v>2018</v>
      </c>
      <c r="I228" s="71">
        <v>2020</v>
      </c>
      <c r="J228" s="86">
        <f t="shared" si="86"/>
        <v>15.012</v>
      </c>
      <c r="K228" s="86">
        <v>5.004</v>
      </c>
      <c r="L228" s="86">
        <v>5.004</v>
      </c>
      <c r="M228" s="86">
        <v>5.004</v>
      </c>
      <c r="N228" s="86">
        <f t="shared" si="87"/>
        <v>15.012</v>
      </c>
      <c r="O228" s="86"/>
      <c r="P228" s="86"/>
      <c r="Q228" s="86"/>
      <c r="R228" s="76"/>
      <c r="S228" s="86"/>
      <c r="T228" s="86"/>
      <c r="U228" s="86"/>
      <c r="V228" s="71" t="s">
        <v>1800</v>
      </c>
    </row>
    <row r="229" s="65" customFormat="1" ht="23.25" customHeight="1" spans="1:22">
      <c r="A229" s="71">
        <v>264</v>
      </c>
      <c r="B229" s="71" t="s">
        <v>1816</v>
      </c>
      <c r="C229" s="71"/>
      <c r="D229" s="71" t="s">
        <v>147</v>
      </c>
      <c r="E229" s="71">
        <v>23</v>
      </c>
      <c r="F229" s="71">
        <v>11</v>
      </c>
      <c r="G229" s="71">
        <v>11</v>
      </c>
      <c r="H229" s="71">
        <v>2018</v>
      </c>
      <c r="I229" s="71">
        <v>2020</v>
      </c>
      <c r="J229" s="86">
        <f t="shared" si="86"/>
        <v>9.072</v>
      </c>
      <c r="K229" s="86">
        <v>3.024</v>
      </c>
      <c r="L229" s="86">
        <v>3.024</v>
      </c>
      <c r="M229" s="86">
        <v>3.024</v>
      </c>
      <c r="N229" s="86">
        <f t="shared" si="87"/>
        <v>9.072</v>
      </c>
      <c r="O229" s="86"/>
      <c r="P229" s="86"/>
      <c r="Q229" s="86"/>
      <c r="R229" s="76"/>
      <c r="S229" s="86"/>
      <c r="T229" s="86"/>
      <c r="U229" s="86"/>
      <c r="V229" s="71" t="s">
        <v>1800</v>
      </c>
    </row>
    <row r="230" s="65" customFormat="1" ht="23.25" customHeight="1" spans="1:22">
      <c r="A230" s="71">
        <v>265</v>
      </c>
      <c r="B230" s="71" t="s">
        <v>457</v>
      </c>
      <c r="C230" s="71"/>
      <c r="D230" s="71" t="s">
        <v>147</v>
      </c>
      <c r="E230" s="71"/>
      <c r="F230" s="71"/>
      <c r="G230" s="71"/>
      <c r="H230" s="71"/>
      <c r="I230" s="71"/>
      <c r="J230" s="86"/>
      <c r="K230" s="86"/>
      <c r="L230" s="86"/>
      <c r="M230" s="86"/>
      <c r="N230" s="86"/>
      <c r="O230" s="86"/>
      <c r="P230" s="86"/>
      <c r="Q230" s="86"/>
      <c r="R230" s="76"/>
      <c r="S230" s="86" t="s">
        <v>1867</v>
      </c>
      <c r="T230" s="86" t="s">
        <v>1802</v>
      </c>
      <c r="U230" s="86" t="s">
        <v>338</v>
      </c>
      <c r="V230" s="56"/>
    </row>
    <row r="231" s="65" customFormat="1" ht="23.25" customHeight="1" spans="1:22">
      <c r="A231" s="71">
        <v>266</v>
      </c>
      <c r="B231" s="71" t="s">
        <v>458</v>
      </c>
      <c r="C231" s="71"/>
      <c r="D231" s="71" t="s">
        <v>147</v>
      </c>
      <c r="E231" s="71"/>
      <c r="F231" s="71"/>
      <c r="G231" s="71"/>
      <c r="H231" s="71"/>
      <c r="I231" s="71"/>
      <c r="J231" s="86"/>
      <c r="K231" s="86"/>
      <c r="L231" s="86"/>
      <c r="M231" s="86"/>
      <c r="N231" s="86"/>
      <c r="O231" s="86"/>
      <c r="P231" s="86"/>
      <c r="Q231" s="86"/>
      <c r="R231" s="76"/>
      <c r="S231" s="86" t="s">
        <v>1867</v>
      </c>
      <c r="T231" s="86" t="s">
        <v>1802</v>
      </c>
      <c r="U231" s="86" t="s">
        <v>338</v>
      </c>
      <c r="V231" s="56"/>
    </row>
    <row r="232" s="65" customFormat="1" ht="23.25" customHeight="1" spans="1:22">
      <c r="A232" s="71">
        <v>267</v>
      </c>
      <c r="B232" s="71" t="s">
        <v>459</v>
      </c>
      <c r="C232" s="71"/>
      <c r="D232" s="71" t="s">
        <v>147</v>
      </c>
      <c r="E232" s="71"/>
      <c r="F232" s="71"/>
      <c r="G232" s="71"/>
      <c r="H232" s="71"/>
      <c r="I232" s="71"/>
      <c r="J232" s="86"/>
      <c r="K232" s="86"/>
      <c r="L232" s="86"/>
      <c r="M232" s="86"/>
      <c r="N232" s="86"/>
      <c r="O232" s="86"/>
      <c r="P232" s="86"/>
      <c r="Q232" s="86"/>
      <c r="R232" s="76"/>
      <c r="S232" s="86" t="s">
        <v>1867</v>
      </c>
      <c r="T232" s="86" t="s">
        <v>1802</v>
      </c>
      <c r="U232" s="86" t="s">
        <v>338</v>
      </c>
      <c r="V232" s="56"/>
    </row>
    <row r="233" ht="23.25" customHeight="1" spans="1:22">
      <c r="A233" s="71">
        <v>268</v>
      </c>
      <c r="B233" s="142" t="s">
        <v>951</v>
      </c>
      <c r="C233" s="71"/>
      <c r="D233" s="71"/>
      <c r="E233" s="71"/>
      <c r="F233" s="71"/>
      <c r="G233" s="71"/>
      <c r="H233" s="71"/>
      <c r="I233" s="71"/>
      <c r="J233" s="212">
        <f>K233+L233+M233</f>
        <v>2778.6274</v>
      </c>
      <c r="K233" s="86">
        <f t="shared" ref="K233:R233" si="88">K235+K242+K275+K280+K316+K326+K333</f>
        <v>1643.2324</v>
      </c>
      <c r="L233" s="86">
        <f t="shared" si="88"/>
        <v>597.795</v>
      </c>
      <c r="M233" s="86">
        <f t="shared" si="88"/>
        <v>537.6</v>
      </c>
      <c r="N233" s="86">
        <f t="shared" si="88"/>
        <v>158.72</v>
      </c>
      <c r="O233" s="86">
        <f t="shared" si="88"/>
        <v>778.235</v>
      </c>
      <c r="P233" s="86">
        <f t="shared" si="88"/>
        <v>1108.9534</v>
      </c>
      <c r="Q233" s="86">
        <f t="shared" si="88"/>
        <v>732.719</v>
      </c>
      <c r="R233" s="86">
        <f t="shared" si="88"/>
        <v>0</v>
      </c>
      <c r="S233" s="86"/>
      <c r="T233" s="86"/>
      <c r="U233" s="86"/>
      <c r="V233" s="56"/>
    </row>
    <row r="234" ht="23.25" customHeight="1" spans="1:22">
      <c r="A234" s="71">
        <v>269</v>
      </c>
      <c r="B234" s="90" t="s">
        <v>1870</v>
      </c>
      <c r="C234" s="71"/>
      <c r="D234" s="71"/>
      <c r="E234" s="71"/>
      <c r="F234" s="71"/>
      <c r="G234" s="71"/>
      <c r="H234" s="71"/>
      <c r="I234" s="71"/>
      <c r="J234" s="86"/>
      <c r="K234" s="86"/>
      <c r="L234" s="86"/>
      <c r="M234" s="86"/>
      <c r="N234" s="86"/>
      <c r="O234" s="86"/>
      <c r="P234" s="86"/>
      <c r="Q234" s="86"/>
      <c r="R234" s="76"/>
      <c r="S234" s="71"/>
      <c r="T234" s="71"/>
      <c r="U234" s="71"/>
      <c r="V234" s="56"/>
    </row>
    <row r="235" ht="23.25" customHeight="1" spans="1:22">
      <c r="A235" s="71">
        <v>270</v>
      </c>
      <c r="B235" s="90" t="s">
        <v>462</v>
      </c>
      <c r="C235" s="71"/>
      <c r="D235" s="71" t="s">
        <v>192</v>
      </c>
      <c r="E235" s="71"/>
      <c r="F235" s="71"/>
      <c r="G235" s="71"/>
      <c r="H235" s="71"/>
      <c r="I235" s="71"/>
      <c r="J235" s="86">
        <f t="shared" ref="J235:R235" si="89">J236</f>
        <v>352</v>
      </c>
      <c r="K235" s="86">
        <f t="shared" si="89"/>
        <v>164</v>
      </c>
      <c r="L235" s="86">
        <f t="shared" si="89"/>
        <v>188</v>
      </c>
      <c r="M235" s="86">
        <f t="shared" si="89"/>
        <v>0</v>
      </c>
      <c r="N235" s="86">
        <f t="shared" si="89"/>
        <v>78</v>
      </c>
      <c r="O235" s="86">
        <f t="shared" si="89"/>
        <v>188</v>
      </c>
      <c r="P235" s="86">
        <f t="shared" si="89"/>
        <v>86</v>
      </c>
      <c r="Q235" s="86">
        <f t="shared" si="89"/>
        <v>0</v>
      </c>
      <c r="R235" s="86">
        <f t="shared" si="89"/>
        <v>0</v>
      </c>
      <c r="S235" s="86"/>
      <c r="T235" s="86"/>
      <c r="U235" s="71"/>
      <c r="V235" s="56"/>
    </row>
    <row r="236" ht="39" customHeight="1" spans="1:22">
      <c r="A236" s="71">
        <v>271</v>
      </c>
      <c r="B236" s="90" t="s">
        <v>464</v>
      </c>
      <c r="C236" s="71" t="s">
        <v>1124</v>
      </c>
      <c r="D236" s="71" t="s">
        <v>192</v>
      </c>
      <c r="E236" s="71">
        <f>SUM(E237:E241)</f>
        <v>33.75</v>
      </c>
      <c r="F236" s="71">
        <f t="shared" ref="F236:R236" si="90">SUM(F237:F241)</f>
        <v>960</v>
      </c>
      <c r="G236" s="71">
        <f t="shared" si="90"/>
        <v>3997</v>
      </c>
      <c r="H236" s="71">
        <v>2018</v>
      </c>
      <c r="I236" s="71">
        <v>2019</v>
      </c>
      <c r="J236" s="71">
        <f t="shared" si="90"/>
        <v>352</v>
      </c>
      <c r="K236" s="71">
        <f t="shared" si="90"/>
        <v>164</v>
      </c>
      <c r="L236" s="71">
        <f t="shared" si="90"/>
        <v>188</v>
      </c>
      <c r="M236" s="71">
        <f t="shared" si="90"/>
        <v>0</v>
      </c>
      <c r="N236" s="71">
        <f t="shared" si="90"/>
        <v>78</v>
      </c>
      <c r="O236" s="71">
        <f t="shared" si="90"/>
        <v>188</v>
      </c>
      <c r="P236" s="71">
        <f t="shared" si="90"/>
        <v>86</v>
      </c>
      <c r="Q236" s="71">
        <f t="shared" si="90"/>
        <v>0</v>
      </c>
      <c r="R236" s="71">
        <f t="shared" si="90"/>
        <v>0</v>
      </c>
      <c r="S236" s="86" t="s">
        <v>1820</v>
      </c>
      <c r="T236" s="86" t="s">
        <v>1821</v>
      </c>
      <c r="U236" s="86" t="s">
        <v>271</v>
      </c>
      <c r="V236" s="56"/>
    </row>
    <row r="237" ht="39" customHeight="1" spans="1:22">
      <c r="A237" s="71">
        <v>272</v>
      </c>
      <c r="B237" s="381" t="s">
        <v>1871</v>
      </c>
      <c r="C237" s="71" t="s">
        <v>1688</v>
      </c>
      <c r="D237" s="71" t="s">
        <v>192</v>
      </c>
      <c r="E237" s="71">
        <v>9.35</v>
      </c>
      <c r="F237" s="71">
        <v>139</v>
      </c>
      <c r="G237" s="71">
        <v>557</v>
      </c>
      <c r="H237" s="71">
        <v>2018</v>
      </c>
      <c r="I237" s="71">
        <v>2018</v>
      </c>
      <c r="J237" s="86">
        <f t="shared" ref="J237:J240" si="91">SUM(K237:M237)</f>
        <v>164</v>
      </c>
      <c r="K237" s="86">
        <v>164</v>
      </c>
      <c r="L237" s="86"/>
      <c r="M237" s="86"/>
      <c r="N237" s="86">
        <v>78</v>
      </c>
      <c r="O237" s="86"/>
      <c r="P237" s="86">
        <v>86</v>
      </c>
      <c r="Q237" s="86"/>
      <c r="R237" s="76"/>
      <c r="S237" s="86"/>
      <c r="T237" s="86"/>
      <c r="U237" s="86"/>
      <c r="V237" s="56" t="s">
        <v>1800</v>
      </c>
    </row>
    <row r="238" ht="39" customHeight="1" spans="1:22">
      <c r="A238" s="71">
        <v>273</v>
      </c>
      <c r="B238" s="381" t="s">
        <v>1872</v>
      </c>
      <c r="C238" s="71" t="s">
        <v>1688</v>
      </c>
      <c r="D238" s="71" t="s">
        <v>192</v>
      </c>
      <c r="E238" s="71">
        <v>12.7</v>
      </c>
      <c r="F238" s="71">
        <v>362</v>
      </c>
      <c r="G238" s="71">
        <v>1440</v>
      </c>
      <c r="H238" s="71">
        <v>2019</v>
      </c>
      <c r="I238" s="71">
        <v>2019</v>
      </c>
      <c r="J238" s="86">
        <f t="shared" si="91"/>
        <v>100</v>
      </c>
      <c r="K238" s="86"/>
      <c r="L238" s="86">
        <v>100</v>
      </c>
      <c r="M238" s="86"/>
      <c r="N238" s="86"/>
      <c r="O238" s="86">
        <f>J238</f>
        <v>100</v>
      </c>
      <c r="P238" s="102"/>
      <c r="Q238" s="86"/>
      <c r="R238" s="76"/>
      <c r="S238" s="86"/>
      <c r="T238" s="86"/>
      <c r="U238" s="86"/>
      <c r="V238" s="56" t="s">
        <v>1837</v>
      </c>
    </row>
    <row r="239" ht="39" customHeight="1" spans="1:22">
      <c r="A239" s="71">
        <v>274</v>
      </c>
      <c r="B239" s="381" t="s">
        <v>1873</v>
      </c>
      <c r="C239" s="71" t="s">
        <v>1688</v>
      </c>
      <c r="D239" s="71" t="s">
        <v>192</v>
      </c>
      <c r="E239" s="71">
        <v>10.6</v>
      </c>
      <c r="F239" s="71">
        <v>282</v>
      </c>
      <c r="G239" s="71">
        <v>1260</v>
      </c>
      <c r="H239" s="71">
        <v>2019</v>
      </c>
      <c r="I239" s="71">
        <v>2019</v>
      </c>
      <c r="J239" s="86">
        <f t="shared" si="91"/>
        <v>80</v>
      </c>
      <c r="K239" s="86"/>
      <c r="L239" s="86">
        <v>80</v>
      </c>
      <c r="M239" s="86"/>
      <c r="N239" s="86"/>
      <c r="O239" s="86">
        <f>J239</f>
        <v>80</v>
      </c>
      <c r="P239" s="102"/>
      <c r="Q239" s="86"/>
      <c r="R239" s="76"/>
      <c r="S239" s="86"/>
      <c r="T239" s="86"/>
      <c r="U239" s="86"/>
      <c r="V239" s="56" t="s">
        <v>1837</v>
      </c>
    </row>
    <row r="240" ht="39" customHeight="1" spans="1:22">
      <c r="A240" s="71">
        <v>275</v>
      </c>
      <c r="B240" s="381" t="s">
        <v>1874</v>
      </c>
      <c r="C240" s="71" t="s">
        <v>1688</v>
      </c>
      <c r="D240" s="71" t="s">
        <v>192</v>
      </c>
      <c r="E240" s="71">
        <v>1.1</v>
      </c>
      <c r="F240" s="71">
        <v>177</v>
      </c>
      <c r="G240" s="71">
        <v>740</v>
      </c>
      <c r="H240" s="71">
        <v>2019</v>
      </c>
      <c r="I240" s="71">
        <v>2019</v>
      </c>
      <c r="J240" s="86">
        <f t="shared" si="91"/>
        <v>8</v>
      </c>
      <c r="K240" s="86"/>
      <c r="L240" s="86">
        <v>8</v>
      </c>
      <c r="M240" s="86"/>
      <c r="N240" s="86"/>
      <c r="O240" s="86">
        <f>J240</f>
        <v>8</v>
      </c>
      <c r="P240" s="102"/>
      <c r="Q240" s="86"/>
      <c r="R240" s="76"/>
      <c r="S240" s="86"/>
      <c r="T240" s="86"/>
      <c r="U240" s="86"/>
      <c r="V240" s="56" t="s">
        <v>1837</v>
      </c>
    </row>
    <row r="241" ht="23.25" customHeight="1" spans="1:22">
      <c r="A241" s="253"/>
      <c r="B241" s="381"/>
      <c r="C241" s="71"/>
      <c r="D241" s="71"/>
      <c r="E241" s="71"/>
      <c r="F241" s="71"/>
      <c r="G241" s="71"/>
      <c r="H241" s="71"/>
      <c r="I241" s="71"/>
      <c r="J241" s="86"/>
      <c r="K241" s="86"/>
      <c r="L241" s="86"/>
      <c r="M241" s="86"/>
      <c r="N241" s="86"/>
      <c r="O241" s="86"/>
      <c r="P241" s="86"/>
      <c r="Q241" s="86"/>
      <c r="R241" s="76"/>
      <c r="S241" s="86"/>
      <c r="T241" s="86"/>
      <c r="U241" s="86"/>
      <c r="V241" s="56"/>
    </row>
    <row r="242" ht="23.25" customHeight="1" spans="1:22">
      <c r="A242" s="71">
        <v>276</v>
      </c>
      <c r="B242" s="90" t="s">
        <v>495</v>
      </c>
      <c r="C242" s="71" t="s">
        <v>1124</v>
      </c>
      <c r="D242" s="71" t="s">
        <v>496</v>
      </c>
      <c r="E242" s="71">
        <f t="shared" ref="E242:G242" si="92">SUM(E243:E274)</f>
        <v>32</v>
      </c>
      <c r="F242" s="71">
        <f t="shared" si="92"/>
        <v>285</v>
      </c>
      <c r="G242" s="71">
        <f t="shared" si="92"/>
        <v>1216</v>
      </c>
      <c r="H242" s="71">
        <v>2018</v>
      </c>
      <c r="I242" s="71">
        <v>2018</v>
      </c>
      <c r="J242" s="86">
        <f>SUM(J243:J274)</f>
        <v>960.0734</v>
      </c>
      <c r="K242" s="86">
        <f t="shared" ref="K242:O242" si="93">SUM(K243:K275)</f>
        <v>960.0734</v>
      </c>
      <c r="L242" s="86"/>
      <c r="M242" s="86">
        <f t="shared" si="93"/>
        <v>0</v>
      </c>
      <c r="N242" s="86"/>
      <c r="O242" s="86">
        <f t="shared" si="93"/>
        <v>0</v>
      </c>
      <c r="P242" s="86">
        <f t="shared" ref="P242:P274" si="94">J242</f>
        <v>960.0734</v>
      </c>
      <c r="Q242" s="86"/>
      <c r="R242" s="76"/>
      <c r="S242" s="86"/>
      <c r="T242" s="86"/>
      <c r="U242" s="86" t="s">
        <v>497</v>
      </c>
      <c r="V242" s="56" t="s">
        <v>1875</v>
      </c>
    </row>
    <row r="243" ht="23.25" customHeight="1" spans="1:22">
      <c r="A243" s="71">
        <v>277</v>
      </c>
      <c r="B243" s="436" t="s">
        <v>1876</v>
      </c>
      <c r="C243" s="437" t="s">
        <v>52</v>
      </c>
      <c r="D243" s="71" t="s">
        <v>496</v>
      </c>
      <c r="E243" s="71">
        <v>1</v>
      </c>
      <c r="F243" s="71">
        <v>5</v>
      </c>
      <c r="G243" s="71">
        <v>21</v>
      </c>
      <c r="H243" s="71">
        <v>2018</v>
      </c>
      <c r="I243" s="71">
        <v>2018</v>
      </c>
      <c r="J243" s="438">
        <v>36.865</v>
      </c>
      <c r="K243" s="439">
        <f t="shared" ref="K243:K274" si="95">J243</f>
        <v>36.865</v>
      </c>
      <c r="L243" s="86"/>
      <c r="M243" s="86"/>
      <c r="N243" s="86"/>
      <c r="O243" s="86"/>
      <c r="P243" s="86">
        <f t="shared" si="94"/>
        <v>36.865</v>
      </c>
      <c r="Q243" s="86"/>
      <c r="R243" s="76"/>
      <c r="S243" s="86"/>
      <c r="T243" s="86"/>
      <c r="U243" s="86"/>
      <c r="V243" s="56" t="s">
        <v>1800</v>
      </c>
    </row>
    <row r="244" ht="23.25" customHeight="1" spans="1:22">
      <c r="A244" s="71">
        <v>278</v>
      </c>
      <c r="B244" s="436" t="s">
        <v>1877</v>
      </c>
      <c r="C244" s="437" t="s">
        <v>52</v>
      </c>
      <c r="D244" s="71" t="s">
        <v>496</v>
      </c>
      <c r="E244" s="71">
        <v>1</v>
      </c>
      <c r="F244" s="71">
        <v>10</v>
      </c>
      <c r="G244" s="71">
        <v>38</v>
      </c>
      <c r="H244" s="71">
        <v>2018</v>
      </c>
      <c r="I244" s="71">
        <v>2018</v>
      </c>
      <c r="J244" s="438">
        <v>28.991</v>
      </c>
      <c r="K244" s="439">
        <f t="shared" si="95"/>
        <v>28.991</v>
      </c>
      <c r="L244" s="86"/>
      <c r="M244" s="86"/>
      <c r="N244" s="86"/>
      <c r="O244" s="86"/>
      <c r="P244" s="86">
        <f t="shared" si="94"/>
        <v>28.991</v>
      </c>
      <c r="Q244" s="86"/>
      <c r="R244" s="76"/>
      <c r="S244" s="86"/>
      <c r="T244" s="86"/>
      <c r="U244" s="86"/>
      <c r="V244" s="56" t="s">
        <v>1839</v>
      </c>
    </row>
    <row r="245" ht="23.25" customHeight="1" spans="1:22">
      <c r="A245" s="71">
        <v>279</v>
      </c>
      <c r="B245" s="436" t="s">
        <v>1878</v>
      </c>
      <c r="C245" s="437" t="s">
        <v>52</v>
      </c>
      <c r="D245" s="71" t="s">
        <v>496</v>
      </c>
      <c r="E245" s="71">
        <v>1</v>
      </c>
      <c r="F245" s="71">
        <v>2</v>
      </c>
      <c r="G245" s="71">
        <v>6</v>
      </c>
      <c r="H245" s="71">
        <v>2018</v>
      </c>
      <c r="I245" s="71">
        <v>2018</v>
      </c>
      <c r="J245" s="438">
        <v>29.944</v>
      </c>
      <c r="K245" s="439">
        <f t="shared" si="95"/>
        <v>29.944</v>
      </c>
      <c r="L245" s="86"/>
      <c r="M245" s="86"/>
      <c r="N245" s="86"/>
      <c r="O245" s="86"/>
      <c r="P245" s="86">
        <f t="shared" si="94"/>
        <v>29.944</v>
      </c>
      <c r="Q245" s="86"/>
      <c r="R245" s="76"/>
      <c r="S245" s="86"/>
      <c r="T245" s="86"/>
      <c r="U245" s="86"/>
      <c r="V245" s="56" t="s">
        <v>1839</v>
      </c>
    </row>
    <row r="246" ht="23.25" customHeight="1" spans="1:22">
      <c r="A246" s="71">
        <v>280</v>
      </c>
      <c r="B246" s="436" t="s">
        <v>1879</v>
      </c>
      <c r="C246" s="437" t="s">
        <v>52</v>
      </c>
      <c r="D246" s="71" t="s">
        <v>496</v>
      </c>
      <c r="E246" s="71">
        <v>1</v>
      </c>
      <c r="F246" s="71">
        <v>14</v>
      </c>
      <c r="G246" s="71">
        <v>64</v>
      </c>
      <c r="H246" s="71">
        <v>2018</v>
      </c>
      <c r="I246" s="71">
        <v>2018</v>
      </c>
      <c r="J246" s="438">
        <v>28.66</v>
      </c>
      <c r="K246" s="439">
        <f t="shared" si="95"/>
        <v>28.66</v>
      </c>
      <c r="L246" s="86"/>
      <c r="M246" s="86"/>
      <c r="N246" s="86"/>
      <c r="O246" s="86"/>
      <c r="P246" s="86">
        <f t="shared" si="94"/>
        <v>28.66</v>
      </c>
      <c r="Q246" s="86"/>
      <c r="R246" s="76"/>
      <c r="S246" s="86"/>
      <c r="T246" s="86"/>
      <c r="U246" s="86"/>
      <c r="V246" s="56" t="s">
        <v>1800</v>
      </c>
    </row>
    <row r="247" ht="23.25" customHeight="1" spans="1:22">
      <c r="A247" s="71">
        <v>281</v>
      </c>
      <c r="B247" s="436" t="s">
        <v>1880</v>
      </c>
      <c r="C247" s="437" t="s">
        <v>52</v>
      </c>
      <c r="D247" s="71" t="s">
        <v>496</v>
      </c>
      <c r="E247" s="71">
        <v>1</v>
      </c>
      <c r="F247" s="71">
        <v>1</v>
      </c>
      <c r="G247" s="71">
        <v>6</v>
      </c>
      <c r="H247" s="71">
        <v>2018</v>
      </c>
      <c r="I247" s="71">
        <v>2018</v>
      </c>
      <c r="J247" s="438">
        <v>23.173</v>
      </c>
      <c r="K247" s="439">
        <f t="shared" si="95"/>
        <v>23.173</v>
      </c>
      <c r="L247" s="86"/>
      <c r="M247" s="86"/>
      <c r="N247" s="86"/>
      <c r="O247" s="86"/>
      <c r="P247" s="86">
        <f t="shared" si="94"/>
        <v>23.173</v>
      </c>
      <c r="Q247" s="86"/>
      <c r="R247" s="76"/>
      <c r="S247" s="86"/>
      <c r="T247" s="86"/>
      <c r="U247" s="86"/>
      <c r="V247" s="56" t="s">
        <v>1839</v>
      </c>
    </row>
    <row r="248" ht="23.25" customHeight="1" spans="1:22">
      <c r="A248" s="71">
        <v>282</v>
      </c>
      <c r="B248" s="436" t="s">
        <v>1881</v>
      </c>
      <c r="C248" s="437" t="s">
        <v>52</v>
      </c>
      <c r="D248" s="71" t="s">
        <v>496</v>
      </c>
      <c r="E248" s="71">
        <v>1</v>
      </c>
      <c r="F248" s="71">
        <v>19</v>
      </c>
      <c r="G248" s="71">
        <v>80</v>
      </c>
      <c r="H248" s="71">
        <v>2018</v>
      </c>
      <c r="I248" s="71">
        <v>2018</v>
      </c>
      <c r="J248" s="438">
        <v>22.855</v>
      </c>
      <c r="K248" s="439">
        <f t="shared" si="95"/>
        <v>22.855</v>
      </c>
      <c r="L248" s="86"/>
      <c r="M248" s="86"/>
      <c r="N248" s="86"/>
      <c r="O248" s="86"/>
      <c r="P248" s="86">
        <f t="shared" si="94"/>
        <v>22.855</v>
      </c>
      <c r="Q248" s="86"/>
      <c r="R248" s="76"/>
      <c r="S248" s="86"/>
      <c r="T248" s="86"/>
      <c r="U248" s="86"/>
      <c r="V248" s="56" t="s">
        <v>1839</v>
      </c>
    </row>
    <row r="249" ht="23.25" customHeight="1" spans="1:22">
      <c r="A249" s="71">
        <v>283</v>
      </c>
      <c r="B249" s="436" t="s">
        <v>1882</v>
      </c>
      <c r="C249" s="437" t="s">
        <v>52</v>
      </c>
      <c r="D249" s="71" t="s">
        <v>496</v>
      </c>
      <c r="E249" s="71">
        <v>1</v>
      </c>
      <c r="F249" s="71">
        <v>6</v>
      </c>
      <c r="G249" s="71">
        <v>30</v>
      </c>
      <c r="H249" s="71">
        <v>2018</v>
      </c>
      <c r="I249" s="71">
        <v>2018</v>
      </c>
      <c r="J249" s="438">
        <v>30.78</v>
      </c>
      <c r="K249" s="439">
        <f t="shared" si="95"/>
        <v>30.78</v>
      </c>
      <c r="L249" s="86"/>
      <c r="M249" s="86"/>
      <c r="N249" s="86"/>
      <c r="O249" s="86"/>
      <c r="P249" s="86">
        <f t="shared" si="94"/>
        <v>30.78</v>
      </c>
      <c r="Q249" s="86"/>
      <c r="R249" s="76"/>
      <c r="S249" s="86"/>
      <c r="T249" s="86"/>
      <c r="U249" s="86"/>
      <c r="V249" s="56" t="s">
        <v>1800</v>
      </c>
    </row>
    <row r="250" ht="23.25" customHeight="1" spans="1:22">
      <c r="A250" s="71">
        <v>284</v>
      </c>
      <c r="B250" s="436" t="s">
        <v>1883</v>
      </c>
      <c r="C250" s="437" t="s">
        <v>52</v>
      </c>
      <c r="D250" s="71" t="s">
        <v>496</v>
      </c>
      <c r="E250" s="71">
        <v>1</v>
      </c>
      <c r="F250" s="71">
        <v>13</v>
      </c>
      <c r="G250" s="71">
        <v>66</v>
      </c>
      <c r="H250" s="71">
        <v>2018</v>
      </c>
      <c r="I250" s="71">
        <v>2018</v>
      </c>
      <c r="J250" s="438">
        <v>23.08</v>
      </c>
      <c r="K250" s="439">
        <f t="shared" si="95"/>
        <v>23.08</v>
      </c>
      <c r="L250" s="86"/>
      <c r="M250" s="86"/>
      <c r="N250" s="86"/>
      <c r="O250" s="86"/>
      <c r="P250" s="86">
        <f t="shared" si="94"/>
        <v>23.08</v>
      </c>
      <c r="Q250" s="86"/>
      <c r="R250" s="76"/>
      <c r="S250" s="86"/>
      <c r="T250" s="86"/>
      <c r="U250" s="86"/>
      <c r="V250" s="56" t="s">
        <v>1839</v>
      </c>
    </row>
    <row r="251" ht="23.25" customHeight="1" spans="1:22">
      <c r="A251" s="71">
        <v>285</v>
      </c>
      <c r="B251" s="436" t="s">
        <v>1884</v>
      </c>
      <c r="C251" s="437" t="s">
        <v>52</v>
      </c>
      <c r="D251" s="71" t="s">
        <v>496</v>
      </c>
      <c r="E251" s="71">
        <v>1</v>
      </c>
      <c r="F251" s="71">
        <v>6</v>
      </c>
      <c r="G251" s="71">
        <v>31</v>
      </c>
      <c r="H251" s="71">
        <v>2018</v>
      </c>
      <c r="I251" s="71">
        <v>2018</v>
      </c>
      <c r="J251" s="438">
        <v>37.65</v>
      </c>
      <c r="K251" s="439">
        <f t="shared" si="95"/>
        <v>37.65</v>
      </c>
      <c r="L251" s="86"/>
      <c r="M251" s="86"/>
      <c r="N251" s="86"/>
      <c r="O251" s="86"/>
      <c r="P251" s="86">
        <f t="shared" si="94"/>
        <v>37.65</v>
      </c>
      <c r="Q251" s="86"/>
      <c r="R251" s="76"/>
      <c r="S251" s="86"/>
      <c r="T251" s="86"/>
      <c r="U251" s="86"/>
      <c r="V251" s="56" t="s">
        <v>1839</v>
      </c>
    </row>
    <row r="252" ht="23.25" customHeight="1" spans="1:22">
      <c r="A252" s="71">
        <v>286</v>
      </c>
      <c r="B252" s="436" t="s">
        <v>1885</v>
      </c>
      <c r="C252" s="437" t="s">
        <v>52</v>
      </c>
      <c r="D252" s="71" t="s">
        <v>496</v>
      </c>
      <c r="E252" s="71">
        <v>1</v>
      </c>
      <c r="F252" s="71">
        <v>8</v>
      </c>
      <c r="G252" s="71">
        <v>40</v>
      </c>
      <c r="H252" s="71">
        <v>2018</v>
      </c>
      <c r="I252" s="71">
        <v>2018</v>
      </c>
      <c r="J252" s="438">
        <v>34.1233</v>
      </c>
      <c r="K252" s="439">
        <f t="shared" si="95"/>
        <v>34.1233</v>
      </c>
      <c r="L252" s="86"/>
      <c r="M252" s="86"/>
      <c r="N252" s="86"/>
      <c r="O252" s="86"/>
      <c r="P252" s="86">
        <f t="shared" si="94"/>
        <v>34.1233</v>
      </c>
      <c r="Q252" s="86"/>
      <c r="R252" s="76"/>
      <c r="S252" s="86"/>
      <c r="T252" s="86"/>
      <c r="U252" s="86"/>
      <c r="V252" s="56" t="s">
        <v>1839</v>
      </c>
    </row>
    <row r="253" ht="23.25" customHeight="1" spans="1:22">
      <c r="A253" s="71">
        <v>287</v>
      </c>
      <c r="B253" s="436" t="s">
        <v>1886</v>
      </c>
      <c r="C253" s="437" t="s">
        <v>52</v>
      </c>
      <c r="D253" s="71" t="s">
        <v>496</v>
      </c>
      <c r="E253" s="71">
        <v>1</v>
      </c>
      <c r="F253" s="71">
        <v>10</v>
      </c>
      <c r="G253" s="71">
        <v>31</v>
      </c>
      <c r="H253" s="71">
        <v>2018</v>
      </c>
      <c r="I253" s="71">
        <v>2018</v>
      </c>
      <c r="J253" s="438">
        <v>41.3929</v>
      </c>
      <c r="K253" s="439">
        <f t="shared" si="95"/>
        <v>41.3929</v>
      </c>
      <c r="L253" s="86"/>
      <c r="M253" s="86"/>
      <c r="N253" s="86"/>
      <c r="O253" s="86"/>
      <c r="P253" s="86">
        <f t="shared" si="94"/>
        <v>41.3929</v>
      </c>
      <c r="Q253" s="86"/>
      <c r="R253" s="76"/>
      <c r="S253" s="86"/>
      <c r="T253" s="86"/>
      <c r="U253" s="86"/>
      <c r="V253" s="56" t="s">
        <v>1839</v>
      </c>
    </row>
    <row r="254" ht="23.25" customHeight="1" spans="1:22">
      <c r="A254" s="71">
        <v>288</v>
      </c>
      <c r="B254" s="436" t="s">
        <v>1887</v>
      </c>
      <c r="C254" s="437" t="s">
        <v>52</v>
      </c>
      <c r="D254" s="71" t="s">
        <v>496</v>
      </c>
      <c r="E254" s="71">
        <v>1</v>
      </c>
      <c r="F254" s="71">
        <v>15</v>
      </c>
      <c r="G254" s="71">
        <v>46</v>
      </c>
      <c r="H254" s="71">
        <v>2018</v>
      </c>
      <c r="I254" s="71">
        <v>2018</v>
      </c>
      <c r="J254" s="438">
        <v>38.92</v>
      </c>
      <c r="K254" s="439">
        <f t="shared" si="95"/>
        <v>38.92</v>
      </c>
      <c r="L254" s="86"/>
      <c r="M254" s="86"/>
      <c r="N254" s="86"/>
      <c r="O254" s="86"/>
      <c r="P254" s="86">
        <f t="shared" si="94"/>
        <v>38.92</v>
      </c>
      <c r="Q254" s="86"/>
      <c r="R254" s="76"/>
      <c r="S254" s="86"/>
      <c r="T254" s="86"/>
      <c r="U254" s="86"/>
      <c r="V254" s="56" t="s">
        <v>1800</v>
      </c>
    </row>
    <row r="255" ht="23.25" customHeight="1" spans="1:22">
      <c r="A255" s="71">
        <v>289</v>
      </c>
      <c r="B255" s="436" t="s">
        <v>1888</v>
      </c>
      <c r="C255" s="437" t="s">
        <v>52</v>
      </c>
      <c r="D255" s="71" t="s">
        <v>496</v>
      </c>
      <c r="E255" s="71">
        <v>1</v>
      </c>
      <c r="F255" s="71">
        <v>6</v>
      </c>
      <c r="G255" s="71">
        <v>24</v>
      </c>
      <c r="H255" s="71">
        <v>2018</v>
      </c>
      <c r="I255" s="71">
        <v>2018</v>
      </c>
      <c r="J255" s="438">
        <v>33.33</v>
      </c>
      <c r="K255" s="439">
        <f t="shared" si="95"/>
        <v>33.33</v>
      </c>
      <c r="L255" s="86"/>
      <c r="M255" s="86"/>
      <c r="N255" s="86"/>
      <c r="O255" s="86"/>
      <c r="P255" s="86">
        <f t="shared" si="94"/>
        <v>33.33</v>
      </c>
      <c r="Q255" s="86"/>
      <c r="R255" s="76"/>
      <c r="S255" s="86"/>
      <c r="T255" s="86"/>
      <c r="U255" s="86"/>
      <c r="V255" s="56" t="s">
        <v>1839</v>
      </c>
    </row>
    <row r="256" ht="23.25" customHeight="1" spans="1:22">
      <c r="A256" s="71">
        <v>290</v>
      </c>
      <c r="B256" s="436" t="s">
        <v>1889</v>
      </c>
      <c r="C256" s="437" t="s">
        <v>52</v>
      </c>
      <c r="D256" s="71" t="s">
        <v>496</v>
      </c>
      <c r="E256" s="71">
        <v>1</v>
      </c>
      <c r="F256" s="71">
        <v>5</v>
      </c>
      <c r="G256" s="71">
        <v>17</v>
      </c>
      <c r="H256" s="71">
        <v>2018</v>
      </c>
      <c r="I256" s="71">
        <v>2018</v>
      </c>
      <c r="J256" s="438">
        <v>26.38</v>
      </c>
      <c r="K256" s="439">
        <f t="shared" si="95"/>
        <v>26.38</v>
      </c>
      <c r="L256" s="86"/>
      <c r="M256" s="86"/>
      <c r="N256" s="86"/>
      <c r="O256" s="86"/>
      <c r="P256" s="86">
        <f t="shared" si="94"/>
        <v>26.38</v>
      </c>
      <c r="Q256" s="86"/>
      <c r="R256" s="76"/>
      <c r="S256" s="86"/>
      <c r="T256" s="86"/>
      <c r="U256" s="86"/>
      <c r="V256" s="56" t="s">
        <v>1839</v>
      </c>
    </row>
    <row r="257" ht="23.25" customHeight="1" spans="1:22">
      <c r="A257" s="71">
        <v>291</v>
      </c>
      <c r="B257" s="436" t="s">
        <v>1890</v>
      </c>
      <c r="C257" s="437" t="s">
        <v>52</v>
      </c>
      <c r="D257" s="71" t="s">
        <v>496</v>
      </c>
      <c r="E257" s="71">
        <v>1</v>
      </c>
      <c r="F257" s="71">
        <v>3</v>
      </c>
      <c r="G257" s="71">
        <v>9</v>
      </c>
      <c r="H257" s="71">
        <v>2018</v>
      </c>
      <c r="I257" s="71">
        <v>2018</v>
      </c>
      <c r="J257" s="438">
        <v>26.82</v>
      </c>
      <c r="K257" s="439">
        <f t="shared" si="95"/>
        <v>26.82</v>
      </c>
      <c r="L257" s="86"/>
      <c r="M257" s="86"/>
      <c r="N257" s="86"/>
      <c r="O257" s="86"/>
      <c r="P257" s="86">
        <f t="shared" si="94"/>
        <v>26.82</v>
      </c>
      <c r="Q257" s="86"/>
      <c r="R257" s="76"/>
      <c r="S257" s="86"/>
      <c r="T257" s="86"/>
      <c r="U257" s="86"/>
      <c r="V257" s="56" t="s">
        <v>1800</v>
      </c>
    </row>
    <row r="258" ht="23.25" customHeight="1" spans="1:22">
      <c r="A258" s="71">
        <v>292</v>
      </c>
      <c r="B258" s="436" t="s">
        <v>1891</v>
      </c>
      <c r="C258" s="437" t="s">
        <v>52</v>
      </c>
      <c r="D258" s="71" t="s">
        <v>496</v>
      </c>
      <c r="E258" s="71">
        <v>1</v>
      </c>
      <c r="F258" s="71">
        <v>9</v>
      </c>
      <c r="G258" s="71">
        <v>31</v>
      </c>
      <c r="H258" s="71">
        <v>2018</v>
      </c>
      <c r="I258" s="71">
        <v>2018</v>
      </c>
      <c r="J258" s="438">
        <v>25.048</v>
      </c>
      <c r="K258" s="439">
        <f t="shared" si="95"/>
        <v>25.048</v>
      </c>
      <c r="L258" s="86"/>
      <c r="M258" s="86"/>
      <c r="N258" s="86"/>
      <c r="O258" s="86"/>
      <c r="P258" s="86">
        <f t="shared" si="94"/>
        <v>25.048</v>
      </c>
      <c r="Q258" s="86"/>
      <c r="R258" s="76"/>
      <c r="S258" s="86"/>
      <c r="T258" s="86"/>
      <c r="U258" s="86"/>
      <c r="V258" s="56" t="s">
        <v>1839</v>
      </c>
    </row>
    <row r="259" ht="23.25" customHeight="1" spans="1:22">
      <c r="A259" s="71">
        <v>293</v>
      </c>
      <c r="B259" s="436" t="s">
        <v>1892</v>
      </c>
      <c r="C259" s="437" t="s">
        <v>52</v>
      </c>
      <c r="D259" s="71" t="s">
        <v>496</v>
      </c>
      <c r="E259" s="71">
        <v>1</v>
      </c>
      <c r="F259" s="71">
        <v>6</v>
      </c>
      <c r="G259" s="71">
        <v>21</v>
      </c>
      <c r="H259" s="71">
        <v>2018</v>
      </c>
      <c r="I259" s="71">
        <v>2018</v>
      </c>
      <c r="J259" s="438">
        <v>25.45</v>
      </c>
      <c r="K259" s="439">
        <f t="shared" si="95"/>
        <v>25.45</v>
      </c>
      <c r="L259" s="86"/>
      <c r="M259" s="86"/>
      <c r="N259" s="86"/>
      <c r="O259" s="86"/>
      <c r="P259" s="86">
        <f t="shared" si="94"/>
        <v>25.45</v>
      </c>
      <c r="Q259" s="86"/>
      <c r="R259" s="76"/>
      <c r="S259" s="86"/>
      <c r="T259" s="86"/>
      <c r="U259" s="86"/>
      <c r="V259" s="56" t="s">
        <v>1839</v>
      </c>
    </row>
    <row r="260" ht="23.25" customHeight="1" spans="1:22">
      <c r="A260" s="71">
        <v>294</v>
      </c>
      <c r="B260" s="436" t="s">
        <v>1893</v>
      </c>
      <c r="C260" s="437" t="s">
        <v>52</v>
      </c>
      <c r="D260" s="71" t="s">
        <v>496</v>
      </c>
      <c r="E260" s="71">
        <v>1</v>
      </c>
      <c r="F260" s="71">
        <v>7</v>
      </c>
      <c r="G260" s="71">
        <v>26</v>
      </c>
      <c r="H260" s="71">
        <v>2018</v>
      </c>
      <c r="I260" s="71">
        <v>2018</v>
      </c>
      <c r="J260" s="438">
        <v>29.94</v>
      </c>
      <c r="K260" s="439">
        <f t="shared" si="95"/>
        <v>29.94</v>
      </c>
      <c r="L260" s="86"/>
      <c r="M260" s="86"/>
      <c r="N260" s="86"/>
      <c r="O260" s="86"/>
      <c r="P260" s="86">
        <f t="shared" si="94"/>
        <v>29.94</v>
      </c>
      <c r="Q260" s="86"/>
      <c r="R260" s="76"/>
      <c r="S260" s="86"/>
      <c r="T260" s="86"/>
      <c r="U260" s="86"/>
      <c r="V260" s="56" t="s">
        <v>1800</v>
      </c>
    </row>
    <row r="261" ht="23.25" customHeight="1" spans="1:22">
      <c r="A261" s="71">
        <v>295</v>
      </c>
      <c r="B261" s="436" t="s">
        <v>1894</v>
      </c>
      <c r="C261" s="437" t="s">
        <v>52</v>
      </c>
      <c r="D261" s="71" t="s">
        <v>496</v>
      </c>
      <c r="E261" s="71">
        <v>1</v>
      </c>
      <c r="F261" s="71">
        <v>9</v>
      </c>
      <c r="G261" s="71">
        <v>37</v>
      </c>
      <c r="H261" s="71">
        <v>2018</v>
      </c>
      <c r="I261" s="71">
        <v>2018</v>
      </c>
      <c r="J261" s="438">
        <v>25.819</v>
      </c>
      <c r="K261" s="439">
        <f t="shared" si="95"/>
        <v>25.819</v>
      </c>
      <c r="L261" s="86"/>
      <c r="M261" s="86"/>
      <c r="N261" s="86"/>
      <c r="O261" s="86"/>
      <c r="P261" s="86">
        <f t="shared" si="94"/>
        <v>25.819</v>
      </c>
      <c r="Q261" s="86"/>
      <c r="R261" s="76"/>
      <c r="S261" s="86"/>
      <c r="T261" s="86"/>
      <c r="U261" s="86"/>
      <c r="V261" s="56" t="s">
        <v>1800</v>
      </c>
    </row>
    <row r="262" ht="23.25" customHeight="1" spans="1:22">
      <c r="A262" s="71">
        <v>296</v>
      </c>
      <c r="B262" s="436" t="s">
        <v>1895</v>
      </c>
      <c r="C262" s="437" t="s">
        <v>52</v>
      </c>
      <c r="D262" s="71" t="s">
        <v>496</v>
      </c>
      <c r="E262" s="71">
        <v>1</v>
      </c>
      <c r="F262" s="71">
        <v>5</v>
      </c>
      <c r="G262" s="71">
        <v>20</v>
      </c>
      <c r="H262" s="71">
        <v>2018</v>
      </c>
      <c r="I262" s="71">
        <v>2018</v>
      </c>
      <c r="J262" s="438">
        <v>28.07</v>
      </c>
      <c r="K262" s="439">
        <f t="shared" si="95"/>
        <v>28.07</v>
      </c>
      <c r="L262" s="86"/>
      <c r="M262" s="86"/>
      <c r="N262" s="86"/>
      <c r="O262" s="86"/>
      <c r="P262" s="86">
        <f t="shared" si="94"/>
        <v>28.07</v>
      </c>
      <c r="Q262" s="86"/>
      <c r="R262" s="76"/>
      <c r="S262" s="86"/>
      <c r="T262" s="86"/>
      <c r="U262" s="86"/>
      <c r="V262" s="56" t="s">
        <v>1800</v>
      </c>
    </row>
    <row r="263" ht="23.25" customHeight="1" spans="1:22">
      <c r="A263" s="71">
        <v>297</v>
      </c>
      <c r="B263" s="436" t="s">
        <v>1896</v>
      </c>
      <c r="C263" s="437" t="s">
        <v>52</v>
      </c>
      <c r="D263" s="71" t="s">
        <v>496</v>
      </c>
      <c r="E263" s="71">
        <v>1</v>
      </c>
      <c r="F263" s="71">
        <v>10</v>
      </c>
      <c r="G263" s="71">
        <v>46</v>
      </c>
      <c r="H263" s="71">
        <v>2018</v>
      </c>
      <c r="I263" s="71">
        <v>2018</v>
      </c>
      <c r="J263" s="438">
        <v>35.0392</v>
      </c>
      <c r="K263" s="439">
        <f t="shared" si="95"/>
        <v>35.0392</v>
      </c>
      <c r="L263" s="86"/>
      <c r="M263" s="86"/>
      <c r="N263" s="86"/>
      <c r="O263" s="86"/>
      <c r="P263" s="86">
        <f t="shared" si="94"/>
        <v>35.0392</v>
      </c>
      <c r="Q263" s="86"/>
      <c r="R263" s="76"/>
      <c r="S263" s="86"/>
      <c r="T263" s="86"/>
      <c r="U263" s="86"/>
      <c r="V263" s="56" t="s">
        <v>1800</v>
      </c>
    </row>
    <row r="264" ht="23.25" customHeight="1" spans="1:22">
      <c r="A264" s="71">
        <v>298</v>
      </c>
      <c r="B264" s="436" t="s">
        <v>1897</v>
      </c>
      <c r="C264" s="437" t="s">
        <v>52</v>
      </c>
      <c r="D264" s="71" t="s">
        <v>496</v>
      </c>
      <c r="E264" s="71">
        <v>1</v>
      </c>
      <c r="F264" s="71">
        <v>7</v>
      </c>
      <c r="G264" s="71">
        <v>30</v>
      </c>
      <c r="H264" s="71">
        <v>2018</v>
      </c>
      <c r="I264" s="71">
        <v>2018</v>
      </c>
      <c r="J264" s="438">
        <v>22.32</v>
      </c>
      <c r="K264" s="439">
        <f t="shared" si="95"/>
        <v>22.32</v>
      </c>
      <c r="L264" s="86"/>
      <c r="M264" s="86"/>
      <c r="N264" s="86"/>
      <c r="O264" s="86"/>
      <c r="P264" s="86">
        <f t="shared" si="94"/>
        <v>22.32</v>
      </c>
      <c r="Q264" s="86"/>
      <c r="R264" s="76"/>
      <c r="S264" s="86"/>
      <c r="T264" s="86"/>
      <c r="U264" s="86"/>
      <c r="V264" s="56" t="s">
        <v>1800</v>
      </c>
    </row>
    <row r="265" ht="23.25" customHeight="1" spans="1:22">
      <c r="A265" s="71">
        <v>299</v>
      </c>
      <c r="B265" s="436" t="s">
        <v>1898</v>
      </c>
      <c r="C265" s="437" t="s">
        <v>52</v>
      </c>
      <c r="D265" s="71" t="s">
        <v>496</v>
      </c>
      <c r="E265" s="71">
        <v>1</v>
      </c>
      <c r="F265" s="71">
        <v>10</v>
      </c>
      <c r="G265" s="71">
        <v>46</v>
      </c>
      <c r="H265" s="71">
        <v>2018</v>
      </c>
      <c r="I265" s="71">
        <v>2018</v>
      </c>
      <c r="J265" s="438">
        <v>46.17</v>
      </c>
      <c r="K265" s="439">
        <f t="shared" si="95"/>
        <v>46.17</v>
      </c>
      <c r="L265" s="86"/>
      <c r="M265" s="86"/>
      <c r="N265" s="86"/>
      <c r="O265" s="86"/>
      <c r="P265" s="86">
        <f t="shared" si="94"/>
        <v>46.17</v>
      </c>
      <c r="Q265" s="86"/>
      <c r="R265" s="76"/>
      <c r="S265" s="86"/>
      <c r="T265" s="86"/>
      <c r="U265" s="86"/>
      <c r="V265" s="56" t="s">
        <v>1800</v>
      </c>
    </row>
    <row r="266" ht="23.25" customHeight="1" spans="1:22">
      <c r="A266" s="71">
        <v>300</v>
      </c>
      <c r="B266" s="436" t="s">
        <v>1899</v>
      </c>
      <c r="C266" s="437" t="s">
        <v>52</v>
      </c>
      <c r="D266" s="71" t="s">
        <v>496</v>
      </c>
      <c r="E266" s="71">
        <v>1</v>
      </c>
      <c r="F266" s="71">
        <v>9</v>
      </c>
      <c r="G266" s="71">
        <v>41</v>
      </c>
      <c r="H266" s="71">
        <v>2018</v>
      </c>
      <c r="I266" s="71">
        <v>2018</v>
      </c>
      <c r="J266" s="438">
        <v>33.12</v>
      </c>
      <c r="K266" s="439">
        <f t="shared" si="95"/>
        <v>33.12</v>
      </c>
      <c r="L266" s="86"/>
      <c r="M266" s="86"/>
      <c r="N266" s="86"/>
      <c r="O266" s="86"/>
      <c r="P266" s="86">
        <f t="shared" si="94"/>
        <v>33.12</v>
      </c>
      <c r="Q266" s="86"/>
      <c r="R266" s="76"/>
      <c r="S266" s="86"/>
      <c r="T266" s="86"/>
      <c r="U266" s="86"/>
      <c r="V266" s="56" t="s">
        <v>1800</v>
      </c>
    </row>
    <row r="267" ht="23.25" customHeight="1" spans="1:22">
      <c r="A267" s="71">
        <v>301</v>
      </c>
      <c r="B267" s="436" t="s">
        <v>1900</v>
      </c>
      <c r="C267" s="437" t="s">
        <v>52</v>
      </c>
      <c r="D267" s="71" t="s">
        <v>496</v>
      </c>
      <c r="E267" s="71">
        <v>1</v>
      </c>
      <c r="F267" s="71">
        <v>6</v>
      </c>
      <c r="G267" s="71">
        <v>28</v>
      </c>
      <c r="H267" s="71">
        <v>2018</v>
      </c>
      <c r="I267" s="71">
        <v>2018</v>
      </c>
      <c r="J267" s="438">
        <v>34.3</v>
      </c>
      <c r="K267" s="439">
        <f t="shared" si="95"/>
        <v>34.3</v>
      </c>
      <c r="L267" s="86"/>
      <c r="M267" s="86"/>
      <c r="N267" s="86"/>
      <c r="O267" s="86"/>
      <c r="P267" s="86">
        <f t="shared" si="94"/>
        <v>34.3</v>
      </c>
      <c r="Q267" s="86"/>
      <c r="R267" s="76"/>
      <c r="S267" s="86"/>
      <c r="T267" s="86"/>
      <c r="U267" s="86"/>
      <c r="V267" s="56" t="s">
        <v>1800</v>
      </c>
    </row>
    <row r="268" ht="23.25" customHeight="1" spans="1:22">
      <c r="A268" s="71">
        <v>302</v>
      </c>
      <c r="B268" s="436" t="s">
        <v>1901</v>
      </c>
      <c r="C268" s="437" t="s">
        <v>52</v>
      </c>
      <c r="D268" s="71" t="s">
        <v>496</v>
      </c>
      <c r="E268" s="71">
        <v>1</v>
      </c>
      <c r="F268" s="71">
        <v>17</v>
      </c>
      <c r="G268" s="71">
        <v>54</v>
      </c>
      <c r="H268" s="71">
        <v>2018</v>
      </c>
      <c r="I268" s="71">
        <v>2018</v>
      </c>
      <c r="J268" s="438">
        <v>29.555</v>
      </c>
      <c r="K268" s="439">
        <f t="shared" si="95"/>
        <v>29.555</v>
      </c>
      <c r="L268" s="86"/>
      <c r="M268" s="86"/>
      <c r="N268" s="86"/>
      <c r="O268" s="86"/>
      <c r="P268" s="86">
        <f t="shared" si="94"/>
        <v>29.555</v>
      </c>
      <c r="Q268" s="86"/>
      <c r="R268" s="76"/>
      <c r="S268" s="86"/>
      <c r="T268" s="86"/>
      <c r="U268" s="86"/>
      <c r="V268" s="56" t="s">
        <v>1800</v>
      </c>
    </row>
    <row r="269" ht="23.25" customHeight="1" spans="1:22">
      <c r="A269" s="71">
        <v>303</v>
      </c>
      <c r="B269" s="436" t="s">
        <v>1902</v>
      </c>
      <c r="C269" s="437" t="s">
        <v>52</v>
      </c>
      <c r="D269" s="71" t="s">
        <v>496</v>
      </c>
      <c r="E269" s="71">
        <v>1</v>
      </c>
      <c r="F269" s="71">
        <v>5</v>
      </c>
      <c r="G269" s="71">
        <v>21</v>
      </c>
      <c r="H269" s="71">
        <v>2018</v>
      </c>
      <c r="I269" s="71">
        <v>2018</v>
      </c>
      <c r="J269" s="438">
        <v>25.768</v>
      </c>
      <c r="K269" s="439">
        <f t="shared" si="95"/>
        <v>25.768</v>
      </c>
      <c r="L269" s="86"/>
      <c r="M269" s="86"/>
      <c r="N269" s="86"/>
      <c r="O269" s="86"/>
      <c r="P269" s="86">
        <f t="shared" si="94"/>
        <v>25.768</v>
      </c>
      <c r="Q269" s="86"/>
      <c r="R269" s="76"/>
      <c r="S269" s="86"/>
      <c r="T269" s="86"/>
      <c r="U269" s="86"/>
      <c r="V269" s="56" t="s">
        <v>1800</v>
      </c>
    </row>
    <row r="270" ht="23.25" customHeight="1" spans="1:22">
      <c r="A270" s="71">
        <v>304</v>
      </c>
      <c r="B270" s="436" t="s">
        <v>1903</v>
      </c>
      <c r="C270" s="437" t="s">
        <v>52</v>
      </c>
      <c r="D270" s="71" t="s">
        <v>496</v>
      </c>
      <c r="E270" s="71">
        <v>1</v>
      </c>
      <c r="F270" s="71">
        <v>7</v>
      </c>
      <c r="G270" s="71">
        <v>29</v>
      </c>
      <c r="H270" s="71">
        <v>2018</v>
      </c>
      <c r="I270" s="71">
        <v>2018</v>
      </c>
      <c r="J270" s="438">
        <v>23.05</v>
      </c>
      <c r="K270" s="439">
        <f t="shared" si="95"/>
        <v>23.05</v>
      </c>
      <c r="L270" s="86"/>
      <c r="M270" s="86"/>
      <c r="N270" s="86"/>
      <c r="O270" s="86"/>
      <c r="P270" s="86">
        <f t="shared" si="94"/>
        <v>23.05</v>
      </c>
      <c r="Q270" s="86"/>
      <c r="R270" s="76"/>
      <c r="S270" s="86"/>
      <c r="T270" s="86"/>
      <c r="U270" s="86"/>
      <c r="V270" s="56" t="s">
        <v>1800</v>
      </c>
    </row>
    <row r="271" ht="23.25" customHeight="1" spans="1:22">
      <c r="A271" s="71">
        <v>305</v>
      </c>
      <c r="B271" s="436" t="s">
        <v>1904</v>
      </c>
      <c r="C271" s="437" t="s">
        <v>52</v>
      </c>
      <c r="D271" s="71" t="s">
        <v>496</v>
      </c>
      <c r="E271" s="71">
        <v>1</v>
      </c>
      <c r="F271" s="71">
        <v>10</v>
      </c>
      <c r="G271" s="71">
        <v>41</v>
      </c>
      <c r="H271" s="71">
        <v>2018</v>
      </c>
      <c r="I271" s="71">
        <v>2018</v>
      </c>
      <c r="J271" s="438">
        <v>27.21</v>
      </c>
      <c r="K271" s="439">
        <f t="shared" si="95"/>
        <v>27.21</v>
      </c>
      <c r="L271" s="86"/>
      <c r="M271" s="86"/>
      <c r="N271" s="86"/>
      <c r="O271" s="86"/>
      <c r="P271" s="86">
        <f t="shared" si="94"/>
        <v>27.21</v>
      </c>
      <c r="Q271" s="86"/>
      <c r="R271" s="76"/>
      <c r="S271" s="86"/>
      <c r="T271" s="86"/>
      <c r="U271" s="86"/>
      <c r="V271" s="56" t="s">
        <v>1800</v>
      </c>
    </row>
    <row r="272" ht="23.25" customHeight="1" spans="1:22">
      <c r="A272" s="71">
        <v>306</v>
      </c>
      <c r="B272" s="436" t="s">
        <v>1905</v>
      </c>
      <c r="C272" s="437" t="s">
        <v>52</v>
      </c>
      <c r="D272" s="71" t="s">
        <v>496</v>
      </c>
      <c r="E272" s="71">
        <v>1</v>
      </c>
      <c r="F272" s="71">
        <v>26</v>
      </c>
      <c r="G272" s="71">
        <v>144</v>
      </c>
      <c r="H272" s="71">
        <v>2018</v>
      </c>
      <c r="I272" s="71">
        <v>2018</v>
      </c>
      <c r="J272" s="438">
        <v>26.61</v>
      </c>
      <c r="K272" s="439">
        <f t="shared" si="95"/>
        <v>26.61</v>
      </c>
      <c r="L272" s="86"/>
      <c r="M272" s="86"/>
      <c r="N272" s="86"/>
      <c r="O272" s="86"/>
      <c r="P272" s="86">
        <f t="shared" si="94"/>
        <v>26.61</v>
      </c>
      <c r="Q272" s="86"/>
      <c r="R272" s="76"/>
      <c r="S272" s="86"/>
      <c r="T272" s="86"/>
      <c r="U272" s="86"/>
      <c r="V272" s="56" t="s">
        <v>1800</v>
      </c>
    </row>
    <row r="273" ht="23.25" customHeight="1" spans="1:22">
      <c r="A273" s="71">
        <v>307</v>
      </c>
      <c r="B273" s="436" t="s">
        <v>1906</v>
      </c>
      <c r="C273" s="437" t="s">
        <v>52</v>
      </c>
      <c r="D273" s="71" t="s">
        <v>496</v>
      </c>
      <c r="E273" s="71">
        <v>1</v>
      </c>
      <c r="F273" s="71">
        <v>8</v>
      </c>
      <c r="G273" s="71">
        <v>46</v>
      </c>
      <c r="H273" s="71">
        <v>2018</v>
      </c>
      <c r="I273" s="71">
        <v>2018</v>
      </c>
      <c r="J273" s="438">
        <v>31.97</v>
      </c>
      <c r="K273" s="439">
        <f t="shared" si="95"/>
        <v>31.97</v>
      </c>
      <c r="L273" s="86"/>
      <c r="M273" s="86"/>
      <c r="N273" s="86"/>
      <c r="O273" s="86"/>
      <c r="P273" s="86">
        <f t="shared" si="94"/>
        <v>31.97</v>
      </c>
      <c r="Q273" s="86"/>
      <c r="R273" s="76"/>
      <c r="S273" s="86"/>
      <c r="T273" s="86"/>
      <c r="U273" s="86"/>
      <c r="V273" s="56" t="s">
        <v>1800</v>
      </c>
    </row>
    <row r="274" ht="23.25" customHeight="1" spans="1:22">
      <c r="A274" s="71">
        <v>308</v>
      </c>
      <c r="B274" s="436" t="s">
        <v>1907</v>
      </c>
      <c r="C274" s="437" t="s">
        <v>52</v>
      </c>
      <c r="D274" s="71" t="s">
        <v>496</v>
      </c>
      <c r="E274" s="71">
        <v>1</v>
      </c>
      <c r="F274" s="71">
        <v>11</v>
      </c>
      <c r="G274" s="71">
        <v>46</v>
      </c>
      <c r="H274" s="71">
        <v>2018</v>
      </c>
      <c r="I274" s="71">
        <v>2018</v>
      </c>
      <c r="J274" s="438">
        <v>27.67</v>
      </c>
      <c r="K274" s="439">
        <f t="shared" si="95"/>
        <v>27.67</v>
      </c>
      <c r="L274" s="86"/>
      <c r="M274" s="86"/>
      <c r="N274" s="86"/>
      <c r="O274" s="86"/>
      <c r="P274" s="86">
        <f t="shared" si="94"/>
        <v>27.67</v>
      </c>
      <c r="Q274" s="86"/>
      <c r="R274" s="76"/>
      <c r="S274" s="86"/>
      <c r="T274" s="86"/>
      <c r="U274" s="86"/>
      <c r="V274" s="56" t="s">
        <v>1800</v>
      </c>
    </row>
    <row r="275" ht="23.25" customHeight="1" spans="1:22">
      <c r="A275" s="71">
        <v>309</v>
      </c>
      <c r="B275" s="90" t="s">
        <v>499</v>
      </c>
      <c r="C275" s="71" t="s">
        <v>1124</v>
      </c>
      <c r="D275" s="71" t="s">
        <v>384</v>
      </c>
      <c r="E275" s="71">
        <v>249</v>
      </c>
      <c r="F275" s="71">
        <v>249</v>
      </c>
      <c r="G275" s="71">
        <v>523</v>
      </c>
      <c r="H275" s="71">
        <v>2019</v>
      </c>
      <c r="I275" s="71">
        <v>2019</v>
      </c>
      <c r="J275" s="86">
        <f>L275</f>
        <v>8.72</v>
      </c>
      <c r="K275" s="86"/>
      <c r="L275" s="86">
        <v>8.72</v>
      </c>
      <c r="M275" s="86"/>
      <c r="N275" s="86">
        <f>J275</f>
        <v>8.72</v>
      </c>
      <c r="O275" s="86"/>
      <c r="P275" s="86"/>
      <c r="Q275" s="86"/>
      <c r="R275" s="76"/>
      <c r="S275" s="86" t="s">
        <v>1908</v>
      </c>
      <c r="T275" s="86" t="s">
        <v>1909</v>
      </c>
      <c r="U275" s="86" t="s">
        <v>500</v>
      </c>
      <c r="V275" s="56" t="s">
        <v>1910</v>
      </c>
    </row>
    <row r="276" ht="23.25" customHeight="1" spans="1:22">
      <c r="A276" s="71">
        <v>310</v>
      </c>
      <c r="B276" s="90" t="s">
        <v>501</v>
      </c>
      <c r="C276" s="71"/>
      <c r="D276" s="71"/>
      <c r="E276" s="71"/>
      <c r="F276" s="71"/>
      <c r="G276" s="71"/>
      <c r="H276" s="71"/>
      <c r="I276" s="71"/>
      <c r="J276" s="86"/>
      <c r="K276" s="86"/>
      <c r="L276" s="86"/>
      <c r="M276" s="86"/>
      <c r="N276" s="86"/>
      <c r="O276" s="86"/>
      <c r="P276" s="86"/>
      <c r="Q276" s="86"/>
      <c r="R276" s="76"/>
      <c r="S276" s="86"/>
      <c r="T276" s="86"/>
      <c r="U276" s="71"/>
      <c r="V276" s="56"/>
    </row>
    <row r="277" ht="23.25" customHeight="1" spans="1:22">
      <c r="A277" s="71">
        <v>311</v>
      </c>
      <c r="B277" s="90" t="s">
        <v>502</v>
      </c>
      <c r="C277" s="71" t="s">
        <v>1124</v>
      </c>
      <c r="D277" s="71" t="s">
        <v>496</v>
      </c>
      <c r="E277" s="71"/>
      <c r="F277" s="71"/>
      <c r="G277" s="71"/>
      <c r="H277" s="71"/>
      <c r="I277" s="71"/>
      <c r="J277" s="86"/>
      <c r="K277" s="86"/>
      <c r="L277" s="86"/>
      <c r="M277" s="86"/>
      <c r="N277" s="86"/>
      <c r="O277" s="86"/>
      <c r="P277" s="86"/>
      <c r="Q277" s="86"/>
      <c r="R277" s="76"/>
      <c r="S277" s="86"/>
      <c r="T277" s="86"/>
      <c r="U277" s="86" t="s">
        <v>497</v>
      </c>
      <c r="V277" s="56"/>
    </row>
    <row r="278" ht="23.25" customHeight="1" spans="1:22">
      <c r="A278" s="71">
        <v>312</v>
      </c>
      <c r="B278" s="90" t="s">
        <v>503</v>
      </c>
      <c r="C278" s="71" t="s">
        <v>1124</v>
      </c>
      <c r="D278" s="71" t="s">
        <v>496</v>
      </c>
      <c r="E278" s="71"/>
      <c r="F278" s="71"/>
      <c r="G278" s="71"/>
      <c r="H278" s="71"/>
      <c r="I278" s="71"/>
      <c r="J278" s="86"/>
      <c r="K278" s="86"/>
      <c r="L278" s="86"/>
      <c r="M278" s="86"/>
      <c r="N278" s="86"/>
      <c r="O278" s="86"/>
      <c r="P278" s="86"/>
      <c r="Q278" s="86"/>
      <c r="R278" s="76"/>
      <c r="S278" s="86"/>
      <c r="T278" s="86"/>
      <c r="U278" s="86" t="s">
        <v>497</v>
      </c>
      <c r="V278" s="56"/>
    </row>
    <row r="279" ht="23.25" customHeight="1" spans="1:22">
      <c r="A279" s="71">
        <v>313</v>
      </c>
      <c r="B279" s="90" t="s">
        <v>504</v>
      </c>
      <c r="C279" s="71" t="s">
        <v>1124</v>
      </c>
      <c r="D279" s="71" t="s">
        <v>496</v>
      </c>
      <c r="E279" s="71"/>
      <c r="F279" s="71"/>
      <c r="G279" s="71"/>
      <c r="H279" s="71"/>
      <c r="I279" s="71"/>
      <c r="J279" s="86"/>
      <c r="K279" s="86"/>
      <c r="L279" s="86"/>
      <c r="M279" s="86"/>
      <c r="N279" s="86"/>
      <c r="O279" s="86"/>
      <c r="P279" s="86"/>
      <c r="Q279" s="86"/>
      <c r="R279" s="76"/>
      <c r="S279" s="86"/>
      <c r="T279" s="86"/>
      <c r="U279" s="86" t="s">
        <v>497</v>
      </c>
      <c r="V279" s="56"/>
    </row>
    <row r="280" ht="23.25" customHeight="1" spans="1:22">
      <c r="A280" s="71">
        <v>314</v>
      </c>
      <c r="B280" s="73" t="s">
        <v>505</v>
      </c>
      <c r="C280" s="71" t="s">
        <v>1124</v>
      </c>
      <c r="D280" s="71" t="s">
        <v>147</v>
      </c>
      <c r="E280" s="71">
        <f>SUM(E281:E298)</f>
        <v>2499</v>
      </c>
      <c r="F280" s="71">
        <f>SUM(F281:F298)</f>
        <v>327</v>
      </c>
      <c r="G280" s="71">
        <v>1283</v>
      </c>
      <c r="H280" s="71">
        <v>2018</v>
      </c>
      <c r="I280" s="71">
        <v>2019</v>
      </c>
      <c r="J280" s="71">
        <f>SUM(J281:J298)+J307</f>
        <v>1014.715</v>
      </c>
      <c r="K280" s="71">
        <f t="shared" ref="K280:R280" si="96">SUM(K281:K298)+K307</f>
        <v>149.04</v>
      </c>
      <c r="L280" s="71">
        <f t="shared" si="96"/>
        <v>328.075</v>
      </c>
      <c r="M280" s="71">
        <f t="shared" si="96"/>
        <v>537.6</v>
      </c>
      <c r="N280" s="71">
        <f t="shared" si="96"/>
        <v>72</v>
      </c>
      <c r="O280" s="71">
        <f t="shared" si="96"/>
        <v>393.235</v>
      </c>
      <c r="P280" s="71">
        <f t="shared" si="96"/>
        <v>11.88</v>
      </c>
      <c r="Q280" s="71">
        <f t="shared" si="96"/>
        <v>537.6</v>
      </c>
      <c r="R280" s="71">
        <f t="shared" si="96"/>
        <v>0</v>
      </c>
      <c r="S280" s="86" t="s">
        <v>1797</v>
      </c>
      <c r="T280" s="86" t="s">
        <v>1821</v>
      </c>
      <c r="U280" s="86" t="s">
        <v>275</v>
      </c>
      <c r="V280" s="56"/>
    </row>
    <row r="281" ht="23.25" customHeight="1" spans="1:22">
      <c r="A281" s="71">
        <v>315</v>
      </c>
      <c r="B281" s="74" t="s">
        <v>1911</v>
      </c>
      <c r="C281" s="71" t="s">
        <v>52</v>
      </c>
      <c r="D281" s="71" t="s">
        <v>147</v>
      </c>
      <c r="E281" s="147">
        <v>87</v>
      </c>
      <c r="F281" s="147">
        <v>12</v>
      </c>
      <c r="G281" s="147">
        <v>48</v>
      </c>
      <c r="H281" s="147">
        <v>2018</v>
      </c>
      <c r="I281" s="147">
        <v>2018</v>
      </c>
      <c r="J281" s="123">
        <v>5.25</v>
      </c>
      <c r="K281" s="123">
        <v>5.25</v>
      </c>
      <c r="L281" s="123"/>
      <c r="M281" s="123"/>
      <c r="N281" s="147">
        <v>0.16</v>
      </c>
      <c r="O281" s="147">
        <f>K281-N281</f>
        <v>5.09</v>
      </c>
      <c r="P281" s="123"/>
      <c r="Q281" s="123"/>
      <c r="R281" s="147"/>
      <c r="S281" s="147"/>
      <c r="T281" s="147"/>
      <c r="U281" s="147"/>
      <c r="V281" s="71" t="s">
        <v>1912</v>
      </c>
    </row>
    <row r="282" ht="23.25" customHeight="1" spans="1:22">
      <c r="A282" s="71">
        <v>316</v>
      </c>
      <c r="B282" s="74" t="s">
        <v>1913</v>
      </c>
      <c r="C282" s="71" t="s">
        <v>52</v>
      </c>
      <c r="D282" s="71" t="s">
        <v>147</v>
      </c>
      <c r="E282" s="147">
        <v>57</v>
      </c>
      <c r="F282" s="147">
        <v>4</v>
      </c>
      <c r="G282" s="147">
        <v>19</v>
      </c>
      <c r="H282" s="147">
        <v>2018</v>
      </c>
      <c r="I282" s="147">
        <v>2018</v>
      </c>
      <c r="J282" s="123">
        <v>11.32</v>
      </c>
      <c r="K282" s="123">
        <v>11.32</v>
      </c>
      <c r="L282" s="123"/>
      <c r="M282" s="123"/>
      <c r="N282" s="147"/>
      <c r="O282" s="147">
        <v>11.32</v>
      </c>
      <c r="P282" s="123"/>
      <c r="Q282" s="123"/>
      <c r="R282" s="147"/>
      <c r="S282" s="147"/>
      <c r="T282" s="147"/>
      <c r="U282" s="147"/>
      <c r="V282" s="71" t="s">
        <v>1912</v>
      </c>
    </row>
    <row r="283" ht="23.25" customHeight="1" spans="1:22">
      <c r="A283" s="71">
        <v>317</v>
      </c>
      <c r="B283" s="74" t="s">
        <v>1914</v>
      </c>
      <c r="C283" s="71" t="s">
        <v>52</v>
      </c>
      <c r="D283" s="71" t="s">
        <v>147</v>
      </c>
      <c r="E283" s="147">
        <v>63</v>
      </c>
      <c r="F283" s="147">
        <v>9</v>
      </c>
      <c r="G283" s="147">
        <v>37</v>
      </c>
      <c r="H283" s="147">
        <v>2018</v>
      </c>
      <c r="I283" s="147">
        <v>2018</v>
      </c>
      <c r="J283" s="123">
        <v>10.79</v>
      </c>
      <c r="K283" s="123">
        <v>10.79</v>
      </c>
      <c r="L283" s="123"/>
      <c r="M283" s="123"/>
      <c r="N283" s="147">
        <v>10.79</v>
      </c>
      <c r="O283" s="147"/>
      <c r="P283" s="123"/>
      <c r="Q283" s="123"/>
      <c r="R283" s="147"/>
      <c r="S283" s="147"/>
      <c r="T283" s="147"/>
      <c r="U283" s="147"/>
      <c r="V283" s="71" t="s">
        <v>1912</v>
      </c>
    </row>
    <row r="284" ht="23.25" customHeight="1" spans="1:22">
      <c r="A284" s="71">
        <v>318</v>
      </c>
      <c r="B284" s="74" t="s">
        <v>1915</v>
      </c>
      <c r="C284" s="71" t="s">
        <v>52</v>
      </c>
      <c r="D284" s="71" t="s">
        <v>147</v>
      </c>
      <c r="E284" s="147">
        <v>54</v>
      </c>
      <c r="F284" s="147">
        <v>5</v>
      </c>
      <c r="G284" s="147">
        <v>20</v>
      </c>
      <c r="H284" s="147">
        <v>2018</v>
      </c>
      <c r="I284" s="147">
        <v>2018</v>
      </c>
      <c r="J284" s="123">
        <v>8.55</v>
      </c>
      <c r="K284" s="123">
        <v>8.55</v>
      </c>
      <c r="L284" s="123"/>
      <c r="M284" s="123"/>
      <c r="N284" s="147">
        <v>8.55</v>
      </c>
      <c r="O284" s="147"/>
      <c r="P284" s="123"/>
      <c r="Q284" s="123"/>
      <c r="R284" s="147"/>
      <c r="S284" s="147"/>
      <c r="T284" s="147"/>
      <c r="U284" s="147"/>
      <c r="V284" s="71" t="s">
        <v>1912</v>
      </c>
    </row>
    <row r="285" ht="23.25" customHeight="1" spans="1:22">
      <c r="A285" s="71">
        <v>319</v>
      </c>
      <c r="B285" s="73" t="s">
        <v>1916</v>
      </c>
      <c r="C285" s="71" t="s">
        <v>52</v>
      </c>
      <c r="D285" s="71" t="s">
        <v>147</v>
      </c>
      <c r="E285" s="147">
        <v>47</v>
      </c>
      <c r="F285" s="147">
        <v>25</v>
      </c>
      <c r="G285" s="147">
        <v>96</v>
      </c>
      <c r="H285" s="147">
        <v>2018</v>
      </c>
      <c r="I285" s="147">
        <v>2018</v>
      </c>
      <c r="J285" s="123">
        <v>11.88</v>
      </c>
      <c r="K285" s="123">
        <v>11.88</v>
      </c>
      <c r="L285" s="123"/>
      <c r="M285" s="123"/>
      <c r="N285" s="147"/>
      <c r="O285" s="147"/>
      <c r="P285" s="123">
        <v>11.88</v>
      </c>
      <c r="Q285" s="123"/>
      <c r="R285" s="147"/>
      <c r="S285" s="147"/>
      <c r="T285" s="147"/>
      <c r="U285" s="147"/>
      <c r="V285" s="71" t="s">
        <v>1912</v>
      </c>
    </row>
    <row r="286" ht="23.25" customHeight="1" spans="1:22">
      <c r="A286" s="71">
        <v>320</v>
      </c>
      <c r="B286" s="74" t="s">
        <v>1917</v>
      </c>
      <c r="C286" s="71" t="s">
        <v>52</v>
      </c>
      <c r="D286" s="71" t="s">
        <v>147</v>
      </c>
      <c r="E286" s="147">
        <v>161</v>
      </c>
      <c r="F286" s="147">
        <v>9</v>
      </c>
      <c r="G286" s="147">
        <v>39</v>
      </c>
      <c r="H286" s="147">
        <v>2018</v>
      </c>
      <c r="I286" s="147">
        <v>2018</v>
      </c>
      <c r="J286" s="123">
        <v>34.61</v>
      </c>
      <c r="K286" s="123">
        <v>34.61</v>
      </c>
      <c r="L286" s="123"/>
      <c r="M286" s="123"/>
      <c r="N286" s="147">
        <v>12</v>
      </c>
      <c r="O286" s="147">
        <v>22.61</v>
      </c>
      <c r="P286" s="123"/>
      <c r="Q286" s="123"/>
      <c r="R286" s="147"/>
      <c r="S286" s="147"/>
      <c r="T286" s="147"/>
      <c r="U286" s="147"/>
      <c r="V286" s="71" t="s">
        <v>1912</v>
      </c>
    </row>
    <row r="287" ht="23.25" customHeight="1" spans="1:22">
      <c r="A287" s="71">
        <v>321</v>
      </c>
      <c r="B287" s="74" t="s">
        <v>1918</v>
      </c>
      <c r="C287" s="71" t="s">
        <v>52</v>
      </c>
      <c r="D287" s="71" t="s">
        <v>147</v>
      </c>
      <c r="E287" s="147">
        <v>144</v>
      </c>
      <c r="F287" s="147">
        <v>12</v>
      </c>
      <c r="G287" s="147">
        <v>48</v>
      </c>
      <c r="H287" s="147">
        <v>2018</v>
      </c>
      <c r="I287" s="147">
        <v>2018</v>
      </c>
      <c r="J287" s="123">
        <v>14.94</v>
      </c>
      <c r="K287" s="123">
        <v>14.94</v>
      </c>
      <c r="L287" s="123"/>
      <c r="M287" s="123"/>
      <c r="N287" s="147"/>
      <c r="O287" s="147">
        <v>14.94</v>
      </c>
      <c r="P287" s="123"/>
      <c r="Q287" s="123"/>
      <c r="R287" s="147"/>
      <c r="S287" s="147"/>
      <c r="T287" s="147"/>
      <c r="U287" s="147"/>
      <c r="V287" s="71" t="s">
        <v>1912</v>
      </c>
    </row>
    <row r="288" ht="23.25" customHeight="1" spans="1:22">
      <c r="A288" s="71">
        <v>322</v>
      </c>
      <c r="B288" s="74" t="s">
        <v>1919</v>
      </c>
      <c r="C288" s="71" t="s">
        <v>52</v>
      </c>
      <c r="D288" s="71" t="s">
        <v>147</v>
      </c>
      <c r="E288" s="147">
        <v>30</v>
      </c>
      <c r="F288" s="147">
        <v>8</v>
      </c>
      <c r="G288" s="147">
        <v>38</v>
      </c>
      <c r="H288" s="147">
        <v>2018</v>
      </c>
      <c r="I288" s="147">
        <v>2018</v>
      </c>
      <c r="J288" s="123">
        <v>10.5</v>
      </c>
      <c r="K288" s="123">
        <v>10.5</v>
      </c>
      <c r="L288" s="123"/>
      <c r="M288" s="123"/>
      <c r="N288" s="147">
        <v>10.5</v>
      </c>
      <c r="O288" s="147"/>
      <c r="P288" s="123"/>
      <c r="Q288" s="123"/>
      <c r="R288" s="147"/>
      <c r="S288" s="147"/>
      <c r="T288" s="147"/>
      <c r="U288" s="147"/>
      <c r="V288" s="71" t="s">
        <v>1912</v>
      </c>
    </row>
    <row r="289" ht="23.25" customHeight="1" spans="1:22">
      <c r="A289" s="71">
        <v>323</v>
      </c>
      <c r="B289" s="74" t="s">
        <v>1920</v>
      </c>
      <c r="C289" s="71" t="s">
        <v>52</v>
      </c>
      <c r="D289" s="71" t="s">
        <v>147</v>
      </c>
      <c r="E289" s="147">
        <v>10</v>
      </c>
      <c r="F289" s="147">
        <v>22</v>
      </c>
      <c r="G289" s="147">
        <v>104</v>
      </c>
      <c r="H289" s="147">
        <v>2018</v>
      </c>
      <c r="I289" s="147">
        <v>2018</v>
      </c>
      <c r="J289" s="123">
        <v>4.2</v>
      </c>
      <c r="K289" s="123">
        <v>4.2</v>
      </c>
      <c r="L289" s="123"/>
      <c r="M289" s="123"/>
      <c r="N289" s="147"/>
      <c r="O289" s="147">
        <v>4.2</v>
      </c>
      <c r="P289" s="123"/>
      <c r="Q289" s="123"/>
      <c r="R289" s="147"/>
      <c r="S289" s="147"/>
      <c r="T289" s="147"/>
      <c r="U289" s="147"/>
      <c r="V289" s="71" t="s">
        <v>1912</v>
      </c>
    </row>
    <row r="290" ht="23.25" customHeight="1" spans="1:22">
      <c r="A290" s="71">
        <v>324</v>
      </c>
      <c r="B290" s="74" t="s">
        <v>1921</v>
      </c>
      <c r="C290" s="71" t="s">
        <v>52</v>
      </c>
      <c r="D290" s="71" t="s">
        <v>147</v>
      </c>
      <c r="E290" s="147">
        <v>119</v>
      </c>
      <c r="F290" s="147">
        <v>4</v>
      </c>
      <c r="G290" s="147">
        <v>21</v>
      </c>
      <c r="H290" s="147">
        <v>2018</v>
      </c>
      <c r="I290" s="147">
        <v>2018</v>
      </c>
      <c r="J290" s="123">
        <f>K290</f>
        <v>30</v>
      </c>
      <c r="K290" s="123">
        <v>30</v>
      </c>
      <c r="L290" s="123"/>
      <c r="M290" s="123"/>
      <c r="N290" s="147">
        <v>30</v>
      </c>
      <c r="O290" s="147"/>
      <c r="P290" s="123"/>
      <c r="Q290" s="123"/>
      <c r="R290" s="147"/>
      <c r="S290" s="147"/>
      <c r="T290" s="147"/>
      <c r="U290" s="147"/>
      <c r="V290" s="71" t="s">
        <v>1922</v>
      </c>
    </row>
    <row r="291" ht="23.25" customHeight="1" spans="1:22">
      <c r="A291" s="71">
        <v>325</v>
      </c>
      <c r="B291" s="74" t="s">
        <v>1923</v>
      </c>
      <c r="C291" s="71" t="s">
        <v>52</v>
      </c>
      <c r="D291" s="71" t="s">
        <v>147</v>
      </c>
      <c r="E291" s="147">
        <v>18</v>
      </c>
      <c r="F291" s="147">
        <v>4</v>
      </c>
      <c r="G291" s="147">
        <v>18</v>
      </c>
      <c r="H291" s="147">
        <v>2018</v>
      </c>
      <c r="I291" s="147">
        <v>2018</v>
      </c>
      <c r="J291" s="123">
        <v>7</v>
      </c>
      <c r="K291" s="123">
        <v>7</v>
      </c>
      <c r="L291" s="123"/>
      <c r="M291" s="123"/>
      <c r="N291" s="147"/>
      <c r="O291" s="147">
        <v>7</v>
      </c>
      <c r="P291" s="123"/>
      <c r="Q291" s="123"/>
      <c r="R291" s="147"/>
      <c r="S291" s="147"/>
      <c r="T291" s="147"/>
      <c r="U291" s="147"/>
      <c r="V291" s="71" t="s">
        <v>1922</v>
      </c>
    </row>
    <row r="292" ht="23.25" customHeight="1" spans="1:22">
      <c r="A292" s="71">
        <v>326</v>
      </c>
      <c r="B292" s="73" t="s">
        <v>1924</v>
      </c>
      <c r="C292" s="71" t="s">
        <v>162</v>
      </c>
      <c r="D292" s="71" t="s">
        <v>147</v>
      </c>
      <c r="E292" s="147">
        <v>197</v>
      </c>
      <c r="F292" s="147">
        <v>7</v>
      </c>
      <c r="G292" s="147">
        <v>27</v>
      </c>
      <c r="H292" s="147">
        <v>2019</v>
      </c>
      <c r="I292" s="147">
        <v>2019</v>
      </c>
      <c r="J292" s="123">
        <v>24.625</v>
      </c>
      <c r="K292" s="123"/>
      <c r="L292" s="123">
        <f t="shared" ref="L292:L296" si="97">0.125*E292</f>
        <v>24.625</v>
      </c>
      <c r="M292" s="123"/>
      <c r="N292" s="147"/>
      <c r="O292" s="147">
        <v>24.625</v>
      </c>
      <c r="P292" s="123"/>
      <c r="Q292" s="123"/>
      <c r="R292" s="147"/>
      <c r="S292" s="147"/>
      <c r="T292" s="147"/>
      <c r="U292" s="147"/>
      <c r="V292" s="71" t="s">
        <v>1925</v>
      </c>
    </row>
    <row r="293" ht="23.25" customHeight="1" spans="1:22">
      <c r="A293" s="71">
        <v>327</v>
      </c>
      <c r="B293" s="73" t="s">
        <v>1926</v>
      </c>
      <c r="C293" s="71" t="s">
        <v>52</v>
      </c>
      <c r="D293" s="71" t="s">
        <v>147</v>
      </c>
      <c r="E293" s="147">
        <v>456</v>
      </c>
      <c r="F293" s="147">
        <v>45</v>
      </c>
      <c r="G293" s="147">
        <v>177</v>
      </c>
      <c r="H293" s="147">
        <v>2019</v>
      </c>
      <c r="I293" s="147">
        <v>2019</v>
      </c>
      <c r="J293" s="123">
        <v>57</v>
      </c>
      <c r="K293" s="123"/>
      <c r="L293" s="123">
        <f t="shared" si="97"/>
        <v>57</v>
      </c>
      <c r="M293" s="123"/>
      <c r="N293" s="147"/>
      <c r="O293" s="147">
        <v>57</v>
      </c>
      <c r="P293" s="123"/>
      <c r="Q293" s="123"/>
      <c r="R293" s="147"/>
      <c r="S293" s="147"/>
      <c r="T293" s="147"/>
      <c r="U293" s="147"/>
      <c r="V293" s="71" t="s">
        <v>1925</v>
      </c>
    </row>
    <row r="294" ht="23.25" customHeight="1" spans="1:22">
      <c r="A294" s="71">
        <v>328</v>
      </c>
      <c r="B294" s="73" t="s">
        <v>1927</v>
      </c>
      <c r="C294" s="71" t="s">
        <v>52</v>
      </c>
      <c r="D294" s="71" t="s">
        <v>147</v>
      </c>
      <c r="E294" s="147">
        <v>38</v>
      </c>
      <c r="F294" s="147">
        <v>6</v>
      </c>
      <c r="G294" s="147">
        <v>23</v>
      </c>
      <c r="H294" s="147">
        <v>2019</v>
      </c>
      <c r="I294" s="147">
        <v>2019</v>
      </c>
      <c r="J294" s="123">
        <v>12.6</v>
      </c>
      <c r="K294" s="123"/>
      <c r="L294" s="123">
        <v>12.6</v>
      </c>
      <c r="M294" s="123"/>
      <c r="N294" s="147"/>
      <c r="O294" s="147">
        <v>12.6</v>
      </c>
      <c r="P294" s="123"/>
      <c r="Q294" s="123"/>
      <c r="R294" s="147"/>
      <c r="S294" s="147"/>
      <c r="T294" s="147"/>
      <c r="U294" s="147"/>
      <c r="V294" s="71" t="s">
        <v>1928</v>
      </c>
    </row>
    <row r="295" ht="27.95" customHeight="1" spans="1:22">
      <c r="A295" s="71">
        <v>329</v>
      </c>
      <c r="B295" s="73" t="s">
        <v>1929</v>
      </c>
      <c r="C295" s="71" t="s">
        <v>162</v>
      </c>
      <c r="D295" s="71" t="s">
        <v>147</v>
      </c>
      <c r="E295" s="147">
        <v>655</v>
      </c>
      <c r="F295" s="147">
        <v>64</v>
      </c>
      <c r="G295" s="147">
        <v>274</v>
      </c>
      <c r="H295" s="147">
        <v>2019</v>
      </c>
      <c r="I295" s="147">
        <v>2019</v>
      </c>
      <c r="J295" s="123">
        <v>81.875</v>
      </c>
      <c r="K295" s="123"/>
      <c r="L295" s="123">
        <f t="shared" si="97"/>
        <v>81.875</v>
      </c>
      <c r="M295" s="123"/>
      <c r="N295" s="147"/>
      <c r="O295" s="147">
        <v>81.875</v>
      </c>
      <c r="P295" s="123"/>
      <c r="Q295" s="123"/>
      <c r="R295" s="147"/>
      <c r="S295" s="147"/>
      <c r="T295" s="147"/>
      <c r="U295" s="147"/>
      <c r="V295" s="71" t="s">
        <v>1928</v>
      </c>
    </row>
    <row r="296" ht="27.95" customHeight="1" spans="1:22">
      <c r="A296" s="71">
        <v>330</v>
      </c>
      <c r="B296" s="73" t="s">
        <v>1930</v>
      </c>
      <c r="C296" s="71" t="s">
        <v>52</v>
      </c>
      <c r="D296" s="71" t="s">
        <v>147</v>
      </c>
      <c r="E296" s="147">
        <v>101</v>
      </c>
      <c r="F296" s="147">
        <v>9</v>
      </c>
      <c r="G296" s="147">
        <v>29</v>
      </c>
      <c r="H296" s="147">
        <v>2019</v>
      </c>
      <c r="I296" s="147">
        <v>2019</v>
      </c>
      <c r="J296" s="123">
        <v>12.625</v>
      </c>
      <c r="K296" s="123"/>
      <c r="L296" s="123">
        <f t="shared" si="97"/>
        <v>12.625</v>
      </c>
      <c r="M296" s="123"/>
      <c r="N296" s="147"/>
      <c r="O296" s="147">
        <v>12.625</v>
      </c>
      <c r="P296" s="123"/>
      <c r="Q296" s="123"/>
      <c r="R296" s="147"/>
      <c r="S296" s="147"/>
      <c r="T296" s="147"/>
      <c r="U296" s="147"/>
      <c r="V296" s="71" t="s">
        <v>1928</v>
      </c>
    </row>
    <row r="297" ht="27.95" customHeight="1" spans="1:22">
      <c r="A297" s="71">
        <v>331</v>
      </c>
      <c r="B297" s="74" t="s">
        <v>1931</v>
      </c>
      <c r="C297" s="71" t="s">
        <v>52</v>
      </c>
      <c r="D297" s="71" t="s">
        <v>147</v>
      </c>
      <c r="E297" s="147">
        <v>6</v>
      </c>
      <c r="F297" s="147">
        <v>2</v>
      </c>
      <c r="G297" s="147">
        <v>6</v>
      </c>
      <c r="H297" s="147">
        <v>2019</v>
      </c>
      <c r="I297" s="147">
        <v>2019</v>
      </c>
      <c r="J297" s="123">
        <v>4.2</v>
      </c>
      <c r="K297" s="123"/>
      <c r="L297" s="123">
        <v>4.2</v>
      </c>
      <c r="M297" s="123"/>
      <c r="N297" s="147"/>
      <c r="O297" s="147">
        <v>4.2</v>
      </c>
      <c r="P297" s="123"/>
      <c r="Q297" s="123"/>
      <c r="R297" s="147"/>
      <c r="S297" s="147"/>
      <c r="T297" s="147"/>
      <c r="U297" s="147"/>
      <c r="V297" s="71" t="s">
        <v>1925</v>
      </c>
    </row>
    <row r="298" ht="27.95" customHeight="1" spans="1:22">
      <c r="A298" s="71">
        <v>332</v>
      </c>
      <c r="B298" s="74" t="s">
        <v>1932</v>
      </c>
      <c r="C298" s="71" t="s">
        <v>52</v>
      </c>
      <c r="D298" s="71" t="s">
        <v>1018</v>
      </c>
      <c r="E298" s="147">
        <f t="shared" ref="E298:J298" si="98">SUM(E299:E306)</f>
        <v>256</v>
      </c>
      <c r="F298" s="147">
        <v>80</v>
      </c>
      <c r="G298" s="404">
        <f t="shared" si="98"/>
        <v>259.6875</v>
      </c>
      <c r="H298" s="147">
        <v>2019</v>
      </c>
      <c r="I298" s="147">
        <v>2019</v>
      </c>
      <c r="J298" s="147">
        <f t="shared" si="98"/>
        <v>537.6</v>
      </c>
      <c r="K298" s="147"/>
      <c r="L298" s="102"/>
      <c r="M298" s="147">
        <f>SUM(M299:M306)</f>
        <v>537.6</v>
      </c>
      <c r="N298" s="147"/>
      <c r="O298" s="147"/>
      <c r="P298" s="147"/>
      <c r="Q298" s="147">
        <f>SUM(Q299:Q306)</f>
        <v>537.6</v>
      </c>
      <c r="R298" s="147"/>
      <c r="S298" s="147"/>
      <c r="T298" s="147"/>
      <c r="U298" s="147"/>
      <c r="V298" s="71"/>
    </row>
    <row r="299" ht="27.95" customHeight="1" spans="1:22">
      <c r="A299" s="71">
        <v>333</v>
      </c>
      <c r="B299" s="71" t="s">
        <v>1834</v>
      </c>
      <c r="C299" s="71" t="s">
        <v>52</v>
      </c>
      <c r="D299" s="71" t="s">
        <v>1018</v>
      </c>
      <c r="E299" s="147">
        <v>47</v>
      </c>
      <c r="F299" s="404">
        <v>14.6875</v>
      </c>
      <c r="G299" s="404">
        <f t="shared" ref="G299:G305" si="99">F299*3</f>
        <v>44.0625</v>
      </c>
      <c r="H299" s="147">
        <v>2019</v>
      </c>
      <c r="I299" s="147">
        <v>2019</v>
      </c>
      <c r="J299" s="123">
        <f t="shared" ref="J299:J306" si="100">SUM(K299:M299)</f>
        <v>98.7</v>
      </c>
      <c r="K299" s="123"/>
      <c r="L299" s="102"/>
      <c r="M299" s="123">
        <f t="shared" ref="M299:M306" si="101">E299*2.1</f>
        <v>98.7</v>
      </c>
      <c r="N299" s="147"/>
      <c r="O299" s="147"/>
      <c r="P299" s="123"/>
      <c r="Q299" s="123">
        <f t="shared" ref="Q299:Q306" si="102">J299</f>
        <v>98.7</v>
      </c>
      <c r="R299" s="147"/>
      <c r="S299" s="147"/>
      <c r="T299" s="147"/>
      <c r="U299" s="147"/>
      <c r="V299" s="71"/>
    </row>
    <row r="300" ht="27.95" customHeight="1" spans="1:22">
      <c r="A300" s="71">
        <v>334</v>
      </c>
      <c r="B300" s="71" t="s">
        <v>1832</v>
      </c>
      <c r="C300" s="71" t="s">
        <v>52</v>
      </c>
      <c r="D300" s="71" t="s">
        <v>1018</v>
      </c>
      <c r="E300" s="147">
        <v>10</v>
      </c>
      <c r="F300" s="404">
        <v>3.125</v>
      </c>
      <c r="G300" s="404">
        <f t="shared" si="99"/>
        <v>9.375</v>
      </c>
      <c r="H300" s="147">
        <v>2019</v>
      </c>
      <c r="I300" s="147">
        <v>2019</v>
      </c>
      <c r="J300" s="123">
        <f t="shared" si="100"/>
        <v>21</v>
      </c>
      <c r="K300" s="123"/>
      <c r="L300" s="102"/>
      <c r="M300" s="123">
        <f t="shared" si="101"/>
        <v>21</v>
      </c>
      <c r="N300" s="147"/>
      <c r="O300" s="147"/>
      <c r="P300" s="123"/>
      <c r="Q300" s="123">
        <f t="shared" si="102"/>
        <v>21</v>
      </c>
      <c r="R300" s="147"/>
      <c r="S300" s="147"/>
      <c r="T300" s="147"/>
      <c r="U300" s="147"/>
      <c r="V300" s="71"/>
    </row>
    <row r="301" ht="27.95" customHeight="1" spans="1:22">
      <c r="A301" s="71">
        <v>335</v>
      </c>
      <c r="B301" s="71" t="s">
        <v>1827</v>
      </c>
      <c r="C301" s="71" t="s">
        <v>52</v>
      </c>
      <c r="D301" s="71" t="s">
        <v>1018</v>
      </c>
      <c r="E301" s="147">
        <v>10</v>
      </c>
      <c r="F301" s="404">
        <v>3.125</v>
      </c>
      <c r="G301" s="404">
        <f t="shared" si="99"/>
        <v>9.375</v>
      </c>
      <c r="H301" s="147">
        <v>2019</v>
      </c>
      <c r="I301" s="147">
        <v>2019</v>
      </c>
      <c r="J301" s="123">
        <f t="shared" si="100"/>
        <v>21</v>
      </c>
      <c r="K301" s="123"/>
      <c r="L301" s="102"/>
      <c r="M301" s="123">
        <f t="shared" si="101"/>
        <v>21</v>
      </c>
      <c r="N301" s="147"/>
      <c r="O301" s="147"/>
      <c r="P301" s="123"/>
      <c r="Q301" s="123">
        <f t="shared" si="102"/>
        <v>21</v>
      </c>
      <c r="R301" s="147"/>
      <c r="S301" s="147"/>
      <c r="T301" s="147"/>
      <c r="U301" s="147"/>
      <c r="V301" s="71"/>
    </row>
    <row r="302" ht="27.95" customHeight="1" spans="1:22">
      <c r="A302" s="71">
        <v>336</v>
      </c>
      <c r="B302" s="71" t="s">
        <v>1835</v>
      </c>
      <c r="C302" s="71" t="s">
        <v>52</v>
      </c>
      <c r="D302" s="71" t="s">
        <v>1018</v>
      </c>
      <c r="E302" s="147">
        <v>40</v>
      </c>
      <c r="F302" s="404">
        <v>12.5</v>
      </c>
      <c r="G302" s="404">
        <f t="shared" si="99"/>
        <v>37.5</v>
      </c>
      <c r="H302" s="147">
        <v>2019</v>
      </c>
      <c r="I302" s="147">
        <v>2019</v>
      </c>
      <c r="J302" s="123">
        <f t="shared" si="100"/>
        <v>84</v>
      </c>
      <c r="K302" s="123"/>
      <c r="L302" s="102"/>
      <c r="M302" s="123">
        <f t="shared" si="101"/>
        <v>84</v>
      </c>
      <c r="N302" s="147"/>
      <c r="O302" s="147"/>
      <c r="P302" s="123"/>
      <c r="Q302" s="123">
        <f t="shared" si="102"/>
        <v>84</v>
      </c>
      <c r="R302" s="147"/>
      <c r="S302" s="147"/>
      <c r="T302" s="147"/>
      <c r="U302" s="147"/>
      <c r="V302" s="71"/>
    </row>
    <row r="303" ht="27.95" customHeight="1" spans="1:22">
      <c r="A303" s="71">
        <v>337</v>
      </c>
      <c r="B303" s="71" t="s">
        <v>1833</v>
      </c>
      <c r="C303" s="71" t="s">
        <v>52</v>
      </c>
      <c r="D303" s="71" t="s">
        <v>1018</v>
      </c>
      <c r="E303" s="147">
        <v>6</v>
      </c>
      <c r="F303" s="404">
        <v>1.875</v>
      </c>
      <c r="G303" s="404">
        <f t="shared" si="99"/>
        <v>5.625</v>
      </c>
      <c r="H303" s="147">
        <v>2019</v>
      </c>
      <c r="I303" s="147">
        <v>2019</v>
      </c>
      <c r="J303" s="123">
        <f t="shared" si="100"/>
        <v>12.6</v>
      </c>
      <c r="K303" s="123"/>
      <c r="L303" s="102"/>
      <c r="M303" s="123">
        <f t="shared" si="101"/>
        <v>12.6</v>
      </c>
      <c r="N303" s="147"/>
      <c r="O303" s="147"/>
      <c r="P303" s="123"/>
      <c r="Q303" s="123">
        <f t="shared" si="102"/>
        <v>12.6</v>
      </c>
      <c r="R303" s="147"/>
      <c r="S303" s="147"/>
      <c r="T303" s="147"/>
      <c r="U303" s="147"/>
      <c r="V303" s="71"/>
    </row>
    <row r="304" ht="27.95" customHeight="1" spans="1:22">
      <c r="A304" s="71">
        <v>338</v>
      </c>
      <c r="B304" s="71" t="s">
        <v>1830</v>
      </c>
      <c r="C304" s="71" t="s">
        <v>52</v>
      </c>
      <c r="D304" s="71" t="s">
        <v>1018</v>
      </c>
      <c r="E304" s="147">
        <v>60</v>
      </c>
      <c r="F304" s="404">
        <v>18.75</v>
      </c>
      <c r="G304" s="404">
        <f t="shared" si="99"/>
        <v>56.25</v>
      </c>
      <c r="H304" s="147">
        <v>2019</v>
      </c>
      <c r="I304" s="147">
        <v>2019</v>
      </c>
      <c r="J304" s="123">
        <f t="shared" si="100"/>
        <v>126</v>
      </c>
      <c r="K304" s="123"/>
      <c r="L304" s="102"/>
      <c r="M304" s="123">
        <f t="shared" si="101"/>
        <v>126</v>
      </c>
      <c r="N304" s="147"/>
      <c r="O304" s="147"/>
      <c r="P304" s="123"/>
      <c r="Q304" s="123">
        <f t="shared" si="102"/>
        <v>126</v>
      </c>
      <c r="R304" s="147"/>
      <c r="S304" s="147"/>
      <c r="T304" s="147"/>
      <c r="U304" s="147"/>
      <c r="V304" s="71"/>
    </row>
    <row r="305" ht="27.95" customHeight="1" spans="1:22">
      <c r="A305" s="71">
        <v>339</v>
      </c>
      <c r="B305" s="71" t="s">
        <v>1831</v>
      </c>
      <c r="C305" s="71" t="s">
        <v>52</v>
      </c>
      <c r="D305" s="71" t="s">
        <v>1018</v>
      </c>
      <c r="E305" s="147">
        <v>20</v>
      </c>
      <c r="F305" s="404">
        <v>6.25</v>
      </c>
      <c r="G305" s="404">
        <f t="shared" si="99"/>
        <v>18.75</v>
      </c>
      <c r="H305" s="147">
        <v>2019</v>
      </c>
      <c r="I305" s="147">
        <v>2019</v>
      </c>
      <c r="J305" s="123">
        <f t="shared" si="100"/>
        <v>42</v>
      </c>
      <c r="K305" s="123"/>
      <c r="L305" s="102"/>
      <c r="M305" s="123">
        <f t="shared" si="101"/>
        <v>42</v>
      </c>
      <c r="N305" s="147"/>
      <c r="O305" s="147"/>
      <c r="P305" s="123"/>
      <c r="Q305" s="123">
        <f t="shared" si="102"/>
        <v>42</v>
      </c>
      <c r="R305" s="147"/>
      <c r="S305" s="147"/>
      <c r="T305" s="147"/>
      <c r="U305" s="147"/>
      <c r="V305" s="71"/>
    </row>
    <row r="306" ht="27.95" customHeight="1" spans="1:22">
      <c r="A306" s="71">
        <v>340</v>
      </c>
      <c r="B306" s="71" t="s">
        <v>1829</v>
      </c>
      <c r="C306" s="71" t="s">
        <v>52</v>
      </c>
      <c r="D306" s="71" t="s">
        <v>1018</v>
      </c>
      <c r="E306" s="147">
        <v>63</v>
      </c>
      <c r="F306" s="404">
        <v>19.6875</v>
      </c>
      <c r="G306" s="404">
        <f>F306*4</f>
        <v>78.75</v>
      </c>
      <c r="H306" s="147">
        <v>2019</v>
      </c>
      <c r="I306" s="147">
        <v>2019</v>
      </c>
      <c r="J306" s="123">
        <f t="shared" si="100"/>
        <v>132.3</v>
      </c>
      <c r="K306" s="123"/>
      <c r="L306" s="102"/>
      <c r="M306" s="123">
        <f t="shared" si="101"/>
        <v>132.3</v>
      </c>
      <c r="N306" s="147"/>
      <c r="O306" s="147"/>
      <c r="P306" s="123"/>
      <c r="Q306" s="123">
        <f t="shared" si="102"/>
        <v>132.3</v>
      </c>
      <c r="R306" s="147"/>
      <c r="S306" s="147"/>
      <c r="T306" s="147"/>
      <c r="U306" s="147"/>
      <c r="V306" s="71"/>
    </row>
    <row r="307" ht="23.25" customHeight="1" spans="1:22">
      <c r="A307" s="71"/>
      <c r="B307" s="71" t="s">
        <v>1933</v>
      </c>
      <c r="C307" s="71" t="s">
        <v>409</v>
      </c>
      <c r="D307" s="71" t="s">
        <v>1018</v>
      </c>
      <c r="E307" s="147">
        <f>68+167</f>
        <v>235</v>
      </c>
      <c r="F307" s="140">
        <v>78</v>
      </c>
      <c r="G307" s="140">
        <v>195</v>
      </c>
      <c r="H307" s="140">
        <v>2019</v>
      </c>
      <c r="I307" s="140">
        <v>2019</v>
      </c>
      <c r="J307" s="123">
        <f>L307</f>
        <v>135.15</v>
      </c>
      <c r="K307" s="123"/>
      <c r="L307" s="140">
        <f>SUM(L308:L315)</f>
        <v>135.15</v>
      </c>
      <c r="M307" s="140"/>
      <c r="N307" s="140"/>
      <c r="O307" s="140">
        <f>SUM(O308:O315)</f>
        <v>135.15</v>
      </c>
      <c r="P307" s="123"/>
      <c r="Q307" s="123"/>
      <c r="R307" s="147"/>
      <c r="S307" s="147"/>
      <c r="T307" s="147"/>
      <c r="U307" s="147"/>
      <c r="V307" s="71"/>
    </row>
    <row r="308" ht="23.25" customHeight="1" spans="1:22">
      <c r="A308" s="71"/>
      <c r="B308" s="71" t="s">
        <v>1834</v>
      </c>
      <c r="C308" s="71" t="s">
        <v>409</v>
      </c>
      <c r="D308" s="71" t="s">
        <v>1018</v>
      </c>
      <c r="E308" s="147">
        <v>43</v>
      </c>
      <c r="F308" s="404">
        <v>13</v>
      </c>
      <c r="G308" s="404">
        <v>55</v>
      </c>
      <c r="H308" s="140">
        <v>2019</v>
      </c>
      <c r="I308" s="140">
        <v>2019</v>
      </c>
      <c r="J308" s="123">
        <f t="shared" ref="J308:J315" si="103">SUM(K308:M308)</f>
        <v>24.75</v>
      </c>
      <c r="K308" s="123"/>
      <c r="L308" s="123">
        <f>23.8+0.95</f>
        <v>24.75</v>
      </c>
      <c r="M308" s="123"/>
      <c r="N308" s="147"/>
      <c r="O308" s="147">
        <f t="shared" ref="O308:O315" si="104">L308</f>
        <v>24.75</v>
      </c>
      <c r="P308" s="123"/>
      <c r="Q308" s="123"/>
      <c r="R308" s="147"/>
      <c r="S308" s="147"/>
      <c r="T308" s="147"/>
      <c r="U308" s="147"/>
      <c r="V308" s="71"/>
    </row>
    <row r="309" ht="23.25" customHeight="1" spans="1:22">
      <c r="A309" s="71"/>
      <c r="B309" s="71" t="s">
        <v>1832</v>
      </c>
      <c r="C309" s="71" t="s">
        <v>409</v>
      </c>
      <c r="D309" s="71" t="s">
        <v>1018</v>
      </c>
      <c r="E309" s="147">
        <v>6</v>
      </c>
      <c r="F309" s="404">
        <v>2</v>
      </c>
      <c r="G309" s="404">
        <v>9</v>
      </c>
      <c r="H309" s="140">
        <v>2019</v>
      </c>
      <c r="I309" s="140">
        <v>2019</v>
      </c>
      <c r="J309" s="123">
        <f t="shared" si="103"/>
        <v>3.5</v>
      </c>
      <c r="K309" s="123"/>
      <c r="L309" s="123">
        <v>3.5</v>
      </c>
      <c r="M309" s="123"/>
      <c r="N309" s="147"/>
      <c r="O309" s="147">
        <f t="shared" si="104"/>
        <v>3.5</v>
      </c>
      <c r="P309" s="123"/>
      <c r="Q309" s="123"/>
      <c r="R309" s="147"/>
      <c r="S309" s="147"/>
      <c r="T309" s="147"/>
      <c r="U309" s="147"/>
      <c r="V309" s="71"/>
    </row>
    <row r="310" ht="23.25" customHeight="1" spans="1:22">
      <c r="A310" s="71"/>
      <c r="B310" s="71" t="s">
        <v>1827</v>
      </c>
      <c r="C310" s="71" t="s">
        <v>409</v>
      </c>
      <c r="D310" s="71" t="s">
        <v>1018</v>
      </c>
      <c r="E310" s="147">
        <v>74</v>
      </c>
      <c r="F310" s="404">
        <v>33</v>
      </c>
      <c r="G310" s="404">
        <v>132</v>
      </c>
      <c r="H310" s="140">
        <v>2019</v>
      </c>
      <c r="I310" s="140">
        <v>2019</v>
      </c>
      <c r="J310" s="123">
        <f t="shared" si="103"/>
        <v>43</v>
      </c>
      <c r="K310" s="123"/>
      <c r="L310" s="123">
        <v>43</v>
      </c>
      <c r="M310" s="123"/>
      <c r="N310" s="147"/>
      <c r="O310" s="147">
        <f t="shared" si="104"/>
        <v>43</v>
      </c>
      <c r="P310" s="123"/>
      <c r="Q310" s="123"/>
      <c r="R310" s="147"/>
      <c r="S310" s="147"/>
      <c r="T310" s="147"/>
      <c r="U310" s="147"/>
      <c r="V310" s="71"/>
    </row>
    <row r="311" ht="23.25" customHeight="1" spans="1:22">
      <c r="A311" s="71"/>
      <c r="B311" s="71" t="s">
        <v>1835</v>
      </c>
      <c r="C311" s="71" t="s">
        <v>409</v>
      </c>
      <c r="D311" s="71" t="s">
        <v>1018</v>
      </c>
      <c r="E311" s="147">
        <v>10</v>
      </c>
      <c r="F311" s="404">
        <v>2</v>
      </c>
      <c r="G311" s="404">
        <v>12</v>
      </c>
      <c r="H311" s="140">
        <v>2019</v>
      </c>
      <c r="I311" s="140">
        <v>2019</v>
      </c>
      <c r="J311" s="123">
        <f t="shared" si="103"/>
        <v>5.8</v>
      </c>
      <c r="K311" s="123"/>
      <c r="L311" s="123">
        <v>5.8</v>
      </c>
      <c r="M311" s="123"/>
      <c r="N311" s="147"/>
      <c r="O311" s="147">
        <f t="shared" si="104"/>
        <v>5.8</v>
      </c>
      <c r="P311" s="123"/>
      <c r="Q311" s="123"/>
      <c r="R311" s="147"/>
      <c r="S311" s="147"/>
      <c r="T311" s="147"/>
      <c r="U311" s="147"/>
      <c r="V311" s="71"/>
    </row>
    <row r="312" ht="23.25" customHeight="1" spans="1:22">
      <c r="A312" s="71"/>
      <c r="B312" s="71" t="s">
        <v>1833</v>
      </c>
      <c r="C312" s="71" t="s">
        <v>409</v>
      </c>
      <c r="D312" s="71" t="s">
        <v>1018</v>
      </c>
      <c r="E312" s="147">
        <v>13</v>
      </c>
      <c r="F312" s="404">
        <v>9</v>
      </c>
      <c r="G312" s="404">
        <v>38</v>
      </c>
      <c r="H312" s="140">
        <v>2019</v>
      </c>
      <c r="I312" s="140">
        <v>2019</v>
      </c>
      <c r="J312" s="123">
        <f t="shared" si="103"/>
        <v>7.8</v>
      </c>
      <c r="K312" s="123"/>
      <c r="L312" s="123">
        <v>7.8</v>
      </c>
      <c r="M312" s="123"/>
      <c r="N312" s="147"/>
      <c r="O312" s="147">
        <f t="shared" si="104"/>
        <v>7.8</v>
      </c>
      <c r="P312" s="123"/>
      <c r="Q312" s="123"/>
      <c r="R312" s="147"/>
      <c r="S312" s="147"/>
      <c r="T312" s="147"/>
      <c r="U312" s="147"/>
      <c r="V312" s="71"/>
    </row>
    <row r="313" ht="23.25" customHeight="1" spans="1:22">
      <c r="A313" s="71"/>
      <c r="B313" s="71" t="s">
        <v>1830</v>
      </c>
      <c r="C313" s="71" t="s">
        <v>409</v>
      </c>
      <c r="D313" s="71" t="s">
        <v>1018</v>
      </c>
      <c r="E313" s="147">
        <v>18</v>
      </c>
      <c r="F313" s="404">
        <v>1</v>
      </c>
      <c r="G313" s="404">
        <v>7</v>
      </c>
      <c r="H313" s="140">
        <v>2019</v>
      </c>
      <c r="I313" s="140">
        <v>2019</v>
      </c>
      <c r="J313" s="123">
        <f t="shared" si="103"/>
        <v>9.2</v>
      </c>
      <c r="K313" s="123"/>
      <c r="L313" s="123">
        <v>9.2</v>
      </c>
      <c r="M313" s="123"/>
      <c r="N313" s="147"/>
      <c r="O313" s="147">
        <f t="shared" si="104"/>
        <v>9.2</v>
      </c>
      <c r="P313" s="123"/>
      <c r="Q313" s="123"/>
      <c r="R313" s="147"/>
      <c r="S313" s="147"/>
      <c r="T313" s="147"/>
      <c r="U313" s="147"/>
      <c r="V313" s="71"/>
    </row>
    <row r="314" ht="23.25" customHeight="1" spans="1:22">
      <c r="A314" s="71"/>
      <c r="B314" s="71" t="s">
        <v>1831</v>
      </c>
      <c r="C314" s="71" t="s">
        <v>409</v>
      </c>
      <c r="D314" s="71" t="s">
        <v>1018</v>
      </c>
      <c r="E314" s="147">
        <v>50</v>
      </c>
      <c r="F314" s="404">
        <v>21</v>
      </c>
      <c r="G314" s="404">
        <v>104</v>
      </c>
      <c r="H314" s="140">
        <v>2019</v>
      </c>
      <c r="I314" s="140">
        <v>2019</v>
      </c>
      <c r="J314" s="123">
        <f t="shared" si="103"/>
        <v>30</v>
      </c>
      <c r="K314" s="123"/>
      <c r="L314" s="123">
        <v>30</v>
      </c>
      <c r="M314" s="123"/>
      <c r="N314" s="147"/>
      <c r="O314" s="147">
        <f t="shared" si="104"/>
        <v>30</v>
      </c>
      <c r="P314" s="123"/>
      <c r="Q314" s="123"/>
      <c r="R314" s="147"/>
      <c r="S314" s="147"/>
      <c r="T314" s="147"/>
      <c r="U314" s="147"/>
      <c r="V314" s="71"/>
    </row>
    <row r="315" ht="23.25" customHeight="1" spans="1:22">
      <c r="A315" s="71"/>
      <c r="B315" s="71" t="s">
        <v>1829</v>
      </c>
      <c r="C315" s="71" t="s">
        <v>409</v>
      </c>
      <c r="D315" s="71" t="s">
        <v>1018</v>
      </c>
      <c r="E315" s="147">
        <v>21</v>
      </c>
      <c r="F315" s="404">
        <v>11</v>
      </c>
      <c r="G315" s="404">
        <v>55</v>
      </c>
      <c r="H315" s="140">
        <v>2019</v>
      </c>
      <c r="I315" s="140">
        <v>2019</v>
      </c>
      <c r="J315" s="123">
        <f t="shared" si="103"/>
        <v>11.1</v>
      </c>
      <c r="K315" s="123"/>
      <c r="L315" s="123">
        <v>11.1</v>
      </c>
      <c r="M315" s="123"/>
      <c r="N315" s="147"/>
      <c r="O315" s="147">
        <f t="shared" si="104"/>
        <v>11.1</v>
      </c>
      <c r="P315" s="123"/>
      <c r="Q315" s="123"/>
      <c r="R315" s="147"/>
      <c r="S315" s="147"/>
      <c r="T315" s="147"/>
      <c r="U315" s="147"/>
      <c r="V315" s="71"/>
    </row>
    <row r="316" ht="23.25" customHeight="1" spans="1:22">
      <c r="A316" s="71">
        <v>341</v>
      </c>
      <c r="B316" s="90" t="s">
        <v>537</v>
      </c>
      <c r="C316" s="71"/>
      <c r="D316" s="71"/>
      <c r="E316" s="71">
        <f t="shared" ref="E316:R316" si="105">E317</f>
        <v>8</v>
      </c>
      <c r="F316" s="71">
        <f t="shared" si="105"/>
        <v>1993</v>
      </c>
      <c r="G316" s="71">
        <f t="shared" si="105"/>
        <v>8272</v>
      </c>
      <c r="H316" s="71">
        <f t="shared" si="105"/>
        <v>2018</v>
      </c>
      <c r="I316" s="71">
        <f t="shared" si="105"/>
        <v>2019</v>
      </c>
      <c r="J316" s="86">
        <f t="shared" si="105"/>
        <v>51</v>
      </c>
      <c r="K316" s="86">
        <f t="shared" si="105"/>
        <v>42</v>
      </c>
      <c r="L316" s="86">
        <f t="shared" si="105"/>
        <v>9</v>
      </c>
      <c r="M316" s="86">
        <f t="shared" si="105"/>
        <v>0</v>
      </c>
      <c r="N316" s="86">
        <f t="shared" si="105"/>
        <v>0</v>
      </c>
      <c r="O316" s="86">
        <f t="shared" si="105"/>
        <v>0</v>
      </c>
      <c r="P316" s="86">
        <f t="shared" si="105"/>
        <v>51</v>
      </c>
      <c r="Q316" s="86">
        <f t="shared" si="105"/>
        <v>0</v>
      </c>
      <c r="R316" s="86">
        <f t="shared" si="105"/>
        <v>0</v>
      </c>
      <c r="S316" s="86"/>
      <c r="T316" s="86"/>
      <c r="U316" s="71"/>
      <c r="V316" s="56"/>
    </row>
    <row r="317" ht="23.25" customHeight="1" spans="1:22">
      <c r="A317" s="71">
        <v>342</v>
      </c>
      <c r="B317" s="90" t="s">
        <v>1019</v>
      </c>
      <c r="C317" s="71" t="s">
        <v>52</v>
      </c>
      <c r="D317" s="71" t="s">
        <v>150</v>
      </c>
      <c r="E317" s="71">
        <f t="shared" ref="E317:G317" si="106">SUM(E318:E325)</f>
        <v>8</v>
      </c>
      <c r="F317" s="71">
        <f t="shared" si="106"/>
        <v>1993</v>
      </c>
      <c r="G317" s="71">
        <f t="shared" si="106"/>
        <v>8272</v>
      </c>
      <c r="H317" s="71">
        <v>2018</v>
      </c>
      <c r="I317" s="71">
        <v>2019</v>
      </c>
      <c r="J317" s="86">
        <f t="shared" ref="J317:M317" si="107">SUM(J318:J325)</f>
        <v>51</v>
      </c>
      <c r="K317" s="86">
        <f t="shared" si="107"/>
        <v>42</v>
      </c>
      <c r="L317" s="86">
        <f t="shared" si="107"/>
        <v>9</v>
      </c>
      <c r="M317" s="86">
        <f t="shared" si="107"/>
        <v>0</v>
      </c>
      <c r="N317" s="86"/>
      <c r="O317" s="86"/>
      <c r="P317" s="86">
        <f t="shared" ref="P317:P325" si="108">J317</f>
        <v>51</v>
      </c>
      <c r="Q317" s="86"/>
      <c r="R317" s="76"/>
      <c r="S317" s="86" t="s">
        <v>1817</v>
      </c>
      <c r="T317" s="86" t="s">
        <v>1802</v>
      </c>
      <c r="U317" s="86" t="s">
        <v>358</v>
      </c>
      <c r="V317" s="56"/>
    </row>
    <row r="318" ht="23.25" customHeight="1" spans="1:22">
      <c r="A318" s="71">
        <v>343</v>
      </c>
      <c r="B318" s="71" t="s">
        <v>1934</v>
      </c>
      <c r="C318" s="71" t="s">
        <v>1935</v>
      </c>
      <c r="D318" s="71" t="s">
        <v>150</v>
      </c>
      <c r="E318" s="71">
        <v>1</v>
      </c>
      <c r="F318" s="71">
        <v>214</v>
      </c>
      <c r="G318" s="71">
        <v>891</v>
      </c>
      <c r="H318" s="71">
        <v>2018</v>
      </c>
      <c r="I318" s="71">
        <v>2018</v>
      </c>
      <c r="J318" s="86">
        <f>K318</f>
        <v>30</v>
      </c>
      <c r="K318" s="86">
        <v>30</v>
      </c>
      <c r="L318" s="86"/>
      <c r="M318" s="86"/>
      <c r="N318" s="86"/>
      <c r="O318" s="86"/>
      <c r="P318" s="86">
        <f t="shared" si="108"/>
        <v>30</v>
      </c>
      <c r="Q318" s="86"/>
      <c r="R318" s="76"/>
      <c r="S318" s="86"/>
      <c r="T318" s="86"/>
      <c r="U318" s="86"/>
      <c r="V318" s="56" t="s">
        <v>1800</v>
      </c>
    </row>
    <row r="319" ht="23.25" customHeight="1" spans="1:22">
      <c r="A319" s="71">
        <v>348</v>
      </c>
      <c r="B319" s="71" t="s">
        <v>1936</v>
      </c>
      <c r="C319" s="71" t="s">
        <v>52</v>
      </c>
      <c r="D319" s="71" t="s">
        <v>150</v>
      </c>
      <c r="E319" s="71">
        <v>1</v>
      </c>
      <c r="F319" s="71">
        <v>284</v>
      </c>
      <c r="G319" s="71">
        <v>1246</v>
      </c>
      <c r="H319" s="71">
        <v>2019</v>
      </c>
      <c r="I319" s="71">
        <v>2019</v>
      </c>
      <c r="J319" s="86">
        <v>3</v>
      </c>
      <c r="K319" s="86"/>
      <c r="L319" s="86">
        <v>3</v>
      </c>
      <c r="M319" s="86"/>
      <c r="N319" s="86"/>
      <c r="O319" s="86"/>
      <c r="P319" s="86">
        <f t="shared" si="108"/>
        <v>3</v>
      </c>
      <c r="Q319" s="86"/>
      <c r="R319" s="76"/>
      <c r="S319" s="86"/>
      <c r="T319" s="86"/>
      <c r="U319" s="86"/>
      <c r="V319" s="56" t="s">
        <v>1837</v>
      </c>
    </row>
    <row r="320" ht="23.25" customHeight="1" spans="1:22">
      <c r="A320" s="71">
        <v>349</v>
      </c>
      <c r="B320" s="71" t="s">
        <v>1937</v>
      </c>
      <c r="C320" s="71" t="s">
        <v>52</v>
      </c>
      <c r="D320" s="71" t="s">
        <v>150</v>
      </c>
      <c r="E320" s="71">
        <v>1</v>
      </c>
      <c r="F320" s="71">
        <v>214</v>
      </c>
      <c r="G320" s="71">
        <v>891</v>
      </c>
      <c r="H320" s="71">
        <v>2018</v>
      </c>
      <c r="I320" s="71">
        <v>2018</v>
      </c>
      <c r="J320" s="86">
        <v>3</v>
      </c>
      <c r="K320" s="86">
        <v>3</v>
      </c>
      <c r="L320" s="86"/>
      <c r="M320" s="86"/>
      <c r="N320" s="86"/>
      <c r="O320" s="86"/>
      <c r="P320" s="86">
        <f t="shared" si="108"/>
        <v>3</v>
      </c>
      <c r="Q320" s="86"/>
      <c r="R320" s="76"/>
      <c r="S320" s="86"/>
      <c r="T320" s="86"/>
      <c r="U320" s="86"/>
      <c r="V320" s="56" t="s">
        <v>1938</v>
      </c>
    </row>
    <row r="321" ht="23.25" customHeight="1" spans="1:22">
      <c r="A321" s="71">
        <v>350</v>
      </c>
      <c r="B321" s="71" t="s">
        <v>1939</v>
      </c>
      <c r="C321" s="71" t="s">
        <v>52</v>
      </c>
      <c r="D321" s="71" t="s">
        <v>150</v>
      </c>
      <c r="E321" s="71">
        <v>1</v>
      </c>
      <c r="F321" s="71">
        <v>176</v>
      </c>
      <c r="G321" s="71">
        <v>738</v>
      </c>
      <c r="H321" s="71">
        <v>2018</v>
      </c>
      <c r="I321" s="71">
        <v>2018</v>
      </c>
      <c r="J321" s="86">
        <v>3</v>
      </c>
      <c r="K321" s="86">
        <v>3</v>
      </c>
      <c r="L321" s="86"/>
      <c r="M321" s="86"/>
      <c r="N321" s="86"/>
      <c r="O321" s="86"/>
      <c r="P321" s="86">
        <f t="shared" si="108"/>
        <v>3</v>
      </c>
      <c r="Q321" s="86"/>
      <c r="R321" s="76"/>
      <c r="S321" s="86"/>
      <c r="T321" s="86"/>
      <c r="U321" s="86"/>
      <c r="V321" s="56" t="s">
        <v>1938</v>
      </c>
    </row>
    <row r="322" ht="23.25" customHeight="1" spans="1:22">
      <c r="A322" s="71">
        <v>351</v>
      </c>
      <c r="B322" s="71" t="s">
        <v>1940</v>
      </c>
      <c r="C322" s="71" t="s">
        <v>52</v>
      </c>
      <c r="D322" s="71" t="s">
        <v>150</v>
      </c>
      <c r="E322" s="71">
        <v>1</v>
      </c>
      <c r="F322" s="71">
        <v>292</v>
      </c>
      <c r="G322" s="71">
        <v>1204</v>
      </c>
      <c r="H322" s="71">
        <v>2019</v>
      </c>
      <c r="I322" s="71">
        <v>2019</v>
      </c>
      <c r="J322" s="86">
        <v>3</v>
      </c>
      <c r="K322" s="86"/>
      <c r="L322" s="86">
        <v>3</v>
      </c>
      <c r="M322" s="86"/>
      <c r="N322" s="86"/>
      <c r="O322" s="86"/>
      <c r="P322" s="86">
        <f t="shared" si="108"/>
        <v>3</v>
      </c>
      <c r="Q322" s="86"/>
      <c r="R322" s="76"/>
      <c r="S322" s="86"/>
      <c r="T322" s="86"/>
      <c r="U322" s="86"/>
      <c r="V322" s="56" t="s">
        <v>1938</v>
      </c>
    </row>
    <row r="323" ht="23.25" customHeight="1" spans="1:22">
      <c r="A323" s="71">
        <v>352</v>
      </c>
      <c r="B323" s="71" t="s">
        <v>1941</v>
      </c>
      <c r="C323" s="71" t="s">
        <v>52</v>
      </c>
      <c r="D323" s="71" t="s">
        <v>150</v>
      </c>
      <c r="E323" s="71">
        <v>1</v>
      </c>
      <c r="F323" s="71">
        <v>313</v>
      </c>
      <c r="G323" s="71">
        <v>1292</v>
      </c>
      <c r="H323" s="71">
        <v>2018</v>
      </c>
      <c r="I323" s="71">
        <v>2018</v>
      </c>
      <c r="J323" s="86">
        <v>3</v>
      </c>
      <c r="K323" s="86">
        <v>3</v>
      </c>
      <c r="L323" s="86"/>
      <c r="M323" s="86"/>
      <c r="N323" s="86"/>
      <c r="O323" s="86"/>
      <c r="P323" s="86">
        <f t="shared" si="108"/>
        <v>3</v>
      </c>
      <c r="Q323" s="86"/>
      <c r="R323" s="76"/>
      <c r="S323" s="86"/>
      <c r="T323" s="86"/>
      <c r="U323" s="86"/>
      <c r="V323" s="56" t="s">
        <v>1938</v>
      </c>
    </row>
    <row r="324" ht="23.25" customHeight="1" spans="1:22">
      <c r="A324" s="71">
        <v>353</v>
      </c>
      <c r="B324" s="71" t="s">
        <v>1942</v>
      </c>
      <c r="C324" s="71" t="s">
        <v>52</v>
      </c>
      <c r="D324" s="71" t="s">
        <v>150</v>
      </c>
      <c r="E324" s="71">
        <v>1</v>
      </c>
      <c r="F324" s="71">
        <v>139</v>
      </c>
      <c r="G324" s="71">
        <v>557</v>
      </c>
      <c r="H324" s="71">
        <v>2018</v>
      </c>
      <c r="I324" s="71">
        <v>2018</v>
      </c>
      <c r="J324" s="86">
        <v>3</v>
      </c>
      <c r="K324" s="86">
        <v>3</v>
      </c>
      <c r="L324" s="86"/>
      <c r="M324" s="86"/>
      <c r="N324" s="86"/>
      <c r="O324" s="86"/>
      <c r="P324" s="86">
        <f t="shared" si="108"/>
        <v>3</v>
      </c>
      <c r="Q324" s="86"/>
      <c r="R324" s="76"/>
      <c r="S324" s="86"/>
      <c r="T324" s="86"/>
      <c r="U324" s="86"/>
      <c r="V324" s="56" t="s">
        <v>1938</v>
      </c>
    </row>
    <row r="325" ht="23.25" customHeight="1" spans="1:22">
      <c r="A325" s="71">
        <v>354</v>
      </c>
      <c r="B325" s="71" t="s">
        <v>1943</v>
      </c>
      <c r="C325" s="71" t="s">
        <v>52</v>
      </c>
      <c r="D325" s="71" t="s">
        <v>150</v>
      </c>
      <c r="E325" s="71">
        <v>1</v>
      </c>
      <c r="F325" s="71">
        <v>361</v>
      </c>
      <c r="G325" s="71">
        <v>1453</v>
      </c>
      <c r="H325" s="71">
        <v>2019</v>
      </c>
      <c r="I325" s="71">
        <v>2019</v>
      </c>
      <c r="J325" s="86">
        <v>3</v>
      </c>
      <c r="K325" s="86"/>
      <c r="L325" s="86">
        <v>3</v>
      </c>
      <c r="M325" s="86"/>
      <c r="N325" s="86"/>
      <c r="O325" s="86"/>
      <c r="P325" s="86">
        <f t="shared" si="108"/>
        <v>3</v>
      </c>
      <c r="Q325" s="86"/>
      <c r="R325" s="76"/>
      <c r="S325" s="86"/>
      <c r="T325" s="86"/>
      <c r="U325" s="86"/>
      <c r="V325" s="56" t="s">
        <v>1837</v>
      </c>
    </row>
    <row r="326" ht="23.25" customHeight="1" spans="1:22">
      <c r="A326" s="71">
        <v>355</v>
      </c>
      <c r="B326" s="90" t="s">
        <v>552</v>
      </c>
      <c r="C326" s="71"/>
      <c r="D326" s="71"/>
      <c r="E326" s="71">
        <f t="shared" ref="E326:G326" si="109">SUM(E329:E330)</f>
        <v>2</v>
      </c>
      <c r="F326" s="71">
        <f t="shared" si="109"/>
        <v>28</v>
      </c>
      <c r="G326" s="71">
        <f t="shared" si="109"/>
        <v>124</v>
      </c>
      <c r="H326" s="71">
        <v>2018</v>
      </c>
      <c r="I326" s="71">
        <v>2019</v>
      </c>
      <c r="J326" s="71">
        <f>SUM(J328:J330)</f>
        <v>45.6</v>
      </c>
      <c r="K326" s="71">
        <f t="shared" ref="K326:R326" si="110">SUM(K328:K330)</f>
        <v>5.6</v>
      </c>
      <c r="L326" s="71">
        <f t="shared" si="110"/>
        <v>40</v>
      </c>
      <c r="M326" s="71">
        <f t="shared" si="110"/>
        <v>0</v>
      </c>
      <c r="N326" s="71">
        <f t="shared" si="110"/>
        <v>0</v>
      </c>
      <c r="O326" s="71">
        <f t="shared" si="110"/>
        <v>40</v>
      </c>
      <c r="P326" s="71">
        <f t="shared" si="110"/>
        <v>0</v>
      </c>
      <c r="Q326" s="71">
        <f t="shared" si="110"/>
        <v>5.6</v>
      </c>
      <c r="R326" s="71">
        <f t="shared" si="110"/>
        <v>0</v>
      </c>
      <c r="S326" s="86"/>
      <c r="T326" s="86"/>
      <c r="U326" s="71"/>
      <c r="V326" s="56"/>
    </row>
    <row r="327" ht="30.75" customHeight="1" spans="1:22">
      <c r="A327" s="71">
        <v>356</v>
      </c>
      <c r="B327" s="90" t="s">
        <v>554</v>
      </c>
      <c r="C327" s="71" t="s">
        <v>52</v>
      </c>
      <c r="D327" s="71" t="s">
        <v>150</v>
      </c>
      <c r="E327" s="71"/>
      <c r="F327" s="71"/>
      <c r="G327" s="71"/>
      <c r="H327" s="71"/>
      <c r="I327" s="71"/>
      <c r="J327" s="86">
        <f>SUM(K327:M327)</f>
        <v>45.6</v>
      </c>
      <c r="K327" s="86">
        <f>K328+K329+K330</f>
        <v>5.6</v>
      </c>
      <c r="L327" s="86">
        <f t="shared" ref="L327:R327" si="111">L328+L329+L330</f>
        <v>40</v>
      </c>
      <c r="M327" s="86">
        <f t="shared" si="111"/>
        <v>0</v>
      </c>
      <c r="N327" s="86">
        <f t="shared" si="111"/>
        <v>0</v>
      </c>
      <c r="O327" s="86">
        <f t="shared" si="111"/>
        <v>40</v>
      </c>
      <c r="P327" s="86">
        <f t="shared" si="111"/>
        <v>0</v>
      </c>
      <c r="Q327" s="86">
        <f t="shared" si="111"/>
        <v>5.6</v>
      </c>
      <c r="R327" s="86">
        <f t="shared" si="111"/>
        <v>0</v>
      </c>
      <c r="S327" s="86" t="s">
        <v>1944</v>
      </c>
      <c r="T327" s="86" t="s">
        <v>1862</v>
      </c>
      <c r="U327" s="86" t="s">
        <v>553</v>
      </c>
      <c r="V327" s="56"/>
    </row>
    <row r="328" ht="53.25" customHeight="1" spans="1:22">
      <c r="A328" s="71">
        <v>359</v>
      </c>
      <c r="B328" s="71" t="s">
        <v>1945</v>
      </c>
      <c r="C328" s="71" t="s">
        <v>52</v>
      </c>
      <c r="D328" s="71" t="s">
        <v>1946</v>
      </c>
      <c r="E328" s="71">
        <v>14</v>
      </c>
      <c r="F328" s="71">
        <v>7</v>
      </c>
      <c r="G328" s="71">
        <v>35</v>
      </c>
      <c r="H328" s="71">
        <v>2018</v>
      </c>
      <c r="I328" s="71">
        <v>2019</v>
      </c>
      <c r="J328" s="86">
        <f>SUM(K328:M328)</f>
        <v>5.6</v>
      </c>
      <c r="K328" s="86">
        <v>5.6</v>
      </c>
      <c r="L328" s="86"/>
      <c r="M328" s="86"/>
      <c r="N328" s="86"/>
      <c r="O328" s="86"/>
      <c r="P328" s="86"/>
      <c r="Q328" s="86">
        <f>J328</f>
        <v>5.6</v>
      </c>
      <c r="R328" s="76"/>
      <c r="S328" s="86"/>
      <c r="T328" s="86"/>
      <c r="U328" s="86"/>
      <c r="V328" s="56" t="s">
        <v>1947</v>
      </c>
    </row>
    <row r="329" ht="30.75" customHeight="1" spans="1:22">
      <c r="A329" s="71">
        <v>357</v>
      </c>
      <c r="B329" s="71" t="s">
        <v>1948</v>
      </c>
      <c r="C329" s="71" t="s">
        <v>52</v>
      </c>
      <c r="D329" s="71" t="s">
        <v>150</v>
      </c>
      <c r="E329" s="71">
        <v>1</v>
      </c>
      <c r="F329" s="71">
        <v>18</v>
      </c>
      <c r="G329" s="71">
        <v>85</v>
      </c>
      <c r="H329" s="71">
        <v>2019</v>
      </c>
      <c r="I329" s="71">
        <v>2019</v>
      </c>
      <c r="J329" s="86">
        <v>20</v>
      </c>
      <c r="K329" s="86"/>
      <c r="L329" s="86">
        <v>20</v>
      </c>
      <c r="M329" s="86"/>
      <c r="N329" s="86"/>
      <c r="O329" s="86">
        <f>L329</f>
        <v>20</v>
      </c>
      <c r="P329" s="86"/>
      <c r="Q329" s="86"/>
      <c r="R329" s="76"/>
      <c r="S329" s="86"/>
      <c r="T329" s="86"/>
      <c r="U329" s="86"/>
      <c r="V329" s="56" t="s">
        <v>1837</v>
      </c>
    </row>
    <row r="330" ht="30.75" customHeight="1" spans="1:22">
      <c r="A330" s="71">
        <v>358</v>
      </c>
      <c r="B330" s="71" t="s">
        <v>1949</v>
      </c>
      <c r="C330" s="71" t="s">
        <v>52</v>
      </c>
      <c r="D330" s="71" t="s">
        <v>150</v>
      </c>
      <c r="E330" s="71">
        <v>1</v>
      </c>
      <c r="F330" s="71">
        <v>10</v>
      </c>
      <c r="G330" s="71">
        <v>39</v>
      </c>
      <c r="H330" s="71">
        <v>2019</v>
      </c>
      <c r="I330" s="71">
        <v>2019</v>
      </c>
      <c r="J330" s="86">
        <v>20</v>
      </c>
      <c r="K330" s="86"/>
      <c r="L330" s="86">
        <v>20</v>
      </c>
      <c r="M330" s="86"/>
      <c r="N330" s="86"/>
      <c r="O330" s="86">
        <f>L330</f>
        <v>20</v>
      </c>
      <c r="P330" s="86"/>
      <c r="Q330" s="86"/>
      <c r="R330" s="76"/>
      <c r="S330" s="86"/>
      <c r="T330" s="86"/>
      <c r="U330" s="86"/>
      <c r="V330" s="56" t="s">
        <v>1837</v>
      </c>
    </row>
    <row r="331" ht="23.25" customHeight="1" spans="1:22">
      <c r="A331" s="71">
        <v>360</v>
      </c>
      <c r="B331" s="90" t="s">
        <v>555</v>
      </c>
      <c r="C331" s="71"/>
      <c r="D331" s="71"/>
      <c r="E331" s="71">
        <f t="shared" ref="E331:G331" si="112">E332</f>
        <v>3803</v>
      </c>
      <c r="F331" s="71">
        <f t="shared" si="112"/>
        <v>759</v>
      </c>
      <c r="G331" s="71">
        <f t="shared" si="112"/>
        <v>1096</v>
      </c>
      <c r="H331" s="71"/>
      <c r="I331" s="71"/>
      <c r="J331" s="86"/>
      <c r="K331" s="86"/>
      <c r="L331" s="86"/>
      <c r="M331" s="86"/>
      <c r="N331" s="86"/>
      <c r="O331" s="86"/>
      <c r="P331" s="86"/>
      <c r="Q331" s="86"/>
      <c r="R331" s="76"/>
      <c r="S331" s="86"/>
      <c r="T331" s="86"/>
      <c r="U331" s="71"/>
      <c r="V331" s="56"/>
    </row>
    <row r="332" ht="53.25" customHeight="1" spans="1:22">
      <c r="A332" s="71">
        <v>361</v>
      </c>
      <c r="B332" s="90" t="s">
        <v>1225</v>
      </c>
      <c r="C332" s="71"/>
      <c r="D332" s="71" t="s">
        <v>147</v>
      </c>
      <c r="E332" s="71">
        <v>3803</v>
      </c>
      <c r="F332" s="71">
        <v>759</v>
      </c>
      <c r="G332" s="71">
        <v>1096</v>
      </c>
      <c r="H332" s="71"/>
      <c r="I332" s="71"/>
      <c r="J332" s="86"/>
      <c r="K332" s="86"/>
      <c r="L332" s="86"/>
      <c r="M332" s="86"/>
      <c r="N332" s="86"/>
      <c r="O332" s="86"/>
      <c r="P332" s="86"/>
      <c r="Q332" s="86"/>
      <c r="R332" s="76"/>
      <c r="S332" s="86"/>
      <c r="T332" s="86"/>
      <c r="U332" s="86" t="s">
        <v>294</v>
      </c>
      <c r="V332" s="56"/>
    </row>
    <row r="333" s="63" customFormat="1" ht="30" customHeight="1" spans="1:22">
      <c r="A333" s="71">
        <v>362</v>
      </c>
      <c r="B333" s="95" t="s">
        <v>570</v>
      </c>
      <c r="C333" s="76" t="s">
        <v>52</v>
      </c>
      <c r="D333" s="76" t="s">
        <v>150</v>
      </c>
      <c r="E333" s="76"/>
      <c r="F333" s="76">
        <f>SUM(F334:F344)</f>
        <v>738</v>
      </c>
      <c r="G333" s="76">
        <f>SUM(G334:G344)</f>
        <v>2900</v>
      </c>
      <c r="H333" s="76">
        <v>2018</v>
      </c>
      <c r="I333" s="76">
        <v>2019</v>
      </c>
      <c r="J333" s="76">
        <f>SUM(J334:J344)</f>
        <v>346.519</v>
      </c>
      <c r="K333" s="76">
        <f>SUM(K334:K344)</f>
        <v>322.519</v>
      </c>
      <c r="L333" s="76">
        <f>SUM(L334:L344)</f>
        <v>24</v>
      </c>
      <c r="M333" s="76"/>
      <c r="N333" s="76"/>
      <c r="O333" s="76">
        <f>SUM(O334:O344)</f>
        <v>157</v>
      </c>
      <c r="P333" s="76"/>
      <c r="Q333" s="76">
        <f>SUM(Q334:Q344)</f>
        <v>189.519</v>
      </c>
      <c r="R333" s="76"/>
      <c r="S333" s="76" t="s">
        <v>1797</v>
      </c>
      <c r="T333" s="76" t="s">
        <v>1798</v>
      </c>
      <c r="U333" s="76" t="s">
        <v>273</v>
      </c>
      <c r="V333" s="136"/>
    </row>
    <row r="334" s="63" customFormat="1" ht="30" customHeight="1" spans="1:22">
      <c r="A334" s="71">
        <v>364</v>
      </c>
      <c r="B334" s="95" t="s">
        <v>1950</v>
      </c>
      <c r="C334" s="76" t="s">
        <v>52</v>
      </c>
      <c r="D334" s="76" t="s">
        <v>1504</v>
      </c>
      <c r="E334" s="76">
        <v>1000</v>
      </c>
      <c r="F334" s="76">
        <v>12</v>
      </c>
      <c r="G334" s="76">
        <v>48</v>
      </c>
      <c r="H334" s="76">
        <v>2018</v>
      </c>
      <c r="I334" s="76">
        <v>2018</v>
      </c>
      <c r="J334" s="86">
        <v>61</v>
      </c>
      <c r="K334" s="86">
        <v>61</v>
      </c>
      <c r="L334" s="86"/>
      <c r="M334" s="86"/>
      <c r="N334" s="86"/>
      <c r="O334" s="86">
        <f t="shared" ref="O334:O338" si="113">J334</f>
        <v>61</v>
      </c>
      <c r="P334" s="86"/>
      <c r="Q334" s="86"/>
      <c r="R334" s="76"/>
      <c r="S334" s="76"/>
      <c r="T334" s="76"/>
      <c r="U334" s="76"/>
      <c r="V334" s="136" t="s">
        <v>1866</v>
      </c>
    </row>
    <row r="335" s="63" customFormat="1" ht="30" customHeight="1" spans="1:22">
      <c r="A335" s="71">
        <v>365</v>
      </c>
      <c r="B335" s="95" t="s">
        <v>1951</v>
      </c>
      <c r="C335" s="76" t="s">
        <v>52</v>
      </c>
      <c r="D335" s="76" t="s">
        <v>1504</v>
      </c>
      <c r="E335" s="76">
        <v>1296</v>
      </c>
      <c r="F335" s="76">
        <v>11</v>
      </c>
      <c r="G335" s="76">
        <v>43</v>
      </c>
      <c r="H335" s="76">
        <v>2018</v>
      </c>
      <c r="I335" s="76">
        <v>2018</v>
      </c>
      <c r="J335" s="86">
        <v>33</v>
      </c>
      <c r="K335" s="86">
        <v>33</v>
      </c>
      <c r="L335" s="86"/>
      <c r="M335" s="86"/>
      <c r="N335" s="86"/>
      <c r="O335" s="86">
        <f t="shared" si="113"/>
        <v>33</v>
      </c>
      <c r="P335" s="86"/>
      <c r="Q335" s="86"/>
      <c r="R335" s="76"/>
      <c r="S335" s="76"/>
      <c r="T335" s="76"/>
      <c r="U335" s="76"/>
      <c r="V335" s="136" t="s">
        <v>1866</v>
      </c>
    </row>
    <row r="336" s="63" customFormat="1" ht="30" customHeight="1" spans="1:22">
      <c r="A336" s="71">
        <v>366</v>
      </c>
      <c r="B336" s="95" t="s">
        <v>1952</v>
      </c>
      <c r="C336" s="76" t="s">
        <v>52</v>
      </c>
      <c r="D336" s="76" t="s">
        <v>1517</v>
      </c>
      <c r="E336" s="76">
        <v>65</v>
      </c>
      <c r="F336" s="76">
        <v>18</v>
      </c>
      <c r="G336" s="76">
        <v>78</v>
      </c>
      <c r="H336" s="76">
        <v>2018</v>
      </c>
      <c r="I336" s="76">
        <v>2018</v>
      </c>
      <c r="J336" s="86">
        <v>43</v>
      </c>
      <c r="K336" s="86">
        <v>43</v>
      </c>
      <c r="L336" s="86"/>
      <c r="M336" s="86"/>
      <c r="N336" s="86"/>
      <c r="O336" s="86">
        <f t="shared" si="113"/>
        <v>43</v>
      </c>
      <c r="P336" s="86"/>
      <c r="Q336" s="86"/>
      <c r="R336" s="76"/>
      <c r="S336" s="76"/>
      <c r="T336" s="76"/>
      <c r="U336" s="76"/>
      <c r="V336" s="136" t="s">
        <v>1866</v>
      </c>
    </row>
    <row r="337" s="63" customFormat="1" ht="30" customHeight="1" spans="1:22">
      <c r="A337" s="71">
        <v>367</v>
      </c>
      <c r="B337" s="95" t="s">
        <v>1953</v>
      </c>
      <c r="C337" s="76" t="s">
        <v>52</v>
      </c>
      <c r="D337" s="76" t="s">
        <v>1517</v>
      </c>
      <c r="E337" s="76">
        <v>14</v>
      </c>
      <c r="F337" s="76">
        <v>2</v>
      </c>
      <c r="G337" s="76">
        <v>8</v>
      </c>
      <c r="H337" s="76">
        <v>2018</v>
      </c>
      <c r="I337" s="76">
        <v>2018</v>
      </c>
      <c r="J337" s="86">
        <v>12</v>
      </c>
      <c r="K337" s="86">
        <v>12</v>
      </c>
      <c r="L337" s="86"/>
      <c r="M337" s="86"/>
      <c r="N337" s="86"/>
      <c r="O337" s="86">
        <f t="shared" si="113"/>
        <v>12</v>
      </c>
      <c r="P337" s="86"/>
      <c r="Q337" s="86"/>
      <c r="R337" s="76"/>
      <c r="S337" s="76"/>
      <c r="T337" s="76"/>
      <c r="U337" s="76"/>
      <c r="V337" s="136" t="s">
        <v>1866</v>
      </c>
    </row>
    <row r="338" s="63" customFormat="1" ht="30" customHeight="1" spans="1:22">
      <c r="A338" s="71">
        <v>368</v>
      </c>
      <c r="B338" s="95" t="s">
        <v>1954</v>
      </c>
      <c r="C338" s="76" t="s">
        <v>52</v>
      </c>
      <c r="D338" s="76" t="s">
        <v>1517</v>
      </c>
      <c r="E338" s="76">
        <v>20</v>
      </c>
      <c r="F338" s="76">
        <v>17</v>
      </c>
      <c r="G338" s="76">
        <v>65</v>
      </c>
      <c r="H338" s="76">
        <v>2018</v>
      </c>
      <c r="I338" s="76">
        <v>2018</v>
      </c>
      <c r="J338" s="86">
        <v>8</v>
      </c>
      <c r="K338" s="86">
        <v>8</v>
      </c>
      <c r="L338" s="86"/>
      <c r="M338" s="86"/>
      <c r="N338" s="86"/>
      <c r="O338" s="86">
        <f t="shared" si="113"/>
        <v>8</v>
      </c>
      <c r="P338" s="86"/>
      <c r="Q338" s="86"/>
      <c r="R338" s="76"/>
      <c r="S338" s="76"/>
      <c r="T338" s="76"/>
      <c r="U338" s="76"/>
      <c r="V338" s="136" t="s">
        <v>1955</v>
      </c>
    </row>
    <row r="339" ht="53.25" customHeight="1" spans="1:22">
      <c r="A339" s="71">
        <v>369</v>
      </c>
      <c r="B339" s="95" t="s">
        <v>1956</v>
      </c>
      <c r="C339" s="76" t="s">
        <v>52</v>
      </c>
      <c r="D339" s="76" t="s">
        <v>150</v>
      </c>
      <c r="E339" s="76">
        <v>20</v>
      </c>
      <c r="F339" s="76">
        <v>139</v>
      </c>
      <c r="G339" s="76">
        <v>557</v>
      </c>
      <c r="H339" s="76">
        <v>2018</v>
      </c>
      <c r="I339" s="76">
        <v>2019</v>
      </c>
      <c r="J339" s="86">
        <f t="shared" ref="J339:J342" si="114">K339+L339</f>
        <v>32</v>
      </c>
      <c r="K339" s="86">
        <v>32</v>
      </c>
      <c r="L339" s="86"/>
      <c r="M339" s="86"/>
      <c r="N339" s="86"/>
      <c r="O339" s="86"/>
      <c r="P339" s="86"/>
      <c r="Q339" s="86">
        <f t="shared" ref="Q339:Q344" si="115">J339</f>
        <v>32</v>
      </c>
      <c r="R339" s="76"/>
      <c r="S339" s="76"/>
      <c r="T339" s="76"/>
      <c r="U339" s="76"/>
      <c r="V339" s="136" t="s">
        <v>1947</v>
      </c>
    </row>
    <row r="340" ht="53.25" customHeight="1" spans="1:22">
      <c r="A340" s="71">
        <v>370</v>
      </c>
      <c r="B340" s="95" t="s">
        <v>1957</v>
      </c>
      <c r="C340" s="76" t="s">
        <v>52</v>
      </c>
      <c r="D340" s="76" t="s">
        <v>150</v>
      </c>
      <c r="E340" s="76">
        <v>15</v>
      </c>
      <c r="F340" s="76">
        <v>25</v>
      </c>
      <c r="G340" s="76">
        <v>112</v>
      </c>
      <c r="H340" s="76">
        <v>2018</v>
      </c>
      <c r="I340" s="76">
        <v>2019</v>
      </c>
      <c r="J340" s="86">
        <f t="shared" si="114"/>
        <v>33.8</v>
      </c>
      <c r="K340" s="86">
        <v>33.8</v>
      </c>
      <c r="L340" s="86"/>
      <c r="M340" s="86"/>
      <c r="N340" s="86"/>
      <c r="O340" s="86"/>
      <c r="P340" s="86"/>
      <c r="Q340" s="86">
        <f t="shared" si="115"/>
        <v>33.8</v>
      </c>
      <c r="R340" s="76"/>
      <c r="S340" s="76"/>
      <c r="T340" s="76"/>
      <c r="U340" s="76"/>
      <c r="V340" s="136" t="s">
        <v>1947</v>
      </c>
    </row>
    <row r="341" ht="53.25" customHeight="1" spans="1:22">
      <c r="A341" s="71">
        <v>371</v>
      </c>
      <c r="B341" s="95" t="s">
        <v>1958</v>
      </c>
      <c r="C341" s="76" t="s">
        <v>52</v>
      </c>
      <c r="D341" s="76" t="s">
        <v>1517</v>
      </c>
      <c r="E341" s="76">
        <v>222</v>
      </c>
      <c r="F341" s="76">
        <v>60</v>
      </c>
      <c r="G341" s="76">
        <v>259</v>
      </c>
      <c r="H341" s="76">
        <v>2018</v>
      </c>
      <c r="I341" s="76">
        <v>2019</v>
      </c>
      <c r="J341" s="86">
        <f t="shared" si="114"/>
        <v>88.8</v>
      </c>
      <c r="K341" s="86">
        <v>88.8</v>
      </c>
      <c r="L341" s="86"/>
      <c r="M341" s="86"/>
      <c r="N341" s="86"/>
      <c r="O341" s="86"/>
      <c r="P341" s="86"/>
      <c r="Q341" s="86">
        <f t="shared" si="115"/>
        <v>88.8</v>
      </c>
      <c r="R341" s="76"/>
      <c r="S341" s="76"/>
      <c r="T341" s="76"/>
      <c r="U341" s="76"/>
      <c r="V341" s="136" t="s">
        <v>1947</v>
      </c>
    </row>
    <row r="342" ht="53.25" customHeight="1" spans="1:22">
      <c r="A342" s="71">
        <v>372</v>
      </c>
      <c r="B342" s="95" t="s">
        <v>1959</v>
      </c>
      <c r="C342" s="76" t="s">
        <v>52</v>
      </c>
      <c r="D342" s="76" t="s">
        <v>384</v>
      </c>
      <c r="E342" s="76">
        <v>68</v>
      </c>
      <c r="F342" s="76">
        <v>38</v>
      </c>
      <c r="G342" s="76">
        <v>112</v>
      </c>
      <c r="H342" s="76">
        <v>2018</v>
      </c>
      <c r="I342" s="76">
        <v>2019</v>
      </c>
      <c r="J342" s="86">
        <f t="shared" si="114"/>
        <v>10.919</v>
      </c>
      <c r="K342" s="86">
        <v>10.919</v>
      </c>
      <c r="L342" s="86"/>
      <c r="M342" s="86"/>
      <c r="N342" s="86"/>
      <c r="O342" s="86"/>
      <c r="P342" s="86"/>
      <c r="Q342" s="86">
        <f t="shared" si="115"/>
        <v>10.919</v>
      </c>
      <c r="R342" s="76"/>
      <c r="S342" s="76"/>
      <c r="T342" s="76"/>
      <c r="U342" s="76"/>
      <c r="V342" s="136" t="s">
        <v>1947</v>
      </c>
    </row>
    <row r="343" s="63" customFormat="1" ht="30" customHeight="1" spans="1:22">
      <c r="A343" s="71">
        <v>373</v>
      </c>
      <c r="B343" s="95" t="s">
        <v>1960</v>
      </c>
      <c r="C343" s="76" t="s">
        <v>52</v>
      </c>
      <c r="D343" s="76" t="s">
        <v>150</v>
      </c>
      <c r="E343" s="76">
        <v>24</v>
      </c>
      <c r="F343" s="143">
        <v>358</v>
      </c>
      <c r="G343" s="143">
        <v>1430</v>
      </c>
      <c r="H343" s="76">
        <v>2019</v>
      </c>
      <c r="I343" s="76">
        <v>2019</v>
      </c>
      <c r="J343" s="86">
        <f>+L343</f>
        <v>19.2</v>
      </c>
      <c r="K343" s="86"/>
      <c r="L343" s="86">
        <v>19.2</v>
      </c>
      <c r="M343" s="86"/>
      <c r="N343" s="86"/>
      <c r="O343" s="86"/>
      <c r="P343" s="86"/>
      <c r="Q343" s="86">
        <f t="shared" si="115"/>
        <v>19.2</v>
      </c>
      <c r="R343" s="76"/>
      <c r="S343" s="76"/>
      <c r="T343" s="76"/>
      <c r="U343" s="76"/>
      <c r="V343" s="136" t="s">
        <v>1961</v>
      </c>
    </row>
    <row r="344" s="63" customFormat="1" ht="30" customHeight="1" spans="1:22">
      <c r="A344" s="71">
        <v>374</v>
      </c>
      <c r="B344" s="95" t="s">
        <v>1962</v>
      </c>
      <c r="C344" s="76" t="s">
        <v>52</v>
      </c>
      <c r="D344" s="76" t="s">
        <v>150</v>
      </c>
      <c r="E344" s="76">
        <v>6</v>
      </c>
      <c r="F344" s="76">
        <v>58</v>
      </c>
      <c r="G344" s="76">
        <v>188</v>
      </c>
      <c r="H344" s="76">
        <v>2019</v>
      </c>
      <c r="I344" s="76">
        <v>2019</v>
      </c>
      <c r="J344" s="86">
        <f>+L344</f>
        <v>4.8</v>
      </c>
      <c r="K344" s="86"/>
      <c r="L344" s="86">
        <v>4.8</v>
      </c>
      <c r="M344" s="86"/>
      <c r="N344" s="86"/>
      <c r="O344" s="86"/>
      <c r="P344" s="86"/>
      <c r="Q344" s="86">
        <f t="shared" si="115"/>
        <v>4.8</v>
      </c>
      <c r="R344" s="76"/>
      <c r="S344" s="76"/>
      <c r="T344" s="76"/>
      <c r="U344" s="76"/>
      <c r="V344" s="136" t="s">
        <v>1961</v>
      </c>
    </row>
    <row r="345" ht="53.25" customHeight="1" spans="1:22">
      <c r="A345" s="71">
        <v>375</v>
      </c>
      <c r="B345" s="142" t="s">
        <v>1048</v>
      </c>
      <c r="C345" s="71"/>
      <c r="D345" s="71"/>
      <c r="E345" s="71"/>
      <c r="F345" s="71"/>
      <c r="G345" s="71"/>
      <c r="H345" s="71"/>
      <c r="I345" s="71"/>
      <c r="J345" s="212">
        <f>K345+L345+M345</f>
        <v>260</v>
      </c>
      <c r="K345" s="86">
        <f t="shared" ref="K345:R345" si="116">K346+K358+K359</f>
        <v>230</v>
      </c>
      <c r="L345" s="86">
        <f t="shared" si="116"/>
        <v>30</v>
      </c>
      <c r="M345" s="86">
        <f t="shared" si="116"/>
        <v>0</v>
      </c>
      <c r="N345" s="86">
        <f t="shared" si="116"/>
        <v>0</v>
      </c>
      <c r="O345" s="86">
        <f t="shared" si="116"/>
        <v>180</v>
      </c>
      <c r="P345" s="86">
        <f t="shared" si="116"/>
        <v>80</v>
      </c>
      <c r="Q345" s="86">
        <f t="shared" si="116"/>
        <v>0</v>
      </c>
      <c r="R345" s="86">
        <f t="shared" si="116"/>
        <v>0</v>
      </c>
      <c r="S345" s="86"/>
      <c r="T345" s="86"/>
      <c r="U345" s="86"/>
      <c r="V345" s="56"/>
    </row>
    <row r="346" ht="23.25" customHeight="1" spans="1:22">
      <c r="A346" s="71">
        <v>376</v>
      </c>
      <c r="B346" s="90" t="s">
        <v>1049</v>
      </c>
      <c r="C346" s="71"/>
      <c r="D346" s="71"/>
      <c r="E346" s="71"/>
      <c r="F346" s="71"/>
      <c r="G346" s="71"/>
      <c r="H346" s="71"/>
      <c r="I346" s="71"/>
      <c r="J346" s="86">
        <f t="shared" ref="J346:R346" si="117">J349</f>
        <v>260</v>
      </c>
      <c r="K346" s="86">
        <f t="shared" si="117"/>
        <v>230</v>
      </c>
      <c r="L346" s="86">
        <f t="shared" si="117"/>
        <v>30</v>
      </c>
      <c r="M346" s="86">
        <f t="shared" si="117"/>
        <v>0</v>
      </c>
      <c r="N346" s="86">
        <f t="shared" si="117"/>
        <v>0</v>
      </c>
      <c r="O346" s="86">
        <f t="shared" si="117"/>
        <v>180</v>
      </c>
      <c r="P346" s="86">
        <f t="shared" si="117"/>
        <v>80</v>
      </c>
      <c r="Q346" s="86">
        <f t="shared" si="117"/>
        <v>0</v>
      </c>
      <c r="R346" s="86">
        <f t="shared" si="117"/>
        <v>0</v>
      </c>
      <c r="S346" s="86"/>
      <c r="T346" s="86"/>
      <c r="U346" s="71"/>
      <c r="V346" s="56"/>
    </row>
    <row r="347" ht="23.25" customHeight="1" spans="1:22">
      <c r="A347" s="71">
        <v>377</v>
      </c>
      <c r="B347" s="90" t="s">
        <v>1237</v>
      </c>
      <c r="C347" s="71" t="s">
        <v>52</v>
      </c>
      <c r="D347" s="71" t="s">
        <v>202</v>
      </c>
      <c r="E347" s="71"/>
      <c r="F347" s="71"/>
      <c r="G347" s="71"/>
      <c r="H347" s="71"/>
      <c r="I347" s="71"/>
      <c r="J347" s="86"/>
      <c r="K347" s="86"/>
      <c r="L347" s="86"/>
      <c r="M347" s="86"/>
      <c r="N347" s="86"/>
      <c r="O347" s="86"/>
      <c r="P347" s="86"/>
      <c r="Q347" s="86"/>
      <c r="R347" s="76"/>
      <c r="S347" s="86"/>
      <c r="T347" s="86"/>
      <c r="U347" s="86" t="s">
        <v>497</v>
      </c>
      <c r="V347" s="56"/>
    </row>
    <row r="348" ht="23.25" customHeight="1" spans="1:22">
      <c r="A348" s="71">
        <v>378</v>
      </c>
      <c r="B348" s="73" t="s">
        <v>1238</v>
      </c>
      <c r="C348" s="71"/>
      <c r="D348" s="71"/>
      <c r="E348" s="71"/>
      <c r="F348" s="71"/>
      <c r="G348" s="71"/>
      <c r="H348" s="71"/>
      <c r="I348" s="71"/>
      <c r="J348" s="86"/>
      <c r="K348" s="86"/>
      <c r="L348" s="86"/>
      <c r="M348" s="86"/>
      <c r="N348" s="86"/>
      <c r="O348" s="86"/>
      <c r="P348" s="86"/>
      <c r="Q348" s="86"/>
      <c r="R348" s="76"/>
      <c r="S348" s="89"/>
      <c r="T348" s="89"/>
      <c r="U348" s="89" t="s">
        <v>160</v>
      </c>
      <c r="V348" s="56"/>
    </row>
    <row r="349" ht="23.25" customHeight="1" spans="1:22">
      <c r="A349" s="71">
        <v>379</v>
      </c>
      <c r="B349" s="73" t="s">
        <v>1239</v>
      </c>
      <c r="C349" s="71"/>
      <c r="D349" s="71"/>
      <c r="E349" s="71">
        <f t="shared" ref="E349:G349" si="118">E350+E351+E352+E353+E354+E355+E356+E357</f>
        <v>8</v>
      </c>
      <c r="F349" s="71">
        <f t="shared" si="118"/>
        <v>2048</v>
      </c>
      <c r="G349" s="71">
        <f t="shared" si="118"/>
        <v>8440</v>
      </c>
      <c r="H349" s="71">
        <v>2018</v>
      </c>
      <c r="I349" s="71">
        <v>2019</v>
      </c>
      <c r="J349" s="86">
        <f t="shared" ref="J349:L349" si="119">SUM(J350:J357)</f>
        <v>260</v>
      </c>
      <c r="K349" s="86">
        <f t="shared" si="119"/>
        <v>230</v>
      </c>
      <c r="L349" s="86">
        <f t="shared" si="119"/>
        <v>30</v>
      </c>
      <c r="M349" s="86"/>
      <c r="N349" s="86"/>
      <c r="O349" s="86">
        <f>SUM(O350:O357)</f>
        <v>180</v>
      </c>
      <c r="P349" s="86">
        <f>SUM(P350:P357)</f>
        <v>80</v>
      </c>
      <c r="Q349" s="86"/>
      <c r="R349" s="76"/>
      <c r="S349" s="86" t="s">
        <v>1861</v>
      </c>
      <c r="T349" s="86" t="s">
        <v>1862</v>
      </c>
      <c r="U349" s="86" t="s">
        <v>160</v>
      </c>
      <c r="V349" s="56"/>
    </row>
    <row r="350" ht="63" customHeight="1" spans="1:22">
      <c r="A350" s="71">
        <v>380</v>
      </c>
      <c r="B350" s="440" t="s">
        <v>1963</v>
      </c>
      <c r="C350" s="71" t="s">
        <v>52</v>
      </c>
      <c r="D350" s="71" t="s">
        <v>150</v>
      </c>
      <c r="E350" s="71">
        <v>1</v>
      </c>
      <c r="F350" s="71">
        <v>278</v>
      </c>
      <c r="G350" s="71">
        <v>1096</v>
      </c>
      <c r="H350" s="71">
        <v>2018</v>
      </c>
      <c r="I350" s="71">
        <v>2018</v>
      </c>
      <c r="J350" s="86">
        <f t="shared" ref="J350:J357" si="120">SUM(K350:M350)</f>
        <v>30</v>
      </c>
      <c r="K350" s="86">
        <v>30</v>
      </c>
      <c r="L350" s="86"/>
      <c r="M350" s="86"/>
      <c r="N350" s="86"/>
      <c r="O350" s="86">
        <f t="shared" ref="O350:O355" si="121">J350</f>
        <v>30</v>
      </c>
      <c r="P350" s="86"/>
      <c r="Q350" s="86"/>
      <c r="R350" s="76"/>
      <c r="S350" s="86"/>
      <c r="T350" s="86"/>
      <c r="U350" s="86"/>
      <c r="V350" s="56" t="s">
        <v>1839</v>
      </c>
    </row>
    <row r="351" ht="60" customHeight="1" spans="1:22">
      <c r="A351" s="71">
        <v>381</v>
      </c>
      <c r="B351" s="440" t="s">
        <v>1964</v>
      </c>
      <c r="C351" s="71" t="s">
        <v>52</v>
      </c>
      <c r="D351" s="71" t="s">
        <v>150</v>
      </c>
      <c r="E351" s="71">
        <v>1</v>
      </c>
      <c r="F351" s="71">
        <v>312</v>
      </c>
      <c r="G351" s="71">
        <v>1286</v>
      </c>
      <c r="H351" s="71">
        <v>2018</v>
      </c>
      <c r="I351" s="71">
        <v>2018</v>
      </c>
      <c r="J351" s="86">
        <f t="shared" si="120"/>
        <v>30</v>
      </c>
      <c r="K351" s="86">
        <v>30</v>
      </c>
      <c r="L351" s="86"/>
      <c r="M351" s="86"/>
      <c r="N351" s="86"/>
      <c r="O351" s="86">
        <f t="shared" si="121"/>
        <v>30</v>
      </c>
      <c r="P351" s="86"/>
      <c r="Q351" s="86"/>
      <c r="R351" s="76"/>
      <c r="S351" s="86"/>
      <c r="T351" s="86"/>
      <c r="U351" s="86"/>
      <c r="V351" s="56" t="s">
        <v>1839</v>
      </c>
    </row>
    <row r="352" ht="48" customHeight="1" spans="1:22">
      <c r="A352" s="71">
        <v>382</v>
      </c>
      <c r="B352" s="440" t="s">
        <v>1965</v>
      </c>
      <c r="C352" s="71" t="s">
        <v>52</v>
      </c>
      <c r="D352" s="71" t="s">
        <v>150</v>
      </c>
      <c r="E352" s="71">
        <v>1</v>
      </c>
      <c r="F352" s="71">
        <v>139</v>
      </c>
      <c r="G352" s="71">
        <v>557</v>
      </c>
      <c r="H352" s="71">
        <v>2018</v>
      </c>
      <c r="I352" s="71">
        <v>2018</v>
      </c>
      <c r="J352" s="86">
        <f t="shared" si="120"/>
        <v>30</v>
      </c>
      <c r="K352" s="86">
        <v>30</v>
      </c>
      <c r="L352" s="86"/>
      <c r="M352" s="86"/>
      <c r="N352" s="86"/>
      <c r="O352" s="86">
        <f t="shared" si="121"/>
        <v>30</v>
      </c>
      <c r="P352" s="86"/>
      <c r="Q352" s="86"/>
      <c r="R352" s="76"/>
      <c r="S352" s="86"/>
      <c r="T352" s="86"/>
      <c r="U352" s="86"/>
      <c r="V352" s="56" t="s">
        <v>1839</v>
      </c>
    </row>
    <row r="353" ht="35.1" customHeight="1" spans="1:22">
      <c r="A353" s="71">
        <v>383</v>
      </c>
      <c r="B353" s="440" t="s">
        <v>1966</v>
      </c>
      <c r="C353" s="71" t="s">
        <v>52</v>
      </c>
      <c r="D353" s="71" t="s">
        <v>150</v>
      </c>
      <c r="E353" s="71">
        <v>1</v>
      </c>
      <c r="F353" s="71">
        <v>291</v>
      </c>
      <c r="G353" s="71">
        <v>1211</v>
      </c>
      <c r="H353" s="71">
        <v>2018</v>
      </c>
      <c r="I353" s="71">
        <v>2019</v>
      </c>
      <c r="J353" s="86">
        <f t="shared" si="120"/>
        <v>30</v>
      </c>
      <c r="K353" s="86">
        <v>15</v>
      </c>
      <c r="L353" s="86">
        <v>15</v>
      </c>
      <c r="M353" s="86"/>
      <c r="N353" s="86"/>
      <c r="O353" s="86">
        <f t="shared" si="121"/>
        <v>30</v>
      </c>
      <c r="P353" s="86"/>
      <c r="Q353" s="86"/>
      <c r="R353" s="76"/>
      <c r="S353" s="86"/>
      <c r="T353" s="86"/>
      <c r="U353" s="86"/>
      <c r="V353" s="56" t="s">
        <v>1967</v>
      </c>
    </row>
    <row r="354" ht="35.1" customHeight="1" spans="1:22">
      <c r="A354" s="71">
        <v>384</v>
      </c>
      <c r="B354" s="440" t="s">
        <v>1968</v>
      </c>
      <c r="C354" s="71" t="s">
        <v>52</v>
      </c>
      <c r="D354" s="71" t="s">
        <v>150</v>
      </c>
      <c r="E354" s="71">
        <v>1</v>
      </c>
      <c r="F354" s="71">
        <v>358</v>
      </c>
      <c r="G354" s="71">
        <v>1431</v>
      </c>
      <c r="H354" s="71">
        <v>2018</v>
      </c>
      <c r="I354" s="71">
        <v>2019</v>
      </c>
      <c r="J354" s="86">
        <f t="shared" si="120"/>
        <v>30</v>
      </c>
      <c r="K354" s="86">
        <v>15</v>
      </c>
      <c r="L354" s="86">
        <v>15</v>
      </c>
      <c r="M354" s="86"/>
      <c r="N354" s="86"/>
      <c r="O354" s="86">
        <f t="shared" si="121"/>
        <v>30</v>
      </c>
      <c r="P354" s="86"/>
      <c r="Q354" s="86"/>
      <c r="R354" s="76"/>
      <c r="S354" s="86"/>
      <c r="T354" s="86"/>
      <c r="U354" s="86"/>
      <c r="V354" s="56" t="s">
        <v>1967</v>
      </c>
    </row>
    <row r="355" ht="41.1" customHeight="1" spans="1:22">
      <c r="A355" s="71">
        <v>385</v>
      </c>
      <c r="B355" s="440" t="s">
        <v>1969</v>
      </c>
      <c r="C355" s="71" t="s">
        <v>52</v>
      </c>
      <c r="D355" s="71" t="s">
        <v>150</v>
      </c>
      <c r="E355" s="71">
        <v>1</v>
      </c>
      <c r="F355" s="71">
        <v>175</v>
      </c>
      <c r="G355" s="71">
        <v>738</v>
      </c>
      <c r="H355" s="71">
        <v>2018</v>
      </c>
      <c r="I355" s="71">
        <v>2018</v>
      </c>
      <c r="J355" s="86">
        <f t="shared" si="120"/>
        <v>30</v>
      </c>
      <c r="K355" s="86">
        <v>30</v>
      </c>
      <c r="L355" s="86"/>
      <c r="M355" s="86"/>
      <c r="N355" s="86"/>
      <c r="O355" s="86">
        <f t="shared" si="121"/>
        <v>30</v>
      </c>
      <c r="P355" s="86"/>
      <c r="Q355" s="86"/>
      <c r="R355" s="76"/>
      <c r="S355" s="86"/>
      <c r="T355" s="86"/>
      <c r="U355" s="86"/>
      <c r="V355" s="56" t="s">
        <v>1839</v>
      </c>
    </row>
    <row r="356" ht="39" customHeight="1" spans="1:22">
      <c r="A356" s="71">
        <v>386</v>
      </c>
      <c r="B356" s="440" t="s">
        <v>1970</v>
      </c>
      <c r="C356" s="71" t="s">
        <v>52</v>
      </c>
      <c r="D356" s="71" t="s">
        <v>150</v>
      </c>
      <c r="E356" s="71">
        <v>1</v>
      </c>
      <c r="F356" s="71">
        <v>284</v>
      </c>
      <c r="G356" s="71">
        <v>1246</v>
      </c>
      <c r="H356" s="71">
        <v>2018</v>
      </c>
      <c r="I356" s="71">
        <v>2018</v>
      </c>
      <c r="J356" s="86">
        <f t="shared" si="120"/>
        <v>50</v>
      </c>
      <c r="K356" s="86">
        <v>50</v>
      </c>
      <c r="L356" s="86"/>
      <c r="M356" s="86"/>
      <c r="N356" s="86"/>
      <c r="O356" s="86"/>
      <c r="P356" s="86">
        <v>50</v>
      </c>
      <c r="Q356" s="86"/>
      <c r="R356" s="76"/>
      <c r="S356" s="86"/>
      <c r="T356" s="86"/>
      <c r="U356" s="86"/>
      <c r="V356" s="56" t="s">
        <v>1839</v>
      </c>
    </row>
    <row r="357" ht="32.1" customHeight="1" spans="1:22">
      <c r="A357" s="71">
        <v>387</v>
      </c>
      <c r="B357" s="440" t="s">
        <v>1971</v>
      </c>
      <c r="C357" s="71" t="s">
        <v>52</v>
      </c>
      <c r="D357" s="71" t="s">
        <v>150</v>
      </c>
      <c r="E357" s="71">
        <v>1</v>
      </c>
      <c r="F357" s="71">
        <v>211</v>
      </c>
      <c r="G357" s="71">
        <v>875</v>
      </c>
      <c r="H357" s="71">
        <v>2018</v>
      </c>
      <c r="I357" s="71">
        <v>2018</v>
      </c>
      <c r="J357" s="86">
        <f t="shared" si="120"/>
        <v>30</v>
      </c>
      <c r="K357" s="86">
        <v>30</v>
      </c>
      <c r="L357" s="86"/>
      <c r="M357" s="86"/>
      <c r="N357" s="86"/>
      <c r="O357" s="86"/>
      <c r="P357" s="86">
        <v>30</v>
      </c>
      <c r="Q357" s="86"/>
      <c r="R357" s="76"/>
      <c r="S357" s="86"/>
      <c r="T357" s="86"/>
      <c r="U357" s="86"/>
      <c r="V357" s="56" t="s">
        <v>1839</v>
      </c>
    </row>
    <row r="358" ht="17.1" customHeight="1" spans="1:22">
      <c r="A358" s="71">
        <v>388</v>
      </c>
      <c r="B358" s="102" t="s">
        <v>1059</v>
      </c>
      <c r="C358" s="93" t="s">
        <v>52</v>
      </c>
      <c r="D358" s="93" t="s">
        <v>150</v>
      </c>
      <c r="E358" s="101"/>
      <c r="F358" s="101"/>
      <c r="G358" s="101"/>
      <c r="H358" s="101"/>
      <c r="I358" s="101"/>
      <c r="J358" s="392"/>
      <c r="K358" s="392"/>
      <c r="L358" s="392"/>
      <c r="M358" s="392"/>
      <c r="N358" s="442"/>
      <c r="O358" s="442"/>
      <c r="P358" s="442"/>
      <c r="Q358" s="442"/>
      <c r="R358" s="445"/>
      <c r="S358" s="101"/>
      <c r="T358" s="101"/>
      <c r="U358" s="86" t="s">
        <v>43</v>
      </c>
      <c r="V358" s="56"/>
    </row>
    <row r="359" s="63" customFormat="1" ht="30" customHeight="1" spans="1:22">
      <c r="A359" s="71">
        <v>389</v>
      </c>
      <c r="B359" s="441" t="s">
        <v>1060</v>
      </c>
      <c r="C359" s="93" t="s">
        <v>52</v>
      </c>
      <c r="D359" s="93" t="s">
        <v>202</v>
      </c>
      <c r="E359" s="76"/>
      <c r="F359" s="76"/>
      <c r="G359" s="76"/>
      <c r="H359" s="76"/>
      <c r="I359" s="76"/>
      <c r="J359" s="86"/>
      <c r="K359" s="86"/>
      <c r="L359" s="86"/>
      <c r="M359" s="86"/>
      <c r="N359" s="86"/>
      <c r="O359" s="86"/>
      <c r="P359" s="86"/>
      <c r="Q359" s="86"/>
      <c r="R359" s="76"/>
      <c r="S359" s="76"/>
      <c r="T359" s="76"/>
      <c r="U359" s="93"/>
      <c r="V359" s="136"/>
    </row>
    <row r="360" ht="18.95" customHeight="1" spans="1:22">
      <c r="A360" s="71">
        <v>390</v>
      </c>
      <c r="B360" s="102" t="s">
        <v>1534</v>
      </c>
      <c r="C360" s="101"/>
      <c r="D360" s="101"/>
      <c r="E360" s="101"/>
      <c r="F360" s="101"/>
      <c r="G360" s="101"/>
      <c r="H360" s="101"/>
      <c r="I360" s="101"/>
      <c r="J360" s="392"/>
      <c r="K360" s="392"/>
      <c r="L360" s="392"/>
      <c r="M360" s="392"/>
      <c r="N360" s="392"/>
      <c r="O360" s="392"/>
      <c r="P360" s="392"/>
      <c r="Q360" s="392"/>
      <c r="R360" s="93"/>
      <c r="S360" s="101"/>
      <c r="T360" s="101"/>
      <c r="U360" s="101"/>
      <c r="V360" s="56"/>
    </row>
    <row r="361" spans="1:21">
      <c r="A361" s="203"/>
      <c r="B361" s="203"/>
      <c r="C361" s="203"/>
      <c r="D361" s="203"/>
      <c r="E361" s="203"/>
      <c r="F361" s="203"/>
      <c r="G361" s="203"/>
      <c r="H361" s="203"/>
      <c r="I361" s="203"/>
      <c r="J361" s="203"/>
      <c r="K361" s="203"/>
      <c r="L361" s="203"/>
      <c r="M361" s="203"/>
      <c r="N361" s="443"/>
      <c r="O361" s="443"/>
      <c r="P361" s="443"/>
      <c r="Q361" s="443"/>
      <c r="R361" s="443"/>
      <c r="S361" s="203"/>
      <c r="T361" s="203"/>
      <c r="U361" s="203"/>
    </row>
    <row r="362" ht="29.1" customHeight="1" spans="1:21">
      <c r="A362" s="204"/>
      <c r="B362" s="204"/>
      <c r="C362" s="204"/>
      <c r="D362" s="204"/>
      <c r="E362" s="204"/>
      <c r="F362" s="204"/>
      <c r="G362" s="204"/>
      <c r="H362" s="204"/>
      <c r="I362" s="204"/>
      <c r="J362" s="204"/>
      <c r="K362" s="204"/>
      <c r="L362" s="204"/>
      <c r="M362" s="204"/>
      <c r="N362" s="444"/>
      <c r="O362" s="444"/>
      <c r="P362" s="444"/>
      <c r="Q362" s="444"/>
      <c r="R362" s="444"/>
      <c r="S362" s="204"/>
      <c r="T362" s="204"/>
      <c r="U362" s="204"/>
    </row>
    <row r="363" ht="18.95" customHeight="1" spans="1:21">
      <c r="A363" s="203"/>
      <c r="B363" s="203"/>
      <c r="C363" s="203"/>
      <c r="D363" s="203"/>
      <c r="E363" s="203"/>
      <c r="F363" s="203"/>
      <c r="G363" s="203"/>
      <c r="H363" s="203"/>
      <c r="I363" s="203"/>
      <c r="J363" s="203"/>
      <c r="K363" s="203"/>
      <c r="L363" s="203"/>
      <c r="M363" s="203"/>
      <c r="N363" s="443"/>
      <c r="O363" s="443"/>
      <c r="P363" s="443"/>
      <c r="Q363" s="443"/>
      <c r="R363" s="443"/>
      <c r="S363" s="203"/>
      <c r="T363" s="203"/>
      <c r="U363" s="203"/>
    </row>
  </sheetData>
  <mergeCells count="18">
    <mergeCell ref="A1:B1"/>
    <mergeCell ref="A2:V2"/>
    <mergeCell ref="A3:T3"/>
    <mergeCell ref="F4:G4"/>
    <mergeCell ref="H4:I4"/>
    <mergeCell ref="J4:M4"/>
    <mergeCell ref="N4:R4"/>
    <mergeCell ref="A361:U361"/>
    <mergeCell ref="A362:U362"/>
    <mergeCell ref="A363:U363"/>
    <mergeCell ref="A4:A6"/>
    <mergeCell ref="B4:B6"/>
    <mergeCell ref="C4:C6"/>
    <mergeCell ref="D4:D5"/>
    <mergeCell ref="E4:E5"/>
    <mergeCell ref="U4:U5"/>
    <mergeCell ref="V4:V5"/>
    <mergeCell ref="S4:T5"/>
  </mergeCells>
  <dataValidations count="1">
    <dataValidation allowBlank="1" showInputMessage="1" showErrorMessage="1" sqref="A2"/>
  </dataValidations>
  <pageMargins left="0.699305555555556" right="0.699305555555556" top="0.275" bottom="0.196527777777778" header="0.3" footer="0.3"/>
  <pageSetup paperSize="9" scale="54" fitToHeight="0" orientation="landscape"/>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F322"/>
  <sheetViews>
    <sheetView view="pageBreakPreview" zoomScaleNormal="81" topLeftCell="A294" workbookViewId="0">
      <selection activeCell="M297" sqref="M297"/>
    </sheetView>
  </sheetViews>
  <sheetFormatPr defaultColWidth="9" defaultRowHeight="16.5"/>
  <cols>
    <col min="1" max="1" width="3.88333333333333" style="322" customWidth="1"/>
    <col min="2" max="2" width="15.3833333333333" style="322" customWidth="1"/>
    <col min="3" max="3" width="8.75" style="322" customWidth="1"/>
    <col min="4" max="4" width="6" style="322" customWidth="1"/>
    <col min="5" max="5" width="11.6333333333333" style="322" customWidth="1"/>
    <col min="6" max="10" width="8.5" style="322" customWidth="1"/>
    <col min="11" max="11" width="11.6333333333333" style="322" customWidth="1"/>
    <col min="12" max="12" width="9.25" style="322" customWidth="1"/>
    <col min="13" max="13" width="9.88333333333333" style="322" customWidth="1"/>
    <col min="14" max="14" width="11.75" style="67" customWidth="1"/>
    <col min="15" max="15" width="10.1333333333333" style="67" customWidth="1"/>
    <col min="16" max="16" width="8.5" style="67" customWidth="1"/>
    <col min="17" max="17" width="6.63333333333333" style="67" customWidth="1"/>
    <col min="18" max="18" width="7.25" style="203" customWidth="1"/>
    <col min="19" max="19" width="6.63333333333333" style="322" customWidth="1"/>
    <col min="20" max="20" width="7.38333333333333" style="322" customWidth="1"/>
    <col min="21" max="21" width="6.63333333333333" style="322" customWidth="1"/>
    <col min="22" max="23" width="9.38333333333333" style="323" customWidth="1"/>
    <col min="24" max="24" width="15.3833333333333" style="324"/>
    <col min="25" max="25" width="14.1333333333333" style="324" customWidth="1"/>
    <col min="26" max="28" width="12.75" style="324"/>
    <col min="29" max="29" width="14.3833333333333" style="324" customWidth="1"/>
    <col min="30" max="31" width="12.75" style="324"/>
    <col min="32" max="32" width="10.25" style="324"/>
    <col min="33" max="16384" width="9" style="324"/>
  </cols>
  <sheetData>
    <row r="1" ht="19.5" customHeight="1" spans="1:21">
      <c r="A1" s="325" t="s">
        <v>1972</v>
      </c>
      <c r="B1" s="326"/>
      <c r="C1" s="326"/>
      <c r="D1" s="326"/>
      <c r="E1" s="326"/>
      <c r="F1" s="326"/>
      <c r="G1" s="326"/>
      <c r="H1" s="326"/>
      <c r="I1" s="326"/>
      <c r="J1" s="326"/>
      <c r="K1" s="326"/>
      <c r="L1" s="326"/>
      <c r="M1" s="326"/>
      <c r="N1" s="326"/>
      <c r="O1" s="326"/>
      <c r="P1" s="326"/>
      <c r="Q1" s="326">
        <f>Q7-Q8-Q35-Q66-Q97-Q172-Q204-Q220-Q254-Q299</f>
        <v>0</v>
      </c>
      <c r="R1" s="325"/>
      <c r="S1" s="326"/>
      <c r="T1" s="326"/>
      <c r="U1" s="326"/>
    </row>
    <row r="2" ht="25.5" customHeight="1" spans="1:21">
      <c r="A2" s="327" t="s">
        <v>1973</v>
      </c>
      <c r="B2" s="328"/>
      <c r="C2" s="328"/>
      <c r="D2" s="328"/>
      <c r="E2" s="328"/>
      <c r="F2" s="328"/>
      <c r="G2" s="328"/>
      <c r="H2" s="328"/>
      <c r="I2" s="328"/>
      <c r="J2" s="328"/>
      <c r="K2" s="328"/>
      <c r="L2" s="328"/>
      <c r="M2" s="328"/>
      <c r="N2" s="8"/>
      <c r="O2" s="8"/>
      <c r="P2" s="8"/>
      <c r="Q2" s="8"/>
      <c r="R2" s="352"/>
      <c r="S2" s="328"/>
      <c r="T2" s="328"/>
      <c r="U2" s="328"/>
    </row>
    <row r="3" s="315" customFormat="1" ht="24" customHeight="1" spans="1:24">
      <c r="A3" s="329" t="s">
        <v>1974</v>
      </c>
      <c r="B3" s="329"/>
      <c r="C3" s="329"/>
      <c r="D3" s="329"/>
      <c r="E3" s="329"/>
      <c r="F3" s="329"/>
      <c r="G3" s="329"/>
      <c r="H3" s="329"/>
      <c r="I3" s="329"/>
      <c r="J3" s="329"/>
      <c r="K3" s="329"/>
      <c r="L3" s="329"/>
      <c r="M3" s="329"/>
      <c r="N3" s="329"/>
      <c r="O3" s="329"/>
      <c r="P3" s="329"/>
      <c r="Q3" s="329"/>
      <c r="R3" s="329"/>
      <c r="S3" s="329"/>
      <c r="T3" s="329"/>
      <c r="U3" s="353"/>
      <c r="V3" s="323"/>
      <c r="W3" s="323"/>
      <c r="X3" s="59"/>
    </row>
    <row r="4" s="315" customFormat="1" ht="21.75" customHeight="1" spans="1:31">
      <c r="A4" s="111" t="s">
        <v>3</v>
      </c>
      <c r="B4" s="111" t="s">
        <v>4</v>
      </c>
      <c r="C4" s="56" t="s">
        <v>1066</v>
      </c>
      <c r="D4" s="112" t="s">
        <v>6</v>
      </c>
      <c r="E4" s="56" t="s">
        <v>736</v>
      </c>
      <c r="F4" s="112" t="s">
        <v>737</v>
      </c>
      <c r="G4" s="330"/>
      <c r="H4" s="56" t="s">
        <v>11</v>
      </c>
      <c r="I4" s="332"/>
      <c r="J4" s="118" t="s">
        <v>12</v>
      </c>
      <c r="K4" s="337"/>
      <c r="L4" s="337"/>
      <c r="M4" s="337"/>
      <c r="N4" s="77" t="s">
        <v>13</v>
      </c>
      <c r="O4" s="77"/>
      <c r="P4" s="77"/>
      <c r="Q4" s="77"/>
      <c r="R4" s="77"/>
      <c r="S4" s="126" t="s">
        <v>1975</v>
      </c>
      <c r="T4" s="354"/>
      <c r="U4" s="128" t="s">
        <v>19</v>
      </c>
      <c r="V4" s="56" t="s">
        <v>20</v>
      </c>
      <c r="W4" s="323"/>
      <c r="X4" s="355"/>
      <c r="Y4" s="367"/>
      <c r="Z4" s="367"/>
      <c r="AA4" s="367"/>
      <c r="AB4" s="368"/>
      <c r="AC4" s="368"/>
      <c r="AD4" s="367"/>
      <c r="AE4" s="367"/>
    </row>
    <row r="5" ht="34.5" customHeight="1" spans="1:25">
      <c r="A5" s="331"/>
      <c r="B5" s="331"/>
      <c r="C5" s="332"/>
      <c r="D5" s="330"/>
      <c r="E5" s="332"/>
      <c r="F5" s="56" t="s">
        <v>384</v>
      </c>
      <c r="G5" s="56" t="s">
        <v>147</v>
      </c>
      <c r="H5" s="56" t="s">
        <v>22</v>
      </c>
      <c r="I5" s="56" t="s">
        <v>23</v>
      </c>
      <c r="J5" s="120" t="s">
        <v>38</v>
      </c>
      <c r="K5" s="332" t="s">
        <v>1976</v>
      </c>
      <c r="L5" s="332" t="s">
        <v>1977</v>
      </c>
      <c r="M5" s="332" t="s">
        <v>1978</v>
      </c>
      <c r="N5" s="17" t="s">
        <v>25</v>
      </c>
      <c r="O5" s="17" t="s">
        <v>26</v>
      </c>
      <c r="P5" s="17" t="s">
        <v>27</v>
      </c>
      <c r="Q5" s="17" t="s">
        <v>28</v>
      </c>
      <c r="R5" s="356" t="s">
        <v>29</v>
      </c>
      <c r="S5" s="357"/>
      <c r="T5" s="358"/>
      <c r="U5" s="359"/>
      <c r="V5" s="332"/>
      <c r="X5" s="68"/>
      <c r="Y5" s="317"/>
    </row>
    <row r="6" ht="22.5" customHeight="1" spans="1:25">
      <c r="A6" s="333"/>
      <c r="B6" s="333"/>
      <c r="C6" s="332"/>
      <c r="D6" s="332">
        <v>1</v>
      </c>
      <c r="E6" s="332">
        <v>2</v>
      </c>
      <c r="F6" s="332">
        <v>3</v>
      </c>
      <c r="G6" s="332">
        <v>4</v>
      </c>
      <c r="H6" s="332">
        <v>5</v>
      </c>
      <c r="I6" s="332">
        <v>6</v>
      </c>
      <c r="J6" s="332" t="s">
        <v>740</v>
      </c>
      <c r="K6" s="332">
        <v>8</v>
      </c>
      <c r="L6" s="332">
        <v>9</v>
      </c>
      <c r="M6" s="332">
        <v>10</v>
      </c>
      <c r="N6" s="332">
        <v>11</v>
      </c>
      <c r="O6" s="332">
        <v>12</v>
      </c>
      <c r="P6" s="332">
        <v>13</v>
      </c>
      <c r="Q6" s="332">
        <v>14</v>
      </c>
      <c r="R6" s="332">
        <v>15</v>
      </c>
      <c r="S6" s="332">
        <v>16</v>
      </c>
      <c r="T6" s="332">
        <v>17</v>
      </c>
      <c r="U6" s="332">
        <v>18</v>
      </c>
      <c r="V6" s="332"/>
      <c r="X6" s="68"/>
      <c r="Y6" s="316"/>
    </row>
    <row r="7" s="316" customFormat="1" ht="23.25" customHeight="1" spans="1:32">
      <c r="A7" s="334">
        <v>0</v>
      </c>
      <c r="B7" s="28" t="s">
        <v>1979</v>
      </c>
      <c r="C7" s="334" t="s">
        <v>320</v>
      </c>
      <c r="D7" s="334" t="s">
        <v>320</v>
      </c>
      <c r="E7" s="334"/>
      <c r="F7" s="334"/>
      <c r="G7" s="334"/>
      <c r="H7" s="334"/>
      <c r="I7" s="334"/>
      <c r="J7" s="338">
        <f t="shared" ref="J7:R7" si="0">J8+J35+J66+J97+J193+J172+J204+J220+J254+J299</f>
        <v>12829.340676</v>
      </c>
      <c r="K7" s="338">
        <f t="shared" si="0"/>
        <v>4900.5383</v>
      </c>
      <c r="L7" s="338">
        <f t="shared" si="0"/>
        <v>6897.03224</v>
      </c>
      <c r="M7" s="338">
        <f t="shared" si="0"/>
        <v>1031.770136</v>
      </c>
      <c r="N7" s="338">
        <f t="shared" si="0"/>
        <v>2754.639976</v>
      </c>
      <c r="O7" s="338">
        <f t="shared" si="0"/>
        <v>6572.9475</v>
      </c>
      <c r="P7" s="338">
        <f t="shared" si="0"/>
        <v>1342.7532</v>
      </c>
      <c r="Q7" s="338">
        <f t="shared" si="0"/>
        <v>2159</v>
      </c>
      <c r="R7" s="338">
        <f t="shared" si="0"/>
        <v>0</v>
      </c>
      <c r="S7" s="334" t="s">
        <v>320</v>
      </c>
      <c r="T7" s="334" t="s">
        <v>320</v>
      </c>
      <c r="U7" s="334" t="s">
        <v>320</v>
      </c>
      <c r="V7" s="360"/>
      <c r="W7" s="361"/>
      <c r="X7" s="362"/>
      <c r="Y7" s="369"/>
      <c r="Z7" s="369"/>
      <c r="AA7" s="369"/>
      <c r="AB7" s="369"/>
      <c r="AC7" s="369"/>
      <c r="AD7" s="369"/>
      <c r="AE7" s="370"/>
      <c r="AF7" s="369"/>
    </row>
    <row r="8" s="317" customFormat="1" ht="23.25" customHeight="1" spans="1:25">
      <c r="A8" s="147">
        <v>1</v>
      </c>
      <c r="B8" s="28" t="s">
        <v>742</v>
      </c>
      <c r="C8" s="71" t="s">
        <v>52</v>
      </c>
      <c r="D8" s="71" t="s">
        <v>384</v>
      </c>
      <c r="E8" s="147">
        <f t="shared" ref="E8:G8" si="1">E10+E29</f>
        <v>1986</v>
      </c>
      <c r="F8" s="147">
        <f t="shared" si="1"/>
        <v>857</v>
      </c>
      <c r="G8" s="147">
        <f t="shared" si="1"/>
        <v>3333</v>
      </c>
      <c r="H8" s="147">
        <v>2018</v>
      </c>
      <c r="I8" s="147">
        <v>2018</v>
      </c>
      <c r="J8" s="147">
        <f t="shared" ref="J8:R8" si="2">J10+J29</f>
        <v>3870.2</v>
      </c>
      <c r="K8" s="339">
        <f t="shared" si="2"/>
        <v>2663.6</v>
      </c>
      <c r="L8" s="339">
        <f t="shared" si="2"/>
        <v>1206.6</v>
      </c>
      <c r="M8" s="339">
        <f t="shared" si="2"/>
        <v>0</v>
      </c>
      <c r="N8" s="147">
        <f t="shared" si="2"/>
        <v>0</v>
      </c>
      <c r="O8" s="147">
        <f t="shared" si="2"/>
        <v>3209.6</v>
      </c>
      <c r="P8" s="147">
        <f t="shared" si="2"/>
        <v>660.6</v>
      </c>
      <c r="Q8" s="147">
        <f t="shared" si="2"/>
        <v>0</v>
      </c>
      <c r="R8" s="147">
        <f t="shared" si="2"/>
        <v>0</v>
      </c>
      <c r="S8" s="147" t="s">
        <v>320</v>
      </c>
      <c r="T8" s="147" t="s">
        <v>320</v>
      </c>
      <c r="U8" s="147" t="s">
        <v>320</v>
      </c>
      <c r="V8" s="363"/>
      <c r="W8" s="364"/>
      <c r="X8" s="365"/>
      <c r="Y8" s="68"/>
    </row>
    <row r="9" s="317" customFormat="1" spans="1:24">
      <c r="A9" s="147">
        <v>2</v>
      </c>
      <c r="B9" s="71" t="s">
        <v>380</v>
      </c>
      <c r="C9" s="71" t="s">
        <v>52</v>
      </c>
      <c r="D9" s="71" t="s">
        <v>384</v>
      </c>
      <c r="E9" s="147"/>
      <c r="F9" s="147"/>
      <c r="G9" s="147"/>
      <c r="H9" s="147"/>
      <c r="I9" s="147"/>
      <c r="J9" s="147"/>
      <c r="K9" s="340"/>
      <c r="L9" s="340"/>
      <c r="M9" s="340"/>
      <c r="N9" s="336"/>
      <c r="O9" s="336"/>
      <c r="P9" s="336"/>
      <c r="Q9" s="336"/>
      <c r="R9" s="366"/>
      <c r="S9" s="147" t="s">
        <v>320</v>
      </c>
      <c r="T9" s="147" t="s">
        <v>320</v>
      </c>
      <c r="U9" s="147" t="s">
        <v>320</v>
      </c>
      <c r="V9" s="363"/>
      <c r="W9" s="364"/>
      <c r="X9" s="365"/>
    </row>
    <row r="10" s="317" customFormat="1" spans="1:24">
      <c r="A10" s="147">
        <v>3</v>
      </c>
      <c r="B10" s="139" t="s">
        <v>761</v>
      </c>
      <c r="C10" s="139" t="s">
        <v>52</v>
      </c>
      <c r="D10" s="139" t="s">
        <v>384</v>
      </c>
      <c r="E10" s="335">
        <f t="shared" ref="E10:G10" si="3">E11+E17+E23</f>
        <v>1619</v>
      </c>
      <c r="F10" s="335">
        <f t="shared" si="3"/>
        <v>857</v>
      </c>
      <c r="G10" s="335">
        <f t="shared" si="3"/>
        <v>3333</v>
      </c>
      <c r="H10" s="335">
        <v>2018</v>
      </c>
      <c r="I10" s="335">
        <v>2018</v>
      </c>
      <c r="J10" s="335">
        <f t="shared" ref="J10:O10" si="4">J11+J17+J23</f>
        <v>3209.6</v>
      </c>
      <c r="K10" s="341">
        <f t="shared" si="4"/>
        <v>2663.6</v>
      </c>
      <c r="L10" s="342">
        <f t="shared" si="4"/>
        <v>546</v>
      </c>
      <c r="M10" s="342">
        <f t="shared" si="4"/>
        <v>0</v>
      </c>
      <c r="N10" s="335">
        <f t="shared" si="4"/>
        <v>0</v>
      </c>
      <c r="O10" s="335">
        <f t="shared" si="4"/>
        <v>3209.6</v>
      </c>
      <c r="P10" s="335"/>
      <c r="Q10" s="335">
        <f>Q11+Q17+Q23</f>
        <v>0</v>
      </c>
      <c r="R10" s="335">
        <f>R11+R17+R23</f>
        <v>0</v>
      </c>
      <c r="S10" s="102" t="s">
        <v>1980</v>
      </c>
      <c r="T10" s="86" t="s">
        <v>1981</v>
      </c>
      <c r="U10" s="86" t="s">
        <v>273</v>
      </c>
      <c r="V10" s="335"/>
      <c r="W10" s="164"/>
      <c r="X10" s="365"/>
    </row>
    <row r="11" s="317" customFormat="1" spans="1:24">
      <c r="A11" s="147">
        <v>4</v>
      </c>
      <c r="B11" s="147" t="s">
        <v>762</v>
      </c>
      <c r="C11" s="71" t="s">
        <v>52</v>
      </c>
      <c r="D11" s="71" t="s">
        <v>384</v>
      </c>
      <c r="E11" s="335">
        <f t="shared" ref="E11:G11" si="5">SUM(E12:E16)</f>
        <v>182</v>
      </c>
      <c r="F11" s="335">
        <f t="shared" si="5"/>
        <v>90</v>
      </c>
      <c r="G11" s="335">
        <f t="shared" si="5"/>
        <v>334</v>
      </c>
      <c r="H11" s="335">
        <v>2018</v>
      </c>
      <c r="I11" s="335">
        <v>2018</v>
      </c>
      <c r="J11" s="335">
        <f t="shared" ref="J11:J34" si="6">K11+L11+M11</f>
        <v>546</v>
      </c>
      <c r="K11" s="341">
        <f>SUM(K12:K16)</f>
        <v>0</v>
      </c>
      <c r="L11" s="341">
        <f t="shared" ref="L11:R11" si="7">SUM(L12:L16)</f>
        <v>546</v>
      </c>
      <c r="M11" s="341">
        <f t="shared" si="7"/>
        <v>0</v>
      </c>
      <c r="N11" s="341">
        <f t="shared" si="7"/>
        <v>0</v>
      </c>
      <c r="O11" s="341">
        <f t="shared" si="7"/>
        <v>546</v>
      </c>
      <c r="P11" s="341">
        <f t="shared" si="7"/>
        <v>0</v>
      </c>
      <c r="Q11" s="341">
        <f t="shared" si="7"/>
        <v>0</v>
      </c>
      <c r="R11" s="341">
        <f t="shared" si="7"/>
        <v>0</v>
      </c>
      <c r="S11" s="102" t="s">
        <v>1982</v>
      </c>
      <c r="T11" s="86" t="s">
        <v>1981</v>
      </c>
      <c r="U11" s="86" t="s">
        <v>273</v>
      </c>
      <c r="V11" s="363"/>
      <c r="W11" s="364"/>
      <c r="X11" s="365"/>
    </row>
    <row r="12" s="317" customFormat="1" ht="24" spans="1:32">
      <c r="A12" s="147">
        <v>5</v>
      </c>
      <c r="B12" s="71" t="s">
        <v>1983</v>
      </c>
      <c r="C12" s="71" t="s">
        <v>52</v>
      </c>
      <c r="D12" s="71" t="s">
        <v>384</v>
      </c>
      <c r="E12" s="335">
        <v>49</v>
      </c>
      <c r="F12" s="335">
        <v>25</v>
      </c>
      <c r="G12" s="335">
        <v>101</v>
      </c>
      <c r="H12" s="335">
        <v>2018</v>
      </c>
      <c r="I12" s="335">
        <v>2018</v>
      </c>
      <c r="J12" s="335">
        <f t="shared" si="6"/>
        <v>147</v>
      </c>
      <c r="K12" s="342"/>
      <c r="L12" s="343">
        <v>147</v>
      </c>
      <c r="M12" s="344"/>
      <c r="N12" s="336"/>
      <c r="O12" s="335">
        <f t="shared" ref="O12:O28" si="8">J12</f>
        <v>147</v>
      </c>
      <c r="P12" s="336"/>
      <c r="Q12" s="336"/>
      <c r="R12" s="366"/>
      <c r="S12" s="102" t="s">
        <v>1984</v>
      </c>
      <c r="T12" s="86" t="s">
        <v>1985</v>
      </c>
      <c r="U12" s="86" t="s">
        <v>273</v>
      </c>
      <c r="V12" s="363"/>
      <c r="W12" s="364"/>
      <c r="X12" s="365"/>
      <c r="Y12" s="365"/>
      <c r="Z12" s="365"/>
      <c r="AA12" s="365"/>
      <c r="AB12" s="365"/>
      <c r="AC12" s="365"/>
      <c r="AD12" s="365"/>
      <c r="AE12" s="365"/>
      <c r="AF12" s="365"/>
    </row>
    <row r="13" s="317" customFormat="1" ht="24" spans="1:24">
      <c r="A13" s="147">
        <v>6</v>
      </c>
      <c r="B13" s="71" t="s">
        <v>1986</v>
      </c>
      <c r="C13" s="71" t="s">
        <v>52</v>
      </c>
      <c r="D13" s="71" t="s">
        <v>384</v>
      </c>
      <c r="E13" s="335">
        <v>30</v>
      </c>
      <c r="F13" s="335">
        <v>18</v>
      </c>
      <c r="G13" s="335">
        <v>62</v>
      </c>
      <c r="H13" s="335">
        <v>2018</v>
      </c>
      <c r="I13" s="335">
        <v>2018</v>
      </c>
      <c r="J13" s="335">
        <f t="shared" si="6"/>
        <v>90</v>
      </c>
      <c r="K13" s="341"/>
      <c r="L13" s="343">
        <v>90</v>
      </c>
      <c r="M13" s="344"/>
      <c r="N13" s="336"/>
      <c r="O13" s="335">
        <f t="shared" si="8"/>
        <v>90</v>
      </c>
      <c r="P13" s="336"/>
      <c r="Q13" s="336"/>
      <c r="R13" s="366"/>
      <c r="S13" s="102" t="s">
        <v>1987</v>
      </c>
      <c r="T13" s="86" t="s">
        <v>1988</v>
      </c>
      <c r="U13" s="86" t="s">
        <v>273</v>
      </c>
      <c r="V13" s="363"/>
      <c r="W13" s="364"/>
      <c r="X13" s="365"/>
    </row>
    <row r="14" s="317" customFormat="1" ht="24" spans="1:32">
      <c r="A14" s="147">
        <v>7</v>
      </c>
      <c r="B14" s="71" t="s">
        <v>1989</v>
      </c>
      <c r="C14" s="71" t="s">
        <v>52</v>
      </c>
      <c r="D14" s="71" t="s">
        <v>384</v>
      </c>
      <c r="E14" s="335">
        <v>24</v>
      </c>
      <c r="F14" s="335">
        <v>13</v>
      </c>
      <c r="G14" s="335">
        <v>55</v>
      </c>
      <c r="H14" s="335">
        <v>2018</v>
      </c>
      <c r="I14" s="335">
        <v>2018</v>
      </c>
      <c r="J14" s="335">
        <f t="shared" si="6"/>
        <v>72</v>
      </c>
      <c r="K14" s="342"/>
      <c r="L14" s="343">
        <v>72</v>
      </c>
      <c r="M14" s="344"/>
      <c r="N14" s="336"/>
      <c r="O14" s="335">
        <f t="shared" si="8"/>
        <v>72</v>
      </c>
      <c r="P14" s="336"/>
      <c r="Q14" s="336"/>
      <c r="R14" s="366"/>
      <c r="S14" s="102" t="s">
        <v>1980</v>
      </c>
      <c r="T14" s="86" t="s">
        <v>1990</v>
      </c>
      <c r="U14" s="86" t="s">
        <v>273</v>
      </c>
      <c r="V14" s="363"/>
      <c r="W14" s="364"/>
      <c r="X14" s="365"/>
      <c r="Y14" s="365"/>
      <c r="Z14" s="365"/>
      <c r="AA14" s="365"/>
      <c r="AB14" s="365"/>
      <c r="AC14" s="365"/>
      <c r="AD14" s="365"/>
      <c r="AE14" s="365"/>
      <c r="AF14" s="365"/>
    </row>
    <row r="15" s="317" customFormat="1" spans="1:24">
      <c r="A15" s="147">
        <v>8</v>
      </c>
      <c r="B15" s="71" t="s">
        <v>1991</v>
      </c>
      <c r="C15" s="71" t="s">
        <v>52</v>
      </c>
      <c r="D15" s="71" t="s">
        <v>384</v>
      </c>
      <c r="E15" s="335">
        <v>62</v>
      </c>
      <c r="F15" s="335">
        <v>23</v>
      </c>
      <c r="G15" s="335">
        <v>84</v>
      </c>
      <c r="H15" s="335">
        <v>2018</v>
      </c>
      <c r="I15" s="335">
        <v>2018</v>
      </c>
      <c r="J15" s="335">
        <f t="shared" si="6"/>
        <v>186</v>
      </c>
      <c r="K15" s="341"/>
      <c r="L15" s="343">
        <v>186</v>
      </c>
      <c r="M15" s="344"/>
      <c r="N15" s="336"/>
      <c r="O15" s="335">
        <f t="shared" si="8"/>
        <v>186</v>
      </c>
      <c r="P15" s="336"/>
      <c r="Q15" s="336"/>
      <c r="R15" s="366"/>
      <c r="S15" s="102" t="s">
        <v>1982</v>
      </c>
      <c r="T15" s="86" t="s">
        <v>1981</v>
      </c>
      <c r="U15" s="86" t="s">
        <v>273</v>
      </c>
      <c r="V15" s="363"/>
      <c r="W15" s="364"/>
      <c r="X15" s="365"/>
    </row>
    <row r="16" s="317" customFormat="1" ht="24" spans="1:24">
      <c r="A16" s="147">
        <v>9</v>
      </c>
      <c r="B16" s="71" t="s">
        <v>1992</v>
      </c>
      <c r="C16" s="71" t="s">
        <v>52</v>
      </c>
      <c r="D16" s="71" t="s">
        <v>384</v>
      </c>
      <c r="E16" s="335">
        <v>17</v>
      </c>
      <c r="F16" s="335">
        <v>11</v>
      </c>
      <c r="G16" s="335">
        <v>32</v>
      </c>
      <c r="H16" s="335">
        <v>2018</v>
      </c>
      <c r="I16" s="335">
        <v>2018</v>
      </c>
      <c r="J16" s="335">
        <f t="shared" si="6"/>
        <v>51</v>
      </c>
      <c r="K16" s="341"/>
      <c r="L16" s="343">
        <v>51</v>
      </c>
      <c r="M16" s="344"/>
      <c r="N16" s="336"/>
      <c r="O16" s="335">
        <f t="shared" si="8"/>
        <v>51</v>
      </c>
      <c r="P16" s="336"/>
      <c r="Q16" s="336"/>
      <c r="R16" s="366"/>
      <c r="S16" s="102" t="s">
        <v>1993</v>
      </c>
      <c r="T16" s="86" t="s">
        <v>1994</v>
      </c>
      <c r="U16" s="86" t="s">
        <v>273</v>
      </c>
      <c r="V16" s="363"/>
      <c r="W16" s="364"/>
      <c r="X16" s="365"/>
    </row>
    <row r="17" s="317" customFormat="1" spans="1:24">
      <c r="A17" s="147">
        <v>10</v>
      </c>
      <c r="B17" s="147" t="s">
        <v>773</v>
      </c>
      <c r="C17" s="71" t="s">
        <v>52</v>
      </c>
      <c r="D17" s="71" t="s">
        <v>384</v>
      </c>
      <c r="E17" s="335">
        <f t="shared" ref="E17:G17" si="9">SUM(E18:E22)</f>
        <v>1402</v>
      </c>
      <c r="F17" s="335">
        <f t="shared" si="9"/>
        <v>737</v>
      </c>
      <c r="G17" s="335">
        <f t="shared" si="9"/>
        <v>2937</v>
      </c>
      <c r="H17" s="335">
        <v>2018</v>
      </c>
      <c r="I17" s="335">
        <v>2018</v>
      </c>
      <c r="J17" s="335">
        <f t="shared" si="6"/>
        <v>2523.6</v>
      </c>
      <c r="K17" s="341">
        <f>K18+K19+K20+K21+K22</f>
        <v>2523.6</v>
      </c>
      <c r="L17" s="343"/>
      <c r="M17" s="344"/>
      <c r="N17" s="336"/>
      <c r="O17" s="335">
        <f t="shared" si="8"/>
        <v>2523.6</v>
      </c>
      <c r="P17" s="336"/>
      <c r="Q17" s="336"/>
      <c r="R17" s="366"/>
      <c r="S17" s="102" t="s">
        <v>1982</v>
      </c>
      <c r="T17" s="86" t="s">
        <v>1981</v>
      </c>
      <c r="U17" s="86" t="s">
        <v>273</v>
      </c>
      <c r="V17" s="363"/>
      <c r="W17" s="364"/>
      <c r="X17" s="365"/>
    </row>
    <row r="18" s="317" customFormat="1" ht="24" spans="1:24">
      <c r="A18" s="147">
        <v>11</v>
      </c>
      <c r="B18" s="71" t="s">
        <v>1983</v>
      </c>
      <c r="C18" s="71" t="s">
        <v>52</v>
      </c>
      <c r="D18" s="71" t="s">
        <v>384</v>
      </c>
      <c r="E18" s="335">
        <v>317</v>
      </c>
      <c r="F18" s="335">
        <v>209</v>
      </c>
      <c r="G18" s="335">
        <v>842</v>
      </c>
      <c r="H18" s="335">
        <v>2018</v>
      </c>
      <c r="I18" s="335">
        <v>2018</v>
      </c>
      <c r="J18" s="335">
        <f t="shared" si="6"/>
        <v>570.6</v>
      </c>
      <c r="K18" s="345">
        <f t="shared" ref="K18:K22" si="10">E18*1.8</f>
        <v>570.6</v>
      </c>
      <c r="L18" s="343"/>
      <c r="M18" s="344"/>
      <c r="N18" s="336"/>
      <c r="O18" s="335">
        <f t="shared" si="8"/>
        <v>570.6</v>
      </c>
      <c r="P18" s="336"/>
      <c r="Q18" s="336"/>
      <c r="R18" s="366"/>
      <c r="S18" s="102" t="s">
        <v>1984</v>
      </c>
      <c r="T18" s="86" t="s">
        <v>1985</v>
      </c>
      <c r="U18" s="86" t="s">
        <v>273</v>
      </c>
      <c r="V18" s="363"/>
      <c r="W18" s="364"/>
      <c r="X18" s="365"/>
    </row>
    <row r="19" s="317" customFormat="1" ht="24" spans="1:24">
      <c r="A19" s="147">
        <v>12</v>
      </c>
      <c r="B19" s="71" t="s">
        <v>1986</v>
      </c>
      <c r="C19" s="71" t="s">
        <v>52</v>
      </c>
      <c r="D19" s="71" t="s">
        <v>384</v>
      </c>
      <c r="E19" s="335">
        <v>362</v>
      </c>
      <c r="F19" s="335">
        <v>183</v>
      </c>
      <c r="G19" s="335">
        <v>732</v>
      </c>
      <c r="H19" s="335">
        <v>2018</v>
      </c>
      <c r="I19" s="335">
        <v>2018</v>
      </c>
      <c r="J19" s="335">
        <f t="shared" si="6"/>
        <v>651.6</v>
      </c>
      <c r="K19" s="341">
        <f t="shared" si="10"/>
        <v>651.6</v>
      </c>
      <c r="L19" s="343"/>
      <c r="M19" s="344"/>
      <c r="N19" s="336"/>
      <c r="O19" s="335">
        <f t="shared" si="8"/>
        <v>651.6</v>
      </c>
      <c r="P19" s="336"/>
      <c r="Q19" s="336"/>
      <c r="R19" s="366"/>
      <c r="S19" s="102" t="s">
        <v>1987</v>
      </c>
      <c r="T19" s="86" t="s">
        <v>1988</v>
      </c>
      <c r="U19" s="86" t="s">
        <v>273</v>
      </c>
      <c r="V19" s="363"/>
      <c r="W19" s="364"/>
      <c r="X19" s="365"/>
    </row>
    <row r="20" s="317" customFormat="1" ht="24" spans="1:24">
      <c r="A20" s="147">
        <v>13</v>
      </c>
      <c r="B20" s="71" t="s">
        <v>1989</v>
      </c>
      <c r="C20" s="71" t="s">
        <v>52</v>
      </c>
      <c r="D20" s="71" t="s">
        <v>384</v>
      </c>
      <c r="E20" s="335">
        <v>383</v>
      </c>
      <c r="F20" s="335">
        <v>191</v>
      </c>
      <c r="G20" s="335">
        <v>766</v>
      </c>
      <c r="H20" s="335">
        <v>2018</v>
      </c>
      <c r="I20" s="335">
        <v>2018</v>
      </c>
      <c r="J20" s="335">
        <f t="shared" si="6"/>
        <v>689.4</v>
      </c>
      <c r="K20" s="345">
        <f t="shared" si="10"/>
        <v>689.4</v>
      </c>
      <c r="L20" s="343"/>
      <c r="M20" s="344"/>
      <c r="N20" s="336"/>
      <c r="O20" s="335">
        <f t="shared" si="8"/>
        <v>689.4</v>
      </c>
      <c r="P20" s="336"/>
      <c r="Q20" s="336"/>
      <c r="R20" s="366"/>
      <c r="S20" s="102" t="s">
        <v>1980</v>
      </c>
      <c r="T20" s="86" t="s">
        <v>1990</v>
      </c>
      <c r="U20" s="86" t="s">
        <v>273</v>
      </c>
      <c r="V20" s="363"/>
      <c r="W20" s="364"/>
      <c r="X20" s="365"/>
    </row>
    <row r="21" s="317" customFormat="1" ht="24" spans="1:24">
      <c r="A21" s="147">
        <v>14</v>
      </c>
      <c r="B21" s="71" t="s">
        <v>1991</v>
      </c>
      <c r="C21" s="71" t="s">
        <v>52</v>
      </c>
      <c r="D21" s="71" t="s">
        <v>384</v>
      </c>
      <c r="E21" s="335">
        <v>192</v>
      </c>
      <c r="F21" s="335">
        <v>88</v>
      </c>
      <c r="G21" s="335">
        <v>352</v>
      </c>
      <c r="H21" s="335">
        <v>2018</v>
      </c>
      <c r="I21" s="335">
        <v>2018</v>
      </c>
      <c r="J21" s="335">
        <f t="shared" si="6"/>
        <v>345.6</v>
      </c>
      <c r="K21" s="341">
        <f t="shared" si="10"/>
        <v>345.6</v>
      </c>
      <c r="L21" s="343"/>
      <c r="M21" s="344"/>
      <c r="N21" s="336"/>
      <c r="O21" s="335">
        <f t="shared" si="8"/>
        <v>345.6</v>
      </c>
      <c r="P21" s="336"/>
      <c r="Q21" s="336"/>
      <c r="R21" s="366"/>
      <c r="S21" s="102" t="s">
        <v>1982</v>
      </c>
      <c r="T21" s="86" t="s">
        <v>1995</v>
      </c>
      <c r="U21" s="86" t="s">
        <v>273</v>
      </c>
      <c r="V21" s="363"/>
      <c r="W21" s="364"/>
      <c r="X21" s="365"/>
    </row>
    <row r="22" s="317" customFormat="1" ht="24" spans="1:24">
      <c r="A22" s="147">
        <v>15</v>
      </c>
      <c r="B22" s="71" t="s">
        <v>1992</v>
      </c>
      <c r="C22" s="71" t="s">
        <v>52</v>
      </c>
      <c r="D22" s="71" t="s">
        <v>384</v>
      </c>
      <c r="E22" s="335">
        <v>148</v>
      </c>
      <c r="F22" s="335">
        <v>66</v>
      </c>
      <c r="G22" s="335">
        <v>245</v>
      </c>
      <c r="H22" s="335">
        <v>2018</v>
      </c>
      <c r="I22" s="335">
        <v>2018</v>
      </c>
      <c r="J22" s="335">
        <f t="shared" si="6"/>
        <v>266.4</v>
      </c>
      <c r="K22" s="341">
        <f t="shared" si="10"/>
        <v>266.4</v>
      </c>
      <c r="L22" s="343"/>
      <c r="M22" s="344"/>
      <c r="N22" s="336"/>
      <c r="O22" s="335">
        <f t="shared" si="8"/>
        <v>266.4</v>
      </c>
      <c r="P22" s="336"/>
      <c r="Q22" s="336"/>
      <c r="R22" s="366"/>
      <c r="S22" s="102" t="s">
        <v>1993</v>
      </c>
      <c r="T22" s="86" t="s">
        <v>1994</v>
      </c>
      <c r="U22" s="86" t="s">
        <v>273</v>
      </c>
      <c r="V22" s="363"/>
      <c r="W22" s="364"/>
      <c r="X22" s="365"/>
    </row>
    <row r="23" s="317" customFormat="1" spans="1:24">
      <c r="A23" s="147">
        <v>16</v>
      </c>
      <c r="B23" s="147" t="s">
        <v>776</v>
      </c>
      <c r="C23" s="71" t="s">
        <v>52</v>
      </c>
      <c r="D23" s="71" t="s">
        <v>384</v>
      </c>
      <c r="E23" s="335">
        <f t="shared" ref="E23:G23" si="11">SUM(E24:E28)</f>
        <v>35</v>
      </c>
      <c r="F23" s="335">
        <f t="shared" si="11"/>
        <v>30</v>
      </c>
      <c r="G23" s="335">
        <f t="shared" si="11"/>
        <v>62</v>
      </c>
      <c r="H23" s="335">
        <v>2018</v>
      </c>
      <c r="I23" s="335">
        <v>2018</v>
      </c>
      <c r="J23" s="335">
        <f t="shared" si="6"/>
        <v>140</v>
      </c>
      <c r="K23" s="341">
        <f>K24+K25+K26+K27+K28</f>
        <v>140</v>
      </c>
      <c r="L23" s="343"/>
      <c r="M23" s="344"/>
      <c r="N23" s="336"/>
      <c r="O23" s="335">
        <f t="shared" si="8"/>
        <v>140</v>
      </c>
      <c r="P23" s="336"/>
      <c r="Q23" s="336"/>
      <c r="R23" s="366"/>
      <c r="S23" s="102" t="s">
        <v>1982</v>
      </c>
      <c r="T23" s="86" t="s">
        <v>1981</v>
      </c>
      <c r="U23" s="86" t="s">
        <v>273</v>
      </c>
      <c r="V23" s="363"/>
      <c r="W23" s="364"/>
      <c r="X23" s="365"/>
    </row>
    <row r="24" s="317" customFormat="1" ht="24" spans="1:24">
      <c r="A24" s="147">
        <v>17</v>
      </c>
      <c r="B24" s="71" t="s">
        <v>1983</v>
      </c>
      <c r="C24" s="71" t="s">
        <v>52</v>
      </c>
      <c r="D24" s="71" t="s">
        <v>384</v>
      </c>
      <c r="E24" s="335">
        <v>7</v>
      </c>
      <c r="F24" s="335">
        <v>7</v>
      </c>
      <c r="G24" s="335">
        <v>16</v>
      </c>
      <c r="H24" s="335">
        <v>2018</v>
      </c>
      <c r="I24" s="335">
        <v>2018</v>
      </c>
      <c r="J24" s="335">
        <f t="shared" si="6"/>
        <v>28</v>
      </c>
      <c r="K24" s="342">
        <f t="shared" ref="K24:K28" si="12">E24*4</f>
        <v>28</v>
      </c>
      <c r="L24" s="343"/>
      <c r="M24" s="344"/>
      <c r="N24" s="336"/>
      <c r="O24" s="335">
        <f t="shared" si="8"/>
        <v>28</v>
      </c>
      <c r="P24" s="336"/>
      <c r="Q24" s="336"/>
      <c r="R24" s="366"/>
      <c r="S24" s="102" t="s">
        <v>1984</v>
      </c>
      <c r="T24" s="86" t="s">
        <v>1985</v>
      </c>
      <c r="U24" s="86" t="s">
        <v>273</v>
      </c>
      <c r="V24" s="363"/>
      <c r="W24" s="364"/>
      <c r="X24" s="365"/>
    </row>
    <row r="25" s="317" customFormat="1" ht="24" spans="1:24">
      <c r="A25" s="147">
        <v>18</v>
      </c>
      <c r="B25" s="71" t="s">
        <v>1986</v>
      </c>
      <c r="C25" s="71" t="s">
        <v>52</v>
      </c>
      <c r="D25" s="71" t="s">
        <v>384</v>
      </c>
      <c r="E25" s="335">
        <v>8</v>
      </c>
      <c r="F25" s="335">
        <v>6</v>
      </c>
      <c r="G25" s="335">
        <v>15</v>
      </c>
      <c r="H25" s="335">
        <v>2018</v>
      </c>
      <c r="I25" s="335">
        <v>2018</v>
      </c>
      <c r="J25" s="335">
        <f t="shared" si="6"/>
        <v>32</v>
      </c>
      <c r="K25" s="341">
        <f t="shared" si="12"/>
        <v>32</v>
      </c>
      <c r="L25" s="343"/>
      <c r="M25" s="344"/>
      <c r="N25" s="336"/>
      <c r="O25" s="335">
        <f t="shared" si="8"/>
        <v>32</v>
      </c>
      <c r="P25" s="336"/>
      <c r="Q25" s="336"/>
      <c r="R25" s="366"/>
      <c r="S25" s="102" t="s">
        <v>1987</v>
      </c>
      <c r="T25" s="86" t="s">
        <v>1988</v>
      </c>
      <c r="U25" s="86" t="s">
        <v>273</v>
      </c>
      <c r="V25" s="363"/>
      <c r="W25" s="364"/>
      <c r="X25" s="365"/>
    </row>
    <row r="26" s="317" customFormat="1" ht="24" spans="1:24">
      <c r="A26" s="147">
        <v>19</v>
      </c>
      <c r="B26" s="71" t="s">
        <v>1989</v>
      </c>
      <c r="C26" s="71" t="s">
        <v>52</v>
      </c>
      <c r="D26" s="71" t="s">
        <v>384</v>
      </c>
      <c r="E26" s="335">
        <v>11</v>
      </c>
      <c r="F26" s="335">
        <v>9</v>
      </c>
      <c r="G26" s="335">
        <v>17</v>
      </c>
      <c r="H26" s="335">
        <v>2018</v>
      </c>
      <c r="I26" s="335">
        <v>2018</v>
      </c>
      <c r="J26" s="335">
        <f t="shared" si="6"/>
        <v>44</v>
      </c>
      <c r="K26" s="342">
        <f t="shared" si="12"/>
        <v>44</v>
      </c>
      <c r="L26" s="343"/>
      <c r="M26" s="344"/>
      <c r="N26" s="336"/>
      <c r="O26" s="335">
        <f t="shared" si="8"/>
        <v>44</v>
      </c>
      <c r="P26" s="336"/>
      <c r="Q26" s="336"/>
      <c r="R26" s="366"/>
      <c r="S26" s="102" t="s">
        <v>1980</v>
      </c>
      <c r="T26" s="86" t="s">
        <v>1990</v>
      </c>
      <c r="U26" s="86" t="s">
        <v>273</v>
      </c>
      <c r="V26" s="363"/>
      <c r="W26" s="364"/>
      <c r="X26" s="365"/>
    </row>
    <row r="27" s="317" customFormat="1" ht="24" spans="1:24">
      <c r="A27" s="147">
        <v>20</v>
      </c>
      <c r="B27" s="71" t="s">
        <v>1991</v>
      </c>
      <c r="C27" s="71" t="s">
        <v>52</v>
      </c>
      <c r="D27" s="71" t="s">
        <v>384</v>
      </c>
      <c r="E27" s="335">
        <v>7</v>
      </c>
      <c r="F27" s="335">
        <v>7</v>
      </c>
      <c r="G27" s="335">
        <v>13</v>
      </c>
      <c r="H27" s="335">
        <v>2018</v>
      </c>
      <c r="I27" s="335">
        <v>2018</v>
      </c>
      <c r="J27" s="335">
        <f t="shared" si="6"/>
        <v>28</v>
      </c>
      <c r="K27" s="341">
        <f t="shared" si="12"/>
        <v>28</v>
      </c>
      <c r="L27" s="343"/>
      <c r="M27" s="344"/>
      <c r="N27" s="336"/>
      <c r="O27" s="335">
        <f t="shared" si="8"/>
        <v>28</v>
      </c>
      <c r="P27" s="336"/>
      <c r="Q27" s="336"/>
      <c r="R27" s="366"/>
      <c r="S27" s="102" t="s">
        <v>1982</v>
      </c>
      <c r="T27" s="86" t="s">
        <v>1995</v>
      </c>
      <c r="U27" s="86" t="s">
        <v>273</v>
      </c>
      <c r="V27" s="363"/>
      <c r="W27" s="364"/>
      <c r="X27" s="365"/>
    </row>
    <row r="28" s="317" customFormat="1" ht="24" spans="1:24">
      <c r="A28" s="147">
        <v>21</v>
      </c>
      <c r="B28" s="71" t="s">
        <v>1992</v>
      </c>
      <c r="C28" s="71" t="s">
        <v>52</v>
      </c>
      <c r="D28" s="71" t="s">
        <v>384</v>
      </c>
      <c r="E28" s="335">
        <v>2</v>
      </c>
      <c r="F28" s="335">
        <v>1</v>
      </c>
      <c r="G28" s="335">
        <v>1</v>
      </c>
      <c r="H28" s="335">
        <v>2018</v>
      </c>
      <c r="I28" s="335">
        <v>2018</v>
      </c>
      <c r="J28" s="335">
        <f t="shared" si="6"/>
        <v>8</v>
      </c>
      <c r="K28" s="341">
        <f t="shared" si="12"/>
        <v>8</v>
      </c>
      <c r="L28" s="343"/>
      <c r="M28" s="344"/>
      <c r="N28" s="336"/>
      <c r="O28" s="335">
        <f t="shared" si="8"/>
        <v>8</v>
      </c>
      <c r="P28" s="336"/>
      <c r="Q28" s="336"/>
      <c r="R28" s="366"/>
      <c r="S28" s="102" t="s">
        <v>1993</v>
      </c>
      <c r="T28" s="86" t="s">
        <v>1994</v>
      </c>
      <c r="U28" s="86" t="s">
        <v>273</v>
      </c>
      <c r="V28" s="363"/>
      <c r="W28" s="364"/>
      <c r="X28" s="365"/>
    </row>
    <row r="29" s="317" customFormat="1" ht="24.75" spans="1:24">
      <c r="A29" s="147">
        <v>22</v>
      </c>
      <c r="B29" s="71" t="s">
        <v>778</v>
      </c>
      <c r="C29" s="71" t="s">
        <v>52</v>
      </c>
      <c r="D29" s="71" t="s">
        <v>384</v>
      </c>
      <c r="E29" s="335">
        <f>SUM(E30:E34)</f>
        <v>367</v>
      </c>
      <c r="F29" s="335"/>
      <c r="G29" s="335"/>
      <c r="H29" s="335">
        <v>2018</v>
      </c>
      <c r="I29" s="335">
        <v>2018</v>
      </c>
      <c r="J29" s="335">
        <f t="shared" si="6"/>
        <v>660.6</v>
      </c>
      <c r="K29" s="341">
        <f>K30+K31+K32+K33+K34</f>
        <v>0</v>
      </c>
      <c r="L29" s="341">
        <f t="shared" ref="L29:R29" si="13">L30+L31+L32+L33+L34</f>
        <v>660.6</v>
      </c>
      <c r="M29" s="341">
        <f t="shared" si="13"/>
        <v>0</v>
      </c>
      <c r="N29" s="341">
        <f t="shared" si="13"/>
        <v>0</v>
      </c>
      <c r="O29" s="341">
        <f t="shared" si="13"/>
        <v>0</v>
      </c>
      <c r="P29" s="341">
        <f t="shared" si="13"/>
        <v>660.6</v>
      </c>
      <c r="Q29" s="341">
        <f t="shared" si="13"/>
        <v>0</v>
      </c>
      <c r="R29" s="341">
        <f t="shared" si="13"/>
        <v>0</v>
      </c>
      <c r="S29" s="102" t="s">
        <v>1980</v>
      </c>
      <c r="T29" s="86" t="s">
        <v>1981</v>
      </c>
      <c r="U29" s="86" t="s">
        <v>273</v>
      </c>
      <c r="V29" s="363"/>
      <c r="W29" s="364"/>
      <c r="X29" s="365"/>
    </row>
    <row r="30" s="317" customFormat="1" ht="24" spans="1:24">
      <c r="A30" s="147">
        <v>23</v>
      </c>
      <c r="B30" s="71" t="s">
        <v>1983</v>
      </c>
      <c r="C30" s="71" t="s">
        <v>52</v>
      </c>
      <c r="D30" s="71" t="s">
        <v>384</v>
      </c>
      <c r="E30" s="335">
        <v>90</v>
      </c>
      <c r="F30" s="335"/>
      <c r="G30" s="335"/>
      <c r="H30" s="335">
        <v>2018</v>
      </c>
      <c r="I30" s="335">
        <v>2018</v>
      </c>
      <c r="J30" s="341">
        <f t="shared" si="6"/>
        <v>162</v>
      </c>
      <c r="K30" s="341"/>
      <c r="L30" s="341">
        <v>162</v>
      </c>
      <c r="M30" s="123"/>
      <c r="N30" s="346"/>
      <c r="O30" s="346"/>
      <c r="P30" s="346">
        <f t="shared" ref="P30:P34" si="14">J30</f>
        <v>162</v>
      </c>
      <c r="Q30" s="336"/>
      <c r="R30" s="366"/>
      <c r="S30" s="102" t="s">
        <v>1984</v>
      </c>
      <c r="T30" s="86" t="s">
        <v>1985</v>
      </c>
      <c r="U30" s="86" t="s">
        <v>273</v>
      </c>
      <c r="V30" s="363"/>
      <c r="W30" s="364"/>
      <c r="X30" s="365"/>
    </row>
    <row r="31" s="317" customFormat="1" ht="24" spans="1:24">
      <c r="A31" s="147">
        <v>24</v>
      </c>
      <c r="B31" s="71" t="s">
        <v>1986</v>
      </c>
      <c r="C31" s="71" t="s">
        <v>52</v>
      </c>
      <c r="D31" s="71" t="s">
        <v>384</v>
      </c>
      <c r="E31" s="335">
        <v>136</v>
      </c>
      <c r="F31" s="335"/>
      <c r="G31" s="335"/>
      <c r="H31" s="335">
        <v>2018</v>
      </c>
      <c r="I31" s="335">
        <v>2018</v>
      </c>
      <c r="J31" s="335">
        <f t="shared" si="6"/>
        <v>244.8</v>
      </c>
      <c r="K31" s="341"/>
      <c r="L31" s="343">
        <v>244.8</v>
      </c>
      <c r="M31" s="344"/>
      <c r="N31" s="336"/>
      <c r="O31" s="336"/>
      <c r="P31" s="336">
        <f t="shared" si="14"/>
        <v>244.8</v>
      </c>
      <c r="Q31" s="336"/>
      <c r="R31" s="366"/>
      <c r="S31" s="102" t="s">
        <v>1987</v>
      </c>
      <c r="T31" s="86" t="s">
        <v>1988</v>
      </c>
      <c r="U31" s="86" t="s">
        <v>273</v>
      </c>
      <c r="V31" s="363"/>
      <c r="W31" s="364"/>
      <c r="X31" s="365"/>
    </row>
    <row r="32" s="317" customFormat="1" ht="24" spans="1:24">
      <c r="A32" s="147">
        <v>25</v>
      </c>
      <c r="B32" s="71" t="s">
        <v>1989</v>
      </c>
      <c r="C32" s="71" t="s">
        <v>52</v>
      </c>
      <c r="D32" s="71" t="s">
        <v>384</v>
      </c>
      <c r="E32" s="335">
        <v>83</v>
      </c>
      <c r="F32" s="335"/>
      <c r="G32" s="335"/>
      <c r="H32" s="335">
        <v>2018</v>
      </c>
      <c r="I32" s="335">
        <v>2018</v>
      </c>
      <c r="J32" s="335">
        <f t="shared" si="6"/>
        <v>149.4</v>
      </c>
      <c r="K32" s="345"/>
      <c r="L32" s="343">
        <v>149.4</v>
      </c>
      <c r="M32" s="344"/>
      <c r="N32" s="336"/>
      <c r="O32" s="336"/>
      <c r="P32" s="336">
        <f t="shared" si="14"/>
        <v>149.4</v>
      </c>
      <c r="Q32" s="336"/>
      <c r="R32" s="366"/>
      <c r="S32" s="102" t="s">
        <v>1980</v>
      </c>
      <c r="T32" s="86" t="s">
        <v>1990</v>
      </c>
      <c r="U32" s="86" t="s">
        <v>273</v>
      </c>
      <c r="V32" s="363"/>
      <c r="W32" s="364"/>
      <c r="X32" s="365"/>
    </row>
    <row r="33" s="317" customFormat="1" ht="24" spans="1:24">
      <c r="A33" s="147">
        <v>26</v>
      </c>
      <c r="B33" s="71" t="s">
        <v>1991</v>
      </c>
      <c r="C33" s="71" t="s">
        <v>52</v>
      </c>
      <c r="D33" s="71" t="s">
        <v>384</v>
      </c>
      <c r="E33" s="335">
        <v>36</v>
      </c>
      <c r="F33" s="335"/>
      <c r="G33" s="335"/>
      <c r="H33" s="335">
        <v>2018</v>
      </c>
      <c r="I33" s="335">
        <v>2018</v>
      </c>
      <c r="J33" s="335">
        <f t="shared" si="6"/>
        <v>64.8</v>
      </c>
      <c r="K33" s="341"/>
      <c r="L33" s="343">
        <v>64.8</v>
      </c>
      <c r="M33" s="344"/>
      <c r="N33" s="336"/>
      <c r="O33" s="336"/>
      <c r="P33" s="336">
        <f t="shared" si="14"/>
        <v>64.8</v>
      </c>
      <c r="Q33" s="336"/>
      <c r="R33" s="366"/>
      <c r="S33" s="102" t="s">
        <v>1982</v>
      </c>
      <c r="T33" s="86" t="s">
        <v>1995</v>
      </c>
      <c r="U33" s="86" t="s">
        <v>273</v>
      </c>
      <c r="V33" s="363"/>
      <c r="W33" s="364"/>
      <c r="X33" s="365"/>
    </row>
    <row r="34" s="317" customFormat="1" ht="24" spans="1:24">
      <c r="A34" s="147">
        <v>27</v>
      </c>
      <c r="B34" s="71" t="s">
        <v>1992</v>
      </c>
      <c r="C34" s="71" t="s">
        <v>52</v>
      </c>
      <c r="D34" s="71" t="s">
        <v>384</v>
      </c>
      <c r="E34" s="335">
        <v>22</v>
      </c>
      <c r="F34" s="335"/>
      <c r="G34" s="335"/>
      <c r="H34" s="335">
        <v>2018</v>
      </c>
      <c r="I34" s="335">
        <v>2018</v>
      </c>
      <c r="J34" s="335">
        <f t="shared" si="6"/>
        <v>39.6</v>
      </c>
      <c r="K34" s="341"/>
      <c r="L34" s="343">
        <v>39.6</v>
      </c>
      <c r="M34" s="344"/>
      <c r="N34" s="336"/>
      <c r="O34" s="336"/>
      <c r="P34" s="336">
        <f t="shared" si="14"/>
        <v>39.6</v>
      </c>
      <c r="Q34" s="336"/>
      <c r="R34" s="366"/>
      <c r="S34" s="102" t="s">
        <v>1993</v>
      </c>
      <c r="T34" s="86" t="s">
        <v>1994</v>
      </c>
      <c r="U34" s="86" t="s">
        <v>273</v>
      </c>
      <c r="V34" s="363"/>
      <c r="W34" s="364"/>
      <c r="X34" s="365"/>
    </row>
    <row r="35" s="317" customFormat="1" ht="24" spans="1:24">
      <c r="A35" s="147">
        <v>28</v>
      </c>
      <c r="B35" s="28" t="s">
        <v>779</v>
      </c>
      <c r="C35" s="147" t="s">
        <v>320</v>
      </c>
      <c r="D35" s="147" t="s">
        <v>320</v>
      </c>
      <c r="E35" s="335"/>
      <c r="F35" s="335"/>
      <c r="G35" s="335"/>
      <c r="H35" s="335"/>
      <c r="I35" s="335"/>
      <c r="J35" s="335">
        <f>J36+J39+J40+J46+J52</f>
        <v>434.775</v>
      </c>
      <c r="K35" s="343">
        <f t="shared" ref="K35:R35" si="15">K39+K40+K46+K52</f>
        <v>144.925</v>
      </c>
      <c r="L35" s="343">
        <f t="shared" si="15"/>
        <v>144.925</v>
      </c>
      <c r="M35" s="343">
        <f t="shared" si="15"/>
        <v>144.925</v>
      </c>
      <c r="N35" s="347">
        <f t="shared" si="15"/>
        <v>206.325</v>
      </c>
      <c r="O35" s="335">
        <f t="shared" si="15"/>
        <v>130.5</v>
      </c>
      <c r="P35" s="335">
        <f t="shared" si="15"/>
        <v>97.95</v>
      </c>
      <c r="Q35" s="335">
        <f t="shared" si="15"/>
        <v>0</v>
      </c>
      <c r="R35" s="335">
        <f t="shared" si="15"/>
        <v>0</v>
      </c>
      <c r="S35" s="86" t="s">
        <v>1987</v>
      </c>
      <c r="T35" s="86" t="s">
        <v>1996</v>
      </c>
      <c r="U35" s="147" t="s">
        <v>320</v>
      </c>
      <c r="V35" s="363"/>
      <c r="W35" s="364"/>
      <c r="X35" s="365"/>
    </row>
    <row r="36" s="317" customFormat="1" ht="36.75" spans="1:24">
      <c r="A36" s="147">
        <v>29</v>
      </c>
      <c r="B36" s="71" t="s">
        <v>780</v>
      </c>
      <c r="C36" s="147" t="s">
        <v>320</v>
      </c>
      <c r="D36" s="71" t="s">
        <v>147</v>
      </c>
      <c r="E36" s="335"/>
      <c r="F36" s="335"/>
      <c r="G36" s="335"/>
      <c r="H36" s="335"/>
      <c r="I36" s="335"/>
      <c r="J36" s="335">
        <f t="shared" ref="J36:J64" si="16">K36+L36+M36</f>
        <v>0</v>
      </c>
      <c r="K36" s="342">
        <f t="shared" ref="K36:R36" si="17">K37+K38</f>
        <v>0</v>
      </c>
      <c r="L36" s="342">
        <f t="shared" si="17"/>
        <v>0</v>
      </c>
      <c r="M36" s="342">
        <f t="shared" si="17"/>
        <v>0</v>
      </c>
      <c r="N36" s="335">
        <f t="shared" si="17"/>
        <v>0</v>
      </c>
      <c r="O36" s="335">
        <f t="shared" si="17"/>
        <v>0</v>
      </c>
      <c r="P36" s="335">
        <f t="shared" si="17"/>
        <v>0</v>
      </c>
      <c r="Q36" s="335">
        <f t="shared" si="17"/>
        <v>0</v>
      </c>
      <c r="R36" s="335">
        <f t="shared" si="17"/>
        <v>0</v>
      </c>
      <c r="S36" s="86" t="s">
        <v>1987</v>
      </c>
      <c r="T36" s="86" t="s">
        <v>1996</v>
      </c>
      <c r="U36" s="86" t="s">
        <v>294</v>
      </c>
      <c r="V36" s="363"/>
      <c r="W36" s="364"/>
      <c r="X36" s="365"/>
    </row>
    <row r="37" s="317" customFormat="1" spans="1:24">
      <c r="A37" s="147">
        <v>30</v>
      </c>
      <c r="B37" s="71" t="s">
        <v>783</v>
      </c>
      <c r="C37" s="147" t="s">
        <v>320</v>
      </c>
      <c r="D37" s="71" t="s">
        <v>147</v>
      </c>
      <c r="E37" s="335"/>
      <c r="F37" s="335"/>
      <c r="G37" s="335"/>
      <c r="H37" s="335"/>
      <c r="I37" s="335"/>
      <c r="J37" s="335">
        <f t="shared" si="16"/>
        <v>0</v>
      </c>
      <c r="K37" s="348"/>
      <c r="L37" s="348"/>
      <c r="M37" s="340"/>
      <c r="N37" s="336"/>
      <c r="O37" s="336"/>
      <c r="P37" s="336"/>
      <c r="Q37" s="336"/>
      <c r="R37" s="366"/>
      <c r="S37" s="123"/>
      <c r="T37" s="123"/>
      <c r="U37" s="86" t="s">
        <v>294</v>
      </c>
      <c r="V37" s="363"/>
      <c r="W37" s="364"/>
      <c r="X37" s="365"/>
    </row>
    <row r="38" s="317" customFormat="1" spans="1:24">
      <c r="A38" s="147">
        <v>31</v>
      </c>
      <c r="B38" s="71" t="s">
        <v>784</v>
      </c>
      <c r="C38" s="147" t="s">
        <v>320</v>
      </c>
      <c r="D38" s="71" t="s">
        <v>147</v>
      </c>
      <c r="E38" s="335"/>
      <c r="F38" s="335"/>
      <c r="G38" s="335"/>
      <c r="H38" s="335"/>
      <c r="I38" s="335"/>
      <c r="J38" s="335">
        <f t="shared" si="16"/>
        <v>0</v>
      </c>
      <c r="K38" s="348"/>
      <c r="L38" s="348"/>
      <c r="M38" s="340"/>
      <c r="N38" s="336"/>
      <c r="O38" s="336"/>
      <c r="P38" s="336"/>
      <c r="Q38" s="336"/>
      <c r="R38" s="366"/>
      <c r="S38" s="123"/>
      <c r="T38" s="123"/>
      <c r="U38" s="86" t="s">
        <v>294</v>
      </c>
      <c r="V38" s="363"/>
      <c r="W38" s="364"/>
      <c r="X38" s="365"/>
    </row>
    <row r="39" s="317" customFormat="1" ht="48" spans="1:24">
      <c r="A39" s="147">
        <v>32</v>
      </c>
      <c r="B39" s="71" t="s">
        <v>319</v>
      </c>
      <c r="C39" s="336" t="s">
        <v>320</v>
      </c>
      <c r="D39" s="71" t="s">
        <v>147</v>
      </c>
      <c r="E39" s="147">
        <v>47</v>
      </c>
      <c r="F39" s="147"/>
      <c r="G39" s="147"/>
      <c r="H39" s="147">
        <v>2018</v>
      </c>
      <c r="I39" s="147">
        <v>2020</v>
      </c>
      <c r="J39" s="336">
        <f t="shared" si="16"/>
        <v>17.625</v>
      </c>
      <c r="K39" s="349">
        <v>5.875</v>
      </c>
      <c r="L39" s="349">
        <v>5.875</v>
      </c>
      <c r="M39" s="349">
        <v>5.875</v>
      </c>
      <c r="N39" s="336"/>
      <c r="O39" s="336"/>
      <c r="P39" s="336">
        <v>17.625</v>
      </c>
      <c r="Q39" s="122"/>
      <c r="R39" s="122"/>
      <c r="S39" s="86" t="s">
        <v>1997</v>
      </c>
      <c r="T39" s="86" t="s">
        <v>1998</v>
      </c>
      <c r="U39" s="86" t="s">
        <v>294</v>
      </c>
      <c r="V39" s="56" t="s">
        <v>1999</v>
      </c>
      <c r="W39" s="364"/>
      <c r="X39" s="365"/>
    </row>
    <row r="40" s="317" customFormat="1" ht="48" spans="1:24">
      <c r="A40" s="147">
        <v>33</v>
      </c>
      <c r="B40" s="71" t="s">
        <v>321</v>
      </c>
      <c r="C40" s="336" t="s">
        <v>320</v>
      </c>
      <c r="D40" s="71" t="s">
        <v>147</v>
      </c>
      <c r="E40" s="147">
        <v>85</v>
      </c>
      <c r="F40" s="147">
        <v>85</v>
      </c>
      <c r="G40" s="147">
        <v>85</v>
      </c>
      <c r="H40" s="147">
        <v>2018</v>
      </c>
      <c r="I40" s="147">
        <v>2020</v>
      </c>
      <c r="J40" s="336">
        <f t="shared" si="16"/>
        <v>140.25</v>
      </c>
      <c r="K40" s="349">
        <v>46.75</v>
      </c>
      <c r="L40" s="349">
        <v>46.75</v>
      </c>
      <c r="M40" s="349">
        <v>46.75</v>
      </c>
      <c r="N40" s="350">
        <v>108.375</v>
      </c>
      <c r="O40" s="122"/>
      <c r="P40" s="122">
        <v>31.875</v>
      </c>
      <c r="Q40" s="122"/>
      <c r="R40" s="122"/>
      <c r="S40" s="86" t="s">
        <v>1997</v>
      </c>
      <c r="T40" s="86" t="s">
        <v>1998</v>
      </c>
      <c r="U40" s="86" t="s">
        <v>294</v>
      </c>
      <c r="V40" s="56" t="s">
        <v>1999</v>
      </c>
      <c r="W40" s="364"/>
      <c r="X40" s="365"/>
    </row>
    <row r="41" s="317" customFormat="1" ht="24" spans="1:24">
      <c r="A41" s="147">
        <v>34</v>
      </c>
      <c r="B41" s="71" t="s">
        <v>1983</v>
      </c>
      <c r="C41" s="336"/>
      <c r="D41" s="147"/>
      <c r="E41" s="147">
        <v>7</v>
      </c>
      <c r="F41" s="147">
        <v>7</v>
      </c>
      <c r="G41" s="147">
        <v>7</v>
      </c>
      <c r="H41" s="147">
        <v>2018</v>
      </c>
      <c r="I41" s="147">
        <v>2020</v>
      </c>
      <c r="J41" s="147">
        <f t="shared" si="16"/>
        <v>11.55</v>
      </c>
      <c r="K41" s="123">
        <f t="shared" ref="K41:K45" si="18">E41*0.55</f>
        <v>3.85</v>
      </c>
      <c r="L41" s="123">
        <f t="shared" ref="L41:L45" si="19">E41*0.55</f>
        <v>3.85</v>
      </c>
      <c r="M41" s="123">
        <f t="shared" ref="M41:M45" si="20">F41*0.55</f>
        <v>3.85</v>
      </c>
      <c r="N41" s="123">
        <f t="shared" ref="N41:N45" si="21">E41*1.275</f>
        <v>8.925</v>
      </c>
      <c r="O41" s="122"/>
      <c r="P41" s="122">
        <f t="shared" ref="P41:P45" si="22">E41*0.375</f>
        <v>2.625</v>
      </c>
      <c r="Q41" s="122"/>
      <c r="R41" s="122"/>
      <c r="S41" s="102" t="s">
        <v>1984</v>
      </c>
      <c r="T41" s="86" t="s">
        <v>1985</v>
      </c>
      <c r="U41" s="123"/>
      <c r="V41" s="363"/>
      <c r="W41" s="364"/>
      <c r="X41" s="365"/>
    </row>
    <row r="42" s="317" customFormat="1" ht="24" spans="1:24">
      <c r="A42" s="147">
        <v>35</v>
      </c>
      <c r="B42" s="71" t="s">
        <v>1986</v>
      </c>
      <c r="C42" s="336"/>
      <c r="D42" s="147"/>
      <c r="E42" s="147">
        <v>24</v>
      </c>
      <c r="F42" s="147">
        <v>24</v>
      </c>
      <c r="G42" s="147">
        <v>24</v>
      </c>
      <c r="H42" s="147">
        <v>2018</v>
      </c>
      <c r="I42" s="147">
        <v>2020</v>
      </c>
      <c r="J42" s="147">
        <f t="shared" si="16"/>
        <v>39.6</v>
      </c>
      <c r="K42" s="123">
        <f t="shared" si="18"/>
        <v>13.2</v>
      </c>
      <c r="L42" s="123">
        <f t="shared" si="19"/>
        <v>13.2</v>
      </c>
      <c r="M42" s="123">
        <f t="shared" si="20"/>
        <v>13.2</v>
      </c>
      <c r="N42" s="123">
        <f t="shared" si="21"/>
        <v>30.6</v>
      </c>
      <c r="O42" s="122"/>
      <c r="P42" s="122">
        <f t="shared" si="22"/>
        <v>9</v>
      </c>
      <c r="Q42" s="122"/>
      <c r="R42" s="122"/>
      <c r="S42" s="102" t="s">
        <v>1987</v>
      </c>
      <c r="T42" s="86" t="s">
        <v>1988</v>
      </c>
      <c r="U42" s="123"/>
      <c r="V42" s="363"/>
      <c r="W42" s="364"/>
      <c r="X42" s="365"/>
    </row>
    <row r="43" s="317" customFormat="1" ht="24" spans="1:24">
      <c r="A43" s="147">
        <v>36</v>
      </c>
      <c r="B43" s="71" t="s">
        <v>1989</v>
      </c>
      <c r="C43" s="336"/>
      <c r="D43" s="147"/>
      <c r="E43" s="147">
        <v>18</v>
      </c>
      <c r="F43" s="147">
        <v>18</v>
      </c>
      <c r="G43" s="147">
        <v>18</v>
      </c>
      <c r="H43" s="147">
        <v>2018</v>
      </c>
      <c r="I43" s="147">
        <v>2020</v>
      </c>
      <c r="J43" s="147">
        <f t="shared" si="16"/>
        <v>29.7</v>
      </c>
      <c r="K43" s="123">
        <f t="shared" si="18"/>
        <v>9.9</v>
      </c>
      <c r="L43" s="123">
        <f t="shared" si="19"/>
        <v>9.9</v>
      </c>
      <c r="M43" s="123">
        <f t="shared" si="20"/>
        <v>9.9</v>
      </c>
      <c r="N43" s="123">
        <f t="shared" si="21"/>
        <v>22.95</v>
      </c>
      <c r="O43" s="122"/>
      <c r="P43" s="122">
        <f t="shared" si="22"/>
        <v>6.75</v>
      </c>
      <c r="Q43" s="122"/>
      <c r="R43" s="122"/>
      <c r="S43" s="102" t="s">
        <v>1980</v>
      </c>
      <c r="T43" s="86" t="s">
        <v>1990</v>
      </c>
      <c r="U43" s="123"/>
      <c r="V43" s="363"/>
      <c r="W43" s="364"/>
      <c r="X43" s="365"/>
    </row>
    <row r="44" s="317" customFormat="1" ht="24" spans="1:24">
      <c r="A44" s="147">
        <v>37</v>
      </c>
      <c r="B44" s="71" t="s">
        <v>1991</v>
      </c>
      <c r="C44" s="336"/>
      <c r="D44" s="147"/>
      <c r="E44" s="147">
        <v>24</v>
      </c>
      <c r="F44" s="147">
        <v>24</v>
      </c>
      <c r="G44" s="147">
        <v>24</v>
      </c>
      <c r="H44" s="147">
        <v>2018</v>
      </c>
      <c r="I44" s="147">
        <v>2020</v>
      </c>
      <c r="J44" s="147">
        <f t="shared" si="16"/>
        <v>39.6</v>
      </c>
      <c r="K44" s="123">
        <f t="shared" si="18"/>
        <v>13.2</v>
      </c>
      <c r="L44" s="123">
        <f t="shared" si="19"/>
        <v>13.2</v>
      </c>
      <c r="M44" s="123">
        <f t="shared" si="20"/>
        <v>13.2</v>
      </c>
      <c r="N44" s="123">
        <f t="shared" si="21"/>
        <v>30.6</v>
      </c>
      <c r="O44" s="122"/>
      <c r="P44" s="122">
        <f t="shared" si="22"/>
        <v>9</v>
      </c>
      <c r="Q44" s="122"/>
      <c r="R44" s="122"/>
      <c r="S44" s="102" t="s">
        <v>1982</v>
      </c>
      <c r="T44" s="86" t="s">
        <v>1995</v>
      </c>
      <c r="U44" s="123"/>
      <c r="V44" s="363"/>
      <c r="W44" s="364"/>
      <c r="X44" s="365"/>
    </row>
    <row r="45" s="317" customFormat="1" ht="24" spans="1:24">
      <c r="A45" s="147">
        <v>38</v>
      </c>
      <c r="B45" s="71" t="s">
        <v>1992</v>
      </c>
      <c r="C45" s="336"/>
      <c r="D45" s="147"/>
      <c r="E45" s="147">
        <v>12</v>
      </c>
      <c r="F45" s="147">
        <v>12</v>
      </c>
      <c r="G45" s="147">
        <v>12</v>
      </c>
      <c r="H45" s="147">
        <v>2018</v>
      </c>
      <c r="I45" s="147">
        <v>2020</v>
      </c>
      <c r="J45" s="147">
        <f t="shared" si="16"/>
        <v>19.8</v>
      </c>
      <c r="K45" s="123">
        <f t="shared" si="18"/>
        <v>6.6</v>
      </c>
      <c r="L45" s="123">
        <f t="shared" si="19"/>
        <v>6.6</v>
      </c>
      <c r="M45" s="123">
        <f t="shared" si="20"/>
        <v>6.6</v>
      </c>
      <c r="N45" s="123">
        <f t="shared" si="21"/>
        <v>15.3</v>
      </c>
      <c r="O45" s="122"/>
      <c r="P45" s="122">
        <f t="shared" si="22"/>
        <v>4.5</v>
      </c>
      <c r="Q45" s="122"/>
      <c r="R45" s="122"/>
      <c r="S45" s="102" t="s">
        <v>1993</v>
      </c>
      <c r="T45" s="86" t="s">
        <v>1994</v>
      </c>
      <c r="U45" s="123"/>
      <c r="V45" s="363"/>
      <c r="W45" s="364"/>
      <c r="X45" s="365"/>
    </row>
    <row r="46" s="317" customFormat="1" ht="48" spans="1:24">
      <c r="A46" s="147">
        <v>39</v>
      </c>
      <c r="B46" s="71" t="s">
        <v>322</v>
      </c>
      <c r="C46" s="336" t="s">
        <v>320</v>
      </c>
      <c r="D46" s="71" t="s">
        <v>147</v>
      </c>
      <c r="E46" s="147">
        <v>110</v>
      </c>
      <c r="F46" s="147">
        <v>110</v>
      </c>
      <c r="G46" s="147">
        <v>110</v>
      </c>
      <c r="H46" s="147">
        <v>2018</v>
      </c>
      <c r="I46" s="147">
        <v>2020</v>
      </c>
      <c r="J46" s="336">
        <f t="shared" si="16"/>
        <v>181.5</v>
      </c>
      <c r="K46" s="346">
        <v>60.5</v>
      </c>
      <c r="L46" s="346">
        <v>60.5</v>
      </c>
      <c r="M46" s="346">
        <v>60.5</v>
      </c>
      <c r="N46" s="346">
        <v>66</v>
      </c>
      <c r="O46" s="122">
        <v>99</v>
      </c>
      <c r="P46" s="122">
        <v>16.5</v>
      </c>
      <c r="Q46" s="122"/>
      <c r="R46" s="122"/>
      <c r="S46" s="86" t="s">
        <v>1997</v>
      </c>
      <c r="T46" s="86" t="s">
        <v>1998</v>
      </c>
      <c r="U46" s="86" t="s">
        <v>294</v>
      </c>
      <c r="V46" s="56" t="s">
        <v>1999</v>
      </c>
      <c r="W46" s="364"/>
      <c r="X46" s="365"/>
    </row>
    <row r="47" s="317" customFormat="1" ht="24" spans="1:24">
      <c r="A47" s="147">
        <v>40</v>
      </c>
      <c r="B47" s="71" t="s">
        <v>1983</v>
      </c>
      <c r="C47" s="336"/>
      <c r="D47" s="147"/>
      <c r="E47" s="147">
        <v>22</v>
      </c>
      <c r="F47" s="147">
        <v>22</v>
      </c>
      <c r="G47" s="147">
        <v>22</v>
      </c>
      <c r="H47" s="147">
        <v>2018</v>
      </c>
      <c r="I47" s="147">
        <v>2020</v>
      </c>
      <c r="J47" s="147">
        <f t="shared" si="16"/>
        <v>36.3</v>
      </c>
      <c r="K47" s="123">
        <f t="shared" ref="K47:M47" si="23">E47*0.55</f>
        <v>12.1</v>
      </c>
      <c r="L47" s="123">
        <f t="shared" si="23"/>
        <v>12.1</v>
      </c>
      <c r="M47" s="123">
        <f t="shared" si="23"/>
        <v>12.1</v>
      </c>
      <c r="N47" s="123">
        <f t="shared" ref="N47:N51" si="24">E47*0.6</f>
        <v>13.2</v>
      </c>
      <c r="O47" s="122">
        <f t="shared" ref="O47:O51" si="25">E47*0.9</f>
        <v>19.8</v>
      </c>
      <c r="P47" s="122">
        <f t="shared" ref="P47:P51" si="26">E47*0.15</f>
        <v>3.3</v>
      </c>
      <c r="Q47" s="122"/>
      <c r="R47" s="122"/>
      <c r="S47" s="102" t="s">
        <v>1984</v>
      </c>
      <c r="T47" s="86" t="s">
        <v>1985</v>
      </c>
      <c r="U47" s="123"/>
      <c r="V47" s="363"/>
      <c r="W47" s="364"/>
      <c r="X47" s="365"/>
    </row>
    <row r="48" s="317" customFormat="1" ht="24" spans="1:24">
      <c r="A48" s="147">
        <v>41</v>
      </c>
      <c r="B48" s="71" t="s">
        <v>1986</v>
      </c>
      <c r="C48" s="336"/>
      <c r="D48" s="147"/>
      <c r="E48" s="147">
        <v>26</v>
      </c>
      <c r="F48" s="147">
        <v>26</v>
      </c>
      <c r="G48" s="147">
        <v>26</v>
      </c>
      <c r="H48" s="147">
        <v>2018</v>
      </c>
      <c r="I48" s="147">
        <v>2020</v>
      </c>
      <c r="J48" s="147">
        <f t="shared" si="16"/>
        <v>42.9</v>
      </c>
      <c r="K48" s="123">
        <f t="shared" ref="K48:M48" si="27">E48*0.55</f>
        <v>14.3</v>
      </c>
      <c r="L48" s="123">
        <f t="shared" si="27"/>
        <v>14.3</v>
      </c>
      <c r="M48" s="123">
        <f t="shared" si="27"/>
        <v>14.3</v>
      </c>
      <c r="N48" s="123">
        <f t="shared" si="24"/>
        <v>15.6</v>
      </c>
      <c r="O48" s="122">
        <f t="shared" si="25"/>
        <v>23.4</v>
      </c>
      <c r="P48" s="122">
        <f t="shared" si="26"/>
        <v>3.9</v>
      </c>
      <c r="Q48" s="122"/>
      <c r="R48" s="122"/>
      <c r="S48" s="102" t="s">
        <v>1987</v>
      </c>
      <c r="T48" s="86" t="s">
        <v>1988</v>
      </c>
      <c r="U48" s="123"/>
      <c r="V48" s="363"/>
      <c r="W48" s="364"/>
      <c r="X48" s="365"/>
    </row>
    <row r="49" s="317" customFormat="1" ht="24" spans="1:24">
      <c r="A49" s="147">
        <v>42</v>
      </c>
      <c r="B49" s="71" t="s">
        <v>1989</v>
      </c>
      <c r="C49" s="336"/>
      <c r="D49" s="147"/>
      <c r="E49" s="147">
        <v>28</v>
      </c>
      <c r="F49" s="147">
        <v>28</v>
      </c>
      <c r="G49" s="147">
        <v>28</v>
      </c>
      <c r="H49" s="147">
        <v>2018</v>
      </c>
      <c r="I49" s="147">
        <v>2020</v>
      </c>
      <c r="J49" s="147">
        <f t="shared" si="16"/>
        <v>46.2</v>
      </c>
      <c r="K49" s="123">
        <f t="shared" ref="K49:M49" si="28">E49*0.55</f>
        <v>15.4</v>
      </c>
      <c r="L49" s="123">
        <f t="shared" si="28"/>
        <v>15.4</v>
      </c>
      <c r="M49" s="123">
        <f t="shared" si="28"/>
        <v>15.4</v>
      </c>
      <c r="N49" s="123">
        <f t="shared" si="24"/>
        <v>16.8</v>
      </c>
      <c r="O49" s="122">
        <f t="shared" si="25"/>
        <v>25.2</v>
      </c>
      <c r="P49" s="122">
        <f t="shared" si="26"/>
        <v>4.2</v>
      </c>
      <c r="Q49" s="122"/>
      <c r="R49" s="122"/>
      <c r="S49" s="102" t="s">
        <v>1980</v>
      </c>
      <c r="T49" s="86" t="s">
        <v>1990</v>
      </c>
      <c r="U49" s="123"/>
      <c r="V49" s="363"/>
      <c r="W49" s="364"/>
      <c r="X49" s="365"/>
    </row>
    <row r="50" s="317" customFormat="1" ht="24" spans="1:24">
      <c r="A50" s="147">
        <v>43</v>
      </c>
      <c r="B50" s="71" t="s">
        <v>1991</v>
      </c>
      <c r="C50" s="336"/>
      <c r="D50" s="147"/>
      <c r="E50" s="147">
        <v>15</v>
      </c>
      <c r="F50" s="147">
        <v>15</v>
      </c>
      <c r="G50" s="147">
        <v>15</v>
      </c>
      <c r="H50" s="147">
        <v>2018</v>
      </c>
      <c r="I50" s="147">
        <v>2020</v>
      </c>
      <c r="J50" s="147">
        <f t="shared" si="16"/>
        <v>24.75</v>
      </c>
      <c r="K50" s="123">
        <f t="shared" ref="K50:M50" si="29">E50*0.55</f>
        <v>8.25</v>
      </c>
      <c r="L50" s="123">
        <f t="shared" si="29"/>
        <v>8.25</v>
      </c>
      <c r="M50" s="123">
        <f t="shared" si="29"/>
        <v>8.25</v>
      </c>
      <c r="N50" s="123">
        <f t="shared" si="24"/>
        <v>9</v>
      </c>
      <c r="O50" s="122">
        <f t="shared" si="25"/>
        <v>13.5</v>
      </c>
      <c r="P50" s="122">
        <f t="shared" si="26"/>
        <v>2.25</v>
      </c>
      <c r="Q50" s="122"/>
      <c r="R50" s="122"/>
      <c r="S50" s="102" t="s">
        <v>1982</v>
      </c>
      <c r="T50" s="86" t="s">
        <v>1995</v>
      </c>
      <c r="U50" s="123"/>
      <c r="V50" s="363"/>
      <c r="W50" s="364"/>
      <c r="X50" s="365"/>
    </row>
    <row r="51" s="317" customFormat="1" ht="24" spans="1:24">
      <c r="A51" s="147">
        <v>44</v>
      </c>
      <c r="B51" s="71" t="s">
        <v>1992</v>
      </c>
      <c r="C51" s="336"/>
      <c r="D51" s="147"/>
      <c r="E51" s="147">
        <v>19</v>
      </c>
      <c r="F51" s="147">
        <v>19</v>
      </c>
      <c r="G51" s="147">
        <v>19</v>
      </c>
      <c r="H51" s="147">
        <v>2018</v>
      </c>
      <c r="I51" s="147">
        <v>2020</v>
      </c>
      <c r="J51" s="147">
        <f t="shared" si="16"/>
        <v>31.35</v>
      </c>
      <c r="K51" s="123">
        <f t="shared" ref="K51:M51" si="30">E51*0.55</f>
        <v>10.45</v>
      </c>
      <c r="L51" s="123">
        <f t="shared" si="30"/>
        <v>10.45</v>
      </c>
      <c r="M51" s="123">
        <f t="shared" si="30"/>
        <v>10.45</v>
      </c>
      <c r="N51" s="123">
        <f t="shared" si="24"/>
        <v>11.4</v>
      </c>
      <c r="O51" s="122">
        <f t="shared" si="25"/>
        <v>17.1</v>
      </c>
      <c r="P51" s="122">
        <f t="shared" si="26"/>
        <v>2.85</v>
      </c>
      <c r="Q51" s="122"/>
      <c r="R51" s="122"/>
      <c r="S51" s="102" t="s">
        <v>1993</v>
      </c>
      <c r="T51" s="86" t="s">
        <v>1994</v>
      </c>
      <c r="U51" s="123"/>
      <c r="V51" s="363"/>
      <c r="W51" s="364"/>
      <c r="X51" s="365"/>
    </row>
    <row r="52" s="317" customFormat="1" ht="48" spans="1:24">
      <c r="A52" s="147">
        <v>45</v>
      </c>
      <c r="B52" s="71" t="s">
        <v>323</v>
      </c>
      <c r="C52" s="336" t="s">
        <v>320</v>
      </c>
      <c r="D52" s="71" t="s">
        <v>147</v>
      </c>
      <c r="E52" s="147">
        <v>71</v>
      </c>
      <c r="F52" s="147">
        <v>71</v>
      </c>
      <c r="G52" s="147">
        <v>71</v>
      </c>
      <c r="H52" s="147">
        <v>2018</v>
      </c>
      <c r="I52" s="147">
        <v>2020</v>
      </c>
      <c r="J52" s="336">
        <f t="shared" si="16"/>
        <v>95.4</v>
      </c>
      <c r="K52" s="346">
        <v>31.8</v>
      </c>
      <c r="L52" s="346">
        <v>31.8</v>
      </c>
      <c r="M52" s="346">
        <v>31.8</v>
      </c>
      <c r="N52" s="346">
        <v>31.95</v>
      </c>
      <c r="O52" s="122">
        <v>31.5</v>
      </c>
      <c r="P52" s="336">
        <v>31.95</v>
      </c>
      <c r="Q52" s="122">
        <v>0</v>
      </c>
      <c r="R52" s="122"/>
      <c r="S52" s="86" t="s">
        <v>1997</v>
      </c>
      <c r="T52" s="86" t="s">
        <v>1998</v>
      </c>
      <c r="U52" s="86" t="s">
        <v>294</v>
      </c>
      <c r="V52" s="56" t="s">
        <v>1999</v>
      </c>
      <c r="W52" s="364"/>
      <c r="X52" s="365"/>
    </row>
    <row r="53" s="317" customFormat="1" ht="24" spans="1:24">
      <c r="A53" s="147">
        <v>46</v>
      </c>
      <c r="B53" s="71" t="s">
        <v>1983</v>
      </c>
      <c r="C53" s="71" t="s">
        <v>1803</v>
      </c>
      <c r="D53" s="71" t="s">
        <v>147</v>
      </c>
      <c r="E53" s="147">
        <v>5</v>
      </c>
      <c r="F53" s="147">
        <v>5</v>
      </c>
      <c r="G53" s="147">
        <v>5</v>
      </c>
      <c r="H53" s="147">
        <v>2018</v>
      </c>
      <c r="I53" s="147">
        <v>2020</v>
      </c>
      <c r="J53" s="336">
        <f t="shared" si="16"/>
        <v>9</v>
      </c>
      <c r="K53" s="339">
        <f t="shared" ref="K53:M53" si="31">E53*0.6</f>
        <v>3</v>
      </c>
      <c r="L53" s="339">
        <f t="shared" si="31"/>
        <v>3</v>
      </c>
      <c r="M53" s="339">
        <f t="shared" si="31"/>
        <v>3</v>
      </c>
      <c r="N53" s="336">
        <f t="shared" ref="N53:N64" si="32">E53*1500*3/10000</f>
        <v>2.25</v>
      </c>
      <c r="O53" s="122">
        <f t="shared" ref="O53:O59" si="33">E53*3000*3/10000</f>
        <v>4.5</v>
      </c>
      <c r="P53" s="336">
        <f t="shared" ref="P53:P64" si="34">E53*1500*3/10000</f>
        <v>2.25</v>
      </c>
      <c r="Q53" s="122">
        <v>0</v>
      </c>
      <c r="R53" s="122"/>
      <c r="S53" s="102" t="s">
        <v>1984</v>
      </c>
      <c r="T53" s="86" t="s">
        <v>1985</v>
      </c>
      <c r="U53" s="123"/>
      <c r="V53" s="363"/>
      <c r="W53" s="364"/>
      <c r="X53" s="365"/>
    </row>
    <row r="54" s="317" customFormat="1" ht="24" spans="1:24">
      <c r="A54" s="147">
        <v>47</v>
      </c>
      <c r="B54" s="71" t="s">
        <v>1986</v>
      </c>
      <c r="C54" s="71" t="s">
        <v>1803</v>
      </c>
      <c r="D54" s="71" t="s">
        <v>147</v>
      </c>
      <c r="E54" s="147">
        <v>10</v>
      </c>
      <c r="F54" s="147">
        <v>10</v>
      </c>
      <c r="G54" s="147">
        <v>10</v>
      </c>
      <c r="H54" s="147">
        <v>2018</v>
      </c>
      <c r="I54" s="147">
        <v>2020</v>
      </c>
      <c r="J54" s="336">
        <f t="shared" si="16"/>
        <v>18</v>
      </c>
      <c r="K54" s="123">
        <f t="shared" ref="K54:M54" si="35">E54*0.6</f>
        <v>6</v>
      </c>
      <c r="L54" s="123">
        <f t="shared" si="35"/>
        <v>6</v>
      </c>
      <c r="M54" s="123">
        <f t="shared" si="35"/>
        <v>6</v>
      </c>
      <c r="N54" s="336">
        <f t="shared" si="32"/>
        <v>4.5</v>
      </c>
      <c r="O54" s="122">
        <f t="shared" si="33"/>
        <v>9</v>
      </c>
      <c r="P54" s="336">
        <f t="shared" si="34"/>
        <v>4.5</v>
      </c>
      <c r="Q54" s="122">
        <v>0</v>
      </c>
      <c r="R54" s="122"/>
      <c r="S54" s="102" t="s">
        <v>1987</v>
      </c>
      <c r="T54" s="86" t="s">
        <v>1988</v>
      </c>
      <c r="U54" s="123"/>
      <c r="V54" s="363"/>
      <c r="W54" s="364"/>
      <c r="X54" s="365"/>
    </row>
    <row r="55" s="317" customFormat="1" ht="24" spans="1:24">
      <c r="A55" s="147">
        <v>48</v>
      </c>
      <c r="B55" s="71" t="s">
        <v>1989</v>
      </c>
      <c r="C55" s="71" t="s">
        <v>1803</v>
      </c>
      <c r="D55" s="71" t="s">
        <v>147</v>
      </c>
      <c r="E55" s="147">
        <v>3</v>
      </c>
      <c r="F55" s="147">
        <v>3</v>
      </c>
      <c r="G55" s="147">
        <v>3</v>
      </c>
      <c r="H55" s="147">
        <v>2018</v>
      </c>
      <c r="I55" s="147">
        <v>2020</v>
      </c>
      <c r="J55" s="336">
        <f t="shared" si="16"/>
        <v>5.4</v>
      </c>
      <c r="K55" s="123">
        <f t="shared" ref="K55:M55" si="36">E55*0.6</f>
        <v>1.8</v>
      </c>
      <c r="L55" s="123">
        <f t="shared" si="36"/>
        <v>1.8</v>
      </c>
      <c r="M55" s="123">
        <f t="shared" si="36"/>
        <v>1.8</v>
      </c>
      <c r="N55" s="336">
        <f t="shared" si="32"/>
        <v>1.35</v>
      </c>
      <c r="O55" s="122">
        <f t="shared" si="33"/>
        <v>2.7</v>
      </c>
      <c r="P55" s="336">
        <f t="shared" si="34"/>
        <v>1.35</v>
      </c>
      <c r="Q55" s="122">
        <v>0</v>
      </c>
      <c r="R55" s="122"/>
      <c r="S55" s="102" t="s">
        <v>1980</v>
      </c>
      <c r="T55" s="86" t="s">
        <v>1990</v>
      </c>
      <c r="U55" s="123"/>
      <c r="V55" s="363"/>
      <c r="W55" s="364"/>
      <c r="X55" s="365"/>
    </row>
    <row r="56" s="317" customFormat="1" ht="24" spans="1:24">
      <c r="A56" s="147">
        <v>49</v>
      </c>
      <c r="B56" s="71" t="s">
        <v>1991</v>
      </c>
      <c r="C56" s="71" t="s">
        <v>1803</v>
      </c>
      <c r="D56" s="71" t="s">
        <v>147</v>
      </c>
      <c r="E56" s="147">
        <v>11</v>
      </c>
      <c r="F56" s="147">
        <v>11</v>
      </c>
      <c r="G56" s="147">
        <v>11</v>
      </c>
      <c r="H56" s="147">
        <v>2018</v>
      </c>
      <c r="I56" s="147">
        <v>2020</v>
      </c>
      <c r="J56" s="336">
        <f t="shared" si="16"/>
        <v>19.8</v>
      </c>
      <c r="K56" s="123">
        <f t="shared" ref="K56:M56" si="37">E56*0.6</f>
        <v>6.6</v>
      </c>
      <c r="L56" s="123">
        <f t="shared" si="37"/>
        <v>6.6</v>
      </c>
      <c r="M56" s="123">
        <f t="shared" si="37"/>
        <v>6.6</v>
      </c>
      <c r="N56" s="336">
        <f t="shared" si="32"/>
        <v>4.95</v>
      </c>
      <c r="O56" s="122">
        <f t="shared" si="33"/>
        <v>9.9</v>
      </c>
      <c r="P56" s="336">
        <f t="shared" si="34"/>
        <v>4.95</v>
      </c>
      <c r="Q56" s="122">
        <v>0</v>
      </c>
      <c r="R56" s="122"/>
      <c r="S56" s="102" t="s">
        <v>1982</v>
      </c>
      <c r="T56" s="86" t="s">
        <v>1995</v>
      </c>
      <c r="U56" s="123"/>
      <c r="V56" s="363"/>
      <c r="W56" s="364"/>
      <c r="X56" s="365"/>
    </row>
    <row r="57" s="317" customFormat="1" ht="24" spans="1:24">
      <c r="A57" s="147">
        <v>50</v>
      </c>
      <c r="B57" s="71" t="s">
        <v>1992</v>
      </c>
      <c r="C57" s="71" t="s">
        <v>1803</v>
      </c>
      <c r="D57" s="71" t="s">
        <v>147</v>
      </c>
      <c r="E57" s="147">
        <v>4</v>
      </c>
      <c r="F57" s="147">
        <v>4</v>
      </c>
      <c r="G57" s="147">
        <v>4</v>
      </c>
      <c r="H57" s="147">
        <v>2018</v>
      </c>
      <c r="I57" s="147">
        <v>2020</v>
      </c>
      <c r="J57" s="336">
        <f t="shared" si="16"/>
        <v>7.2</v>
      </c>
      <c r="K57" s="123">
        <f t="shared" ref="K57:M57" si="38">E57*0.6</f>
        <v>2.4</v>
      </c>
      <c r="L57" s="123">
        <f t="shared" si="38"/>
        <v>2.4</v>
      </c>
      <c r="M57" s="123">
        <f t="shared" si="38"/>
        <v>2.4</v>
      </c>
      <c r="N57" s="336">
        <f t="shared" si="32"/>
        <v>1.8</v>
      </c>
      <c r="O57" s="122">
        <f t="shared" si="33"/>
        <v>3.6</v>
      </c>
      <c r="P57" s="336">
        <f t="shared" si="34"/>
        <v>1.8</v>
      </c>
      <c r="Q57" s="122">
        <v>0</v>
      </c>
      <c r="R57" s="122"/>
      <c r="S57" s="102" t="s">
        <v>1993</v>
      </c>
      <c r="T57" s="86" t="s">
        <v>1994</v>
      </c>
      <c r="U57" s="123"/>
      <c r="V57" s="363"/>
      <c r="W57" s="364"/>
      <c r="X57" s="365"/>
    </row>
    <row r="58" s="317" customFormat="1" ht="24" spans="1:24">
      <c r="A58" s="147">
        <v>51</v>
      </c>
      <c r="B58" s="71" t="s">
        <v>1983</v>
      </c>
      <c r="C58" s="71" t="s">
        <v>1805</v>
      </c>
      <c r="D58" s="71" t="s">
        <v>147</v>
      </c>
      <c r="E58" s="147">
        <v>1</v>
      </c>
      <c r="F58" s="147">
        <v>1</v>
      </c>
      <c r="G58" s="147">
        <v>1</v>
      </c>
      <c r="H58" s="147">
        <v>2018</v>
      </c>
      <c r="I58" s="147">
        <v>2020</v>
      </c>
      <c r="J58" s="336">
        <f t="shared" si="16"/>
        <v>1.8</v>
      </c>
      <c r="K58" s="123">
        <f t="shared" ref="K58:M58" si="39">E58*0.6</f>
        <v>0.6</v>
      </c>
      <c r="L58" s="123">
        <f t="shared" si="39"/>
        <v>0.6</v>
      </c>
      <c r="M58" s="123">
        <f t="shared" si="39"/>
        <v>0.6</v>
      </c>
      <c r="N58" s="336">
        <f t="shared" si="32"/>
        <v>0.45</v>
      </c>
      <c r="O58" s="122">
        <f t="shared" si="33"/>
        <v>0.9</v>
      </c>
      <c r="P58" s="336">
        <f t="shared" si="34"/>
        <v>0.45</v>
      </c>
      <c r="Q58" s="122">
        <v>0</v>
      </c>
      <c r="R58" s="122"/>
      <c r="S58" s="102" t="s">
        <v>1984</v>
      </c>
      <c r="T58" s="86" t="s">
        <v>1985</v>
      </c>
      <c r="U58" s="123"/>
      <c r="V58" s="363"/>
      <c r="W58" s="364"/>
      <c r="X58" s="365"/>
    </row>
    <row r="59" s="317" customFormat="1" ht="24" spans="1:24">
      <c r="A59" s="147">
        <v>52</v>
      </c>
      <c r="B59" s="71" t="s">
        <v>1986</v>
      </c>
      <c r="C59" s="71" t="s">
        <v>1805</v>
      </c>
      <c r="D59" s="71" t="s">
        <v>147</v>
      </c>
      <c r="E59" s="147">
        <v>1</v>
      </c>
      <c r="F59" s="147">
        <v>1</v>
      </c>
      <c r="G59" s="147">
        <v>1</v>
      </c>
      <c r="H59" s="147">
        <v>2018</v>
      </c>
      <c r="I59" s="147">
        <v>2020</v>
      </c>
      <c r="J59" s="336">
        <f t="shared" si="16"/>
        <v>1.8</v>
      </c>
      <c r="K59" s="123">
        <f t="shared" ref="K59:M59" si="40">E59*0.6</f>
        <v>0.6</v>
      </c>
      <c r="L59" s="123">
        <f t="shared" si="40"/>
        <v>0.6</v>
      </c>
      <c r="M59" s="123">
        <f t="shared" si="40"/>
        <v>0.6</v>
      </c>
      <c r="N59" s="336">
        <f t="shared" si="32"/>
        <v>0.45</v>
      </c>
      <c r="O59" s="122">
        <f t="shared" si="33"/>
        <v>0.9</v>
      </c>
      <c r="P59" s="336">
        <f t="shared" si="34"/>
        <v>0.45</v>
      </c>
      <c r="Q59" s="122">
        <v>0</v>
      </c>
      <c r="R59" s="122"/>
      <c r="S59" s="102" t="s">
        <v>1987</v>
      </c>
      <c r="T59" s="86" t="s">
        <v>1988</v>
      </c>
      <c r="U59" s="123"/>
      <c r="V59" s="363"/>
      <c r="W59" s="364"/>
      <c r="X59" s="365"/>
    </row>
    <row r="60" s="317" customFormat="1" ht="24" spans="1:24">
      <c r="A60" s="147">
        <v>53</v>
      </c>
      <c r="B60" s="71" t="s">
        <v>1983</v>
      </c>
      <c r="C60" s="71" t="s">
        <v>1806</v>
      </c>
      <c r="D60" s="71" t="s">
        <v>147</v>
      </c>
      <c r="E60" s="147">
        <v>5</v>
      </c>
      <c r="F60" s="147">
        <v>5</v>
      </c>
      <c r="G60" s="147">
        <v>5</v>
      </c>
      <c r="H60" s="147">
        <v>2018</v>
      </c>
      <c r="I60" s="147">
        <v>2020</v>
      </c>
      <c r="J60" s="336">
        <f t="shared" si="16"/>
        <v>4.5</v>
      </c>
      <c r="K60" s="339">
        <f t="shared" ref="K60:M60" si="41">E60*0.3</f>
        <v>1.5</v>
      </c>
      <c r="L60" s="339">
        <f t="shared" si="41"/>
        <v>1.5</v>
      </c>
      <c r="M60" s="351">
        <f t="shared" si="41"/>
        <v>1.5</v>
      </c>
      <c r="N60" s="336">
        <f t="shared" si="32"/>
        <v>2.25</v>
      </c>
      <c r="O60" s="122">
        <v>0</v>
      </c>
      <c r="P60" s="336">
        <f t="shared" si="34"/>
        <v>2.25</v>
      </c>
      <c r="Q60" s="122">
        <v>0</v>
      </c>
      <c r="R60" s="122"/>
      <c r="S60" s="102" t="s">
        <v>1984</v>
      </c>
      <c r="T60" s="86" t="s">
        <v>1985</v>
      </c>
      <c r="U60" s="123"/>
      <c r="V60" s="363"/>
      <c r="W60" s="364"/>
      <c r="X60" s="365"/>
    </row>
    <row r="61" s="317" customFormat="1" ht="24" spans="1:24">
      <c r="A61" s="147">
        <v>54</v>
      </c>
      <c r="B61" s="71" t="s">
        <v>1986</v>
      </c>
      <c r="C61" s="71" t="s">
        <v>1806</v>
      </c>
      <c r="D61" s="71" t="s">
        <v>147</v>
      </c>
      <c r="E61" s="147">
        <v>6</v>
      </c>
      <c r="F61" s="147">
        <v>6</v>
      </c>
      <c r="G61" s="147">
        <v>6</v>
      </c>
      <c r="H61" s="147">
        <v>2018</v>
      </c>
      <c r="I61" s="147">
        <v>2020</v>
      </c>
      <c r="J61" s="336">
        <f t="shared" si="16"/>
        <v>5.4</v>
      </c>
      <c r="K61" s="123">
        <f t="shared" ref="K61:M61" si="42">E61*0.3</f>
        <v>1.8</v>
      </c>
      <c r="L61" s="123">
        <f t="shared" si="42"/>
        <v>1.8</v>
      </c>
      <c r="M61" s="346">
        <f t="shared" si="42"/>
        <v>1.8</v>
      </c>
      <c r="N61" s="336">
        <f t="shared" si="32"/>
        <v>2.7</v>
      </c>
      <c r="O61" s="122">
        <v>0</v>
      </c>
      <c r="P61" s="336">
        <f t="shared" si="34"/>
        <v>2.7</v>
      </c>
      <c r="Q61" s="122">
        <v>0</v>
      </c>
      <c r="R61" s="122"/>
      <c r="S61" s="102" t="s">
        <v>1987</v>
      </c>
      <c r="T61" s="86" t="s">
        <v>1988</v>
      </c>
      <c r="U61" s="123"/>
      <c r="V61" s="363"/>
      <c r="W61" s="364"/>
      <c r="X61" s="365"/>
    </row>
    <row r="62" s="317" customFormat="1" ht="24" spans="1:24">
      <c r="A62" s="147">
        <v>55</v>
      </c>
      <c r="B62" s="71" t="s">
        <v>1989</v>
      </c>
      <c r="C62" s="71" t="s">
        <v>1806</v>
      </c>
      <c r="D62" s="71" t="s">
        <v>147</v>
      </c>
      <c r="E62" s="147">
        <v>8</v>
      </c>
      <c r="F62" s="147">
        <v>8</v>
      </c>
      <c r="G62" s="147">
        <v>8</v>
      </c>
      <c r="H62" s="147">
        <v>2018</v>
      </c>
      <c r="I62" s="147">
        <v>2020</v>
      </c>
      <c r="J62" s="336">
        <f t="shared" si="16"/>
        <v>7.2</v>
      </c>
      <c r="K62" s="123">
        <f t="shared" ref="K62:M62" si="43">E62*0.3</f>
        <v>2.4</v>
      </c>
      <c r="L62" s="123">
        <f t="shared" si="43"/>
        <v>2.4</v>
      </c>
      <c r="M62" s="346">
        <f t="shared" si="43"/>
        <v>2.4</v>
      </c>
      <c r="N62" s="336">
        <f t="shared" si="32"/>
        <v>3.6</v>
      </c>
      <c r="O62" s="122">
        <v>0</v>
      </c>
      <c r="P62" s="336">
        <f t="shared" si="34"/>
        <v>3.6</v>
      </c>
      <c r="Q62" s="122">
        <v>0</v>
      </c>
      <c r="R62" s="122"/>
      <c r="S62" s="102" t="s">
        <v>1980</v>
      </c>
      <c r="T62" s="86" t="s">
        <v>1990</v>
      </c>
      <c r="U62" s="123"/>
      <c r="V62" s="363"/>
      <c r="W62" s="364"/>
      <c r="X62" s="365"/>
    </row>
    <row r="63" s="317" customFormat="1" ht="24" spans="1:24">
      <c r="A63" s="147">
        <v>56</v>
      </c>
      <c r="B63" s="71" t="s">
        <v>1991</v>
      </c>
      <c r="C63" s="71" t="s">
        <v>1806</v>
      </c>
      <c r="D63" s="71" t="s">
        <v>147</v>
      </c>
      <c r="E63" s="147">
        <v>12</v>
      </c>
      <c r="F63" s="147">
        <v>12</v>
      </c>
      <c r="G63" s="147">
        <v>12</v>
      </c>
      <c r="H63" s="147">
        <v>2018</v>
      </c>
      <c r="I63" s="147">
        <v>2020</v>
      </c>
      <c r="J63" s="336">
        <f t="shared" si="16"/>
        <v>10.8</v>
      </c>
      <c r="K63" s="123">
        <f t="shared" ref="K63:M63" si="44">E63*0.3</f>
        <v>3.6</v>
      </c>
      <c r="L63" s="123">
        <f t="shared" si="44"/>
        <v>3.6</v>
      </c>
      <c r="M63" s="346">
        <f t="shared" si="44"/>
        <v>3.6</v>
      </c>
      <c r="N63" s="336">
        <f t="shared" si="32"/>
        <v>5.4</v>
      </c>
      <c r="O63" s="122">
        <v>0</v>
      </c>
      <c r="P63" s="336">
        <f t="shared" si="34"/>
        <v>5.4</v>
      </c>
      <c r="Q63" s="122">
        <v>0</v>
      </c>
      <c r="R63" s="122"/>
      <c r="S63" s="102" t="s">
        <v>1982</v>
      </c>
      <c r="T63" s="86" t="s">
        <v>1995</v>
      </c>
      <c r="U63" s="123"/>
      <c r="V63" s="363"/>
      <c r="W63" s="364"/>
      <c r="X63" s="365"/>
    </row>
    <row r="64" s="317" customFormat="1" ht="24" spans="1:24">
      <c r="A64" s="147">
        <v>57</v>
      </c>
      <c r="B64" s="71" t="s">
        <v>1992</v>
      </c>
      <c r="C64" s="71" t="s">
        <v>1806</v>
      </c>
      <c r="D64" s="71" t="s">
        <v>147</v>
      </c>
      <c r="E64" s="147">
        <v>5</v>
      </c>
      <c r="F64" s="147">
        <v>5</v>
      </c>
      <c r="G64" s="147">
        <v>5</v>
      </c>
      <c r="H64" s="147">
        <v>2018</v>
      </c>
      <c r="I64" s="147">
        <v>2020</v>
      </c>
      <c r="J64" s="336">
        <f t="shared" si="16"/>
        <v>4.5</v>
      </c>
      <c r="K64" s="123">
        <f t="shared" ref="K64:M64" si="45">E64*0.3</f>
        <v>1.5</v>
      </c>
      <c r="L64" s="123">
        <f t="shared" si="45"/>
        <v>1.5</v>
      </c>
      <c r="M64" s="346">
        <f t="shared" si="45"/>
        <v>1.5</v>
      </c>
      <c r="N64" s="336">
        <f t="shared" si="32"/>
        <v>2.25</v>
      </c>
      <c r="O64" s="122">
        <v>0</v>
      </c>
      <c r="P64" s="336">
        <f t="shared" si="34"/>
        <v>2.25</v>
      </c>
      <c r="Q64" s="122">
        <v>0</v>
      </c>
      <c r="R64" s="122"/>
      <c r="S64" s="102" t="s">
        <v>1993</v>
      </c>
      <c r="T64" s="86" t="s">
        <v>1994</v>
      </c>
      <c r="U64" s="123"/>
      <c r="V64" s="363"/>
      <c r="W64" s="364"/>
      <c r="X64" s="365"/>
    </row>
    <row r="65" s="317" customFormat="1" ht="24" spans="1:24">
      <c r="A65" s="147">
        <v>58</v>
      </c>
      <c r="B65" s="71" t="s">
        <v>324</v>
      </c>
      <c r="C65" s="147" t="s">
        <v>320</v>
      </c>
      <c r="D65" s="71" t="s">
        <v>147</v>
      </c>
      <c r="E65" s="335"/>
      <c r="F65" s="335"/>
      <c r="G65" s="335"/>
      <c r="H65" s="335"/>
      <c r="I65" s="335"/>
      <c r="J65" s="335"/>
      <c r="K65" s="348"/>
      <c r="L65" s="348"/>
      <c r="M65" s="340"/>
      <c r="N65" s="336"/>
      <c r="O65" s="336"/>
      <c r="P65" s="336"/>
      <c r="Q65" s="336"/>
      <c r="R65" s="366"/>
      <c r="S65" s="86" t="s">
        <v>1987</v>
      </c>
      <c r="T65" s="86" t="s">
        <v>1996</v>
      </c>
      <c r="U65" s="86" t="s">
        <v>294</v>
      </c>
      <c r="V65" s="363"/>
      <c r="W65" s="364"/>
      <c r="X65" s="365"/>
    </row>
    <row r="66" s="317" customFormat="1" spans="1:24">
      <c r="A66" s="147">
        <v>59</v>
      </c>
      <c r="B66" s="28" t="s">
        <v>802</v>
      </c>
      <c r="C66" s="147" t="s">
        <v>320</v>
      </c>
      <c r="D66" s="147" t="s">
        <v>320</v>
      </c>
      <c r="E66" s="335"/>
      <c r="F66" s="335"/>
      <c r="G66" s="335"/>
      <c r="H66" s="335">
        <v>2018</v>
      </c>
      <c r="I66" s="335">
        <v>2020</v>
      </c>
      <c r="J66" s="335">
        <f>J67+J73+J79+J85+J91</f>
        <v>402.518</v>
      </c>
      <c r="K66" s="341">
        <f t="shared" ref="K66:P66" si="46">K67+K79+K91</f>
        <v>130.546</v>
      </c>
      <c r="L66" s="341">
        <f t="shared" si="46"/>
        <v>134.056</v>
      </c>
      <c r="M66" s="341">
        <f t="shared" si="46"/>
        <v>137.916</v>
      </c>
      <c r="N66" s="372">
        <f t="shared" si="46"/>
        <v>271.2548</v>
      </c>
      <c r="O66" s="335">
        <f t="shared" si="46"/>
        <v>0</v>
      </c>
      <c r="P66" s="335">
        <f t="shared" si="46"/>
        <v>131.2632</v>
      </c>
      <c r="Q66" s="335">
        <v>0</v>
      </c>
      <c r="R66" s="335">
        <f t="shared" ref="R66:R70" si="47">R67+R79+R91</f>
        <v>0</v>
      </c>
      <c r="S66" s="123"/>
      <c r="T66" s="123"/>
      <c r="U66" s="147" t="s">
        <v>320</v>
      </c>
      <c r="V66" s="363"/>
      <c r="W66" s="364"/>
      <c r="X66" s="365"/>
    </row>
    <row r="67" s="317" customFormat="1" spans="1:24">
      <c r="A67" s="147">
        <v>60</v>
      </c>
      <c r="B67" s="71" t="s">
        <v>327</v>
      </c>
      <c r="C67" s="147" t="s">
        <v>320</v>
      </c>
      <c r="D67" s="71" t="s">
        <v>147</v>
      </c>
      <c r="E67" s="335">
        <v>5302</v>
      </c>
      <c r="F67" s="335">
        <v>1305</v>
      </c>
      <c r="G67" s="335">
        <v>5302</v>
      </c>
      <c r="H67" s="147">
        <v>2018</v>
      </c>
      <c r="I67" s="147">
        <v>2020</v>
      </c>
      <c r="J67" s="335">
        <f t="shared" ref="J67:J72" si="48">K67+L67+M67</f>
        <v>286.308</v>
      </c>
      <c r="K67" s="341">
        <f t="shared" ref="K67:P67" si="49">K68+K69+K70+K71+K72</f>
        <v>95.436</v>
      </c>
      <c r="L67" s="341">
        <f t="shared" si="49"/>
        <v>95.436</v>
      </c>
      <c r="M67" s="341">
        <f t="shared" si="49"/>
        <v>95.436</v>
      </c>
      <c r="N67" s="372">
        <f t="shared" si="49"/>
        <v>155.0448</v>
      </c>
      <c r="O67" s="335">
        <f t="shared" si="49"/>
        <v>0</v>
      </c>
      <c r="P67" s="335">
        <f t="shared" si="49"/>
        <v>131.2632</v>
      </c>
      <c r="Q67" s="335">
        <v>0</v>
      </c>
      <c r="R67" s="335">
        <f t="shared" ref="R67:R71" si="50">R68+R69+R70+R71+R72</f>
        <v>0</v>
      </c>
      <c r="S67" s="86" t="s">
        <v>1982</v>
      </c>
      <c r="T67" s="86" t="s">
        <v>2000</v>
      </c>
      <c r="U67" s="86" t="s">
        <v>195</v>
      </c>
      <c r="V67" s="363"/>
      <c r="W67" s="364"/>
      <c r="X67" s="365"/>
    </row>
    <row r="68" s="317" customFormat="1" ht="24" spans="1:24">
      <c r="A68" s="147">
        <v>61</v>
      </c>
      <c r="B68" s="71" t="s">
        <v>1983</v>
      </c>
      <c r="C68" s="147" t="s">
        <v>320</v>
      </c>
      <c r="D68" s="71" t="s">
        <v>147</v>
      </c>
      <c r="E68" s="335">
        <v>1131</v>
      </c>
      <c r="F68" s="335">
        <v>272</v>
      </c>
      <c r="G68" s="335">
        <v>1131</v>
      </c>
      <c r="H68" s="147">
        <v>2018</v>
      </c>
      <c r="I68" s="147">
        <v>2020</v>
      </c>
      <c r="J68" s="335">
        <f t="shared" si="48"/>
        <v>61.074</v>
      </c>
      <c r="K68" s="341">
        <v>20.358</v>
      </c>
      <c r="L68" s="341">
        <v>20.358</v>
      </c>
      <c r="M68" s="341">
        <v>20.358</v>
      </c>
      <c r="N68" s="372">
        <v>34.7814</v>
      </c>
      <c r="O68" s="335">
        <f t="shared" ref="O68:O72" si="51">O69+O81+O93</f>
        <v>0</v>
      </c>
      <c r="P68" s="335">
        <v>26.2926</v>
      </c>
      <c r="Q68" s="335">
        <v>0</v>
      </c>
      <c r="R68" s="335">
        <f t="shared" si="47"/>
        <v>0</v>
      </c>
      <c r="S68" s="102" t="s">
        <v>1984</v>
      </c>
      <c r="T68" s="86" t="s">
        <v>1985</v>
      </c>
      <c r="U68" s="86" t="s">
        <v>195</v>
      </c>
      <c r="V68" s="363"/>
      <c r="W68" s="364"/>
      <c r="X68" s="365"/>
    </row>
    <row r="69" s="317" customFormat="1" ht="23.25" customHeight="1" spans="1:24">
      <c r="A69" s="147">
        <v>62</v>
      </c>
      <c r="B69" s="71" t="s">
        <v>1986</v>
      </c>
      <c r="C69" s="147" t="s">
        <v>320</v>
      </c>
      <c r="D69" s="71" t="s">
        <v>147</v>
      </c>
      <c r="E69" s="335">
        <v>1440</v>
      </c>
      <c r="F69" s="335">
        <v>343</v>
      </c>
      <c r="G69" s="335">
        <v>1440</v>
      </c>
      <c r="H69" s="147">
        <v>2018</v>
      </c>
      <c r="I69" s="147">
        <v>2020</v>
      </c>
      <c r="J69" s="335">
        <f t="shared" si="48"/>
        <v>77.76</v>
      </c>
      <c r="K69" s="341">
        <v>25.92</v>
      </c>
      <c r="L69" s="341">
        <v>25.92</v>
      </c>
      <c r="M69" s="341">
        <v>25.92</v>
      </c>
      <c r="N69" s="372">
        <v>41.958</v>
      </c>
      <c r="O69" s="335">
        <f>O70+O71+O72+O73+O74</f>
        <v>0</v>
      </c>
      <c r="P69" s="335">
        <v>35.802</v>
      </c>
      <c r="Q69" s="335">
        <v>0</v>
      </c>
      <c r="R69" s="335">
        <f t="shared" si="50"/>
        <v>0</v>
      </c>
      <c r="S69" s="102" t="s">
        <v>1987</v>
      </c>
      <c r="T69" s="86" t="s">
        <v>1988</v>
      </c>
      <c r="U69" s="86" t="s">
        <v>195</v>
      </c>
      <c r="V69" s="363"/>
      <c r="W69" s="364"/>
      <c r="X69" s="365"/>
    </row>
    <row r="70" s="317" customFormat="1" ht="23.25" customHeight="1" spans="1:24">
      <c r="A70" s="147">
        <v>63</v>
      </c>
      <c r="B70" s="71" t="s">
        <v>1989</v>
      </c>
      <c r="C70" s="147" t="s">
        <v>320</v>
      </c>
      <c r="D70" s="71" t="s">
        <v>147</v>
      </c>
      <c r="E70" s="335">
        <v>1225</v>
      </c>
      <c r="F70" s="335">
        <v>297</v>
      </c>
      <c r="G70" s="335">
        <v>1225</v>
      </c>
      <c r="H70" s="147">
        <v>2018</v>
      </c>
      <c r="I70" s="147">
        <v>2020</v>
      </c>
      <c r="J70" s="335">
        <f t="shared" si="48"/>
        <v>66.15</v>
      </c>
      <c r="K70" s="341">
        <v>22.05</v>
      </c>
      <c r="L70" s="341">
        <v>22.05</v>
      </c>
      <c r="M70" s="341">
        <v>22.05</v>
      </c>
      <c r="N70" s="372">
        <v>36.2394</v>
      </c>
      <c r="O70" s="335">
        <f t="shared" si="51"/>
        <v>0</v>
      </c>
      <c r="P70" s="335">
        <v>29.9106</v>
      </c>
      <c r="Q70" s="335">
        <v>0</v>
      </c>
      <c r="R70" s="335">
        <f t="shared" si="47"/>
        <v>0</v>
      </c>
      <c r="S70" s="102" t="s">
        <v>1980</v>
      </c>
      <c r="T70" s="86" t="s">
        <v>1990</v>
      </c>
      <c r="U70" s="86" t="s">
        <v>195</v>
      </c>
      <c r="V70" s="363"/>
      <c r="W70" s="364"/>
      <c r="X70" s="365"/>
    </row>
    <row r="71" s="317" customFormat="1" ht="23.25" customHeight="1" spans="1:24">
      <c r="A71" s="147">
        <v>64</v>
      </c>
      <c r="B71" s="71" t="s">
        <v>1991</v>
      </c>
      <c r="C71" s="147" t="s">
        <v>320</v>
      </c>
      <c r="D71" s="71" t="s">
        <v>147</v>
      </c>
      <c r="E71" s="335">
        <v>886</v>
      </c>
      <c r="F71" s="335">
        <v>235</v>
      </c>
      <c r="G71" s="335">
        <v>886</v>
      </c>
      <c r="H71" s="147">
        <v>2018</v>
      </c>
      <c r="I71" s="147">
        <v>2020</v>
      </c>
      <c r="J71" s="335">
        <f t="shared" si="48"/>
        <v>47.844</v>
      </c>
      <c r="K71" s="341">
        <v>15.948</v>
      </c>
      <c r="L71" s="341">
        <v>15.948</v>
      </c>
      <c r="M71" s="341">
        <v>15.948</v>
      </c>
      <c r="N71" s="372">
        <v>25.1856</v>
      </c>
      <c r="O71" s="335">
        <f>O72+O73+O74+O75+O76</f>
        <v>0</v>
      </c>
      <c r="P71" s="335">
        <v>22.6584</v>
      </c>
      <c r="Q71" s="335">
        <v>0</v>
      </c>
      <c r="R71" s="335">
        <f t="shared" si="50"/>
        <v>0</v>
      </c>
      <c r="S71" s="102" t="s">
        <v>1982</v>
      </c>
      <c r="T71" s="86" t="s">
        <v>1995</v>
      </c>
      <c r="U71" s="86" t="s">
        <v>195</v>
      </c>
      <c r="V71" s="363"/>
      <c r="W71" s="364"/>
      <c r="X71" s="365"/>
    </row>
    <row r="72" s="317" customFormat="1" ht="23.25" customHeight="1" spans="1:24">
      <c r="A72" s="147">
        <v>65</v>
      </c>
      <c r="B72" s="71" t="s">
        <v>1992</v>
      </c>
      <c r="C72" s="147" t="s">
        <v>320</v>
      </c>
      <c r="D72" s="71" t="s">
        <v>147</v>
      </c>
      <c r="E72" s="335">
        <v>620</v>
      </c>
      <c r="F72" s="335">
        <v>158</v>
      </c>
      <c r="G72" s="335">
        <v>620</v>
      </c>
      <c r="H72" s="147">
        <v>2018</v>
      </c>
      <c r="I72" s="147">
        <v>2020</v>
      </c>
      <c r="J72" s="335">
        <f t="shared" si="48"/>
        <v>33.48</v>
      </c>
      <c r="K72" s="341">
        <v>11.16</v>
      </c>
      <c r="L72" s="341">
        <v>11.16</v>
      </c>
      <c r="M72" s="341">
        <v>11.16</v>
      </c>
      <c r="N72" s="372">
        <v>16.8804</v>
      </c>
      <c r="O72" s="335">
        <f t="shared" si="51"/>
        <v>0</v>
      </c>
      <c r="P72" s="335">
        <v>16.5996</v>
      </c>
      <c r="Q72" s="335">
        <v>0</v>
      </c>
      <c r="R72" s="335">
        <f>R73+R85+R97</f>
        <v>0</v>
      </c>
      <c r="S72" s="102" t="s">
        <v>1993</v>
      </c>
      <c r="T72" s="86" t="s">
        <v>1994</v>
      </c>
      <c r="U72" s="86" t="s">
        <v>195</v>
      </c>
      <c r="V72" s="363"/>
      <c r="W72" s="364"/>
      <c r="X72" s="365"/>
    </row>
    <row r="73" s="317" customFormat="1" ht="23.25" customHeight="1" spans="1:24">
      <c r="A73" s="147">
        <v>66</v>
      </c>
      <c r="B73" s="71" t="s">
        <v>332</v>
      </c>
      <c r="C73" s="336" t="s">
        <v>320</v>
      </c>
      <c r="D73" s="71" t="s">
        <v>147</v>
      </c>
      <c r="E73" s="335">
        <v>5302</v>
      </c>
      <c r="F73" s="335">
        <v>1305</v>
      </c>
      <c r="G73" s="335">
        <v>5302</v>
      </c>
      <c r="H73" s="147">
        <v>2018</v>
      </c>
      <c r="I73" s="147">
        <v>2020</v>
      </c>
      <c r="J73" s="336"/>
      <c r="K73" s="373"/>
      <c r="L73" s="373"/>
      <c r="M73" s="373"/>
      <c r="N73" s="122"/>
      <c r="O73" s="122"/>
      <c r="P73" s="122"/>
      <c r="Q73" s="122"/>
      <c r="R73" s="122"/>
      <c r="S73" s="86" t="s">
        <v>1982</v>
      </c>
      <c r="T73" s="86" t="s">
        <v>2000</v>
      </c>
      <c r="U73" s="86" t="s">
        <v>195</v>
      </c>
      <c r="V73" s="363"/>
      <c r="W73" s="364"/>
      <c r="X73" s="365"/>
    </row>
    <row r="74" s="317" customFormat="1" ht="23.25" customHeight="1" spans="1:24">
      <c r="A74" s="147">
        <v>67</v>
      </c>
      <c r="B74" s="71" t="s">
        <v>1983</v>
      </c>
      <c r="C74" s="147" t="s">
        <v>320</v>
      </c>
      <c r="D74" s="71" t="s">
        <v>147</v>
      </c>
      <c r="E74" s="335">
        <v>1131</v>
      </c>
      <c r="F74" s="335">
        <v>272</v>
      </c>
      <c r="G74" s="335">
        <v>1131</v>
      </c>
      <c r="H74" s="147">
        <v>2018</v>
      </c>
      <c r="I74" s="147">
        <v>2020</v>
      </c>
      <c r="J74" s="336"/>
      <c r="K74" s="373"/>
      <c r="L74" s="373"/>
      <c r="M74" s="373"/>
      <c r="N74" s="122"/>
      <c r="O74" s="122"/>
      <c r="P74" s="122"/>
      <c r="Q74" s="122"/>
      <c r="R74" s="122"/>
      <c r="S74" s="102" t="s">
        <v>1984</v>
      </c>
      <c r="T74" s="86" t="s">
        <v>1985</v>
      </c>
      <c r="U74" s="86" t="s">
        <v>195</v>
      </c>
      <c r="V74" s="363"/>
      <c r="W74" s="364"/>
      <c r="X74" s="365"/>
    </row>
    <row r="75" s="317" customFormat="1" ht="23.25" customHeight="1" spans="1:24">
      <c r="A75" s="147">
        <v>68</v>
      </c>
      <c r="B75" s="71" t="s">
        <v>1986</v>
      </c>
      <c r="C75" s="147" t="s">
        <v>320</v>
      </c>
      <c r="D75" s="71" t="s">
        <v>147</v>
      </c>
      <c r="E75" s="335">
        <v>1440</v>
      </c>
      <c r="F75" s="335">
        <v>343</v>
      </c>
      <c r="G75" s="335">
        <v>1440</v>
      </c>
      <c r="H75" s="147">
        <v>2018</v>
      </c>
      <c r="I75" s="147">
        <v>2020</v>
      </c>
      <c r="J75" s="336"/>
      <c r="K75" s="373"/>
      <c r="L75" s="373"/>
      <c r="M75" s="373"/>
      <c r="N75" s="122"/>
      <c r="O75" s="122"/>
      <c r="P75" s="122"/>
      <c r="Q75" s="122"/>
      <c r="R75" s="122"/>
      <c r="S75" s="102" t="s">
        <v>1987</v>
      </c>
      <c r="T75" s="86" t="s">
        <v>1988</v>
      </c>
      <c r="U75" s="86" t="s">
        <v>195</v>
      </c>
      <c r="V75" s="363"/>
      <c r="W75" s="364"/>
      <c r="X75" s="365"/>
    </row>
    <row r="76" s="317" customFormat="1" ht="23.25" customHeight="1" spans="1:24">
      <c r="A76" s="147">
        <v>69</v>
      </c>
      <c r="B76" s="71" t="s">
        <v>1989</v>
      </c>
      <c r="C76" s="147" t="s">
        <v>320</v>
      </c>
      <c r="D76" s="71" t="s">
        <v>147</v>
      </c>
      <c r="E76" s="335">
        <v>1225</v>
      </c>
      <c r="F76" s="335">
        <v>297</v>
      </c>
      <c r="G76" s="335">
        <v>1225</v>
      </c>
      <c r="H76" s="147">
        <v>2018</v>
      </c>
      <c r="I76" s="147">
        <v>2020</v>
      </c>
      <c r="J76" s="336"/>
      <c r="K76" s="373"/>
      <c r="L76" s="373"/>
      <c r="M76" s="373"/>
      <c r="N76" s="122"/>
      <c r="O76" s="122"/>
      <c r="P76" s="122"/>
      <c r="Q76" s="122"/>
      <c r="R76" s="122"/>
      <c r="S76" s="102" t="s">
        <v>1980</v>
      </c>
      <c r="T76" s="86" t="s">
        <v>1990</v>
      </c>
      <c r="U76" s="86" t="s">
        <v>195</v>
      </c>
      <c r="V76" s="363"/>
      <c r="W76" s="364"/>
      <c r="X76" s="365"/>
    </row>
    <row r="77" s="317" customFormat="1" ht="23.25" customHeight="1" spans="1:24">
      <c r="A77" s="147">
        <v>70</v>
      </c>
      <c r="B77" s="71" t="s">
        <v>1991</v>
      </c>
      <c r="C77" s="147" t="s">
        <v>320</v>
      </c>
      <c r="D77" s="71" t="s">
        <v>147</v>
      </c>
      <c r="E77" s="335">
        <v>886</v>
      </c>
      <c r="F77" s="335">
        <v>235</v>
      </c>
      <c r="G77" s="335">
        <v>886</v>
      </c>
      <c r="H77" s="147">
        <v>2018</v>
      </c>
      <c r="I77" s="147">
        <v>2020</v>
      </c>
      <c r="J77" s="336"/>
      <c r="K77" s="373"/>
      <c r="L77" s="373"/>
      <c r="M77" s="373"/>
      <c r="N77" s="122"/>
      <c r="O77" s="122"/>
      <c r="P77" s="122"/>
      <c r="Q77" s="122"/>
      <c r="R77" s="122"/>
      <c r="S77" s="102" t="s">
        <v>1982</v>
      </c>
      <c r="T77" s="86" t="s">
        <v>1995</v>
      </c>
      <c r="U77" s="86" t="s">
        <v>195</v>
      </c>
      <c r="V77" s="363"/>
      <c r="W77" s="364"/>
      <c r="X77" s="365"/>
    </row>
    <row r="78" s="317" customFormat="1" ht="23.25" customHeight="1" spans="1:24">
      <c r="A78" s="147">
        <v>71</v>
      </c>
      <c r="B78" s="71" t="s">
        <v>1992</v>
      </c>
      <c r="C78" s="147" t="s">
        <v>320</v>
      </c>
      <c r="D78" s="71" t="s">
        <v>147</v>
      </c>
      <c r="E78" s="335">
        <v>620</v>
      </c>
      <c r="F78" s="335">
        <v>158</v>
      </c>
      <c r="G78" s="335">
        <v>620</v>
      </c>
      <c r="H78" s="147">
        <v>2018</v>
      </c>
      <c r="I78" s="147">
        <v>2020</v>
      </c>
      <c r="J78" s="336"/>
      <c r="K78" s="373"/>
      <c r="L78" s="373"/>
      <c r="M78" s="373"/>
      <c r="N78" s="123"/>
      <c r="O78" s="122"/>
      <c r="P78" s="122"/>
      <c r="Q78" s="122"/>
      <c r="R78" s="122"/>
      <c r="S78" s="102" t="s">
        <v>1993</v>
      </c>
      <c r="T78" s="86" t="s">
        <v>1994</v>
      </c>
      <c r="U78" s="86" t="s">
        <v>195</v>
      </c>
      <c r="V78" s="363"/>
      <c r="W78" s="364"/>
      <c r="X78" s="365"/>
    </row>
    <row r="79" s="317" customFormat="1" ht="23.25" customHeight="1" spans="1:24">
      <c r="A79" s="147">
        <v>72</v>
      </c>
      <c r="B79" s="71" t="s">
        <v>335</v>
      </c>
      <c r="C79" s="147" t="s">
        <v>320</v>
      </c>
      <c r="D79" s="71" t="s">
        <v>147</v>
      </c>
      <c r="E79" s="335">
        <v>1744</v>
      </c>
      <c r="F79" s="335"/>
      <c r="G79" s="335">
        <v>1744</v>
      </c>
      <c r="H79" s="147">
        <v>2018</v>
      </c>
      <c r="I79" s="147">
        <v>2020</v>
      </c>
      <c r="J79" s="335">
        <f>K79+L79+M79</f>
        <v>81.36</v>
      </c>
      <c r="K79" s="343">
        <v>24.58</v>
      </c>
      <c r="L79" s="343">
        <v>27.04</v>
      </c>
      <c r="M79" s="343">
        <v>29.74</v>
      </c>
      <c r="N79" s="341">
        <f>J79</f>
        <v>81.36</v>
      </c>
      <c r="O79" s="346"/>
      <c r="P79" s="346"/>
      <c r="Q79" s="346"/>
      <c r="R79" s="378"/>
      <c r="S79" s="86" t="s">
        <v>1987</v>
      </c>
      <c r="T79" s="86" t="s">
        <v>2001</v>
      </c>
      <c r="U79" s="86" t="s">
        <v>358</v>
      </c>
      <c r="V79" s="363"/>
      <c r="W79" s="364"/>
      <c r="X79" s="365"/>
    </row>
    <row r="80" s="317" customFormat="1" ht="23.25" customHeight="1" spans="1:24">
      <c r="A80" s="147">
        <v>73</v>
      </c>
      <c r="B80" s="71" t="s">
        <v>1983</v>
      </c>
      <c r="C80" s="147" t="s">
        <v>320</v>
      </c>
      <c r="D80" s="71" t="s">
        <v>147</v>
      </c>
      <c r="E80" s="335">
        <v>272</v>
      </c>
      <c r="F80" s="335"/>
      <c r="G80" s="335">
        <v>272</v>
      </c>
      <c r="H80" s="147">
        <v>2018</v>
      </c>
      <c r="I80" s="147">
        <v>2020</v>
      </c>
      <c r="J80" s="335">
        <v>11.22</v>
      </c>
      <c r="K80" s="343">
        <v>3.39</v>
      </c>
      <c r="L80" s="343">
        <v>3.73</v>
      </c>
      <c r="M80" s="124">
        <v>4.1</v>
      </c>
      <c r="N80" s="341">
        <v>11.22</v>
      </c>
      <c r="O80" s="336"/>
      <c r="P80" s="336"/>
      <c r="Q80" s="336"/>
      <c r="R80" s="366"/>
      <c r="S80" s="102" t="s">
        <v>1984</v>
      </c>
      <c r="T80" s="86" t="s">
        <v>1985</v>
      </c>
      <c r="U80" s="86" t="s">
        <v>358</v>
      </c>
      <c r="V80" s="363"/>
      <c r="W80" s="364"/>
      <c r="X80" s="365"/>
    </row>
    <row r="81" s="317" customFormat="1" ht="23.25" customHeight="1" spans="1:24">
      <c r="A81" s="147">
        <v>74</v>
      </c>
      <c r="B81" s="71" t="s">
        <v>1986</v>
      </c>
      <c r="C81" s="147" t="s">
        <v>320</v>
      </c>
      <c r="D81" s="71" t="s">
        <v>147</v>
      </c>
      <c r="E81" s="335">
        <v>340</v>
      </c>
      <c r="F81" s="335"/>
      <c r="G81" s="335">
        <v>340</v>
      </c>
      <c r="H81" s="147">
        <v>2018</v>
      </c>
      <c r="I81" s="147">
        <v>2020</v>
      </c>
      <c r="J81" s="335">
        <v>14.44</v>
      </c>
      <c r="K81" s="343">
        <v>4.36</v>
      </c>
      <c r="L81" s="343">
        <v>4.8</v>
      </c>
      <c r="M81" s="124">
        <v>5.28</v>
      </c>
      <c r="N81" s="341">
        <v>14.44</v>
      </c>
      <c r="O81" s="336"/>
      <c r="P81" s="336"/>
      <c r="Q81" s="336"/>
      <c r="R81" s="366"/>
      <c r="S81" s="102" t="s">
        <v>1987</v>
      </c>
      <c r="T81" s="86" t="s">
        <v>1988</v>
      </c>
      <c r="U81" s="86" t="s">
        <v>358</v>
      </c>
      <c r="V81" s="363"/>
      <c r="W81" s="364"/>
      <c r="X81" s="365"/>
    </row>
    <row r="82" s="317" customFormat="1" ht="23.25" customHeight="1" spans="1:24">
      <c r="A82" s="147">
        <v>75</v>
      </c>
      <c r="B82" s="71" t="s">
        <v>1989</v>
      </c>
      <c r="C82" s="147" t="s">
        <v>320</v>
      </c>
      <c r="D82" s="71" t="s">
        <v>147</v>
      </c>
      <c r="E82" s="335">
        <v>500</v>
      </c>
      <c r="F82" s="335"/>
      <c r="G82" s="335">
        <v>500</v>
      </c>
      <c r="H82" s="147">
        <v>2018</v>
      </c>
      <c r="I82" s="147">
        <v>2020</v>
      </c>
      <c r="J82" s="335">
        <v>22.87</v>
      </c>
      <c r="K82" s="343">
        <v>6.91</v>
      </c>
      <c r="L82" s="341">
        <v>7.6</v>
      </c>
      <c r="M82" s="124">
        <v>8.36</v>
      </c>
      <c r="N82" s="341">
        <v>22.87</v>
      </c>
      <c r="O82" s="336"/>
      <c r="P82" s="336"/>
      <c r="Q82" s="336"/>
      <c r="R82" s="366"/>
      <c r="S82" s="102" t="s">
        <v>1980</v>
      </c>
      <c r="T82" s="86" t="s">
        <v>1990</v>
      </c>
      <c r="U82" s="86" t="s">
        <v>358</v>
      </c>
      <c r="V82" s="363"/>
      <c r="W82" s="364"/>
      <c r="X82" s="365"/>
    </row>
    <row r="83" s="317" customFormat="1" ht="23.25" customHeight="1" spans="1:24">
      <c r="A83" s="147">
        <v>76</v>
      </c>
      <c r="B83" s="71" t="s">
        <v>1991</v>
      </c>
      <c r="C83" s="147" t="s">
        <v>320</v>
      </c>
      <c r="D83" s="71" t="s">
        <v>147</v>
      </c>
      <c r="E83" s="335">
        <v>386</v>
      </c>
      <c r="F83" s="335"/>
      <c r="G83" s="335">
        <v>386</v>
      </c>
      <c r="H83" s="147">
        <v>2018</v>
      </c>
      <c r="I83" s="147">
        <v>2020</v>
      </c>
      <c r="J83" s="335">
        <v>18.96</v>
      </c>
      <c r="K83" s="343">
        <v>5.73</v>
      </c>
      <c r="L83" s="343">
        <v>6.3</v>
      </c>
      <c r="M83" s="124">
        <v>6.93</v>
      </c>
      <c r="N83" s="341">
        <v>18.96</v>
      </c>
      <c r="O83" s="336"/>
      <c r="P83" s="336"/>
      <c r="Q83" s="336"/>
      <c r="R83" s="366"/>
      <c r="S83" s="102" t="s">
        <v>1982</v>
      </c>
      <c r="T83" s="86" t="s">
        <v>1995</v>
      </c>
      <c r="U83" s="86" t="s">
        <v>358</v>
      </c>
      <c r="V83" s="363"/>
      <c r="W83" s="364"/>
      <c r="X83" s="365"/>
    </row>
    <row r="84" s="317" customFormat="1" ht="23.25" customHeight="1" spans="1:24">
      <c r="A84" s="147">
        <v>77</v>
      </c>
      <c r="B84" s="71" t="s">
        <v>1992</v>
      </c>
      <c r="C84" s="147"/>
      <c r="D84" s="71" t="s">
        <v>147</v>
      </c>
      <c r="E84" s="335">
        <v>246</v>
      </c>
      <c r="F84" s="335"/>
      <c r="G84" s="335">
        <v>246</v>
      </c>
      <c r="H84" s="147">
        <v>2018</v>
      </c>
      <c r="I84" s="147">
        <v>2020</v>
      </c>
      <c r="J84" s="335">
        <v>13.87</v>
      </c>
      <c r="K84" s="343">
        <v>4.19</v>
      </c>
      <c r="L84" s="343">
        <v>4.61</v>
      </c>
      <c r="M84" s="124">
        <v>5.07</v>
      </c>
      <c r="N84" s="341">
        <v>13.87</v>
      </c>
      <c r="O84" s="336"/>
      <c r="P84" s="336"/>
      <c r="Q84" s="336"/>
      <c r="R84" s="366"/>
      <c r="S84" s="102" t="s">
        <v>1993</v>
      </c>
      <c r="T84" s="86" t="s">
        <v>1994</v>
      </c>
      <c r="U84" s="86" t="s">
        <v>358</v>
      </c>
      <c r="V84" s="363"/>
      <c r="W84" s="364"/>
      <c r="X84" s="365"/>
    </row>
    <row r="85" s="317" customFormat="1" ht="23.25" customHeight="1" spans="1:24">
      <c r="A85" s="147">
        <v>78</v>
      </c>
      <c r="B85" s="71" t="s">
        <v>355</v>
      </c>
      <c r="C85" s="147" t="s">
        <v>320</v>
      </c>
      <c r="D85" s="71" t="s">
        <v>147</v>
      </c>
      <c r="E85" s="335">
        <v>29</v>
      </c>
      <c r="F85" s="335"/>
      <c r="G85" s="335">
        <v>29</v>
      </c>
      <c r="H85" s="147">
        <v>2018</v>
      </c>
      <c r="I85" s="147">
        <v>2020</v>
      </c>
      <c r="J85" s="335"/>
      <c r="K85" s="348"/>
      <c r="L85" s="348"/>
      <c r="M85" s="374"/>
      <c r="N85" s="350"/>
      <c r="O85" s="336"/>
      <c r="P85" s="336"/>
      <c r="Q85" s="336"/>
      <c r="R85" s="366"/>
      <c r="S85" s="86" t="s">
        <v>1987</v>
      </c>
      <c r="T85" s="86" t="s">
        <v>2001</v>
      </c>
      <c r="U85" s="86" t="s">
        <v>358</v>
      </c>
      <c r="V85" s="363"/>
      <c r="W85" s="364"/>
      <c r="X85" s="365"/>
    </row>
    <row r="86" s="317" customFormat="1" ht="23.25" customHeight="1" spans="1:24">
      <c r="A86" s="147">
        <v>79</v>
      </c>
      <c r="B86" s="71" t="s">
        <v>1983</v>
      </c>
      <c r="C86" s="147" t="s">
        <v>320</v>
      </c>
      <c r="D86" s="71" t="s">
        <v>147</v>
      </c>
      <c r="E86" s="335">
        <v>5</v>
      </c>
      <c r="F86" s="335"/>
      <c r="G86" s="335">
        <v>5</v>
      </c>
      <c r="H86" s="147">
        <v>2018</v>
      </c>
      <c r="I86" s="147">
        <v>2020</v>
      </c>
      <c r="J86" s="335"/>
      <c r="K86" s="348"/>
      <c r="L86" s="348"/>
      <c r="M86" s="374"/>
      <c r="N86" s="336"/>
      <c r="O86" s="336"/>
      <c r="P86" s="336"/>
      <c r="Q86" s="336"/>
      <c r="R86" s="366"/>
      <c r="S86" s="102" t="s">
        <v>1984</v>
      </c>
      <c r="T86" s="86" t="s">
        <v>1985</v>
      </c>
      <c r="U86" s="86" t="s">
        <v>358</v>
      </c>
      <c r="V86" s="363"/>
      <c r="W86" s="364"/>
      <c r="X86" s="365"/>
    </row>
    <row r="87" s="317" customFormat="1" ht="23.25" customHeight="1" spans="1:24">
      <c r="A87" s="147">
        <v>80</v>
      </c>
      <c r="B87" s="71" t="s">
        <v>1986</v>
      </c>
      <c r="C87" s="147" t="s">
        <v>320</v>
      </c>
      <c r="D87" s="71" t="s">
        <v>147</v>
      </c>
      <c r="E87" s="335">
        <v>6</v>
      </c>
      <c r="F87" s="335"/>
      <c r="G87" s="335">
        <v>6</v>
      </c>
      <c r="H87" s="147">
        <v>2018</v>
      </c>
      <c r="I87" s="147">
        <v>2020</v>
      </c>
      <c r="J87" s="335"/>
      <c r="K87" s="348"/>
      <c r="L87" s="348"/>
      <c r="M87" s="374"/>
      <c r="N87" s="336"/>
      <c r="O87" s="336"/>
      <c r="P87" s="336"/>
      <c r="Q87" s="336"/>
      <c r="R87" s="366"/>
      <c r="S87" s="102" t="s">
        <v>1987</v>
      </c>
      <c r="T87" s="86" t="s">
        <v>1988</v>
      </c>
      <c r="U87" s="86" t="s">
        <v>358</v>
      </c>
      <c r="V87" s="363"/>
      <c r="W87" s="364"/>
      <c r="X87" s="365"/>
    </row>
    <row r="88" s="317" customFormat="1" ht="23.25" customHeight="1" spans="1:24">
      <c r="A88" s="147">
        <v>81</v>
      </c>
      <c r="B88" s="71" t="s">
        <v>1989</v>
      </c>
      <c r="C88" s="147" t="s">
        <v>320</v>
      </c>
      <c r="D88" s="71" t="s">
        <v>147</v>
      </c>
      <c r="E88" s="335">
        <v>5</v>
      </c>
      <c r="F88" s="335"/>
      <c r="G88" s="335">
        <v>5</v>
      </c>
      <c r="H88" s="147">
        <v>2018</v>
      </c>
      <c r="I88" s="147">
        <v>2020</v>
      </c>
      <c r="J88" s="335"/>
      <c r="K88" s="348"/>
      <c r="L88" s="341"/>
      <c r="M88" s="374"/>
      <c r="N88" s="336"/>
      <c r="O88" s="336"/>
      <c r="P88" s="336"/>
      <c r="Q88" s="336"/>
      <c r="R88" s="366"/>
      <c r="S88" s="102" t="s">
        <v>1980</v>
      </c>
      <c r="T88" s="86" t="s">
        <v>1990</v>
      </c>
      <c r="U88" s="86" t="s">
        <v>358</v>
      </c>
      <c r="V88" s="363"/>
      <c r="W88" s="364"/>
      <c r="X88" s="365"/>
    </row>
    <row r="89" s="317" customFormat="1" ht="24" spans="1:24">
      <c r="A89" s="147">
        <v>82</v>
      </c>
      <c r="B89" s="71" t="s">
        <v>1991</v>
      </c>
      <c r="C89" s="147" t="s">
        <v>320</v>
      </c>
      <c r="D89" s="71" t="s">
        <v>147</v>
      </c>
      <c r="E89" s="335">
        <v>7</v>
      </c>
      <c r="F89" s="335"/>
      <c r="G89" s="335">
        <v>7</v>
      </c>
      <c r="H89" s="147">
        <v>2018</v>
      </c>
      <c r="I89" s="147">
        <v>2020</v>
      </c>
      <c r="J89" s="335"/>
      <c r="K89" s="348"/>
      <c r="L89" s="348"/>
      <c r="M89" s="374"/>
      <c r="N89" s="336"/>
      <c r="O89" s="336"/>
      <c r="P89" s="336"/>
      <c r="Q89" s="336"/>
      <c r="R89" s="366"/>
      <c r="S89" s="102" t="s">
        <v>1982</v>
      </c>
      <c r="T89" s="86" t="s">
        <v>1995</v>
      </c>
      <c r="U89" s="86" t="s">
        <v>358</v>
      </c>
      <c r="V89" s="363"/>
      <c r="W89" s="364"/>
      <c r="X89" s="365"/>
    </row>
    <row r="90" s="317" customFormat="1" ht="24" spans="1:24">
      <c r="A90" s="147">
        <v>83</v>
      </c>
      <c r="B90" s="71" t="s">
        <v>1992</v>
      </c>
      <c r="C90" s="147" t="s">
        <v>320</v>
      </c>
      <c r="D90" s="71" t="s">
        <v>147</v>
      </c>
      <c r="E90" s="335">
        <v>6</v>
      </c>
      <c r="F90" s="335"/>
      <c r="G90" s="335">
        <v>6</v>
      </c>
      <c r="H90" s="147">
        <v>2018</v>
      </c>
      <c r="I90" s="147">
        <v>2020</v>
      </c>
      <c r="J90" s="335"/>
      <c r="K90" s="348"/>
      <c r="L90" s="348"/>
      <c r="M90" s="374"/>
      <c r="N90" s="336"/>
      <c r="O90" s="336"/>
      <c r="P90" s="336"/>
      <c r="Q90" s="336"/>
      <c r="R90" s="366"/>
      <c r="S90" s="102" t="s">
        <v>1993</v>
      </c>
      <c r="T90" s="86" t="s">
        <v>1994</v>
      </c>
      <c r="U90" s="86" t="s">
        <v>358</v>
      </c>
      <c r="V90" s="363"/>
      <c r="W90" s="364"/>
      <c r="X90" s="365"/>
    </row>
    <row r="91" s="317" customFormat="1" spans="1:24">
      <c r="A91" s="147">
        <v>84</v>
      </c>
      <c r="B91" s="71" t="s">
        <v>370</v>
      </c>
      <c r="C91" s="147" t="s">
        <v>320</v>
      </c>
      <c r="D91" s="71" t="s">
        <v>147</v>
      </c>
      <c r="E91" s="335">
        <v>1672</v>
      </c>
      <c r="F91" s="335"/>
      <c r="G91" s="335">
        <v>1672</v>
      </c>
      <c r="H91" s="147">
        <v>2018</v>
      </c>
      <c r="I91" s="147">
        <v>2020</v>
      </c>
      <c r="J91" s="335">
        <f>K91+L91+M91</f>
        <v>34.85</v>
      </c>
      <c r="K91" s="343">
        <v>10.53</v>
      </c>
      <c r="L91" s="343">
        <v>11.58</v>
      </c>
      <c r="M91" s="343">
        <v>12.74</v>
      </c>
      <c r="N91" s="341">
        <f>J91</f>
        <v>34.85</v>
      </c>
      <c r="O91" s="336"/>
      <c r="P91" s="336"/>
      <c r="Q91" s="336"/>
      <c r="R91" s="366"/>
      <c r="S91" s="86" t="s">
        <v>1987</v>
      </c>
      <c r="T91" s="86" t="s">
        <v>2001</v>
      </c>
      <c r="U91" s="86" t="s">
        <v>358</v>
      </c>
      <c r="V91" s="363"/>
      <c r="W91" s="364"/>
      <c r="X91" s="365"/>
    </row>
    <row r="92" s="317" customFormat="1" ht="24" spans="1:24">
      <c r="A92" s="147">
        <v>85</v>
      </c>
      <c r="B92" s="71" t="s">
        <v>1983</v>
      </c>
      <c r="C92" s="147" t="s">
        <v>320</v>
      </c>
      <c r="D92" s="71" t="s">
        <v>147</v>
      </c>
      <c r="E92" s="335">
        <v>262</v>
      </c>
      <c r="F92" s="335"/>
      <c r="G92" s="335">
        <v>262</v>
      </c>
      <c r="H92" s="147">
        <v>2018</v>
      </c>
      <c r="I92" s="147">
        <v>2020</v>
      </c>
      <c r="J92" s="335">
        <v>3.17</v>
      </c>
      <c r="K92" s="343">
        <v>0.94</v>
      </c>
      <c r="L92" s="343">
        <v>1.06</v>
      </c>
      <c r="M92" s="124">
        <v>1.17</v>
      </c>
      <c r="N92" s="341">
        <v>3.17</v>
      </c>
      <c r="O92" s="375"/>
      <c r="P92" s="375"/>
      <c r="Q92" s="375"/>
      <c r="R92" s="379"/>
      <c r="S92" s="102" t="s">
        <v>1984</v>
      </c>
      <c r="T92" s="86" t="s">
        <v>1985</v>
      </c>
      <c r="U92" s="86" t="s">
        <v>358</v>
      </c>
      <c r="V92" s="363"/>
      <c r="W92" s="364"/>
      <c r="X92" s="365"/>
    </row>
    <row r="93" s="317" customFormat="1" ht="23.25" customHeight="1" spans="1:24">
      <c r="A93" s="147">
        <v>86</v>
      </c>
      <c r="B93" s="71" t="s">
        <v>1986</v>
      </c>
      <c r="C93" s="147" t="s">
        <v>320</v>
      </c>
      <c r="D93" s="71" t="s">
        <v>147</v>
      </c>
      <c r="E93" s="335">
        <v>294</v>
      </c>
      <c r="F93" s="335"/>
      <c r="G93" s="335">
        <v>294</v>
      </c>
      <c r="H93" s="147">
        <v>2018</v>
      </c>
      <c r="I93" s="147">
        <v>2020</v>
      </c>
      <c r="J93" s="335">
        <v>4.91</v>
      </c>
      <c r="K93" s="343">
        <v>1.49</v>
      </c>
      <c r="L93" s="343">
        <v>1.63</v>
      </c>
      <c r="M93" s="124">
        <v>1.79</v>
      </c>
      <c r="N93" s="341">
        <v>4.91</v>
      </c>
      <c r="O93" s="336"/>
      <c r="P93" s="336"/>
      <c r="Q93" s="336"/>
      <c r="R93" s="366"/>
      <c r="S93" s="102" t="s">
        <v>1987</v>
      </c>
      <c r="T93" s="86" t="s">
        <v>1988</v>
      </c>
      <c r="U93" s="86" t="s">
        <v>358</v>
      </c>
      <c r="V93" s="363"/>
      <c r="W93" s="364"/>
      <c r="X93" s="365"/>
    </row>
    <row r="94" s="317" customFormat="1" ht="23.25" customHeight="1" spans="1:24">
      <c r="A94" s="147">
        <v>87</v>
      </c>
      <c r="B94" s="71" t="s">
        <v>1989</v>
      </c>
      <c r="C94" s="147" t="s">
        <v>320</v>
      </c>
      <c r="D94" s="71" t="s">
        <v>147</v>
      </c>
      <c r="E94" s="335">
        <v>458</v>
      </c>
      <c r="F94" s="335"/>
      <c r="G94" s="335">
        <v>458</v>
      </c>
      <c r="H94" s="147">
        <v>2018</v>
      </c>
      <c r="I94" s="147">
        <v>2020</v>
      </c>
      <c r="J94" s="335">
        <v>6.8</v>
      </c>
      <c r="K94" s="343">
        <v>2.06</v>
      </c>
      <c r="L94" s="341">
        <v>2.26</v>
      </c>
      <c r="M94" s="124">
        <v>2.48</v>
      </c>
      <c r="N94" s="341">
        <v>6.8</v>
      </c>
      <c r="O94" s="336"/>
      <c r="P94" s="336"/>
      <c r="Q94" s="336"/>
      <c r="R94" s="366"/>
      <c r="S94" s="102" t="s">
        <v>1980</v>
      </c>
      <c r="T94" s="86" t="s">
        <v>1990</v>
      </c>
      <c r="U94" s="86" t="s">
        <v>358</v>
      </c>
      <c r="V94" s="363"/>
      <c r="W94" s="364"/>
      <c r="X94" s="365"/>
    </row>
    <row r="95" s="317" customFormat="1" ht="23.25" customHeight="1" spans="1:24">
      <c r="A95" s="147">
        <v>88</v>
      </c>
      <c r="B95" s="71" t="s">
        <v>1991</v>
      </c>
      <c r="C95" s="147" t="s">
        <v>320</v>
      </c>
      <c r="D95" s="71" t="s">
        <v>147</v>
      </c>
      <c r="E95" s="335">
        <v>429</v>
      </c>
      <c r="F95" s="335"/>
      <c r="G95" s="335">
        <v>429</v>
      </c>
      <c r="H95" s="147">
        <v>2018</v>
      </c>
      <c r="I95" s="147">
        <v>2020</v>
      </c>
      <c r="J95" s="335">
        <v>15.97</v>
      </c>
      <c r="K95" s="343">
        <v>4.83</v>
      </c>
      <c r="L95" s="343">
        <v>5.3</v>
      </c>
      <c r="M95" s="124">
        <v>5.84</v>
      </c>
      <c r="N95" s="341">
        <v>15.97</v>
      </c>
      <c r="O95" s="336"/>
      <c r="P95" s="336"/>
      <c r="Q95" s="336"/>
      <c r="R95" s="366"/>
      <c r="S95" s="102" t="s">
        <v>1982</v>
      </c>
      <c r="T95" s="86" t="s">
        <v>1995</v>
      </c>
      <c r="U95" s="86" t="s">
        <v>358</v>
      </c>
      <c r="V95" s="363"/>
      <c r="W95" s="364"/>
      <c r="X95" s="365"/>
    </row>
    <row r="96" s="317" customFormat="1" ht="23.25" customHeight="1" spans="1:24">
      <c r="A96" s="147">
        <v>89</v>
      </c>
      <c r="B96" s="71" t="s">
        <v>1992</v>
      </c>
      <c r="C96" s="147" t="s">
        <v>320</v>
      </c>
      <c r="D96" s="71" t="s">
        <v>147</v>
      </c>
      <c r="E96" s="335">
        <v>229</v>
      </c>
      <c r="F96" s="335"/>
      <c r="G96" s="335">
        <v>229</v>
      </c>
      <c r="H96" s="147">
        <v>2018</v>
      </c>
      <c r="I96" s="147">
        <v>2020</v>
      </c>
      <c r="J96" s="335">
        <v>4</v>
      </c>
      <c r="K96" s="343">
        <v>1.21</v>
      </c>
      <c r="L96" s="343">
        <v>1.33</v>
      </c>
      <c r="M96" s="124">
        <v>1.46</v>
      </c>
      <c r="N96" s="341">
        <v>4</v>
      </c>
      <c r="O96" s="336"/>
      <c r="P96" s="336"/>
      <c r="Q96" s="336"/>
      <c r="R96" s="366"/>
      <c r="S96" s="102" t="s">
        <v>1993</v>
      </c>
      <c r="T96" s="86" t="s">
        <v>1994</v>
      </c>
      <c r="U96" s="86" t="s">
        <v>358</v>
      </c>
      <c r="V96" s="363"/>
      <c r="W96" s="364"/>
      <c r="X96" s="365"/>
    </row>
    <row r="97" s="317" customFormat="1" ht="23.25" customHeight="1" spans="1:24">
      <c r="A97" s="147">
        <v>90</v>
      </c>
      <c r="B97" s="371" t="s">
        <v>819</v>
      </c>
      <c r="C97" s="147" t="s">
        <v>320</v>
      </c>
      <c r="D97" s="147"/>
      <c r="E97" s="335"/>
      <c r="F97" s="335"/>
      <c r="G97" s="335"/>
      <c r="H97" s="147">
        <v>2018</v>
      </c>
      <c r="I97" s="147">
        <v>2020</v>
      </c>
      <c r="J97" s="145">
        <f>J98+J118+J131</f>
        <v>114.06</v>
      </c>
      <c r="K97" s="376">
        <f t="shared" ref="K97:R97" si="52">K131</f>
        <v>15.34</v>
      </c>
      <c r="L97" s="376">
        <f t="shared" si="52"/>
        <v>49.36</v>
      </c>
      <c r="M97" s="376">
        <f t="shared" si="52"/>
        <v>49.36</v>
      </c>
      <c r="N97" s="377">
        <f t="shared" si="52"/>
        <v>20.1</v>
      </c>
      <c r="O97" s="145">
        <f t="shared" si="52"/>
        <v>0</v>
      </c>
      <c r="P97" s="145">
        <f t="shared" si="52"/>
        <v>39.96</v>
      </c>
      <c r="Q97" s="145">
        <f t="shared" si="52"/>
        <v>54</v>
      </c>
      <c r="R97" s="145">
        <f t="shared" si="52"/>
        <v>0</v>
      </c>
      <c r="S97" s="86" t="s">
        <v>1982</v>
      </c>
      <c r="T97" s="86" t="s">
        <v>2000</v>
      </c>
      <c r="U97" s="89" t="s">
        <v>195</v>
      </c>
      <c r="V97" s="363"/>
      <c r="W97" s="364"/>
      <c r="X97" s="365"/>
    </row>
    <row r="98" s="317" customFormat="1" ht="23.25" customHeight="1" spans="1:24">
      <c r="A98" s="147">
        <v>91</v>
      </c>
      <c r="B98" s="71" t="s">
        <v>239</v>
      </c>
      <c r="C98" s="147" t="s">
        <v>320</v>
      </c>
      <c r="D98" s="71" t="s">
        <v>147</v>
      </c>
      <c r="E98" s="335">
        <f t="shared" ref="E98:G98" si="53">E99+E105+E111</f>
        <v>4100</v>
      </c>
      <c r="F98" s="335">
        <f t="shared" si="53"/>
        <v>978</v>
      </c>
      <c r="G98" s="335">
        <f t="shared" si="53"/>
        <v>1347</v>
      </c>
      <c r="H98" s="147">
        <v>2018</v>
      </c>
      <c r="I98" s="147">
        <v>2020</v>
      </c>
      <c r="J98" s="335"/>
      <c r="K98" s="348"/>
      <c r="L98" s="348"/>
      <c r="M98" s="340"/>
      <c r="N98" s="336"/>
      <c r="O98" s="336"/>
      <c r="P98" s="336"/>
      <c r="Q98" s="336"/>
      <c r="R98" s="366"/>
      <c r="S98" s="86" t="s">
        <v>1982</v>
      </c>
      <c r="T98" s="86" t="s">
        <v>2000</v>
      </c>
      <c r="U98" s="89" t="s">
        <v>195</v>
      </c>
      <c r="V98" s="363"/>
      <c r="W98" s="364"/>
      <c r="X98" s="365"/>
    </row>
    <row r="99" s="317" customFormat="1" ht="23.25" customHeight="1" spans="1:24">
      <c r="A99" s="147">
        <v>92</v>
      </c>
      <c r="B99" s="147" t="s">
        <v>820</v>
      </c>
      <c r="C99" s="147" t="s">
        <v>320</v>
      </c>
      <c r="D99" s="71" t="s">
        <v>147</v>
      </c>
      <c r="E99" s="335">
        <v>1200</v>
      </c>
      <c r="F99" s="335">
        <f>SUM(F100:F104)</f>
        <v>371</v>
      </c>
      <c r="G99" s="335">
        <f>SUM(G100:G104)</f>
        <v>495</v>
      </c>
      <c r="H99" s="147">
        <v>2018</v>
      </c>
      <c r="I99" s="147">
        <v>2020</v>
      </c>
      <c r="J99" s="335"/>
      <c r="K99" s="348"/>
      <c r="L99" s="348"/>
      <c r="M99" s="340"/>
      <c r="N99" s="336"/>
      <c r="O99" s="336"/>
      <c r="P99" s="336"/>
      <c r="Q99" s="336"/>
      <c r="R99" s="366"/>
      <c r="S99" s="86" t="s">
        <v>1982</v>
      </c>
      <c r="T99" s="86" t="s">
        <v>2000</v>
      </c>
      <c r="U99" s="89" t="s">
        <v>195</v>
      </c>
      <c r="V99" s="363"/>
      <c r="W99" s="364"/>
      <c r="X99" s="365"/>
    </row>
    <row r="100" s="317" customFormat="1" ht="23.25" customHeight="1" spans="1:24">
      <c r="A100" s="147">
        <v>93</v>
      </c>
      <c r="B100" s="71" t="s">
        <v>1983</v>
      </c>
      <c r="C100" s="147" t="s">
        <v>320</v>
      </c>
      <c r="D100" s="71" t="s">
        <v>147</v>
      </c>
      <c r="E100" s="335">
        <v>241</v>
      </c>
      <c r="F100" s="147">
        <v>102</v>
      </c>
      <c r="G100" s="147">
        <v>119</v>
      </c>
      <c r="H100" s="147">
        <v>2018</v>
      </c>
      <c r="I100" s="147">
        <v>2020</v>
      </c>
      <c r="J100" s="335"/>
      <c r="K100" s="348"/>
      <c r="L100" s="348"/>
      <c r="M100" s="340"/>
      <c r="N100" s="336"/>
      <c r="O100" s="336"/>
      <c r="P100" s="336"/>
      <c r="Q100" s="336"/>
      <c r="R100" s="366"/>
      <c r="S100" s="102" t="s">
        <v>1984</v>
      </c>
      <c r="T100" s="86" t="s">
        <v>1985</v>
      </c>
      <c r="U100" s="89" t="s">
        <v>195</v>
      </c>
      <c r="V100" s="363"/>
      <c r="W100" s="364"/>
      <c r="X100" s="365"/>
    </row>
    <row r="101" s="317" customFormat="1" ht="23.25" customHeight="1" spans="1:24">
      <c r="A101" s="147">
        <v>94</v>
      </c>
      <c r="B101" s="71" t="s">
        <v>1986</v>
      </c>
      <c r="C101" s="147" t="s">
        <v>320</v>
      </c>
      <c r="D101" s="71" t="s">
        <v>147</v>
      </c>
      <c r="E101" s="335">
        <v>315</v>
      </c>
      <c r="F101" s="335">
        <v>102</v>
      </c>
      <c r="G101" s="335">
        <v>127</v>
      </c>
      <c r="H101" s="147">
        <v>2018</v>
      </c>
      <c r="I101" s="147">
        <v>2020</v>
      </c>
      <c r="J101" s="335"/>
      <c r="K101" s="348"/>
      <c r="L101" s="348"/>
      <c r="M101" s="340"/>
      <c r="N101" s="336"/>
      <c r="O101" s="336"/>
      <c r="P101" s="336"/>
      <c r="Q101" s="336"/>
      <c r="R101" s="366"/>
      <c r="S101" s="102" t="s">
        <v>1987</v>
      </c>
      <c r="T101" s="86" t="s">
        <v>1988</v>
      </c>
      <c r="U101" s="89" t="s">
        <v>195</v>
      </c>
      <c r="V101" s="363"/>
      <c r="W101" s="364"/>
      <c r="X101" s="365"/>
    </row>
    <row r="102" s="317" customFormat="1" ht="24" spans="1:24">
      <c r="A102" s="147">
        <v>95</v>
      </c>
      <c r="B102" s="71" t="s">
        <v>1989</v>
      </c>
      <c r="C102" s="147" t="s">
        <v>320</v>
      </c>
      <c r="D102" s="71" t="s">
        <v>147</v>
      </c>
      <c r="E102" s="335">
        <v>296</v>
      </c>
      <c r="F102" s="335">
        <v>59</v>
      </c>
      <c r="G102" s="335">
        <v>79</v>
      </c>
      <c r="H102" s="147">
        <v>2018</v>
      </c>
      <c r="I102" s="147">
        <v>2020</v>
      </c>
      <c r="J102" s="335"/>
      <c r="K102" s="348"/>
      <c r="L102" s="348"/>
      <c r="M102" s="340"/>
      <c r="N102" s="336"/>
      <c r="O102" s="336"/>
      <c r="P102" s="336"/>
      <c r="Q102" s="336"/>
      <c r="R102" s="366"/>
      <c r="S102" s="102" t="s">
        <v>1980</v>
      </c>
      <c r="T102" s="86" t="s">
        <v>1990</v>
      </c>
      <c r="U102" s="89" t="s">
        <v>195</v>
      </c>
      <c r="V102" s="363"/>
      <c r="W102" s="364"/>
      <c r="X102" s="365"/>
    </row>
    <row r="103" s="317" customFormat="1" ht="24" spans="1:24">
      <c r="A103" s="147">
        <v>96</v>
      </c>
      <c r="B103" s="71" t="s">
        <v>1991</v>
      </c>
      <c r="C103" s="147" t="s">
        <v>320</v>
      </c>
      <c r="D103" s="71" t="s">
        <v>147</v>
      </c>
      <c r="E103" s="335">
        <v>236</v>
      </c>
      <c r="F103" s="335">
        <v>91</v>
      </c>
      <c r="G103" s="335">
        <v>153</v>
      </c>
      <c r="H103" s="147">
        <v>2018</v>
      </c>
      <c r="I103" s="147">
        <v>2020</v>
      </c>
      <c r="J103" s="335"/>
      <c r="K103" s="348"/>
      <c r="L103" s="348"/>
      <c r="M103" s="340"/>
      <c r="N103" s="336"/>
      <c r="O103" s="336"/>
      <c r="P103" s="336"/>
      <c r="Q103" s="336"/>
      <c r="R103" s="366"/>
      <c r="S103" s="102" t="s">
        <v>1982</v>
      </c>
      <c r="T103" s="86" t="s">
        <v>1995</v>
      </c>
      <c r="U103" s="89" t="s">
        <v>195</v>
      </c>
      <c r="V103" s="363"/>
      <c r="W103" s="364"/>
      <c r="X103" s="365"/>
    </row>
    <row r="104" s="317" customFormat="1" ht="24" spans="1:24">
      <c r="A104" s="147">
        <v>97</v>
      </c>
      <c r="B104" s="71" t="s">
        <v>1992</v>
      </c>
      <c r="C104" s="147" t="s">
        <v>320</v>
      </c>
      <c r="D104" s="71" t="s">
        <v>147</v>
      </c>
      <c r="E104" s="335">
        <v>112</v>
      </c>
      <c r="F104" s="335">
        <v>17</v>
      </c>
      <c r="G104" s="335">
        <v>17</v>
      </c>
      <c r="H104" s="147">
        <v>2018</v>
      </c>
      <c r="I104" s="147">
        <v>2020</v>
      </c>
      <c r="J104" s="335"/>
      <c r="K104" s="348"/>
      <c r="L104" s="348"/>
      <c r="M104" s="340"/>
      <c r="N104" s="336"/>
      <c r="O104" s="336"/>
      <c r="P104" s="336"/>
      <c r="Q104" s="336"/>
      <c r="R104" s="366"/>
      <c r="S104" s="102" t="s">
        <v>1993</v>
      </c>
      <c r="T104" s="86" t="s">
        <v>1994</v>
      </c>
      <c r="U104" s="89" t="s">
        <v>195</v>
      </c>
      <c r="V104" s="363"/>
      <c r="W104" s="364"/>
      <c r="X104" s="365"/>
    </row>
    <row r="105" s="317" customFormat="1" spans="1:24">
      <c r="A105" s="147">
        <v>98</v>
      </c>
      <c r="B105" s="147" t="s">
        <v>823</v>
      </c>
      <c r="C105" s="147" t="s">
        <v>320</v>
      </c>
      <c r="D105" s="71" t="s">
        <v>147</v>
      </c>
      <c r="E105" s="335">
        <f>E106+E107+E108+E109+E110</f>
        <v>1650</v>
      </c>
      <c r="F105" s="335">
        <f>SUM(F106:F110)</f>
        <v>125</v>
      </c>
      <c r="G105" s="335">
        <f>SUM(G106:G110)</f>
        <v>157</v>
      </c>
      <c r="H105" s="147">
        <v>2018</v>
      </c>
      <c r="I105" s="147">
        <v>2020</v>
      </c>
      <c r="J105" s="335"/>
      <c r="K105" s="348"/>
      <c r="L105" s="348"/>
      <c r="M105" s="340"/>
      <c r="N105" s="336"/>
      <c r="O105" s="336"/>
      <c r="P105" s="336"/>
      <c r="Q105" s="336"/>
      <c r="R105" s="366"/>
      <c r="S105" s="86" t="s">
        <v>1982</v>
      </c>
      <c r="T105" s="86" t="s">
        <v>2000</v>
      </c>
      <c r="U105" s="89" t="s">
        <v>195</v>
      </c>
      <c r="V105" s="363"/>
      <c r="W105" s="364"/>
      <c r="X105" s="365"/>
    </row>
    <row r="106" s="317" customFormat="1" ht="24" spans="1:24">
      <c r="A106" s="147">
        <v>99</v>
      </c>
      <c r="B106" s="71" t="s">
        <v>1983</v>
      </c>
      <c r="C106" s="147" t="s">
        <v>320</v>
      </c>
      <c r="D106" s="71" t="s">
        <v>147</v>
      </c>
      <c r="E106" s="335">
        <v>364</v>
      </c>
      <c r="F106" s="147">
        <v>25</v>
      </c>
      <c r="G106" s="147">
        <v>34</v>
      </c>
      <c r="H106" s="147">
        <v>2018</v>
      </c>
      <c r="I106" s="147">
        <v>2020</v>
      </c>
      <c r="J106" s="335"/>
      <c r="K106" s="348"/>
      <c r="L106" s="348"/>
      <c r="M106" s="340"/>
      <c r="N106" s="336"/>
      <c r="O106" s="336"/>
      <c r="P106" s="336"/>
      <c r="Q106" s="336"/>
      <c r="R106" s="366"/>
      <c r="S106" s="102" t="s">
        <v>1984</v>
      </c>
      <c r="T106" s="86" t="s">
        <v>1985</v>
      </c>
      <c r="U106" s="89" t="s">
        <v>195</v>
      </c>
      <c r="V106" s="363"/>
      <c r="W106" s="364"/>
      <c r="X106" s="365"/>
    </row>
    <row r="107" s="317" customFormat="1" ht="24" spans="1:24">
      <c r="A107" s="147">
        <v>100</v>
      </c>
      <c r="B107" s="71" t="s">
        <v>1986</v>
      </c>
      <c r="C107" s="147" t="s">
        <v>320</v>
      </c>
      <c r="D107" s="71" t="s">
        <v>147</v>
      </c>
      <c r="E107" s="335">
        <v>403</v>
      </c>
      <c r="F107" s="335">
        <v>27</v>
      </c>
      <c r="G107" s="335">
        <v>33</v>
      </c>
      <c r="H107" s="147">
        <v>2018</v>
      </c>
      <c r="I107" s="147">
        <v>2020</v>
      </c>
      <c r="J107" s="335"/>
      <c r="K107" s="348"/>
      <c r="L107" s="348"/>
      <c r="M107" s="340"/>
      <c r="N107" s="336"/>
      <c r="O107" s="336"/>
      <c r="P107" s="336"/>
      <c r="Q107" s="336"/>
      <c r="R107" s="366"/>
      <c r="S107" s="102" t="s">
        <v>1987</v>
      </c>
      <c r="T107" s="86" t="s">
        <v>1988</v>
      </c>
      <c r="U107" s="89" t="s">
        <v>195</v>
      </c>
      <c r="V107" s="363"/>
      <c r="W107" s="364"/>
      <c r="X107" s="365"/>
    </row>
    <row r="108" s="317" customFormat="1" ht="24" spans="1:24">
      <c r="A108" s="147">
        <v>101</v>
      </c>
      <c r="B108" s="71" t="s">
        <v>1989</v>
      </c>
      <c r="C108" s="147" t="s">
        <v>320</v>
      </c>
      <c r="D108" s="71" t="s">
        <v>147</v>
      </c>
      <c r="E108" s="335">
        <v>361</v>
      </c>
      <c r="F108" s="335">
        <v>32</v>
      </c>
      <c r="G108" s="335">
        <v>45</v>
      </c>
      <c r="H108" s="147">
        <v>2018</v>
      </c>
      <c r="I108" s="147">
        <v>2020</v>
      </c>
      <c r="J108" s="335"/>
      <c r="K108" s="348"/>
      <c r="L108" s="348"/>
      <c r="M108" s="340"/>
      <c r="N108" s="336"/>
      <c r="O108" s="336"/>
      <c r="P108" s="336"/>
      <c r="Q108" s="336"/>
      <c r="R108" s="366"/>
      <c r="S108" s="102" t="s">
        <v>1980</v>
      </c>
      <c r="T108" s="86" t="s">
        <v>1990</v>
      </c>
      <c r="U108" s="89" t="s">
        <v>195</v>
      </c>
      <c r="V108" s="363"/>
      <c r="W108" s="364"/>
      <c r="X108" s="365"/>
    </row>
    <row r="109" s="317" customFormat="1" ht="24" spans="1:24">
      <c r="A109" s="147">
        <v>102</v>
      </c>
      <c r="B109" s="71" t="s">
        <v>1991</v>
      </c>
      <c r="C109" s="147" t="s">
        <v>320</v>
      </c>
      <c r="D109" s="71" t="s">
        <v>147</v>
      </c>
      <c r="E109" s="335">
        <v>326</v>
      </c>
      <c r="F109" s="335">
        <v>19</v>
      </c>
      <c r="G109" s="335">
        <v>21</v>
      </c>
      <c r="H109" s="147">
        <v>2018</v>
      </c>
      <c r="I109" s="147">
        <v>2020</v>
      </c>
      <c r="J109" s="335"/>
      <c r="K109" s="348"/>
      <c r="L109" s="348"/>
      <c r="M109" s="340"/>
      <c r="N109" s="336"/>
      <c r="O109" s="336"/>
      <c r="P109" s="336"/>
      <c r="Q109" s="336"/>
      <c r="R109" s="366"/>
      <c r="S109" s="102" t="s">
        <v>1982</v>
      </c>
      <c r="T109" s="86" t="s">
        <v>1995</v>
      </c>
      <c r="U109" s="89" t="s">
        <v>195</v>
      </c>
      <c r="V109" s="363"/>
      <c r="W109" s="364"/>
      <c r="X109" s="365"/>
    </row>
    <row r="110" s="317" customFormat="1" ht="24" spans="1:24">
      <c r="A110" s="147">
        <v>103</v>
      </c>
      <c r="B110" s="71" t="s">
        <v>1992</v>
      </c>
      <c r="C110" s="147" t="s">
        <v>320</v>
      </c>
      <c r="D110" s="71" t="s">
        <v>147</v>
      </c>
      <c r="E110" s="335">
        <v>196</v>
      </c>
      <c r="F110" s="335">
        <v>22</v>
      </c>
      <c r="G110" s="335">
        <v>24</v>
      </c>
      <c r="H110" s="147">
        <v>2018</v>
      </c>
      <c r="I110" s="147">
        <v>2020</v>
      </c>
      <c r="J110" s="335"/>
      <c r="K110" s="348"/>
      <c r="L110" s="348"/>
      <c r="M110" s="340"/>
      <c r="N110" s="336"/>
      <c r="O110" s="336"/>
      <c r="P110" s="336"/>
      <c r="Q110" s="336"/>
      <c r="R110" s="366"/>
      <c r="S110" s="102" t="s">
        <v>1993</v>
      </c>
      <c r="T110" s="86" t="s">
        <v>1994</v>
      </c>
      <c r="U110" s="89" t="s">
        <v>195</v>
      </c>
      <c r="V110" s="363"/>
      <c r="W110" s="364"/>
      <c r="X110" s="365"/>
    </row>
    <row r="111" s="317" customFormat="1" spans="1:24">
      <c r="A111" s="147">
        <v>104</v>
      </c>
      <c r="B111" s="147" t="s">
        <v>825</v>
      </c>
      <c r="C111" s="147" t="s">
        <v>320</v>
      </c>
      <c r="D111" s="71" t="s">
        <v>147</v>
      </c>
      <c r="E111" s="335">
        <f>E112+E113+E114+E115+E116</f>
        <v>1250</v>
      </c>
      <c r="F111" s="335">
        <f>SUM(F112:F116)</f>
        <v>482</v>
      </c>
      <c r="G111" s="335">
        <f>SUM(G112:G116)</f>
        <v>695</v>
      </c>
      <c r="H111" s="147">
        <v>2018</v>
      </c>
      <c r="I111" s="147">
        <v>2020</v>
      </c>
      <c r="J111" s="335"/>
      <c r="K111" s="348"/>
      <c r="L111" s="348"/>
      <c r="M111" s="340"/>
      <c r="N111" s="336"/>
      <c r="O111" s="336"/>
      <c r="P111" s="336"/>
      <c r="Q111" s="336"/>
      <c r="R111" s="366"/>
      <c r="S111" s="86" t="s">
        <v>1982</v>
      </c>
      <c r="T111" s="86" t="s">
        <v>2000</v>
      </c>
      <c r="U111" s="89" t="s">
        <v>195</v>
      </c>
      <c r="V111" s="363"/>
      <c r="W111" s="364"/>
      <c r="X111" s="365"/>
    </row>
    <row r="112" s="317" customFormat="1" ht="24" spans="1:24">
      <c r="A112" s="147">
        <v>105</v>
      </c>
      <c r="B112" s="71" t="s">
        <v>1983</v>
      </c>
      <c r="C112" s="147" t="s">
        <v>320</v>
      </c>
      <c r="D112" s="71" t="s">
        <v>147</v>
      </c>
      <c r="E112" s="335">
        <v>245</v>
      </c>
      <c r="F112" s="147">
        <v>118</v>
      </c>
      <c r="G112" s="147">
        <v>185</v>
      </c>
      <c r="H112" s="147">
        <v>2018</v>
      </c>
      <c r="I112" s="147">
        <v>2020</v>
      </c>
      <c r="J112" s="335"/>
      <c r="K112" s="348"/>
      <c r="L112" s="348"/>
      <c r="M112" s="340"/>
      <c r="N112" s="336"/>
      <c r="O112" s="336"/>
      <c r="P112" s="336"/>
      <c r="Q112" s="336"/>
      <c r="R112" s="366"/>
      <c r="S112" s="102" t="s">
        <v>1984</v>
      </c>
      <c r="T112" s="86" t="s">
        <v>1985</v>
      </c>
      <c r="U112" s="89" t="s">
        <v>195</v>
      </c>
      <c r="V112" s="363"/>
      <c r="W112" s="364"/>
      <c r="X112" s="365"/>
    </row>
    <row r="113" s="317" customFormat="1" ht="23.25" customHeight="1" spans="1:24">
      <c r="A113" s="147">
        <v>106</v>
      </c>
      <c r="B113" s="71" t="s">
        <v>1986</v>
      </c>
      <c r="C113" s="147" t="s">
        <v>320</v>
      </c>
      <c r="D113" s="71" t="s">
        <v>147</v>
      </c>
      <c r="E113" s="335">
        <v>316</v>
      </c>
      <c r="F113" s="335">
        <v>154</v>
      </c>
      <c r="G113" s="335">
        <v>246</v>
      </c>
      <c r="H113" s="147">
        <v>2018</v>
      </c>
      <c r="I113" s="147">
        <v>2020</v>
      </c>
      <c r="J113" s="335"/>
      <c r="K113" s="348"/>
      <c r="L113" s="348"/>
      <c r="M113" s="340"/>
      <c r="N113" s="336"/>
      <c r="O113" s="336"/>
      <c r="P113" s="336"/>
      <c r="Q113" s="336"/>
      <c r="R113" s="366"/>
      <c r="S113" s="102" t="s">
        <v>1987</v>
      </c>
      <c r="T113" s="86" t="s">
        <v>1988</v>
      </c>
      <c r="U113" s="89" t="s">
        <v>195</v>
      </c>
      <c r="V113" s="363"/>
      <c r="W113" s="364"/>
      <c r="X113" s="365"/>
    </row>
    <row r="114" s="317" customFormat="1" ht="23.25" customHeight="1" spans="1:24">
      <c r="A114" s="147">
        <v>107</v>
      </c>
      <c r="B114" s="71" t="s">
        <v>1989</v>
      </c>
      <c r="C114" s="147" t="s">
        <v>320</v>
      </c>
      <c r="D114" s="71" t="s">
        <v>147</v>
      </c>
      <c r="E114" s="335">
        <v>289</v>
      </c>
      <c r="F114" s="335">
        <v>103</v>
      </c>
      <c r="G114" s="335">
        <v>149</v>
      </c>
      <c r="H114" s="147">
        <v>2018</v>
      </c>
      <c r="I114" s="147">
        <v>2020</v>
      </c>
      <c r="J114" s="335"/>
      <c r="K114" s="348"/>
      <c r="L114" s="348"/>
      <c r="M114" s="340"/>
      <c r="N114" s="336"/>
      <c r="O114" s="336"/>
      <c r="P114" s="336"/>
      <c r="Q114" s="336"/>
      <c r="R114" s="366"/>
      <c r="S114" s="102" t="s">
        <v>1980</v>
      </c>
      <c r="T114" s="86" t="s">
        <v>1990</v>
      </c>
      <c r="U114" s="89" t="s">
        <v>195</v>
      </c>
      <c r="V114" s="363"/>
      <c r="W114" s="364"/>
      <c r="X114" s="365"/>
    </row>
    <row r="115" s="317" customFormat="1" ht="23.25" customHeight="1" spans="1:24">
      <c r="A115" s="147">
        <v>108</v>
      </c>
      <c r="B115" s="71" t="s">
        <v>1991</v>
      </c>
      <c r="C115" s="147" t="s">
        <v>320</v>
      </c>
      <c r="D115" s="71" t="s">
        <v>147</v>
      </c>
      <c r="E115" s="335">
        <v>213</v>
      </c>
      <c r="F115" s="335">
        <v>49</v>
      </c>
      <c r="G115" s="335">
        <v>53</v>
      </c>
      <c r="H115" s="147">
        <v>2018</v>
      </c>
      <c r="I115" s="147">
        <v>2020</v>
      </c>
      <c r="J115" s="335"/>
      <c r="K115" s="348"/>
      <c r="L115" s="348"/>
      <c r="M115" s="340"/>
      <c r="N115" s="336"/>
      <c r="O115" s="336"/>
      <c r="P115" s="336"/>
      <c r="Q115" s="336"/>
      <c r="R115" s="366"/>
      <c r="S115" s="102" t="s">
        <v>1982</v>
      </c>
      <c r="T115" s="86" t="s">
        <v>1995</v>
      </c>
      <c r="U115" s="89" t="s">
        <v>195</v>
      </c>
      <c r="V115" s="363"/>
      <c r="W115" s="364"/>
      <c r="X115" s="365"/>
    </row>
    <row r="116" s="317" customFormat="1" ht="23.25" customHeight="1" spans="1:24">
      <c r="A116" s="147">
        <v>109</v>
      </c>
      <c r="B116" s="71" t="s">
        <v>1992</v>
      </c>
      <c r="C116" s="147" t="s">
        <v>320</v>
      </c>
      <c r="D116" s="71" t="s">
        <v>147</v>
      </c>
      <c r="E116" s="335">
        <v>187</v>
      </c>
      <c r="F116" s="335">
        <v>58</v>
      </c>
      <c r="G116" s="335">
        <v>62</v>
      </c>
      <c r="H116" s="147">
        <v>2018</v>
      </c>
      <c r="I116" s="147">
        <v>2020</v>
      </c>
      <c r="J116" s="335"/>
      <c r="K116" s="348"/>
      <c r="L116" s="348"/>
      <c r="M116" s="340"/>
      <c r="N116" s="336"/>
      <c r="O116" s="336"/>
      <c r="P116" s="336"/>
      <c r="Q116" s="336"/>
      <c r="R116" s="366"/>
      <c r="S116" s="102" t="s">
        <v>1993</v>
      </c>
      <c r="T116" s="86" t="s">
        <v>1994</v>
      </c>
      <c r="U116" s="89" t="s">
        <v>195</v>
      </c>
      <c r="V116" s="363"/>
      <c r="W116" s="364"/>
      <c r="X116" s="365"/>
    </row>
    <row r="117" s="317" customFormat="1" ht="23.25" customHeight="1" spans="1:24">
      <c r="A117" s="147">
        <v>110</v>
      </c>
      <c r="B117" s="147" t="s">
        <v>826</v>
      </c>
      <c r="C117" s="147" t="s">
        <v>320</v>
      </c>
      <c r="D117" s="71" t="s">
        <v>147</v>
      </c>
      <c r="E117" s="335">
        <v>1</v>
      </c>
      <c r="F117" s="335">
        <v>1</v>
      </c>
      <c r="G117" s="335">
        <v>1</v>
      </c>
      <c r="H117" s="147">
        <v>2018</v>
      </c>
      <c r="I117" s="147">
        <v>2019</v>
      </c>
      <c r="J117" s="335"/>
      <c r="K117" s="348"/>
      <c r="L117" s="348"/>
      <c r="M117" s="340"/>
      <c r="N117" s="336"/>
      <c r="O117" s="336"/>
      <c r="P117" s="336"/>
      <c r="Q117" s="336"/>
      <c r="R117" s="366"/>
      <c r="S117" s="86" t="s">
        <v>1982</v>
      </c>
      <c r="T117" s="86" t="s">
        <v>2000</v>
      </c>
      <c r="U117" s="89" t="s">
        <v>195</v>
      </c>
      <c r="V117" s="363"/>
      <c r="W117" s="364"/>
      <c r="X117" s="365"/>
    </row>
    <row r="118" s="317" customFormat="1" ht="23.25" customHeight="1" spans="1:24">
      <c r="A118" s="147">
        <v>111</v>
      </c>
      <c r="B118" s="71" t="s">
        <v>267</v>
      </c>
      <c r="C118" s="71" t="s">
        <v>52</v>
      </c>
      <c r="D118" s="71" t="s">
        <v>194</v>
      </c>
      <c r="E118" s="335">
        <f>SUM(E119:E125)</f>
        <v>2850</v>
      </c>
      <c r="F118" s="335"/>
      <c r="G118" s="335">
        <f>G119+G125</f>
        <v>330</v>
      </c>
      <c r="H118" s="147">
        <v>2018</v>
      </c>
      <c r="I118" s="147">
        <v>2020</v>
      </c>
      <c r="J118" s="335"/>
      <c r="K118" s="348"/>
      <c r="L118" s="348"/>
      <c r="M118" s="340"/>
      <c r="N118" s="336"/>
      <c r="O118" s="336"/>
      <c r="P118" s="336"/>
      <c r="Q118" s="336"/>
      <c r="R118" s="366"/>
      <c r="S118" s="86" t="s">
        <v>1982</v>
      </c>
      <c r="T118" s="86" t="s">
        <v>2000</v>
      </c>
      <c r="U118" s="89" t="s">
        <v>195</v>
      </c>
      <c r="V118" s="363"/>
      <c r="W118" s="364"/>
      <c r="X118" s="365"/>
    </row>
    <row r="119" s="317" customFormat="1" ht="23.25" customHeight="1" spans="1:24">
      <c r="A119" s="147">
        <v>112</v>
      </c>
      <c r="B119" s="212" t="s">
        <v>2002</v>
      </c>
      <c r="C119" s="71" t="s">
        <v>2003</v>
      </c>
      <c r="D119" s="71" t="s">
        <v>194</v>
      </c>
      <c r="E119" s="335">
        <v>1200</v>
      </c>
      <c r="F119" s="335"/>
      <c r="G119" s="335"/>
      <c r="H119" s="147">
        <v>2018</v>
      </c>
      <c r="I119" s="147">
        <v>2020</v>
      </c>
      <c r="J119" s="335"/>
      <c r="K119" s="348"/>
      <c r="L119" s="348"/>
      <c r="M119" s="340"/>
      <c r="N119" s="336"/>
      <c r="O119" s="336"/>
      <c r="P119" s="336"/>
      <c r="Q119" s="336"/>
      <c r="R119" s="366"/>
      <c r="S119" s="147"/>
      <c r="T119" s="123"/>
      <c r="U119" s="123"/>
      <c r="V119" s="375"/>
      <c r="W119" s="380"/>
      <c r="X119" s="365"/>
    </row>
    <row r="120" s="317" customFormat="1" ht="23.25" customHeight="1" spans="1:24">
      <c r="A120" s="147">
        <v>113</v>
      </c>
      <c r="B120" s="71" t="s">
        <v>1983</v>
      </c>
      <c r="C120" s="147"/>
      <c r="D120" s="147"/>
      <c r="E120" s="335">
        <v>240</v>
      </c>
      <c r="F120" s="335"/>
      <c r="G120" s="335"/>
      <c r="H120" s="147">
        <v>2018</v>
      </c>
      <c r="I120" s="147">
        <v>2020</v>
      </c>
      <c r="J120" s="335"/>
      <c r="K120" s="348"/>
      <c r="L120" s="348"/>
      <c r="M120" s="340"/>
      <c r="N120" s="336"/>
      <c r="O120" s="336"/>
      <c r="P120" s="336"/>
      <c r="Q120" s="336"/>
      <c r="R120" s="366"/>
      <c r="S120" s="102" t="s">
        <v>1984</v>
      </c>
      <c r="T120" s="86" t="s">
        <v>1985</v>
      </c>
      <c r="U120" s="123"/>
      <c r="V120" s="375"/>
      <c r="W120" s="380"/>
      <c r="X120" s="365"/>
    </row>
    <row r="121" s="317" customFormat="1" ht="23.25" customHeight="1" spans="1:24">
      <c r="A121" s="147">
        <v>114</v>
      </c>
      <c r="B121" s="71" t="s">
        <v>1986</v>
      </c>
      <c r="C121" s="147"/>
      <c r="D121" s="147"/>
      <c r="E121" s="335">
        <v>240</v>
      </c>
      <c r="F121" s="335"/>
      <c r="G121" s="335"/>
      <c r="H121" s="147">
        <v>2018</v>
      </c>
      <c r="I121" s="147">
        <v>2020</v>
      </c>
      <c r="J121" s="335"/>
      <c r="K121" s="348"/>
      <c r="L121" s="348"/>
      <c r="M121" s="340"/>
      <c r="N121" s="336"/>
      <c r="O121" s="336"/>
      <c r="P121" s="336"/>
      <c r="Q121" s="336"/>
      <c r="R121" s="366"/>
      <c r="S121" s="102" t="s">
        <v>1987</v>
      </c>
      <c r="T121" s="86" t="s">
        <v>1988</v>
      </c>
      <c r="U121" s="123"/>
      <c r="V121" s="375"/>
      <c r="W121" s="380"/>
      <c r="X121" s="365"/>
    </row>
    <row r="122" s="317" customFormat="1" ht="23.25" customHeight="1" spans="1:24">
      <c r="A122" s="147">
        <v>115</v>
      </c>
      <c r="B122" s="71" t="s">
        <v>1989</v>
      </c>
      <c r="C122" s="147"/>
      <c r="D122" s="147"/>
      <c r="E122" s="335">
        <v>240</v>
      </c>
      <c r="F122" s="335"/>
      <c r="G122" s="335"/>
      <c r="H122" s="147">
        <v>2018</v>
      </c>
      <c r="I122" s="147">
        <v>2020</v>
      </c>
      <c r="J122" s="335"/>
      <c r="K122" s="348"/>
      <c r="L122" s="348"/>
      <c r="M122" s="340"/>
      <c r="N122" s="336"/>
      <c r="O122" s="336"/>
      <c r="P122" s="336"/>
      <c r="Q122" s="336"/>
      <c r="R122" s="366"/>
      <c r="S122" s="102" t="s">
        <v>1980</v>
      </c>
      <c r="T122" s="86" t="s">
        <v>1990</v>
      </c>
      <c r="U122" s="123"/>
      <c r="V122" s="375"/>
      <c r="W122" s="380"/>
      <c r="X122" s="365"/>
    </row>
    <row r="123" s="317" customFormat="1" ht="23.25" customHeight="1" spans="1:24">
      <c r="A123" s="147">
        <v>116</v>
      </c>
      <c r="B123" s="71" t="s">
        <v>1991</v>
      </c>
      <c r="C123" s="147"/>
      <c r="D123" s="147"/>
      <c r="E123" s="335">
        <v>240</v>
      </c>
      <c r="F123" s="335"/>
      <c r="G123" s="335"/>
      <c r="H123" s="147">
        <v>2018</v>
      </c>
      <c r="I123" s="147">
        <v>2020</v>
      </c>
      <c r="J123" s="335"/>
      <c r="K123" s="348"/>
      <c r="L123" s="348"/>
      <c r="M123" s="340"/>
      <c r="N123" s="336"/>
      <c r="O123" s="336"/>
      <c r="P123" s="336"/>
      <c r="Q123" s="336"/>
      <c r="R123" s="366"/>
      <c r="S123" s="102" t="s">
        <v>1982</v>
      </c>
      <c r="T123" s="86" t="s">
        <v>1995</v>
      </c>
      <c r="U123" s="123"/>
      <c r="V123" s="375"/>
      <c r="W123" s="380"/>
      <c r="X123" s="365"/>
    </row>
    <row r="124" s="317" customFormat="1" ht="23.25" customHeight="1" spans="1:24">
      <c r="A124" s="147">
        <v>117</v>
      </c>
      <c r="B124" s="71" t="s">
        <v>1992</v>
      </c>
      <c r="C124" s="147"/>
      <c r="D124" s="147"/>
      <c r="E124" s="335">
        <v>240</v>
      </c>
      <c r="F124" s="335"/>
      <c r="G124" s="335"/>
      <c r="H124" s="147">
        <v>2018</v>
      </c>
      <c r="I124" s="147">
        <v>2020</v>
      </c>
      <c r="J124" s="335"/>
      <c r="K124" s="348"/>
      <c r="L124" s="348"/>
      <c r="M124" s="340"/>
      <c r="N124" s="336"/>
      <c r="O124" s="336"/>
      <c r="P124" s="336"/>
      <c r="Q124" s="336"/>
      <c r="R124" s="366"/>
      <c r="S124" s="102" t="s">
        <v>1993</v>
      </c>
      <c r="T124" s="86" t="s">
        <v>1994</v>
      </c>
      <c r="U124" s="123"/>
      <c r="V124" s="375"/>
      <c r="W124" s="380"/>
      <c r="X124" s="365"/>
    </row>
    <row r="125" s="317" customFormat="1" ht="23.25" customHeight="1" spans="1:24">
      <c r="A125" s="147">
        <v>118</v>
      </c>
      <c r="B125" s="212" t="s">
        <v>2004</v>
      </c>
      <c r="C125" s="71" t="s">
        <v>2005</v>
      </c>
      <c r="D125" s="71" t="s">
        <v>194</v>
      </c>
      <c r="E125" s="335">
        <v>450</v>
      </c>
      <c r="F125" s="335"/>
      <c r="G125" s="335">
        <v>330</v>
      </c>
      <c r="H125" s="147">
        <v>2018</v>
      </c>
      <c r="I125" s="147">
        <v>2020</v>
      </c>
      <c r="J125" s="335"/>
      <c r="K125" s="348"/>
      <c r="L125" s="348"/>
      <c r="M125" s="340"/>
      <c r="N125" s="336"/>
      <c r="O125" s="336"/>
      <c r="P125" s="336"/>
      <c r="Q125" s="336"/>
      <c r="R125" s="366"/>
      <c r="S125" s="147"/>
      <c r="T125" s="123"/>
      <c r="U125" s="123"/>
      <c r="V125" s="375"/>
      <c r="W125" s="380"/>
      <c r="X125" s="365"/>
    </row>
    <row r="126" s="317" customFormat="1" ht="23.25" customHeight="1" spans="1:24">
      <c r="A126" s="147">
        <v>119</v>
      </c>
      <c r="B126" s="71" t="s">
        <v>1983</v>
      </c>
      <c r="C126" s="147"/>
      <c r="D126" s="147"/>
      <c r="E126" s="335">
        <v>50</v>
      </c>
      <c r="F126" s="335"/>
      <c r="G126" s="335"/>
      <c r="H126" s="147">
        <v>2018</v>
      </c>
      <c r="I126" s="147">
        <v>2020</v>
      </c>
      <c r="J126" s="335"/>
      <c r="K126" s="348"/>
      <c r="L126" s="348"/>
      <c r="M126" s="340"/>
      <c r="N126" s="336"/>
      <c r="O126" s="336"/>
      <c r="P126" s="336"/>
      <c r="Q126" s="336"/>
      <c r="R126" s="366"/>
      <c r="S126" s="102" t="s">
        <v>1984</v>
      </c>
      <c r="T126" s="86" t="s">
        <v>1985</v>
      </c>
      <c r="U126" s="123"/>
      <c r="V126" s="375"/>
      <c r="W126" s="380"/>
      <c r="X126" s="365"/>
    </row>
    <row r="127" s="317" customFormat="1" ht="23.25" customHeight="1" spans="1:24">
      <c r="A127" s="147">
        <v>120</v>
      </c>
      <c r="B127" s="71" t="s">
        <v>1986</v>
      </c>
      <c r="C127" s="147"/>
      <c r="D127" s="147"/>
      <c r="E127" s="335">
        <v>150</v>
      </c>
      <c r="F127" s="335"/>
      <c r="G127" s="335"/>
      <c r="H127" s="147">
        <v>2018</v>
      </c>
      <c r="I127" s="147">
        <v>2020</v>
      </c>
      <c r="J127" s="335"/>
      <c r="K127" s="348"/>
      <c r="L127" s="348"/>
      <c r="M127" s="340"/>
      <c r="N127" s="336"/>
      <c r="O127" s="336"/>
      <c r="P127" s="336"/>
      <c r="Q127" s="336"/>
      <c r="R127" s="366"/>
      <c r="S127" s="102" t="s">
        <v>1987</v>
      </c>
      <c r="T127" s="86" t="s">
        <v>1988</v>
      </c>
      <c r="U127" s="123"/>
      <c r="V127" s="375"/>
      <c r="W127" s="380"/>
      <c r="X127" s="365"/>
    </row>
    <row r="128" s="317" customFormat="1" ht="23.25" customHeight="1" spans="1:24">
      <c r="A128" s="147">
        <v>121</v>
      </c>
      <c r="B128" s="71" t="s">
        <v>1989</v>
      </c>
      <c r="C128" s="147"/>
      <c r="D128" s="147"/>
      <c r="E128" s="335">
        <v>150</v>
      </c>
      <c r="F128" s="335"/>
      <c r="G128" s="335"/>
      <c r="H128" s="147">
        <v>2018</v>
      </c>
      <c r="I128" s="147">
        <v>2020</v>
      </c>
      <c r="J128" s="335"/>
      <c r="K128" s="348"/>
      <c r="L128" s="348"/>
      <c r="M128" s="340"/>
      <c r="N128" s="336"/>
      <c r="O128" s="336"/>
      <c r="P128" s="336"/>
      <c r="Q128" s="336"/>
      <c r="R128" s="366"/>
      <c r="S128" s="102" t="s">
        <v>1980</v>
      </c>
      <c r="T128" s="86" t="s">
        <v>1990</v>
      </c>
      <c r="U128" s="123"/>
      <c r="V128" s="375"/>
      <c r="W128" s="380"/>
      <c r="X128" s="365"/>
    </row>
    <row r="129" s="317" customFormat="1" ht="23.25" customHeight="1" spans="1:24">
      <c r="A129" s="147">
        <v>122</v>
      </c>
      <c r="B129" s="71" t="s">
        <v>1991</v>
      </c>
      <c r="C129" s="147"/>
      <c r="D129" s="147"/>
      <c r="E129" s="335">
        <v>50</v>
      </c>
      <c r="F129" s="335"/>
      <c r="G129" s="335"/>
      <c r="H129" s="147">
        <v>2018</v>
      </c>
      <c r="I129" s="147">
        <v>2020</v>
      </c>
      <c r="J129" s="335"/>
      <c r="K129" s="348"/>
      <c r="L129" s="348"/>
      <c r="M129" s="340"/>
      <c r="N129" s="336"/>
      <c r="O129" s="336"/>
      <c r="P129" s="336"/>
      <c r="Q129" s="336"/>
      <c r="R129" s="366"/>
      <c r="S129" s="102" t="s">
        <v>1982</v>
      </c>
      <c r="T129" s="86" t="s">
        <v>1995</v>
      </c>
      <c r="U129" s="123"/>
      <c r="V129" s="375"/>
      <c r="W129" s="380"/>
      <c r="X129" s="365"/>
    </row>
    <row r="130" s="317" customFormat="1" ht="23.25" customHeight="1" spans="1:24">
      <c r="A130" s="147">
        <v>123</v>
      </c>
      <c r="B130" s="71" t="s">
        <v>1992</v>
      </c>
      <c r="C130" s="147"/>
      <c r="D130" s="147"/>
      <c r="E130" s="335">
        <v>50</v>
      </c>
      <c r="F130" s="335"/>
      <c r="G130" s="335"/>
      <c r="H130" s="147">
        <v>2018</v>
      </c>
      <c r="I130" s="147">
        <v>2020</v>
      </c>
      <c r="J130" s="335"/>
      <c r="K130" s="348"/>
      <c r="L130" s="348"/>
      <c r="M130" s="340"/>
      <c r="N130" s="336"/>
      <c r="O130" s="336"/>
      <c r="P130" s="336"/>
      <c r="Q130" s="336"/>
      <c r="R130" s="366"/>
      <c r="S130" s="102" t="s">
        <v>1993</v>
      </c>
      <c r="T130" s="86" t="s">
        <v>1994</v>
      </c>
      <c r="U130" s="123"/>
      <c r="V130" s="375"/>
      <c r="W130" s="380"/>
      <c r="X130" s="365"/>
    </row>
    <row r="131" s="317" customFormat="1" ht="23.25" customHeight="1" spans="1:24">
      <c r="A131" s="147">
        <v>124</v>
      </c>
      <c r="B131" s="71" t="s">
        <v>268</v>
      </c>
      <c r="C131" s="147" t="s">
        <v>320</v>
      </c>
      <c r="D131" s="71" t="s">
        <v>147</v>
      </c>
      <c r="E131" s="335"/>
      <c r="F131" s="335"/>
      <c r="G131" s="335"/>
      <c r="H131" s="147">
        <v>2018</v>
      </c>
      <c r="I131" s="147">
        <v>2020</v>
      </c>
      <c r="J131" s="335">
        <f t="shared" ref="J131:J136" si="54">K131+L131+M131</f>
        <v>114.06</v>
      </c>
      <c r="K131" s="341">
        <f t="shared" ref="K131:R131" si="55">K132+K137+K144+K150+K154+K158+K160+K163+K168</f>
        <v>15.34</v>
      </c>
      <c r="L131" s="341">
        <f t="shared" si="55"/>
        <v>49.36</v>
      </c>
      <c r="M131" s="341">
        <f t="shared" si="55"/>
        <v>49.36</v>
      </c>
      <c r="N131" s="341">
        <f t="shared" si="55"/>
        <v>20.1</v>
      </c>
      <c r="O131" s="335">
        <f t="shared" si="55"/>
        <v>0</v>
      </c>
      <c r="P131" s="335">
        <f t="shared" si="55"/>
        <v>39.96</v>
      </c>
      <c r="Q131" s="335">
        <f t="shared" si="55"/>
        <v>54</v>
      </c>
      <c r="R131" s="335">
        <f t="shared" si="55"/>
        <v>0</v>
      </c>
      <c r="S131" s="86" t="s">
        <v>1982</v>
      </c>
      <c r="T131" s="86" t="s">
        <v>2000</v>
      </c>
      <c r="U131" s="147" t="s">
        <v>320</v>
      </c>
      <c r="V131" s="363"/>
      <c r="W131" s="364"/>
      <c r="X131" s="365"/>
    </row>
    <row r="132" s="317" customFormat="1" ht="23.25" customHeight="1" spans="1:24">
      <c r="A132" s="147">
        <v>125</v>
      </c>
      <c r="B132" s="147" t="s">
        <v>833</v>
      </c>
      <c r="C132" s="147" t="s">
        <v>320</v>
      </c>
      <c r="D132" s="71" t="s">
        <v>147</v>
      </c>
      <c r="E132" s="335">
        <v>7</v>
      </c>
      <c r="F132" s="335">
        <v>1</v>
      </c>
      <c r="G132" s="335">
        <v>1</v>
      </c>
      <c r="H132" s="147">
        <v>2018</v>
      </c>
      <c r="I132" s="147">
        <v>2020</v>
      </c>
      <c r="J132" s="335">
        <f>SUM(K132:M132)</f>
        <v>12.6</v>
      </c>
      <c r="K132" s="341">
        <v>4.2</v>
      </c>
      <c r="L132" s="341">
        <v>4.2</v>
      </c>
      <c r="M132" s="123">
        <v>4.2</v>
      </c>
      <c r="N132" s="341">
        <f t="shared" ref="N132:N136" si="56">J132</f>
        <v>12.6</v>
      </c>
      <c r="O132" s="335"/>
      <c r="P132" s="336"/>
      <c r="Q132" s="336"/>
      <c r="R132" s="366"/>
      <c r="S132" s="102" t="s">
        <v>1982</v>
      </c>
      <c r="T132" s="86" t="s">
        <v>2006</v>
      </c>
      <c r="U132" s="89" t="s">
        <v>201</v>
      </c>
      <c r="V132" s="363"/>
      <c r="W132" s="364"/>
      <c r="X132" s="365"/>
    </row>
    <row r="133" s="317" customFormat="1" ht="23.25" customHeight="1" spans="1:24">
      <c r="A133" s="147">
        <v>126</v>
      </c>
      <c r="B133" s="71" t="s">
        <v>1983</v>
      </c>
      <c r="C133" s="147"/>
      <c r="D133" s="147"/>
      <c r="E133" s="335">
        <v>2</v>
      </c>
      <c r="F133" s="335"/>
      <c r="G133" s="335"/>
      <c r="H133" s="147">
        <v>2018</v>
      </c>
      <c r="I133" s="147">
        <v>2020</v>
      </c>
      <c r="J133" s="335">
        <f t="shared" si="54"/>
        <v>3.6</v>
      </c>
      <c r="K133" s="341">
        <f t="shared" ref="K133:K136" si="57">E133*0.6</f>
        <v>1.2</v>
      </c>
      <c r="L133" s="341">
        <v>1.2</v>
      </c>
      <c r="M133" s="341">
        <v>1.2</v>
      </c>
      <c r="N133" s="341">
        <f t="shared" si="56"/>
        <v>3.6</v>
      </c>
      <c r="O133" s="335"/>
      <c r="P133" s="336"/>
      <c r="Q133" s="336"/>
      <c r="R133" s="366"/>
      <c r="S133" s="102" t="s">
        <v>1984</v>
      </c>
      <c r="T133" s="86" t="s">
        <v>1985</v>
      </c>
      <c r="U133" s="375"/>
      <c r="V133" s="363"/>
      <c r="W133" s="364"/>
      <c r="X133" s="365"/>
    </row>
    <row r="134" s="317" customFormat="1" ht="23.25" customHeight="1" spans="1:24">
      <c r="A134" s="147">
        <v>127</v>
      </c>
      <c r="B134" s="71" t="s">
        <v>1986</v>
      </c>
      <c r="C134" s="147"/>
      <c r="D134" s="147"/>
      <c r="E134" s="335">
        <v>2</v>
      </c>
      <c r="F134" s="335"/>
      <c r="G134" s="335"/>
      <c r="H134" s="147">
        <v>2018</v>
      </c>
      <c r="I134" s="147">
        <v>2020</v>
      </c>
      <c r="J134" s="335">
        <f t="shared" si="54"/>
        <v>3.6</v>
      </c>
      <c r="K134" s="341">
        <f t="shared" si="57"/>
        <v>1.2</v>
      </c>
      <c r="L134" s="341">
        <v>1.2</v>
      </c>
      <c r="M134" s="341">
        <v>1.2</v>
      </c>
      <c r="N134" s="341">
        <f t="shared" si="56"/>
        <v>3.6</v>
      </c>
      <c r="O134" s="335" t="s">
        <v>1512</v>
      </c>
      <c r="P134" s="336"/>
      <c r="Q134" s="336"/>
      <c r="R134" s="366"/>
      <c r="S134" s="102" t="s">
        <v>1987</v>
      </c>
      <c r="T134" s="86" t="s">
        <v>1988</v>
      </c>
      <c r="U134" s="375"/>
      <c r="V134" s="363"/>
      <c r="W134" s="364"/>
      <c r="X134" s="365"/>
    </row>
    <row r="135" s="317" customFormat="1" ht="23.25" customHeight="1" spans="1:24">
      <c r="A135" s="147">
        <v>128</v>
      </c>
      <c r="B135" s="71" t="s">
        <v>1989</v>
      </c>
      <c r="C135" s="147"/>
      <c r="D135" s="147"/>
      <c r="E135" s="335">
        <v>1</v>
      </c>
      <c r="F135" s="335"/>
      <c r="G135" s="335"/>
      <c r="H135" s="147">
        <v>2018</v>
      </c>
      <c r="I135" s="147">
        <v>2020</v>
      </c>
      <c r="J135" s="335">
        <f t="shared" si="54"/>
        <v>1.8</v>
      </c>
      <c r="K135" s="345">
        <f t="shared" si="57"/>
        <v>0.6</v>
      </c>
      <c r="L135" s="345">
        <v>0.6</v>
      </c>
      <c r="M135" s="345">
        <v>0.6</v>
      </c>
      <c r="N135" s="341">
        <f t="shared" si="56"/>
        <v>1.8</v>
      </c>
      <c r="O135" s="335"/>
      <c r="P135" s="336"/>
      <c r="Q135" s="336"/>
      <c r="R135" s="366"/>
      <c r="S135" s="102" t="s">
        <v>1980</v>
      </c>
      <c r="T135" s="86" t="s">
        <v>1990</v>
      </c>
      <c r="U135" s="375"/>
      <c r="V135" s="363"/>
      <c r="W135" s="364"/>
      <c r="X135" s="365"/>
    </row>
    <row r="136" s="317" customFormat="1" ht="23.25" customHeight="1" spans="1:24">
      <c r="A136" s="147">
        <v>129</v>
      </c>
      <c r="B136" s="71" t="s">
        <v>1991</v>
      </c>
      <c r="C136" s="147"/>
      <c r="D136" s="147"/>
      <c r="E136" s="335">
        <v>2</v>
      </c>
      <c r="F136" s="335"/>
      <c r="G136" s="335"/>
      <c r="H136" s="147">
        <v>2018</v>
      </c>
      <c r="I136" s="147">
        <v>2020</v>
      </c>
      <c r="J136" s="335">
        <f t="shared" si="54"/>
        <v>3.6</v>
      </c>
      <c r="K136" s="341">
        <f t="shared" si="57"/>
        <v>1.2</v>
      </c>
      <c r="L136" s="341">
        <v>1.2</v>
      </c>
      <c r="M136" s="341">
        <v>1.2</v>
      </c>
      <c r="N136" s="341">
        <f t="shared" si="56"/>
        <v>3.6</v>
      </c>
      <c r="O136" s="335"/>
      <c r="P136" s="336"/>
      <c r="Q136" s="336"/>
      <c r="R136" s="366"/>
      <c r="S136" s="102" t="s">
        <v>1982</v>
      </c>
      <c r="T136" s="86" t="s">
        <v>1995</v>
      </c>
      <c r="U136" s="375"/>
      <c r="V136" s="363"/>
      <c r="W136" s="364"/>
      <c r="X136" s="365"/>
    </row>
    <row r="137" s="317" customFormat="1" ht="23.25" customHeight="1" spans="1:24">
      <c r="A137" s="147">
        <v>130</v>
      </c>
      <c r="B137" s="147" t="s">
        <v>2007</v>
      </c>
      <c r="C137" s="147" t="s">
        <v>320</v>
      </c>
      <c r="D137" s="71" t="s">
        <v>147</v>
      </c>
      <c r="E137" s="335">
        <v>5</v>
      </c>
      <c r="F137" s="335">
        <v>5</v>
      </c>
      <c r="G137" s="335">
        <v>5</v>
      </c>
      <c r="H137" s="147">
        <v>2018</v>
      </c>
      <c r="I137" s="147">
        <v>2020</v>
      </c>
      <c r="J137" s="335">
        <f>SUM(K137:M137)</f>
        <v>3</v>
      </c>
      <c r="K137" s="341">
        <v>1</v>
      </c>
      <c r="L137" s="341">
        <v>1</v>
      </c>
      <c r="M137" s="123">
        <v>1</v>
      </c>
      <c r="N137" s="341">
        <v>3</v>
      </c>
      <c r="O137" s="335"/>
      <c r="P137" s="336"/>
      <c r="Q137" s="336"/>
      <c r="R137" s="366"/>
      <c r="S137" s="89" t="s">
        <v>1987</v>
      </c>
      <c r="T137" s="89" t="s">
        <v>2008</v>
      </c>
      <c r="U137" s="89" t="s">
        <v>271</v>
      </c>
      <c r="V137" s="363"/>
      <c r="W137" s="364"/>
      <c r="X137" s="365"/>
    </row>
    <row r="138" s="317" customFormat="1" ht="23.25" customHeight="1" spans="1:24">
      <c r="A138" s="147">
        <v>131</v>
      </c>
      <c r="B138" s="147" t="s">
        <v>840</v>
      </c>
      <c r="C138" s="147" t="s">
        <v>320</v>
      </c>
      <c r="D138" s="71" t="s">
        <v>147</v>
      </c>
      <c r="E138" s="335">
        <v>126</v>
      </c>
      <c r="F138" s="335">
        <v>126</v>
      </c>
      <c r="G138" s="335">
        <v>126</v>
      </c>
      <c r="H138" s="147">
        <v>2019</v>
      </c>
      <c r="I138" s="147">
        <v>2020</v>
      </c>
      <c r="J138" s="335"/>
      <c r="K138" s="348"/>
      <c r="L138" s="348"/>
      <c r="M138" s="340"/>
      <c r="N138" s="336"/>
      <c r="O138" s="336"/>
      <c r="P138" s="336"/>
      <c r="Q138" s="336"/>
      <c r="R138" s="366"/>
      <c r="S138" s="102" t="s">
        <v>1982</v>
      </c>
      <c r="T138" s="86" t="s">
        <v>2006</v>
      </c>
      <c r="U138" s="71" t="s">
        <v>273</v>
      </c>
      <c r="V138" s="363"/>
      <c r="W138" s="364"/>
      <c r="X138" s="365"/>
    </row>
    <row r="139" s="317" customFormat="1" ht="23.25" customHeight="1" spans="1:24">
      <c r="A139" s="147">
        <v>132</v>
      </c>
      <c r="B139" s="71" t="s">
        <v>1983</v>
      </c>
      <c r="C139" s="147" t="s">
        <v>320</v>
      </c>
      <c r="D139" s="71" t="s">
        <v>147</v>
      </c>
      <c r="E139" s="335">
        <v>26</v>
      </c>
      <c r="F139" s="335">
        <v>26</v>
      </c>
      <c r="G139" s="335">
        <v>26</v>
      </c>
      <c r="H139" s="147">
        <v>2019</v>
      </c>
      <c r="I139" s="147">
        <v>2020</v>
      </c>
      <c r="J139" s="335"/>
      <c r="K139" s="348"/>
      <c r="L139" s="348"/>
      <c r="M139" s="340"/>
      <c r="N139" s="336"/>
      <c r="O139" s="336"/>
      <c r="P139" s="336"/>
      <c r="Q139" s="336"/>
      <c r="R139" s="366"/>
      <c r="S139" s="102" t="s">
        <v>1984</v>
      </c>
      <c r="T139" s="86" t="s">
        <v>1985</v>
      </c>
      <c r="U139" s="71" t="s">
        <v>273</v>
      </c>
      <c r="V139" s="363"/>
      <c r="W139" s="364"/>
      <c r="X139" s="365"/>
    </row>
    <row r="140" s="317" customFormat="1" ht="23.25" customHeight="1" spans="1:24">
      <c r="A140" s="147">
        <v>133</v>
      </c>
      <c r="B140" s="71" t="s">
        <v>1986</v>
      </c>
      <c r="C140" s="147" t="s">
        <v>320</v>
      </c>
      <c r="D140" s="71" t="s">
        <v>147</v>
      </c>
      <c r="E140" s="335">
        <v>33</v>
      </c>
      <c r="F140" s="335">
        <v>33</v>
      </c>
      <c r="G140" s="335">
        <v>33</v>
      </c>
      <c r="H140" s="147">
        <v>2019</v>
      </c>
      <c r="I140" s="147">
        <v>2020</v>
      </c>
      <c r="J140" s="335"/>
      <c r="K140" s="348"/>
      <c r="L140" s="348"/>
      <c r="M140" s="340"/>
      <c r="N140" s="384"/>
      <c r="O140" s="384"/>
      <c r="P140" s="384"/>
      <c r="Q140" s="384"/>
      <c r="R140" s="397"/>
      <c r="S140" s="102" t="s">
        <v>1987</v>
      </c>
      <c r="T140" s="86" t="s">
        <v>1988</v>
      </c>
      <c r="U140" s="71" t="s">
        <v>273</v>
      </c>
      <c r="V140" s="363"/>
      <c r="W140" s="364"/>
      <c r="X140" s="365"/>
    </row>
    <row r="141" s="317" customFormat="1" ht="23.25" customHeight="1" spans="1:24">
      <c r="A141" s="147">
        <v>134</v>
      </c>
      <c r="B141" s="71" t="s">
        <v>1989</v>
      </c>
      <c r="C141" s="147" t="s">
        <v>320</v>
      </c>
      <c r="D141" s="71" t="s">
        <v>147</v>
      </c>
      <c r="E141" s="335">
        <v>27</v>
      </c>
      <c r="F141" s="335">
        <v>27</v>
      </c>
      <c r="G141" s="335">
        <v>27</v>
      </c>
      <c r="H141" s="147">
        <v>2019</v>
      </c>
      <c r="I141" s="147">
        <v>2020</v>
      </c>
      <c r="J141" s="335"/>
      <c r="K141" s="341"/>
      <c r="L141" s="341"/>
      <c r="M141" s="123"/>
      <c r="N141" s="147"/>
      <c r="O141" s="147"/>
      <c r="P141" s="147"/>
      <c r="Q141" s="147"/>
      <c r="R141" s="398"/>
      <c r="S141" s="102" t="s">
        <v>1980</v>
      </c>
      <c r="T141" s="86" t="s">
        <v>1990</v>
      </c>
      <c r="U141" s="71" t="s">
        <v>273</v>
      </c>
      <c r="V141" s="363"/>
      <c r="W141" s="364"/>
      <c r="X141" s="365"/>
    </row>
    <row r="142" s="317" customFormat="1" ht="23.25" customHeight="1" spans="1:24">
      <c r="A142" s="147">
        <v>135</v>
      </c>
      <c r="B142" s="71" t="s">
        <v>1991</v>
      </c>
      <c r="C142" s="147" t="s">
        <v>320</v>
      </c>
      <c r="D142" s="71" t="s">
        <v>147</v>
      </c>
      <c r="E142" s="335">
        <v>22</v>
      </c>
      <c r="F142" s="335">
        <v>22</v>
      </c>
      <c r="G142" s="335">
        <v>22</v>
      </c>
      <c r="H142" s="147">
        <v>2019</v>
      </c>
      <c r="I142" s="147">
        <v>2020</v>
      </c>
      <c r="J142" s="335"/>
      <c r="K142" s="348"/>
      <c r="L142" s="348"/>
      <c r="M142" s="340"/>
      <c r="N142" s="147"/>
      <c r="O142" s="147"/>
      <c r="P142" s="147"/>
      <c r="Q142" s="147"/>
      <c r="R142" s="398"/>
      <c r="S142" s="102" t="s">
        <v>1982</v>
      </c>
      <c r="T142" s="86" t="s">
        <v>1995</v>
      </c>
      <c r="U142" s="71" t="s">
        <v>273</v>
      </c>
      <c r="V142" s="363"/>
      <c r="W142" s="364"/>
      <c r="X142" s="365"/>
    </row>
    <row r="143" s="317" customFormat="1" ht="23.25" customHeight="1" spans="1:24">
      <c r="A143" s="147">
        <v>136</v>
      </c>
      <c r="B143" s="71" t="s">
        <v>1992</v>
      </c>
      <c r="C143" s="147" t="s">
        <v>320</v>
      </c>
      <c r="D143" s="71" t="s">
        <v>147</v>
      </c>
      <c r="E143" s="335">
        <v>18</v>
      </c>
      <c r="F143" s="335">
        <v>18</v>
      </c>
      <c r="G143" s="335">
        <v>18</v>
      </c>
      <c r="H143" s="147">
        <v>2019</v>
      </c>
      <c r="I143" s="147">
        <v>2020</v>
      </c>
      <c r="J143" s="335"/>
      <c r="K143" s="348"/>
      <c r="L143" s="348"/>
      <c r="M143" s="340"/>
      <c r="N143" s="147"/>
      <c r="O143" s="147"/>
      <c r="P143" s="147"/>
      <c r="Q143" s="147"/>
      <c r="R143" s="398"/>
      <c r="S143" s="102" t="s">
        <v>1993</v>
      </c>
      <c r="T143" s="86" t="s">
        <v>1994</v>
      </c>
      <c r="U143" s="71" t="s">
        <v>273</v>
      </c>
      <c r="V143" s="363"/>
      <c r="W143" s="364"/>
      <c r="X143" s="365"/>
    </row>
    <row r="144" s="317" customFormat="1" ht="23.25" customHeight="1" spans="1:24">
      <c r="A144" s="147">
        <v>137</v>
      </c>
      <c r="B144" s="147" t="s">
        <v>2009</v>
      </c>
      <c r="C144" s="147" t="s">
        <v>320</v>
      </c>
      <c r="D144" s="71" t="s">
        <v>147</v>
      </c>
      <c r="E144" s="335">
        <f t="shared" ref="E144:G144" si="58">SUM(E145:E149)</f>
        <v>15</v>
      </c>
      <c r="F144" s="335">
        <f t="shared" si="58"/>
        <v>15</v>
      </c>
      <c r="G144" s="335">
        <f t="shared" si="58"/>
        <v>15</v>
      </c>
      <c r="H144" s="147">
        <v>2018</v>
      </c>
      <c r="I144" s="147">
        <v>2020</v>
      </c>
      <c r="J144" s="335">
        <f>K144+L144+M144</f>
        <v>16.2</v>
      </c>
      <c r="K144" s="343"/>
      <c r="L144" s="343">
        <f t="shared" ref="L144:R144" si="59">L145+L146+L147+L148+L149</f>
        <v>8.1</v>
      </c>
      <c r="M144" s="343">
        <f t="shared" si="59"/>
        <v>8.1</v>
      </c>
      <c r="N144" s="335">
        <f t="shared" si="59"/>
        <v>0</v>
      </c>
      <c r="O144" s="335">
        <f t="shared" si="59"/>
        <v>0</v>
      </c>
      <c r="P144" s="335">
        <f t="shared" si="59"/>
        <v>16.2</v>
      </c>
      <c r="Q144" s="335">
        <f t="shared" si="59"/>
        <v>0</v>
      </c>
      <c r="R144" s="335">
        <f t="shared" si="59"/>
        <v>0</v>
      </c>
      <c r="S144" s="102" t="s">
        <v>1982</v>
      </c>
      <c r="T144" s="86" t="s">
        <v>1981</v>
      </c>
      <c r="U144" s="89" t="s">
        <v>275</v>
      </c>
      <c r="V144" s="363"/>
      <c r="W144" s="364"/>
      <c r="X144" s="365"/>
    </row>
    <row r="145" s="317" customFormat="1" ht="23.25" customHeight="1" spans="1:24">
      <c r="A145" s="147">
        <v>138</v>
      </c>
      <c r="B145" s="71" t="s">
        <v>1983</v>
      </c>
      <c r="C145" s="147" t="s">
        <v>320</v>
      </c>
      <c r="D145" s="71" t="s">
        <v>147</v>
      </c>
      <c r="E145" s="335">
        <v>2</v>
      </c>
      <c r="F145" s="335">
        <v>2</v>
      </c>
      <c r="G145" s="335">
        <v>2</v>
      </c>
      <c r="H145" s="147">
        <v>2018</v>
      </c>
      <c r="I145" s="147">
        <v>2020</v>
      </c>
      <c r="J145" s="335">
        <f t="shared" ref="J145:J149" si="60">SUM(K145:M145)</f>
        <v>2.16</v>
      </c>
      <c r="K145" s="343"/>
      <c r="L145" s="343">
        <v>1.08</v>
      </c>
      <c r="M145" s="343">
        <v>1.08</v>
      </c>
      <c r="N145" s="147"/>
      <c r="O145" s="147"/>
      <c r="P145" s="147">
        <f t="shared" ref="P145:P149" si="61">J145</f>
        <v>2.16</v>
      </c>
      <c r="Q145" s="147"/>
      <c r="R145" s="398"/>
      <c r="S145" s="102" t="s">
        <v>1984</v>
      </c>
      <c r="T145" s="86" t="s">
        <v>1985</v>
      </c>
      <c r="U145" s="89" t="s">
        <v>275</v>
      </c>
      <c r="V145" s="363"/>
      <c r="W145" s="364"/>
      <c r="X145" s="365"/>
    </row>
    <row r="146" s="317" customFormat="1" ht="23.25" customHeight="1" spans="1:24">
      <c r="A146" s="147">
        <v>139</v>
      </c>
      <c r="B146" s="71" t="s">
        <v>1986</v>
      </c>
      <c r="C146" s="147" t="s">
        <v>320</v>
      </c>
      <c r="D146" s="71" t="s">
        <v>147</v>
      </c>
      <c r="E146" s="335">
        <v>5</v>
      </c>
      <c r="F146" s="335">
        <v>5</v>
      </c>
      <c r="G146" s="335">
        <v>5</v>
      </c>
      <c r="H146" s="147">
        <v>2018</v>
      </c>
      <c r="I146" s="147">
        <v>2020</v>
      </c>
      <c r="J146" s="335">
        <f t="shared" si="60"/>
        <v>5.4</v>
      </c>
      <c r="K146" s="343"/>
      <c r="L146" s="343">
        <v>2.7</v>
      </c>
      <c r="M146" s="343">
        <v>2.7</v>
      </c>
      <c r="N146" s="147"/>
      <c r="O146" s="147"/>
      <c r="P146" s="147">
        <f t="shared" si="61"/>
        <v>5.4</v>
      </c>
      <c r="Q146" s="147"/>
      <c r="R146" s="398"/>
      <c r="S146" s="102" t="s">
        <v>1987</v>
      </c>
      <c r="T146" s="86" t="s">
        <v>1988</v>
      </c>
      <c r="U146" s="89" t="s">
        <v>275</v>
      </c>
      <c r="V146" s="363"/>
      <c r="W146" s="364"/>
      <c r="X146" s="365"/>
    </row>
    <row r="147" s="317" customFormat="1" ht="23.25" customHeight="1" spans="1:24">
      <c r="A147" s="147">
        <v>140</v>
      </c>
      <c r="B147" s="71" t="s">
        <v>1989</v>
      </c>
      <c r="C147" s="147" t="s">
        <v>320</v>
      </c>
      <c r="D147" s="71" t="s">
        <v>147</v>
      </c>
      <c r="E147" s="335">
        <v>1</v>
      </c>
      <c r="F147" s="335">
        <v>1</v>
      </c>
      <c r="G147" s="335">
        <v>1</v>
      </c>
      <c r="H147" s="147">
        <v>2018</v>
      </c>
      <c r="I147" s="147">
        <v>2020</v>
      </c>
      <c r="J147" s="335">
        <f t="shared" si="60"/>
        <v>1.08</v>
      </c>
      <c r="K147" s="341"/>
      <c r="L147" s="341">
        <v>0.54</v>
      </c>
      <c r="M147" s="341">
        <v>0.54</v>
      </c>
      <c r="N147" s="385"/>
      <c r="O147" s="385"/>
      <c r="P147" s="147">
        <f t="shared" si="61"/>
        <v>1.08</v>
      </c>
      <c r="Q147" s="385"/>
      <c r="R147" s="399"/>
      <c r="S147" s="102" t="s">
        <v>1980</v>
      </c>
      <c r="T147" s="86" t="s">
        <v>1990</v>
      </c>
      <c r="U147" s="89" t="s">
        <v>275</v>
      </c>
      <c r="V147" s="363"/>
      <c r="W147" s="364"/>
      <c r="X147" s="365"/>
    </row>
    <row r="148" s="317" customFormat="1" ht="23.25" customHeight="1" spans="1:24">
      <c r="A148" s="147">
        <v>141</v>
      </c>
      <c r="B148" s="71" t="s">
        <v>1991</v>
      </c>
      <c r="C148" s="147" t="s">
        <v>320</v>
      </c>
      <c r="D148" s="71" t="s">
        <v>147</v>
      </c>
      <c r="E148" s="335">
        <v>4</v>
      </c>
      <c r="F148" s="335">
        <v>4</v>
      </c>
      <c r="G148" s="335">
        <v>4</v>
      </c>
      <c r="H148" s="147">
        <v>2018</v>
      </c>
      <c r="I148" s="147">
        <v>2020</v>
      </c>
      <c r="J148" s="335">
        <f t="shared" si="60"/>
        <v>4.32</v>
      </c>
      <c r="K148" s="343"/>
      <c r="L148" s="343">
        <v>2.16</v>
      </c>
      <c r="M148" s="343">
        <v>2.16</v>
      </c>
      <c r="N148" s="385"/>
      <c r="O148" s="385"/>
      <c r="P148" s="147">
        <f t="shared" si="61"/>
        <v>4.32</v>
      </c>
      <c r="Q148" s="385"/>
      <c r="R148" s="399"/>
      <c r="S148" s="102" t="s">
        <v>1982</v>
      </c>
      <c r="T148" s="86" t="s">
        <v>1995</v>
      </c>
      <c r="U148" s="89" t="s">
        <v>275</v>
      </c>
      <c r="V148" s="363"/>
      <c r="W148" s="364"/>
      <c r="X148" s="365"/>
    </row>
    <row r="149" s="317" customFormat="1" ht="23.25" customHeight="1" spans="1:24">
      <c r="A149" s="147">
        <v>142</v>
      </c>
      <c r="B149" s="71" t="s">
        <v>1992</v>
      </c>
      <c r="C149" s="147" t="s">
        <v>320</v>
      </c>
      <c r="D149" s="71" t="s">
        <v>147</v>
      </c>
      <c r="E149" s="335">
        <v>3</v>
      </c>
      <c r="F149" s="335">
        <v>3</v>
      </c>
      <c r="G149" s="335">
        <v>3</v>
      </c>
      <c r="H149" s="147">
        <v>2018</v>
      </c>
      <c r="I149" s="147">
        <v>2020</v>
      </c>
      <c r="J149" s="335">
        <f t="shared" si="60"/>
        <v>3.24</v>
      </c>
      <c r="K149" s="343"/>
      <c r="L149" s="343">
        <v>1.62</v>
      </c>
      <c r="M149" s="343">
        <v>1.62</v>
      </c>
      <c r="N149" s="385"/>
      <c r="O149" s="385"/>
      <c r="P149" s="147">
        <f t="shared" si="61"/>
        <v>3.24</v>
      </c>
      <c r="Q149" s="385"/>
      <c r="R149" s="399"/>
      <c r="S149" s="102" t="s">
        <v>1993</v>
      </c>
      <c r="T149" s="86" t="s">
        <v>1994</v>
      </c>
      <c r="U149" s="89" t="s">
        <v>275</v>
      </c>
      <c r="V149" s="363"/>
      <c r="W149" s="364"/>
      <c r="X149" s="365"/>
    </row>
    <row r="150" s="317" customFormat="1" ht="23.25" customHeight="1" spans="1:24">
      <c r="A150" s="147">
        <v>143</v>
      </c>
      <c r="B150" s="147" t="s">
        <v>2010</v>
      </c>
      <c r="C150" s="336" t="s">
        <v>320</v>
      </c>
      <c r="D150" s="71" t="s">
        <v>147</v>
      </c>
      <c r="E150" s="147">
        <v>10</v>
      </c>
      <c r="F150" s="147">
        <v>7</v>
      </c>
      <c r="G150" s="147">
        <v>7</v>
      </c>
      <c r="H150" s="147">
        <v>2018</v>
      </c>
      <c r="I150" s="147">
        <v>2020</v>
      </c>
      <c r="J150" s="335">
        <f t="shared" ref="J150:J171" si="62">K150+L150+M150</f>
        <v>4.5</v>
      </c>
      <c r="K150" s="345">
        <v>1.5</v>
      </c>
      <c r="L150" s="345">
        <v>1.5</v>
      </c>
      <c r="M150" s="345">
        <v>1.5</v>
      </c>
      <c r="N150" s="122">
        <f t="shared" ref="N150:N153" si="63">J150</f>
        <v>4.5</v>
      </c>
      <c r="O150" s="122"/>
      <c r="P150" s="122"/>
      <c r="Q150" s="122"/>
      <c r="R150" s="122"/>
      <c r="S150" s="375"/>
      <c r="T150" s="375"/>
      <c r="U150" s="89" t="s">
        <v>277</v>
      </c>
      <c r="V150" s="363"/>
      <c r="W150" s="364"/>
      <c r="X150" s="365"/>
    </row>
    <row r="151" s="317" customFormat="1" ht="23.25" customHeight="1" spans="1:24">
      <c r="A151" s="147">
        <v>144</v>
      </c>
      <c r="B151" s="71" t="s">
        <v>1983</v>
      </c>
      <c r="C151" s="336"/>
      <c r="D151" s="147"/>
      <c r="E151" s="147">
        <v>2</v>
      </c>
      <c r="F151" s="147">
        <v>2</v>
      </c>
      <c r="G151" s="147">
        <v>2</v>
      </c>
      <c r="H151" s="147">
        <v>2018</v>
      </c>
      <c r="I151" s="147">
        <v>2020</v>
      </c>
      <c r="J151" s="335">
        <f t="shared" si="62"/>
        <v>0.9</v>
      </c>
      <c r="K151" s="345">
        <f t="shared" ref="K151:K153" si="64">E151*0.15</f>
        <v>0.3</v>
      </c>
      <c r="L151" s="345">
        <v>0.3</v>
      </c>
      <c r="M151" s="345">
        <v>0.3</v>
      </c>
      <c r="N151" s="122">
        <f t="shared" si="63"/>
        <v>0.9</v>
      </c>
      <c r="O151" s="122"/>
      <c r="P151" s="122"/>
      <c r="Q151" s="122"/>
      <c r="R151" s="122"/>
      <c r="S151" s="375"/>
      <c r="T151" s="375"/>
      <c r="U151" s="375"/>
      <c r="V151" s="363"/>
      <c r="W151" s="364"/>
      <c r="X151" s="365"/>
    </row>
    <row r="152" s="317" customFormat="1" ht="23.25" customHeight="1" spans="1:24">
      <c r="A152" s="147">
        <v>145</v>
      </c>
      <c r="B152" s="71" t="s">
        <v>1986</v>
      </c>
      <c r="C152" s="336"/>
      <c r="D152" s="147"/>
      <c r="E152" s="147">
        <v>4</v>
      </c>
      <c r="F152" s="147">
        <v>1</v>
      </c>
      <c r="G152" s="147">
        <v>1</v>
      </c>
      <c r="H152" s="147">
        <v>2018</v>
      </c>
      <c r="I152" s="147">
        <v>2020</v>
      </c>
      <c r="J152" s="335">
        <f t="shared" si="62"/>
        <v>1.8</v>
      </c>
      <c r="K152" s="345">
        <f t="shared" si="64"/>
        <v>0.6</v>
      </c>
      <c r="L152" s="345">
        <v>0.6</v>
      </c>
      <c r="M152" s="345">
        <v>0.6</v>
      </c>
      <c r="N152" s="122">
        <f t="shared" si="63"/>
        <v>1.8</v>
      </c>
      <c r="O152" s="122"/>
      <c r="P152" s="122"/>
      <c r="Q152" s="122"/>
      <c r="R152" s="122"/>
      <c r="S152" s="375"/>
      <c r="T152" s="375"/>
      <c r="U152" s="375"/>
      <c r="V152" s="363"/>
      <c r="W152" s="364"/>
      <c r="X152" s="365"/>
    </row>
    <row r="153" s="317" customFormat="1" ht="23.25" customHeight="1" spans="1:24">
      <c r="A153" s="147">
        <v>146</v>
      </c>
      <c r="B153" s="71" t="s">
        <v>1989</v>
      </c>
      <c r="C153" s="336"/>
      <c r="D153" s="147"/>
      <c r="E153" s="147">
        <v>4</v>
      </c>
      <c r="F153" s="147">
        <v>3</v>
      </c>
      <c r="G153" s="147">
        <v>3</v>
      </c>
      <c r="H153" s="147">
        <v>2018</v>
      </c>
      <c r="I153" s="147">
        <v>2020</v>
      </c>
      <c r="J153" s="335">
        <f t="shared" si="62"/>
        <v>1.8</v>
      </c>
      <c r="K153" s="345">
        <f t="shared" si="64"/>
        <v>0.6</v>
      </c>
      <c r="L153" s="345">
        <v>0.6</v>
      </c>
      <c r="M153" s="345">
        <v>0.6</v>
      </c>
      <c r="N153" s="122">
        <f t="shared" si="63"/>
        <v>1.8</v>
      </c>
      <c r="O153" s="122"/>
      <c r="P153" s="122"/>
      <c r="Q153" s="122"/>
      <c r="R153" s="122"/>
      <c r="S153" s="375"/>
      <c r="T153" s="375"/>
      <c r="U153" s="375"/>
      <c r="V153" s="363"/>
      <c r="W153" s="364"/>
      <c r="X153" s="365"/>
    </row>
    <row r="154" s="317" customFormat="1" ht="30" customHeight="1" spans="1:24">
      <c r="A154" s="147">
        <v>147</v>
      </c>
      <c r="B154" s="147" t="s">
        <v>2011</v>
      </c>
      <c r="C154" s="336"/>
      <c r="D154" s="71" t="s">
        <v>147</v>
      </c>
      <c r="E154" s="147">
        <v>6</v>
      </c>
      <c r="F154" s="147">
        <v>6</v>
      </c>
      <c r="G154" s="147">
        <v>6</v>
      </c>
      <c r="H154" s="147">
        <v>2018</v>
      </c>
      <c r="I154" s="147">
        <v>2020</v>
      </c>
      <c r="J154" s="335">
        <f t="shared" si="62"/>
        <v>11.664</v>
      </c>
      <c r="K154" s="343">
        <v>1.296</v>
      </c>
      <c r="L154" s="343">
        <v>5.184</v>
      </c>
      <c r="M154" s="343">
        <v>5.184</v>
      </c>
      <c r="N154" s="336"/>
      <c r="O154" s="122"/>
      <c r="P154" s="122">
        <v>3.564</v>
      </c>
      <c r="Q154" s="122">
        <f t="shared" ref="Q154:Q171" si="65">0.05*E154*27</f>
        <v>8.1</v>
      </c>
      <c r="R154" s="122"/>
      <c r="S154" s="89" t="s">
        <v>2012</v>
      </c>
      <c r="T154" s="89" t="s">
        <v>2013</v>
      </c>
      <c r="U154" s="89" t="s">
        <v>195</v>
      </c>
      <c r="V154" s="56" t="s">
        <v>2014</v>
      </c>
      <c r="W154" s="364"/>
      <c r="X154" s="365"/>
    </row>
    <row r="155" s="317" customFormat="1" ht="30" customHeight="1" spans="1:24">
      <c r="A155" s="147">
        <v>148</v>
      </c>
      <c r="B155" s="71" t="s">
        <v>1983</v>
      </c>
      <c r="C155" s="336"/>
      <c r="D155" s="147"/>
      <c r="E155" s="147">
        <v>2</v>
      </c>
      <c r="F155" s="147">
        <v>2</v>
      </c>
      <c r="G155" s="147">
        <v>2</v>
      </c>
      <c r="H155" s="147">
        <v>2018</v>
      </c>
      <c r="I155" s="147">
        <v>2020</v>
      </c>
      <c r="J155" s="335">
        <f t="shared" si="62"/>
        <v>3.888</v>
      </c>
      <c r="K155" s="343">
        <f t="shared" ref="K155:K157" si="66">E155*0.072*3</f>
        <v>0.432</v>
      </c>
      <c r="L155" s="343">
        <f t="shared" ref="L155:L157" si="67">E155*0.072*12</f>
        <v>1.728</v>
      </c>
      <c r="M155" s="343">
        <f t="shared" ref="M155:M157" si="68">F155*0.072*12</f>
        <v>1.728</v>
      </c>
      <c r="N155" s="336"/>
      <c r="O155" s="122"/>
      <c r="P155" s="122">
        <f t="shared" ref="P155:P157" si="69">0.022*E155*27</f>
        <v>1.188</v>
      </c>
      <c r="Q155" s="122">
        <f t="shared" ref="Q155:Q157" si="70">E155*0.05*27</f>
        <v>2.7</v>
      </c>
      <c r="R155" s="122"/>
      <c r="S155" s="375"/>
      <c r="T155" s="375"/>
      <c r="U155" s="375"/>
      <c r="V155" s="363"/>
      <c r="W155" s="364"/>
      <c r="X155" s="365"/>
    </row>
    <row r="156" s="317" customFormat="1" ht="30" customHeight="1" spans="1:24">
      <c r="A156" s="147">
        <v>149</v>
      </c>
      <c r="B156" s="71" t="s">
        <v>1989</v>
      </c>
      <c r="C156" s="336"/>
      <c r="D156" s="147"/>
      <c r="E156" s="147">
        <v>2</v>
      </c>
      <c r="F156" s="147">
        <v>2</v>
      </c>
      <c r="G156" s="147">
        <v>2</v>
      </c>
      <c r="H156" s="147">
        <v>2018</v>
      </c>
      <c r="I156" s="147">
        <v>2020</v>
      </c>
      <c r="J156" s="335">
        <f t="shared" si="62"/>
        <v>3.888</v>
      </c>
      <c r="K156" s="343">
        <f t="shared" si="66"/>
        <v>0.432</v>
      </c>
      <c r="L156" s="343">
        <f t="shared" si="67"/>
        <v>1.728</v>
      </c>
      <c r="M156" s="343">
        <f t="shared" si="68"/>
        <v>1.728</v>
      </c>
      <c r="N156" s="336"/>
      <c r="O156" s="122"/>
      <c r="P156" s="122">
        <f t="shared" si="69"/>
        <v>1.188</v>
      </c>
      <c r="Q156" s="122">
        <f t="shared" si="70"/>
        <v>2.7</v>
      </c>
      <c r="R156" s="122"/>
      <c r="S156" s="375"/>
      <c r="T156" s="375"/>
      <c r="U156" s="375"/>
      <c r="V156" s="363"/>
      <c r="W156" s="364"/>
      <c r="X156" s="365"/>
    </row>
    <row r="157" s="317" customFormat="1" ht="30" customHeight="1" spans="1:24">
      <c r="A157" s="147">
        <v>150</v>
      </c>
      <c r="B157" s="71" t="s">
        <v>1992</v>
      </c>
      <c r="C157" s="336"/>
      <c r="D157" s="147"/>
      <c r="E157" s="147">
        <v>2</v>
      </c>
      <c r="F157" s="147">
        <v>2</v>
      </c>
      <c r="G157" s="147">
        <v>2</v>
      </c>
      <c r="H157" s="335">
        <v>2018</v>
      </c>
      <c r="I157" s="335">
        <v>2020</v>
      </c>
      <c r="J157" s="335">
        <f t="shared" si="62"/>
        <v>3.888</v>
      </c>
      <c r="K157" s="343">
        <f t="shared" si="66"/>
        <v>0.432</v>
      </c>
      <c r="L157" s="343">
        <f t="shared" si="67"/>
        <v>1.728</v>
      </c>
      <c r="M157" s="343">
        <f t="shared" si="68"/>
        <v>1.728</v>
      </c>
      <c r="N157" s="336"/>
      <c r="O157" s="122"/>
      <c r="P157" s="122">
        <f t="shared" si="69"/>
        <v>1.188</v>
      </c>
      <c r="Q157" s="122">
        <f t="shared" si="70"/>
        <v>2.7</v>
      </c>
      <c r="R157" s="122"/>
      <c r="S157" s="375"/>
      <c r="T157" s="375"/>
      <c r="U157" s="375"/>
      <c r="V157" s="363"/>
      <c r="W157" s="364"/>
      <c r="X157" s="365"/>
    </row>
    <row r="158" s="317" customFormat="1" ht="27.95" customHeight="1" spans="1:24">
      <c r="A158" s="147">
        <v>151</v>
      </c>
      <c r="B158" s="147" t="s">
        <v>2015</v>
      </c>
      <c r="C158" s="336"/>
      <c r="D158" s="71" t="s">
        <v>147</v>
      </c>
      <c r="E158" s="147">
        <v>1</v>
      </c>
      <c r="F158" s="147">
        <v>1</v>
      </c>
      <c r="G158" s="147">
        <v>1</v>
      </c>
      <c r="H158" s="335">
        <v>2018</v>
      </c>
      <c r="I158" s="335">
        <v>2020</v>
      </c>
      <c r="J158" s="335">
        <f t="shared" si="62"/>
        <v>1.944</v>
      </c>
      <c r="K158" s="343">
        <v>0.216</v>
      </c>
      <c r="L158" s="343">
        <v>0.864</v>
      </c>
      <c r="M158" s="343">
        <v>0.864</v>
      </c>
      <c r="N158" s="336"/>
      <c r="O158" s="122"/>
      <c r="P158" s="122">
        <v>0.594</v>
      </c>
      <c r="Q158" s="122">
        <f t="shared" si="65"/>
        <v>1.35</v>
      </c>
      <c r="R158" s="122"/>
      <c r="S158" s="89" t="s">
        <v>2016</v>
      </c>
      <c r="T158" s="89" t="s">
        <v>2017</v>
      </c>
      <c r="U158" s="89" t="s">
        <v>195</v>
      </c>
      <c r="V158" s="56" t="s">
        <v>2014</v>
      </c>
      <c r="W158" s="364"/>
      <c r="X158" s="365"/>
    </row>
    <row r="159" s="317" customFormat="1" ht="27.95" customHeight="1" spans="1:24">
      <c r="A159" s="147">
        <v>152</v>
      </c>
      <c r="B159" s="71" t="s">
        <v>1989</v>
      </c>
      <c r="C159" s="336"/>
      <c r="D159" s="147"/>
      <c r="E159" s="147">
        <v>1</v>
      </c>
      <c r="F159" s="147">
        <v>1</v>
      </c>
      <c r="G159" s="147">
        <v>1</v>
      </c>
      <c r="H159" s="335">
        <v>2018</v>
      </c>
      <c r="I159" s="335">
        <v>2020</v>
      </c>
      <c r="J159" s="335">
        <f t="shared" si="62"/>
        <v>1.944</v>
      </c>
      <c r="K159" s="343">
        <v>0.216</v>
      </c>
      <c r="L159" s="343">
        <v>0.864</v>
      </c>
      <c r="M159" s="343">
        <v>0.864</v>
      </c>
      <c r="N159" s="336"/>
      <c r="O159" s="122"/>
      <c r="P159" s="122">
        <v>0.594</v>
      </c>
      <c r="Q159" s="122">
        <f t="shared" si="65"/>
        <v>1.35</v>
      </c>
      <c r="R159" s="122"/>
      <c r="S159" s="375"/>
      <c r="T159" s="375"/>
      <c r="U159" s="375"/>
      <c r="V159" s="363"/>
      <c r="W159" s="364"/>
      <c r="X159" s="365"/>
    </row>
    <row r="160" s="317" customFormat="1" ht="26.1" customHeight="1" spans="1:24">
      <c r="A160" s="147">
        <v>153</v>
      </c>
      <c r="B160" s="147" t="s">
        <v>2018</v>
      </c>
      <c r="C160" s="336"/>
      <c r="D160" s="71" t="s">
        <v>147</v>
      </c>
      <c r="E160" s="147">
        <v>2</v>
      </c>
      <c r="F160" s="147">
        <v>2</v>
      </c>
      <c r="G160" s="147">
        <v>2</v>
      </c>
      <c r="H160" s="335">
        <v>2018</v>
      </c>
      <c r="I160" s="335">
        <v>2020</v>
      </c>
      <c r="J160" s="335">
        <f t="shared" si="62"/>
        <v>3.888</v>
      </c>
      <c r="K160" s="343">
        <v>0.432</v>
      </c>
      <c r="L160" s="343">
        <v>1.728</v>
      </c>
      <c r="M160" s="343">
        <v>1.728</v>
      </c>
      <c r="N160" s="336"/>
      <c r="O160" s="122"/>
      <c r="P160" s="122">
        <v>1.188</v>
      </c>
      <c r="Q160" s="122">
        <f t="shared" si="65"/>
        <v>2.7</v>
      </c>
      <c r="R160" s="122"/>
      <c r="S160" s="89" t="s">
        <v>2019</v>
      </c>
      <c r="T160" s="89" t="s">
        <v>2020</v>
      </c>
      <c r="U160" s="89" t="s">
        <v>195</v>
      </c>
      <c r="V160" s="56" t="s">
        <v>2014</v>
      </c>
      <c r="W160" s="364"/>
      <c r="X160" s="365"/>
    </row>
    <row r="161" s="317" customFormat="1" ht="26.1" customHeight="1" spans="1:24">
      <c r="A161" s="147">
        <v>154</v>
      </c>
      <c r="B161" s="71" t="s">
        <v>1992</v>
      </c>
      <c r="C161" s="336"/>
      <c r="D161" s="147"/>
      <c r="E161" s="147">
        <v>1</v>
      </c>
      <c r="F161" s="147">
        <v>1</v>
      </c>
      <c r="G161" s="147">
        <v>1</v>
      </c>
      <c r="H161" s="335">
        <v>2018</v>
      </c>
      <c r="I161" s="335">
        <v>2020</v>
      </c>
      <c r="J161" s="335">
        <f t="shared" si="62"/>
        <v>1.944</v>
      </c>
      <c r="K161" s="343">
        <f t="shared" ref="K161:K167" si="71">E161*0.072*3</f>
        <v>0.216</v>
      </c>
      <c r="L161" s="343">
        <f>E161*0.072*12</f>
        <v>0.864</v>
      </c>
      <c r="M161" s="343">
        <f>F161*0.072*12</f>
        <v>0.864</v>
      </c>
      <c r="N161" s="336"/>
      <c r="O161" s="122"/>
      <c r="P161" s="122">
        <f t="shared" ref="P161:P167" si="72">0.022*E161*27</f>
        <v>0.594</v>
      </c>
      <c r="Q161" s="122">
        <f t="shared" si="65"/>
        <v>1.35</v>
      </c>
      <c r="R161" s="122"/>
      <c r="S161" s="375"/>
      <c r="T161" s="375"/>
      <c r="U161" s="375"/>
      <c r="V161" s="363"/>
      <c r="W161" s="364"/>
      <c r="X161" s="365"/>
    </row>
    <row r="162" s="317" customFormat="1" ht="26.1" customHeight="1" spans="1:24">
      <c r="A162" s="147">
        <v>155</v>
      </c>
      <c r="B162" s="71" t="s">
        <v>1991</v>
      </c>
      <c r="C162" s="336"/>
      <c r="D162" s="147"/>
      <c r="E162" s="147">
        <v>1</v>
      </c>
      <c r="F162" s="147">
        <v>1</v>
      </c>
      <c r="G162" s="147">
        <v>1</v>
      </c>
      <c r="H162" s="335">
        <v>2018</v>
      </c>
      <c r="I162" s="335">
        <v>2020</v>
      </c>
      <c r="J162" s="335">
        <f t="shared" si="62"/>
        <v>1.944</v>
      </c>
      <c r="K162" s="343">
        <f t="shared" si="71"/>
        <v>0.216</v>
      </c>
      <c r="L162" s="343">
        <f>E162*0.072*12</f>
        <v>0.864</v>
      </c>
      <c r="M162" s="343">
        <f>F162*0.072*12</f>
        <v>0.864</v>
      </c>
      <c r="N162" s="336"/>
      <c r="O162" s="122"/>
      <c r="P162" s="122">
        <f t="shared" si="72"/>
        <v>0.594</v>
      </c>
      <c r="Q162" s="122">
        <f t="shared" si="65"/>
        <v>1.35</v>
      </c>
      <c r="R162" s="122"/>
      <c r="S162" s="375"/>
      <c r="T162" s="375"/>
      <c r="U162" s="375"/>
      <c r="V162" s="363"/>
      <c r="W162" s="364"/>
      <c r="X162" s="365"/>
    </row>
    <row r="163" s="317" customFormat="1" ht="26.1" customHeight="1" spans="1:24">
      <c r="A163" s="147">
        <v>156</v>
      </c>
      <c r="B163" s="147" t="s">
        <v>2021</v>
      </c>
      <c r="C163" s="336"/>
      <c r="D163" s="71" t="s">
        <v>147</v>
      </c>
      <c r="E163" s="147">
        <v>19</v>
      </c>
      <c r="F163" s="147">
        <v>19</v>
      </c>
      <c r="G163" s="147">
        <v>19</v>
      </c>
      <c r="H163" s="335">
        <v>2018</v>
      </c>
      <c r="I163" s="335">
        <v>2020</v>
      </c>
      <c r="J163" s="335">
        <f t="shared" si="62"/>
        <v>36.936</v>
      </c>
      <c r="K163" s="343">
        <v>4.104</v>
      </c>
      <c r="L163" s="343">
        <v>16.416</v>
      </c>
      <c r="M163" s="343">
        <v>16.416</v>
      </c>
      <c r="N163" s="336"/>
      <c r="O163" s="122"/>
      <c r="P163" s="122">
        <v>11.286</v>
      </c>
      <c r="Q163" s="122">
        <f t="shared" si="65"/>
        <v>25.65</v>
      </c>
      <c r="R163" s="122"/>
      <c r="S163" s="89" t="s">
        <v>2019</v>
      </c>
      <c r="T163" s="89" t="s">
        <v>2020</v>
      </c>
      <c r="U163" s="89" t="s">
        <v>195</v>
      </c>
      <c r="V163" s="56" t="s">
        <v>2014</v>
      </c>
      <c r="W163" s="364"/>
      <c r="X163" s="365"/>
    </row>
    <row r="164" s="317" customFormat="1" ht="26.1" customHeight="1" spans="1:24">
      <c r="A164" s="147">
        <v>157</v>
      </c>
      <c r="B164" s="71" t="s">
        <v>1986</v>
      </c>
      <c r="C164" s="336"/>
      <c r="D164" s="147"/>
      <c r="E164" s="147">
        <v>8</v>
      </c>
      <c r="F164" s="147">
        <v>8</v>
      </c>
      <c r="G164" s="147">
        <v>8</v>
      </c>
      <c r="H164" s="335">
        <v>2018</v>
      </c>
      <c r="I164" s="335">
        <v>2020</v>
      </c>
      <c r="J164" s="335">
        <f t="shared" si="62"/>
        <v>15.552</v>
      </c>
      <c r="K164" s="343">
        <f t="shared" si="71"/>
        <v>1.728</v>
      </c>
      <c r="L164" s="343">
        <f t="shared" ref="L164:L167" si="73">0.072*12*E164</f>
        <v>6.912</v>
      </c>
      <c r="M164" s="343">
        <f t="shared" ref="M164:M167" si="74">0.072*12*F164</f>
        <v>6.912</v>
      </c>
      <c r="N164" s="336"/>
      <c r="O164" s="122"/>
      <c r="P164" s="122">
        <f t="shared" si="72"/>
        <v>4.752</v>
      </c>
      <c r="Q164" s="122">
        <f t="shared" si="65"/>
        <v>10.8</v>
      </c>
      <c r="R164" s="122"/>
      <c r="S164" s="375"/>
      <c r="T164" s="375"/>
      <c r="U164" s="375"/>
      <c r="V164" s="363"/>
      <c r="W164" s="364"/>
      <c r="X164" s="365"/>
    </row>
    <row r="165" s="317" customFormat="1" ht="26.1" customHeight="1" spans="1:24">
      <c r="A165" s="147">
        <v>158</v>
      </c>
      <c r="B165" s="71" t="s">
        <v>1989</v>
      </c>
      <c r="C165" s="336"/>
      <c r="D165" s="147"/>
      <c r="E165" s="147">
        <v>5</v>
      </c>
      <c r="F165" s="147">
        <v>5</v>
      </c>
      <c r="G165" s="147">
        <v>5</v>
      </c>
      <c r="H165" s="335">
        <v>2018</v>
      </c>
      <c r="I165" s="335">
        <v>2020</v>
      </c>
      <c r="J165" s="335">
        <f t="shared" si="62"/>
        <v>9.72</v>
      </c>
      <c r="K165" s="343">
        <f t="shared" si="71"/>
        <v>1.08</v>
      </c>
      <c r="L165" s="343">
        <f t="shared" si="73"/>
        <v>4.32</v>
      </c>
      <c r="M165" s="343">
        <f t="shared" si="74"/>
        <v>4.32</v>
      </c>
      <c r="N165" s="336"/>
      <c r="O165" s="122"/>
      <c r="P165" s="122">
        <f t="shared" si="72"/>
        <v>2.97</v>
      </c>
      <c r="Q165" s="122">
        <f t="shared" si="65"/>
        <v>6.75</v>
      </c>
      <c r="R165" s="122"/>
      <c r="S165" s="375"/>
      <c r="T165" s="375"/>
      <c r="U165" s="375"/>
      <c r="V165" s="363"/>
      <c r="W165" s="364"/>
      <c r="X165" s="365"/>
    </row>
    <row r="166" s="317" customFormat="1" ht="26.1" customHeight="1" spans="1:24">
      <c r="A166" s="147">
        <v>159</v>
      </c>
      <c r="B166" s="71" t="s">
        <v>1991</v>
      </c>
      <c r="C166" s="336"/>
      <c r="D166" s="147"/>
      <c r="E166" s="147">
        <v>3</v>
      </c>
      <c r="F166" s="147">
        <v>3</v>
      </c>
      <c r="G166" s="147">
        <v>3</v>
      </c>
      <c r="H166" s="335">
        <v>2018</v>
      </c>
      <c r="I166" s="335">
        <v>2020</v>
      </c>
      <c r="J166" s="335">
        <f t="shared" si="62"/>
        <v>5.832</v>
      </c>
      <c r="K166" s="343">
        <f t="shared" si="71"/>
        <v>0.648</v>
      </c>
      <c r="L166" s="343">
        <f t="shared" si="73"/>
        <v>2.592</v>
      </c>
      <c r="M166" s="343">
        <f t="shared" si="74"/>
        <v>2.592</v>
      </c>
      <c r="N166" s="336"/>
      <c r="O166" s="122"/>
      <c r="P166" s="122">
        <f t="shared" si="72"/>
        <v>1.782</v>
      </c>
      <c r="Q166" s="122">
        <f t="shared" si="65"/>
        <v>4.05</v>
      </c>
      <c r="R166" s="122"/>
      <c r="S166" s="375"/>
      <c r="T166" s="375"/>
      <c r="U166" s="375"/>
      <c r="V166" s="363"/>
      <c r="W166" s="364"/>
      <c r="X166" s="365"/>
    </row>
    <row r="167" s="317" customFormat="1" ht="26.1" customHeight="1" spans="1:24">
      <c r="A167" s="147">
        <v>160</v>
      </c>
      <c r="B167" s="71" t="s">
        <v>1992</v>
      </c>
      <c r="C167" s="336"/>
      <c r="D167" s="147"/>
      <c r="E167" s="147">
        <v>3</v>
      </c>
      <c r="F167" s="147">
        <v>3</v>
      </c>
      <c r="G167" s="147">
        <v>3</v>
      </c>
      <c r="H167" s="335">
        <v>2018</v>
      </c>
      <c r="I167" s="335">
        <v>2020</v>
      </c>
      <c r="J167" s="335">
        <f t="shared" si="62"/>
        <v>5.832</v>
      </c>
      <c r="K167" s="343">
        <f t="shared" si="71"/>
        <v>0.648</v>
      </c>
      <c r="L167" s="343">
        <f t="shared" si="73"/>
        <v>2.592</v>
      </c>
      <c r="M167" s="343">
        <f t="shared" si="74"/>
        <v>2.592</v>
      </c>
      <c r="N167" s="336"/>
      <c r="O167" s="122"/>
      <c r="P167" s="122">
        <f t="shared" si="72"/>
        <v>1.782</v>
      </c>
      <c r="Q167" s="122">
        <f t="shared" si="65"/>
        <v>4.05</v>
      </c>
      <c r="R167" s="122"/>
      <c r="S167" s="375"/>
      <c r="T167" s="375"/>
      <c r="U167" s="375"/>
      <c r="V167" s="363"/>
      <c r="W167" s="364"/>
      <c r="X167" s="365"/>
    </row>
    <row r="168" s="317" customFormat="1" ht="26.1" customHeight="1" spans="1:24">
      <c r="A168" s="147">
        <v>161</v>
      </c>
      <c r="B168" s="147" t="s">
        <v>2022</v>
      </c>
      <c r="C168" s="336"/>
      <c r="D168" s="71" t="s">
        <v>147</v>
      </c>
      <c r="E168" s="147">
        <v>12</v>
      </c>
      <c r="F168" s="147">
        <v>12</v>
      </c>
      <c r="G168" s="147">
        <v>12</v>
      </c>
      <c r="H168" s="335">
        <v>2018</v>
      </c>
      <c r="I168" s="335">
        <v>2020</v>
      </c>
      <c r="J168" s="335">
        <f t="shared" si="62"/>
        <v>23.328</v>
      </c>
      <c r="K168" s="343">
        <v>2.592</v>
      </c>
      <c r="L168" s="343">
        <v>10.368</v>
      </c>
      <c r="M168" s="343">
        <v>10.368</v>
      </c>
      <c r="N168" s="336"/>
      <c r="O168" s="122"/>
      <c r="P168" s="122">
        <v>7.128</v>
      </c>
      <c r="Q168" s="122">
        <f t="shared" si="65"/>
        <v>16.2</v>
      </c>
      <c r="R168" s="122"/>
      <c r="S168" s="89" t="s">
        <v>2019</v>
      </c>
      <c r="T168" s="89" t="s">
        <v>2020</v>
      </c>
      <c r="U168" s="89" t="s">
        <v>195</v>
      </c>
      <c r="V168" s="56" t="s">
        <v>2014</v>
      </c>
      <c r="W168" s="364"/>
      <c r="X168" s="365"/>
    </row>
    <row r="169" s="317" customFormat="1" ht="26.1" customHeight="1" spans="1:24">
      <c r="A169" s="147">
        <v>162</v>
      </c>
      <c r="B169" s="71" t="s">
        <v>1983</v>
      </c>
      <c r="C169" s="336"/>
      <c r="D169" s="147"/>
      <c r="E169" s="147">
        <v>6</v>
      </c>
      <c r="F169" s="147">
        <v>6</v>
      </c>
      <c r="G169" s="147">
        <v>6</v>
      </c>
      <c r="H169" s="335">
        <v>2018</v>
      </c>
      <c r="I169" s="335">
        <v>2020</v>
      </c>
      <c r="J169" s="335">
        <f t="shared" si="62"/>
        <v>11.664</v>
      </c>
      <c r="K169" s="343">
        <f t="shared" ref="K169:K171" si="75">E169*0.072*3</f>
        <v>1.296</v>
      </c>
      <c r="L169" s="343">
        <f t="shared" ref="L169:L171" si="76">0.072*12*E169</f>
        <v>5.184</v>
      </c>
      <c r="M169" s="343">
        <f t="shared" ref="M169:M171" si="77">0.072*12*F169</f>
        <v>5.184</v>
      </c>
      <c r="N169" s="336"/>
      <c r="O169" s="122"/>
      <c r="P169" s="122">
        <f t="shared" ref="P169:P171" si="78">0.022*E169*27</f>
        <v>3.564</v>
      </c>
      <c r="Q169" s="122">
        <f t="shared" si="65"/>
        <v>8.1</v>
      </c>
      <c r="R169" s="122"/>
      <c r="S169" s="375"/>
      <c r="T169" s="375"/>
      <c r="U169" s="375"/>
      <c r="V169" s="363"/>
      <c r="W169" s="364"/>
      <c r="X169" s="365"/>
    </row>
    <row r="170" s="317" customFormat="1" ht="26.1" customHeight="1" spans="1:24">
      <c r="A170" s="147">
        <v>163</v>
      </c>
      <c r="B170" s="71" t="s">
        <v>1991</v>
      </c>
      <c r="C170" s="336"/>
      <c r="D170" s="147"/>
      <c r="E170" s="147">
        <v>4</v>
      </c>
      <c r="F170" s="147">
        <v>4</v>
      </c>
      <c r="G170" s="147">
        <v>4</v>
      </c>
      <c r="H170" s="335">
        <v>2018</v>
      </c>
      <c r="I170" s="335">
        <v>2020</v>
      </c>
      <c r="J170" s="335">
        <f t="shared" si="62"/>
        <v>7.776</v>
      </c>
      <c r="K170" s="343">
        <f t="shared" si="75"/>
        <v>0.864</v>
      </c>
      <c r="L170" s="343">
        <f t="shared" si="76"/>
        <v>3.456</v>
      </c>
      <c r="M170" s="343">
        <f t="shared" si="77"/>
        <v>3.456</v>
      </c>
      <c r="N170" s="336"/>
      <c r="O170" s="122"/>
      <c r="P170" s="122">
        <f t="shared" si="78"/>
        <v>2.376</v>
      </c>
      <c r="Q170" s="122">
        <f t="shared" si="65"/>
        <v>5.4</v>
      </c>
      <c r="R170" s="122"/>
      <c r="S170" s="375"/>
      <c r="T170" s="375"/>
      <c r="U170" s="375"/>
      <c r="V170" s="363"/>
      <c r="W170" s="364"/>
      <c r="X170" s="365"/>
    </row>
    <row r="171" s="317" customFormat="1" ht="26.1" customHeight="1" spans="1:24">
      <c r="A171" s="147">
        <v>164</v>
      </c>
      <c r="B171" s="71" t="s">
        <v>1992</v>
      </c>
      <c r="C171" s="336"/>
      <c r="D171" s="147"/>
      <c r="E171" s="147">
        <v>2</v>
      </c>
      <c r="F171" s="147">
        <v>2</v>
      </c>
      <c r="G171" s="147">
        <v>2</v>
      </c>
      <c r="H171" s="335">
        <v>2018</v>
      </c>
      <c r="I171" s="335">
        <v>2020</v>
      </c>
      <c r="J171" s="335">
        <f t="shared" si="62"/>
        <v>3.888</v>
      </c>
      <c r="K171" s="343">
        <f t="shared" si="75"/>
        <v>0.432</v>
      </c>
      <c r="L171" s="343">
        <f t="shared" si="76"/>
        <v>1.728</v>
      </c>
      <c r="M171" s="343">
        <f t="shared" si="77"/>
        <v>1.728</v>
      </c>
      <c r="N171" s="336"/>
      <c r="O171" s="122"/>
      <c r="P171" s="122">
        <f t="shared" si="78"/>
        <v>1.188</v>
      </c>
      <c r="Q171" s="122">
        <f t="shared" si="65"/>
        <v>2.7</v>
      </c>
      <c r="R171" s="122"/>
      <c r="S171" s="375"/>
      <c r="T171" s="375"/>
      <c r="U171" s="375"/>
      <c r="V171" s="363"/>
      <c r="W171" s="364"/>
      <c r="X171" s="365"/>
    </row>
    <row r="172" s="317" customFormat="1" ht="23.25" customHeight="1" spans="1:24">
      <c r="A172" s="147">
        <v>165</v>
      </c>
      <c r="B172" s="28" t="s">
        <v>857</v>
      </c>
      <c r="C172" s="147" t="s">
        <v>320</v>
      </c>
      <c r="D172" s="147" t="s">
        <v>320</v>
      </c>
      <c r="E172" s="335"/>
      <c r="F172" s="335"/>
      <c r="G172" s="335"/>
      <c r="H172" s="335"/>
      <c r="I172" s="335"/>
      <c r="J172" s="386">
        <f t="shared" ref="J172:R172" si="79">J173+J176+J179+J183+J187</f>
        <v>527.6978</v>
      </c>
      <c r="K172" s="386">
        <f t="shared" si="79"/>
        <v>136.319</v>
      </c>
      <c r="L172" s="386">
        <f t="shared" si="79"/>
        <v>320.6326</v>
      </c>
      <c r="M172" s="386">
        <f t="shared" si="79"/>
        <v>70.7462</v>
      </c>
      <c r="N172" s="386">
        <f t="shared" si="79"/>
        <v>0</v>
      </c>
      <c r="O172" s="386">
        <f t="shared" si="79"/>
        <v>527.6978</v>
      </c>
      <c r="P172" s="386">
        <f t="shared" si="79"/>
        <v>0</v>
      </c>
      <c r="Q172" s="386">
        <f t="shared" si="79"/>
        <v>0</v>
      </c>
      <c r="R172" s="386">
        <f t="shared" si="79"/>
        <v>0</v>
      </c>
      <c r="S172" s="102" t="s">
        <v>1982</v>
      </c>
      <c r="T172" s="89" t="s">
        <v>2023</v>
      </c>
      <c r="U172" s="89" t="s">
        <v>277</v>
      </c>
      <c r="V172" s="363"/>
      <c r="W172" s="364"/>
      <c r="X172" s="365"/>
    </row>
    <row r="173" s="317" customFormat="1" ht="23.25" customHeight="1" spans="1:24">
      <c r="A173" s="147">
        <v>166</v>
      </c>
      <c r="B173" s="71" t="s">
        <v>42</v>
      </c>
      <c r="C173" s="147"/>
      <c r="D173" s="147"/>
      <c r="E173" s="335"/>
      <c r="F173" s="335"/>
      <c r="G173" s="335"/>
      <c r="H173" s="335"/>
      <c r="I173" s="335"/>
      <c r="J173" s="335">
        <v>0</v>
      </c>
      <c r="K173" s="387">
        <v>0</v>
      </c>
      <c r="L173" s="387">
        <v>0</v>
      </c>
      <c r="M173" s="387">
        <v>0</v>
      </c>
      <c r="N173" s="383">
        <f t="shared" ref="N173:R173" si="80">N174+N175</f>
        <v>0</v>
      </c>
      <c r="O173" s="383"/>
      <c r="P173" s="383">
        <f t="shared" si="80"/>
        <v>0</v>
      </c>
      <c r="Q173" s="383">
        <f t="shared" si="80"/>
        <v>0</v>
      </c>
      <c r="R173" s="400">
        <f t="shared" si="80"/>
        <v>0</v>
      </c>
      <c r="S173" s="102" t="s">
        <v>1512</v>
      </c>
      <c r="T173" s="89" t="s">
        <v>1512</v>
      </c>
      <c r="U173" s="71" t="s">
        <v>43</v>
      </c>
      <c r="V173" s="363"/>
      <c r="W173" s="364"/>
      <c r="X173" s="365"/>
    </row>
    <row r="174" s="317" customFormat="1" ht="23.25" customHeight="1" spans="1:24">
      <c r="A174" s="147">
        <v>167</v>
      </c>
      <c r="B174" s="147" t="s">
        <v>859</v>
      </c>
      <c r="C174" s="71" t="s">
        <v>52</v>
      </c>
      <c r="D174" s="71" t="s">
        <v>45</v>
      </c>
      <c r="E174" s="335"/>
      <c r="F174" s="335"/>
      <c r="G174" s="335"/>
      <c r="H174" s="335"/>
      <c r="I174" s="335"/>
      <c r="J174" s="335">
        <v>0</v>
      </c>
      <c r="K174" s="387">
        <v>0</v>
      </c>
      <c r="L174" s="387">
        <v>0</v>
      </c>
      <c r="M174" s="387">
        <v>0</v>
      </c>
      <c r="N174" s="383">
        <f t="shared" ref="N174:R174" si="81">N175+N176</f>
        <v>0</v>
      </c>
      <c r="O174" s="383"/>
      <c r="P174" s="383">
        <f t="shared" si="81"/>
        <v>0</v>
      </c>
      <c r="Q174" s="383">
        <f t="shared" si="81"/>
        <v>0</v>
      </c>
      <c r="R174" s="400">
        <f t="shared" si="81"/>
        <v>0</v>
      </c>
      <c r="S174" s="102" t="s">
        <v>1982</v>
      </c>
      <c r="T174" s="89" t="s">
        <v>2023</v>
      </c>
      <c r="U174" s="71" t="s">
        <v>43</v>
      </c>
      <c r="V174" s="363"/>
      <c r="W174" s="364"/>
      <c r="X174" s="365"/>
    </row>
    <row r="175" s="317" customFormat="1" ht="23.25" customHeight="1" spans="1:24">
      <c r="A175" s="147">
        <v>168</v>
      </c>
      <c r="B175" s="147" t="s">
        <v>871</v>
      </c>
      <c r="C175" s="71" t="s">
        <v>872</v>
      </c>
      <c r="D175" s="71" t="s">
        <v>45</v>
      </c>
      <c r="E175" s="335"/>
      <c r="F175" s="335"/>
      <c r="G175" s="335"/>
      <c r="H175" s="335"/>
      <c r="I175" s="335"/>
      <c r="J175" s="335">
        <v>0</v>
      </c>
      <c r="K175" s="387">
        <v>0</v>
      </c>
      <c r="L175" s="387">
        <v>0</v>
      </c>
      <c r="M175" s="387">
        <v>0</v>
      </c>
      <c r="N175" s="383">
        <f t="shared" ref="N175:R175" si="82">N176+N177</f>
        <v>0</v>
      </c>
      <c r="O175" s="383"/>
      <c r="P175" s="383">
        <f t="shared" si="82"/>
        <v>0</v>
      </c>
      <c r="Q175" s="383">
        <f t="shared" si="82"/>
        <v>0</v>
      </c>
      <c r="R175" s="400">
        <f t="shared" si="82"/>
        <v>0</v>
      </c>
      <c r="S175" s="86" t="s">
        <v>2016</v>
      </c>
      <c r="T175" s="86" t="s">
        <v>2024</v>
      </c>
      <c r="U175" s="71" t="s">
        <v>43</v>
      </c>
      <c r="V175" s="363"/>
      <c r="W175" s="364"/>
      <c r="X175" s="365"/>
    </row>
    <row r="176" s="317" customFormat="1" ht="23.25" customHeight="1" spans="1:24">
      <c r="A176" s="147">
        <v>169</v>
      </c>
      <c r="B176" s="71" t="s">
        <v>130</v>
      </c>
      <c r="C176" s="147"/>
      <c r="D176" s="147"/>
      <c r="E176" s="335"/>
      <c r="F176" s="335"/>
      <c r="G176" s="335"/>
      <c r="H176" s="335"/>
      <c r="I176" s="335"/>
      <c r="J176" s="335">
        <v>0</v>
      </c>
      <c r="K176" s="387">
        <v>0</v>
      </c>
      <c r="L176" s="387">
        <v>0</v>
      </c>
      <c r="M176" s="387">
        <f t="shared" ref="M176:R176" si="83">M177+M178</f>
        <v>0</v>
      </c>
      <c r="N176" s="383">
        <f t="shared" si="83"/>
        <v>0</v>
      </c>
      <c r="O176" s="383"/>
      <c r="P176" s="383">
        <f t="shared" si="83"/>
        <v>0</v>
      </c>
      <c r="Q176" s="383">
        <f t="shared" si="83"/>
        <v>0</v>
      </c>
      <c r="R176" s="400">
        <f t="shared" si="83"/>
        <v>0</v>
      </c>
      <c r="S176" s="123"/>
      <c r="T176" s="123"/>
      <c r="U176" s="71" t="s">
        <v>43</v>
      </c>
      <c r="V176" s="363"/>
      <c r="W176" s="364"/>
      <c r="X176" s="365"/>
    </row>
    <row r="177" s="317" customFormat="1" ht="26.1" customHeight="1" spans="1:24">
      <c r="A177" s="147">
        <v>170</v>
      </c>
      <c r="B177" s="147" t="s">
        <v>875</v>
      </c>
      <c r="C177" s="71" t="s">
        <v>52</v>
      </c>
      <c r="D177" s="71" t="s">
        <v>131</v>
      </c>
      <c r="E177" s="335"/>
      <c r="F177" s="335"/>
      <c r="G177" s="335"/>
      <c r="H177" s="335"/>
      <c r="I177" s="335"/>
      <c r="J177" s="335">
        <v>0</v>
      </c>
      <c r="K177" s="387">
        <v>0</v>
      </c>
      <c r="L177" s="387">
        <v>0</v>
      </c>
      <c r="M177" s="387">
        <v>0</v>
      </c>
      <c r="N177" s="383">
        <f t="shared" ref="N177:R177" si="84">N178+N179</f>
        <v>0</v>
      </c>
      <c r="O177" s="383"/>
      <c r="P177" s="383">
        <f t="shared" si="84"/>
        <v>0</v>
      </c>
      <c r="Q177" s="383">
        <f t="shared" si="84"/>
        <v>0</v>
      </c>
      <c r="R177" s="400">
        <f t="shared" si="84"/>
        <v>0</v>
      </c>
      <c r="S177" s="123"/>
      <c r="T177" s="123"/>
      <c r="U177" s="71" t="s">
        <v>43</v>
      </c>
      <c r="V177" s="363"/>
      <c r="W177" s="364"/>
      <c r="X177" s="365"/>
    </row>
    <row r="178" s="317" customFormat="1" ht="41.25" customHeight="1" spans="1:24">
      <c r="A178" s="147">
        <v>171</v>
      </c>
      <c r="B178" s="147" t="s">
        <v>2025</v>
      </c>
      <c r="C178" s="71" t="s">
        <v>872</v>
      </c>
      <c r="D178" s="71" t="s">
        <v>1130</v>
      </c>
      <c r="E178" s="335"/>
      <c r="F178" s="335"/>
      <c r="G178" s="335"/>
      <c r="H178" s="335"/>
      <c r="I178" s="335"/>
      <c r="J178" s="335">
        <v>0</v>
      </c>
      <c r="K178" s="387">
        <v>0</v>
      </c>
      <c r="L178" s="387">
        <v>0</v>
      </c>
      <c r="M178" s="387">
        <v>0</v>
      </c>
      <c r="N178" s="383">
        <f t="shared" ref="N178:R178" si="85">N179+N180</f>
        <v>0</v>
      </c>
      <c r="O178" s="383"/>
      <c r="P178" s="383">
        <f t="shared" si="85"/>
        <v>0</v>
      </c>
      <c r="Q178" s="383">
        <f t="shared" si="85"/>
        <v>0</v>
      </c>
      <c r="R178" s="400">
        <f t="shared" si="85"/>
        <v>0</v>
      </c>
      <c r="S178" s="86" t="s">
        <v>2016</v>
      </c>
      <c r="T178" s="86" t="s">
        <v>2026</v>
      </c>
      <c r="U178" s="71" t="s">
        <v>43</v>
      </c>
      <c r="V178" s="363"/>
      <c r="W178" s="364"/>
      <c r="X178" s="365"/>
    </row>
    <row r="179" s="317" customFormat="1" ht="60" spans="1:24">
      <c r="A179" s="147">
        <v>172</v>
      </c>
      <c r="B179" s="71" t="s">
        <v>146</v>
      </c>
      <c r="C179" s="71" t="s">
        <v>52</v>
      </c>
      <c r="D179" s="71" t="s">
        <v>1130</v>
      </c>
      <c r="E179" s="335">
        <f>SUM(E180:E181)</f>
        <v>190</v>
      </c>
      <c r="F179" s="335">
        <f>SUM(F180:F181)</f>
        <v>315</v>
      </c>
      <c r="G179" s="335">
        <f>SUM(G180:G181)</f>
        <v>1190</v>
      </c>
      <c r="H179" s="147">
        <v>2018</v>
      </c>
      <c r="I179" s="147">
        <v>2019</v>
      </c>
      <c r="J179" s="335">
        <f t="shared" ref="J179:R179" si="86">J180+J181+J182</f>
        <v>196.7</v>
      </c>
      <c r="K179" s="343">
        <f t="shared" si="86"/>
        <v>126.77</v>
      </c>
      <c r="L179" s="343">
        <f t="shared" si="86"/>
        <v>27.9</v>
      </c>
      <c r="M179" s="342">
        <f t="shared" si="86"/>
        <v>42.03</v>
      </c>
      <c r="N179" s="335">
        <f t="shared" si="86"/>
        <v>0</v>
      </c>
      <c r="O179" s="335">
        <f t="shared" si="86"/>
        <v>196.7</v>
      </c>
      <c r="P179" s="335">
        <f t="shared" si="86"/>
        <v>0</v>
      </c>
      <c r="Q179" s="335">
        <f t="shared" si="86"/>
        <v>0</v>
      </c>
      <c r="R179" s="335">
        <f t="shared" si="86"/>
        <v>0</v>
      </c>
      <c r="S179" s="86" t="s">
        <v>2027</v>
      </c>
      <c r="T179" s="86" t="s">
        <v>2028</v>
      </c>
      <c r="U179" s="86" t="s">
        <v>1133</v>
      </c>
      <c r="V179" s="363"/>
      <c r="W179" s="364"/>
      <c r="X179" s="365"/>
    </row>
    <row r="180" s="317" customFormat="1" ht="24" spans="1:24">
      <c r="A180" s="147">
        <v>173</v>
      </c>
      <c r="B180" s="71" t="s">
        <v>2029</v>
      </c>
      <c r="C180" s="71" t="s">
        <v>52</v>
      </c>
      <c r="D180" s="71" t="s">
        <v>45</v>
      </c>
      <c r="E180" s="147">
        <v>100</v>
      </c>
      <c r="F180" s="147">
        <v>15</v>
      </c>
      <c r="G180" s="147">
        <v>59</v>
      </c>
      <c r="H180" s="147">
        <v>2018</v>
      </c>
      <c r="I180" s="147">
        <v>2019</v>
      </c>
      <c r="J180" s="147">
        <f>SUM(K180:M180)</f>
        <v>5</v>
      </c>
      <c r="K180" s="339">
        <v>5</v>
      </c>
      <c r="L180" s="340"/>
      <c r="M180" s="340"/>
      <c r="N180" s="145"/>
      <c r="O180" s="145">
        <v>5</v>
      </c>
      <c r="P180" s="145"/>
      <c r="Q180" s="145"/>
      <c r="R180" s="145"/>
      <c r="S180" s="102" t="s">
        <v>1982</v>
      </c>
      <c r="T180" s="86" t="s">
        <v>1995</v>
      </c>
      <c r="U180" s="157" t="s">
        <v>43</v>
      </c>
      <c r="V180" s="363"/>
      <c r="W180" s="364"/>
      <c r="X180" s="365"/>
    </row>
    <row r="181" s="317" customFormat="1" ht="24" spans="1:24">
      <c r="A181" s="147">
        <v>174</v>
      </c>
      <c r="B181" s="71" t="s">
        <v>2030</v>
      </c>
      <c r="C181" s="71" t="s">
        <v>52</v>
      </c>
      <c r="D181" s="71" t="s">
        <v>159</v>
      </c>
      <c r="E181" s="147">
        <v>90</v>
      </c>
      <c r="F181" s="147">
        <v>300</v>
      </c>
      <c r="G181" s="147">
        <v>1131</v>
      </c>
      <c r="H181" s="147">
        <v>2018</v>
      </c>
      <c r="I181" s="147">
        <v>2018</v>
      </c>
      <c r="J181" s="145">
        <v>90</v>
      </c>
      <c r="K181" s="388">
        <v>90</v>
      </c>
      <c r="L181" s="373"/>
      <c r="M181" s="373"/>
      <c r="N181" s="122"/>
      <c r="O181" s="122">
        <v>90</v>
      </c>
      <c r="P181" s="122"/>
      <c r="Q181" s="122"/>
      <c r="R181" s="122"/>
      <c r="S181" s="102" t="s">
        <v>1993</v>
      </c>
      <c r="T181" s="86" t="s">
        <v>1994</v>
      </c>
      <c r="U181" s="123"/>
      <c r="V181" s="136" t="s">
        <v>2031</v>
      </c>
      <c r="W181" s="401"/>
      <c r="X181" s="365"/>
    </row>
    <row r="182" s="317" customFormat="1" ht="24" spans="1:24">
      <c r="A182" s="147">
        <v>175</v>
      </c>
      <c r="B182" s="71" t="s">
        <v>2032</v>
      </c>
      <c r="C182" s="71" t="s">
        <v>52</v>
      </c>
      <c r="D182" s="71" t="s">
        <v>159</v>
      </c>
      <c r="E182" s="336">
        <v>101.7</v>
      </c>
      <c r="F182" s="147">
        <v>339</v>
      </c>
      <c r="G182" s="147">
        <v>1513</v>
      </c>
      <c r="H182" s="335">
        <v>2018</v>
      </c>
      <c r="I182" s="335">
        <v>2020</v>
      </c>
      <c r="J182" s="336">
        <v>101.7</v>
      </c>
      <c r="K182" s="346">
        <v>31.77</v>
      </c>
      <c r="L182" s="346">
        <v>27.9</v>
      </c>
      <c r="M182" s="373">
        <v>42.03</v>
      </c>
      <c r="N182" s="122"/>
      <c r="O182" s="122">
        <v>101.7</v>
      </c>
      <c r="P182" s="122"/>
      <c r="Q182" s="122"/>
      <c r="R182" s="122"/>
      <c r="S182" s="102" t="s">
        <v>1982</v>
      </c>
      <c r="T182" s="86" t="s">
        <v>1995</v>
      </c>
      <c r="U182" s="123"/>
      <c r="V182" s="136" t="s">
        <v>2031</v>
      </c>
      <c r="W182" s="401"/>
      <c r="X182" s="365"/>
    </row>
    <row r="183" s="317" customFormat="1" ht="24" spans="1:24">
      <c r="A183" s="147">
        <v>176</v>
      </c>
      <c r="B183" s="381" t="s">
        <v>893</v>
      </c>
      <c r="C183" s="71" t="s">
        <v>52</v>
      </c>
      <c r="D183" s="71" t="s">
        <v>150</v>
      </c>
      <c r="E183" s="335"/>
      <c r="F183" s="335">
        <f t="shared" ref="F183:J183" si="87">F184+F185+F186</f>
        <v>912</v>
      </c>
      <c r="G183" s="335">
        <f t="shared" si="87"/>
        <v>3796</v>
      </c>
      <c r="H183" s="335">
        <v>2019</v>
      </c>
      <c r="I183" s="335">
        <v>2020</v>
      </c>
      <c r="J183" s="335">
        <f t="shared" si="87"/>
        <v>273.6</v>
      </c>
      <c r="K183" s="341">
        <v>0</v>
      </c>
      <c r="L183" s="341">
        <f t="shared" ref="L183:R183" si="88">L184+L185+L186</f>
        <v>273.6</v>
      </c>
      <c r="M183" s="341">
        <v>0</v>
      </c>
      <c r="N183" s="335"/>
      <c r="O183" s="335">
        <v>273.6</v>
      </c>
      <c r="P183" s="335">
        <f t="shared" si="88"/>
        <v>0</v>
      </c>
      <c r="Q183" s="335">
        <f t="shared" si="88"/>
        <v>0</v>
      </c>
      <c r="R183" s="335">
        <f t="shared" si="88"/>
        <v>0</v>
      </c>
      <c r="S183" s="86" t="s">
        <v>2027</v>
      </c>
      <c r="T183" s="86" t="s">
        <v>2028</v>
      </c>
      <c r="U183" s="86" t="s">
        <v>43</v>
      </c>
      <c r="V183" s="363"/>
      <c r="W183" s="364"/>
      <c r="X183" s="365"/>
    </row>
    <row r="184" s="317" customFormat="1" ht="49.5" spans="1:24">
      <c r="A184" s="147">
        <v>177</v>
      </c>
      <c r="B184" s="71" t="s">
        <v>2033</v>
      </c>
      <c r="C184" s="71" t="s">
        <v>52</v>
      </c>
      <c r="D184" s="147"/>
      <c r="E184" s="147" t="s">
        <v>2034</v>
      </c>
      <c r="F184" s="335">
        <v>343</v>
      </c>
      <c r="G184" s="335">
        <v>1440</v>
      </c>
      <c r="H184" s="335">
        <v>2019</v>
      </c>
      <c r="I184" s="335">
        <v>2019</v>
      </c>
      <c r="J184" s="335">
        <f t="shared" ref="J184:J194" si="89">K184+L184+M184</f>
        <v>102.9</v>
      </c>
      <c r="K184" s="342">
        <v>0</v>
      </c>
      <c r="L184" s="341">
        <f t="shared" ref="L184:L186" si="90">F184*3000/10000</f>
        <v>102.9</v>
      </c>
      <c r="M184" s="342">
        <v>0</v>
      </c>
      <c r="N184" s="335">
        <v>0</v>
      </c>
      <c r="O184" s="335">
        <v>102.9</v>
      </c>
      <c r="P184" s="335">
        <v>0</v>
      </c>
      <c r="Q184" s="335">
        <v>0</v>
      </c>
      <c r="R184" s="335">
        <v>0</v>
      </c>
      <c r="S184" s="102" t="s">
        <v>1987</v>
      </c>
      <c r="T184" s="86" t="s">
        <v>1988</v>
      </c>
      <c r="U184" s="123"/>
      <c r="V184" s="363"/>
      <c r="W184" s="364"/>
      <c r="X184" s="365"/>
    </row>
    <row r="185" s="317" customFormat="1" ht="49.5" spans="1:24">
      <c r="A185" s="147">
        <v>178</v>
      </c>
      <c r="B185" s="71" t="s">
        <v>2035</v>
      </c>
      <c r="C185" s="71" t="s">
        <v>52</v>
      </c>
      <c r="D185" s="147"/>
      <c r="E185" s="147" t="s">
        <v>2036</v>
      </c>
      <c r="F185" s="335">
        <v>297</v>
      </c>
      <c r="G185" s="335">
        <v>1225</v>
      </c>
      <c r="H185" s="335">
        <v>2019</v>
      </c>
      <c r="I185" s="335">
        <v>2019</v>
      </c>
      <c r="J185" s="335">
        <f t="shared" si="89"/>
        <v>89.1</v>
      </c>
      <c r="K185" s="342">
        <v>0</v>
      </c>
      <c r="L185" s="345">
        <f t="shared" si="90"/>
        <v>89.1</v>
      </c>
      <c r="M185" s="342">
        <v>0</v>
      </c>
      <c r="N185" s="335">
        <v>0</v>
      </c>
      <c r="O185" s="335">
        <v>89.1</v>
      </c>
      <c r="P185" s="335">
        <v>0</v>
      </c>
      <c r="Q185" s="335">
        <v>0</v>
      </c>
      <c r="R185" s="335">
        <v>0</v>
      </c>
      <c r="S185" s="102" t="s">
        <v>1980</v>
      </c>
      <c r="T185" s="86" t="s">
        <v>1990</v>
      </c>
      <c r="U185" s="123"/>
      <c r="V185" s="363"/>
      <c r="W185" s="364"/>
      <c r="X185" s="365"/>
    </row>
    <row r="186" s="317" customFormat="1" ht="49.5" spans="1:24">
      <c r="A186" s="147">
        <v>179</v>
      </c>
      <c r="B186" s="71" t="s">
        <v>2037</v>
      </c>
      <c r="C186" s="71" t="s">
        <v>52</v>
      </c>
      <c r="D186" s="147"/>
      <c r="E186" s="147" t="s">
        <v>2038</v>
      </c>
      <c r="F186" s="335">
        <v>272</v>
      </c>
      <c r="G186" s="335">
        <v>1131</v>
      </c>
      <c r="H186" s="335">
        <v>2019</v>
      </c>
      <c r="I186" s="335">
        <v>2019</v>
      </c>
      <c r="J186" s="335">
        <f t="shared" si="89"/>
        <v>81.6</v>
      </c>
      <c r="K186" s="345">
        <v>0</v>
      </c>
      <c r="L186" s="345">
        <f t="shared" si="90"/>
        <v>81.6</v>
      </c>
      <c r="M186" s="345">
        <v>0</v>
      </c>
      <c r="N186" s="335">
        <v>0</v>
      </c>
      <c r="O186" s="335">
        <v>81.6</v>
      </c>
      <c r="P186" s="335">
        <v>0</v>
      </c>
      <c r="Q186" s="335">
        <v>0</v>
      </c>
      <c r="R186" s="335">
        <v>0</v>
      </c>
      <c r="S186" s="102" t="s">
        <v>1984</v>
      </c>
      <c r="T186" s="86" t="s">
        <v>1985</v>
      </c>
      <c r="U186" s="123"/>
      <c r="V186" s="363"/>
      <c r="W186" s="364"/>
      <c r="X186" s="365"/>
    </row>
    <row r="187" s="317" customFormat="1" spans="1:24">
      <c r="A187" s="147">
        <v>180</v>
      </c>
      <c r="B187" s="381" t="s">
        <v>158</v>
      </c>
      <c r="C187" s="71" t="s">
        <v>52</v>
      </c>
      <c r="D187" s="71" t="s">
        <v>159</v>
      </c>
      <c r="E187" s="344">
        <f>E188+E189+E190+E191+E192</f>
        <v>501.02</v>
      </c>
      <c r="F187" s="147">
        <v>165</v>
      </c>
      <c r="G187" s="147">
        <v>577</v>
      </c>
      <c r="H187" s="147">
        <v>2018</v>
      </c>
      <c r="I187" s="147">
        <v>2020</v>
      </c>
      <c r="J187" s="389">
        <f t="shared" si="89"/>
        <v>57.3978</v>
      </c>
      <c r="K187" s="390">
        <f>SUM(K188:K192)</f>
        <v>9.549</v>
      </c>
      <c r="L187" s="390">
        <v>19.1326</v>
      </c>
      <c r="M187" s="390">
        <v>28.7162</v>
      </c>
      <c r="N187" s="122"/>
      <c r="O187" s="391">
        <f t="shared" ref="O187:O192" si="91">J187</f>
        <v>57.3978</v>
      </c>
      <c r="P187" s="375"/>
      <c r="Q187" s="122"/>
      <c r="R187" s="122"/>
      <c r="S187" s="89" t="s">
        <v>1982</v>
      </c>
      <c r="T187" s="89" t="s">
        <v>2039</v>
      </c>
      <c r="U187" s="86" t="s">
        <v>160</v>
      </c>
      <c r="V187" s="363"/>
      <c r="W187" s="364"/>
      <c r="X187" s="365"/>
    </row>
    <row r="188" s="317" customFormat="1" ht="24" spans="1:24">
      <c r="A188" s="147">
        <v>181</v>
      </c>
      <c r="B188" s="71" t="s">
        <v>1983</v>
      </c>
      <c r="C188" s="147"/>
      <c r="D188" s="147"/>
      <c r="E188" s="382">
        <v>83.944</v>
      </c>
      <c r="F188" s="383">
        <v>21</v>
      </c>
      <c r="G188" s="383">
        <v>74</v>
      </c>
      <c r="H188" s="147">
        <v>2018</v>
      </c>
      <c r="I188" s="147">
        <v>2020</v>
      </c>
      <c r="J188" s="375">
        <f t="shared" si="89"/>
        <v>8.13726</v>
      </c>
      <c r="K188" s="392">
        <v>0.98</v>
      </c>
      <c r="L188" s="393">
        <v>2.71242</v>
      </c>
      <c r="M188" s="101">
        <v>4.44484</v>
      </c>
      <c r="N188" s="122"/>
      <c r="O188" s="391">
        <f t="shared" si="91"/>
        <v>8.13726</v>
      </c>
      <c r="P188" s="375"/>
      <c r="Q188" s="122"/>
      <c r="R188" s="122"/>
      <c r="S188" s="102" t="s">
        <v>1984</v>
      </c>
      <c r="T188" s="86" t="s">
        <v>1985</v>
      </c>
      <c r="U188" s="123"/>
      <c r="V188" s="363"/>
      <c r="W188" s="364"/>
      <c r="X188" s="365"/>
    </row>
    <row r="189" s="317" customFormat="1" ht="24" spans="1:24">
      <c r="A189" s="147">
        <v>182</v>
      </c>
      <c r="B189" s="71" t="s">
        <v>1986</v>
      </c>
      <c r="C189" s="147"/>
      <c r="D189" s="147"/>
      <c r="E189" s="382">
        <v>171.084</v>
      </c>
      <c r="F189" s="383">
        <v>46</v>
      </c>
      <c r="G189" s="383">
        <v>161</v>
      </c>
      <c r="H189" s="147">
        <v>2018</v>
      </c>
      <c r="I189" s="147">
        <v>2020</v>
      </c>
      <c r="J189" s="375">
        <f t="shared" si="89"/>
        <v>23.81886</v>
      </c>
      <c r="K189" s="392">
        <v>5.47</v>
      </c>
      <c r="L189" s="393">
        <v>7.93962</v>
      </c>
      <c r="M189" s="101">
        <v>10.40924</v>
      </c>
      <c r="N189" s="122"/>
      <c r="O189" s="391">
        <f t="shared" si="91"/>
        <v>23.81886</v>
      </c>
      <c r="P189" s="375"/>
      <c r="Q189" s="122"/>
      <c r="R189" s="122"/>
      <c r="S189" s="102" t="s">
        <v>1987</v>
      </c>
      <c r="T189" s="86" t="s">
        <v>1988</v>
      </c>
      <c r="U189" s="123"/>
      <c r="V189" s="363"/>
      <c r="W189" s="364"/>
      <c r="X189" s="365"/>
    </row>
    <row r="190" s="317" customFormat="1" ht="24" spans="1:24">
      <c r="A190" s="147">
        <v>183</v>
      </c>
      <c r="B190" s="71" t="s">
        <v>1989</v>
      </c>
      <c r="C190" s="147"/>
      <c r="D190" s="147"/>
      <c r="E190" s="382">
        <v>95.2184</v>
      </c>
      <c r="F190" s="383">
        <v>50</v>
      </c>
      <c r="G190" s="383">
        <v>175</v>
      </c>
      <c r="H190" s="147">
        <v>2018</v>
      </c>
      <c r="I190" s="147">
        <v>2020</v>
      </c>
      <c r="J190" s="375">
        <f t="shared" si="89"/>
        <v>6.470432</v>
      </c>
      <c r="K190" s="394">
        <v>0.159</v>
      </c>
      <c r="L190" s="395">
        <v>2.156812</v>
      </c>
      <c r="M190" s="101">
        <v>4.15462</v>
      </c>
      <c r="N190" s="122"/>
      <c r="O190" s="391">
        <f t="shared" si="91"/>
        <v>6.470432</v>
      </c>
      <c r="P190" s="375"/>
      <c r="Q190" s="122"/>
      <c r="R190" s="122"/>
      <c r="S190" s="102" t="s">
        <v>1980</v>
      </c>
      <c r="T190" s="86" t="s">
        <v>1990</v>
      </c>
      <c r="U190" s="123"/>
      <c r="V190" s="363"/>
      <c r="W190" s="364"/>
      <c r="X190" s="365"/>
    </row>
    <row r="191" s="317" customFormat="1" ht="24" spans="1:24">
      <c r="A191" s="147">
        <v>184</v>
      </c>
      <c r="B191" s="71" t="s">
        <v>1991</v>
      </c>
      <c r="C191" s="147"/>
      <c r="D191" s="147"/>
      <c r="E191" s="382">
        <v>49.3536</v>
      </c>
      <c r="F191" s="383">
        <v>12</v>
      </c>
      <c r="G191" s="383">
        <v>43</v>
      </c>
      <c r="H191" s="147">
        <v>2018</v>
      </c>
      <c r="I191" s="147">
        <v>2020</v>
      </c>
      <c r="J191" s="375">
        <f t="shared" si="89"/>
        <v>8.25645</v>
      </c>
      <c r="K191" s="396">
        <v>1.58</v>
      </c>
      <c r="L191" s="393">
        <v>2.75215</v>
      </c>
      <c r="M191" s="101">
        <v>3.9243</v>
      </c>
      <c r="N191" s="122"/>
      <c r="O191" s="391">
        <f t="shared" si="91"/>
        <v>8.25645</v>
      </c>
      <c r="P191" s="375"/>
      <c r="Q191" s="122"/>
      <c r="R191" s="122"/>
      <c r="S191" s="102" t="s">
        <v>1982</v>
      </c>
      <c r="T191" s="86" t="s">
        <v>1995</v>
      </c>
      <c r="U191" s="123"/>
      <c r="V191" s="363"/>
      <c r="W191" s="364"/>
      <c r="X191" s="365"/>
    </row>
    <row r="192" s="317" customFormat="1" ht="24" spans="1:24">
      <c r="A192" s="147">
        <v>185</v>
      </c>
      <c r="B192" s="71" t="s">
        <v>1992</v>
      </c>
      <c r="C192" s="147"/>
      <c r="D192" s="147"/>
      <c r="E192" s="382">
        <v>101.42</v>
      </c>
      <c r="F192" s="383">
        <v>35</v>
      </c>
      <c r="G192" s="383">
        <v>123</v>
      </c>
      <c r="H192" s="147">
        <v>2018</v>
      </c>
      <c r="I192" s="147">
        <v>2020</v>
      </c>
      <c r="J192" s="375">
        <f t="shared" si="89"/>
        <v>10.7148</v>
      </c>
      <c r="K192" s="396">
        <v>1.36</v>
      </c>
      <c r="L192" s="393">
        <v>3.5716</v>
      </c>
      <c r="M192" s="101">
        <v>5.7832</v>
      </c>
      <c r="N192" s="122"/>
      <c r="O192" s="391">
        <f t="shared" si="91"/>
        <v>10.7148</v>
      </c>
      <c r="P192" s="375"/>
      <c r="Q192" s="122"/>
      <c r="R192" s="122"/>
      <c r="S192" s="102" t="s">
        <v>1993</v>
      </c>
      <c r="T192" s="86" t="s">
        <v>1994</v>
      </c>
      <c r="U192" s="123"/>
      <c r="V192" s="363"/>
      <c r="W192" s="364"/>
      <c r="X192" s="365"/>
    </row>
    <row r="193" s="318" customFormat="1" ht="24" spans="1:24">
      <c r="A193" s="147">
        <v>186</v>
      </c>
      <c r="B193" s="28" t="s">
        <v>2040</v>
      </c>
      <c r="C193" s="122"/>
      <c r="D193" s="122"/>
      <c r="E193" s="122"/>
      <c r="F193" s="122">
        <f t="shared" ref="F193:H193" si="92">F194+F200</f>
        <v>1061</v>
      </c>
      <c r="G193" s="122">
        <f t="shared" si="92"/>
        <v>4299</v>
      </c>
      <c r="H193" s="122">
        <f t="shared" si="92"/>
        <v>2018</v>
      </c>
      <c r="I193" s="122">
        <v>2020</v>
      </c>
      <c r="J193" s="122">
        <f t="shared" si="89"/>
        <v>2269.38</v>
      </c>
      <c r="K193" s="403">
        <f t="shared" ref="K193:R193" si="93">K194+K200</f>
        <v>551.38</v>
      </c>
      <c r="L193" s="403">
        <f t="shared" si="93"/>
        <v>1718</v>
      </c>
      <c r="M193" s="403">
        <f t="shared" si="93"/>
        <v>0</v>
      </c>
      <c r="N193" s="122">
        <f t="shared" si="93"/>
        <v>0</v>
      </c>
      <c r="O193" s="122">
        <f t="shared" si="93"/>
        <v>2269.38</v>
      </c>
      <c r="P193" s="122">
        <f t="shared" si="93"/>
        <v>0</v>
      </c>
      <c r="Q193" s="122">
        <f t="shared" si="93"/>
        <v>0</v>
      </c>
      <c r="R193" s="122">
        <f t="shared" si="93"/>
        <v>0</v>
      </c>
      <c r="S193" s="122"/>
      <c r="T193" s="122"/>
      <c r="U193" s="122"/>
      <c r="V193" s="408"/>
      <c r="W193" s="401"/>
      <c r="X193" s="365"/>
    </row>
    <row r="194" s="317" customFormat="1" ht="48" spans="1:24">
      <c r="A194" s="147">
        <v>187</v>
      </c>
      <c r="B194" s="385" t="s">
        <v>2041</v>
      </c>
      <c r="C194" s="71" t="s">
        <v>872</v>
      </c>
      <c r="D194" s="71" t="s">
        <v>560</v>
      </c>
      <c r="E194" s="147">
        <f t="shared" ref="E194:G194" si="94">SUM(E195:E199)</f>
        <v>180281</v>
      </c>
      <c r="F194" s="147">
        <f t="shared" si="94"/>
        <v>1004</v>
      </c>
      <c r="G194" s="147">
        <f t="shared" si="94"/>
        <v>4066</v>
      </c>
      <c r="H194" s="147"/>
      <c r="I194" s="147"/>
      <c r="J194" s="147">
        <f t="shared" si="89"/>
        <v>1982</v>
      </c>
      <c r="K194" s="404">
        <f t="shared" ref="K194:R194" si="95">SUM(K195:K199)</f>
        <v>264</v>
      </c>
      <c r="L194" s="344">
        <f t="shared" si="95"/>
        <v>1718</v>
      </c>
      <c r="M194" s="344">
        <f t="shared" si="95"/>
        <v>0</v>
      </c>
      <c r="N194" s="147">
        <f t="shared" si="95"/>
        <v>0</v>
      </c>
      <c r="O194" s="147">
        <f t="shared" si="95"/>
        <v>1982</v>
      </c>
      <c r="P194" s="147">
        <f t="shared" si="95"/>
        <v>0</v>
      </c>
      <c r="Q194" s="147">
        <f t="shared" si="95"/>
        <v>0</v>
      </c>
      <c r="R194" s="147">
        <f t="shared" si="95"/>
        <v>0</v>
      </c>
      <c r="S194" s="86" t="s">
        <v>1982</v>
      </c>
      <c r="T194" s="86" t="s">
        <v>2006</v>
      </c>
      <c r="U194" s="86" t="s">
        <v>1153</v>
      </c>
      <c r="V194" s="363"/>
      <c r="W194" s="364"/>
      <c r="X194" s="365"/>
    </row>
    <row r="195" s="317" customFormat="1" ht="80.25" spans="1:24">
      <c r="A195" s="147">
        <v>188</v>
      </c>
      <c r="B195" s="71" t="s">
        <v>1983</v>
      </c>
      <c r="C195" s="71" t="s">
        <v>872</v>
      </c>
      <c r="D195" s="71" t="s">
        <v>560</v>
      </c>
      <c r="E195" s="335">
        <v>17469</v>
      </c>
      <c r="F195" s="335">
        <v>236</v>
      </c>
      <c r="G195" s="335">
        <v>957</v>
      </c>
      <c r="H195" s="335">
        <v>2019</v>
      </c>
      <c r="I195" s="335">
        <v>2019</v>
      </c>
      <c r="J195" s="335">
        <v>192</v>
      </c>
      <c r="K195" s="348"/>
      <c r="L195" s="343">
        <v>192</v>
      </c>
      <c r="M195" s="340"/>
      <c r="N195" s="398"/>
      <c r="O195" s="335">
        <v>192</v>
      </c>
      <c r="P195" s="398"/>
      <c r="Q195" s="335"/>
      <c r="R195" s="398"/>
      <c r="S195" s="102" t="s">
        <v>1984</v>
      </c>
      <c r="T195" s="86" t="s">
        <v>1985</v>
      </c>
      <c r="U195" s="86" t="s">
        <v>1153</v>
      </c>
      <c r="V195" s="56" t="s">
        <v>2042</v>
      </c>
      <c r="W195" s="364"/>
      <c r="X195" s="365"/>
    </row>
    <row r="196" s="317" customFormat="1" ht="80.25" spans="1:24">
      <c r="A196" s="147">
        <v>189</v>
      </c>
      <c r="B196" s="71" t="s">
        <v>1986</v>
      </c>
      <c r="C196" s="71" t="s">
        <v>872</v>
      </c>
      <c r="D196" s="71" t="s">
        <v>560</v>
      </c>
      <c r="E196" s="335">
        <v>19497</v>
      </c>
      <c r="F196" s="335">
        <v>209</v>
      </c>
      <c r="G196" s="335">
        <v>855</v>
      </c>
      <c r="H196" s="335">
        <v>2018</v>
      </c>
      <c r="I196" s="335">
        <v>2019</v>
      </c>
      <c r="J196" s="335">
        <v>214</v>
      </c>
      <c r="K196" s="348"/>
      <c r="L196" s="343">
        <v>214</v>
      </c>
      <c r="M196" s="340"/>
      <c r="N196" s="398"/>
      <c r="O196" s="335">
        <v>214</v>
      </c>
      <c r="P196" s="398"/>
      <c r="Q196" s="335"/>
      <c r="R196" s="398"/>
      <c r="S196" s="102" t="s">
        <v>1987</v>
      </c>
      <c r="T196" s="86" t="s">
        <v>1988</v>
      </c>
      <c r="U196" s="86" t="s">
        <v>1153</v>
      </c>
      <c r="V196" s="56" t="s">
        <v>2043</v>
      </c>
      <c r="W196" s="364"/>
      <c r="X196" s="365"/>
    </row>
    <row r="197" s="317" customFormat="1" ht="48" spans="1:24">
      <c r="A197" s="147">
        <v>190</v>
      </c>
      <c r="B197" s="71" t="s">
        <v>1989</v>
      </c>
      <c r="C197" s="71" t="s">
        <v>872</v>
      </c>
      <c r="D197" s="71" t="s">
        <v>560</v>
      </c>
      <c r="E197" s="335">
        <v>113365</v>
      </c>
      <c r="F197" s="335">
        <v>303</v>
      </c>
      <c r="G197" s="335">
        <v>1244</v>
      </c>
      <c r="H197" s="335">
        <v>2018</v>
      </c>
      <c r="I197" s="335">
        <v>2019</v>
      </c>
      <c r="J197" s="335">
        <f t="shared" ref="J197:J199" si="96">SUM(K197:M197)</f>
        <v>1247</v>
      </c>
      <c r="K197" s="343">
        <v>11</v>
      </c>
      <c r="L197" s="343">
        <v>1236</v>
      </c>
      <c r="M197" s="344"/>
      <c r="N197" s="147"/>
      <c r="O197" s="335">
        <f t="shared" ref="O197:O199" si="97">J197</f>
        <v>1247</v>
      </c>
      <c r="P197" s="147"/>
      <c r="Q197" s="147"/>
      <c r="R197" s="398"/>
      <c r="S197" s="102" t="s">
        <v>1980</v>
      </c>
      <c r="T197" s="86" t="s">
        <v>1990</v>
      </c>
      <c r="U197" s="86" t="s">
        <v>1153</v>
      </c>
      <c r="V197" s="363"/>
      <c r="W197" s="364"/>
      <c r="X197" s="365"/>
    </row>
    <row r="198" s="317" customFormat="1" ht="48" spans="1:24">
      <c r="A198" s="147">
        <v>191</v>
      </c>
      <c r="B198" s="71" t="s">
        <v>1991</v>
      </c>
      <c r="C198" s="71" t="s">
        <v>872</v>
      </c>
      <c r="D198" s="71" t="s">
        <v>560</v>
      </c>
      <c r="E198" s="335">
        <v>19450</v>
      </c>
      <c r="F198" s="335">
        <v>97</v>
      </c>
      <c r="G198" s="335">
        <v>374</v>
      </c>
      <c r="H198" s="335">
        <v>2019</v>
      </c>
      <c r="I198" s="335">
        <v>2019</v>
      </c>
      <c r="J198" s="335">
        <f t="shared" si="96"/>
        <v>214</v>
      </c>
      <c r="K198" s="343">
        <v>138</v>
      </c>
      <c r="L198" s="343">
        <v>76</v>
      </c>
      <c r="M198" s="344"/>
      <c r="N198" s="147"/>
      <c r="O198" s="335">
        <f t="shared" si="97"/>
        <v>214</v>
      </c>
      <c r="P198" s="147"/>
      <c r="Q198" s="147"/>
      <c r="R198" s="398"/>
      <c r="S198" s="102" t="s">
        <v>1982</v>
      </c>
      <c r="T198" s="86" t="s">
        <v>1995</v>
      </c>
      <c r="U198" s="86" t="s">
        <v>1153</v>
      </c>
      <c r="V198" s="363"/>
      <c r="W198" s="364"/>
      <c r="X198" s="365"/>
    </row>
    <row r="199" s="317" customFormat="1" ht="48" spans="1:24">
      <c r="A199" s="147">
        <v>192</v>
      </c>
      <c r="B199" s="71" t="s">
        <v>1992</v>
      </c>
      <c r="C199" s="71" t="s">
        <v>872</v>
      </c>
      <c r="D199" s="71" t="s">
        <v>560</v>
      </c>
      <c r="E199" s="335">
        <v>10500</v>
      </c>
      <c r="F199" s="335">
        <v>159</v>
      </c>
      <c r="G199" s="335">
        <v>636</v>
      </c>
      <c r="H199" s="335">
        <v>2018</v>
      </c>
      <c r="I199" s="335">
        <v>2019</v>
      </c>
      <c r="J199" s="335">
        <f t="shared" si="96"/>
        <v>115</v>
      </c>
      <c r="K199" s="343">
        <v>115</v>
      </c>
      <c r="L199" s="343"/>
      <c r="M199" s="344"/>
      <c r="N199" s="385"/>
      <c r="O199" s="335">
        <f t="shared" si="97"/>
        <v>115</v>
      </c>
      <c r="P199" s="385"/>
      <c r="Q199" s="385"/>
      <c r="R199" s="399"/>
      <c r="S199" s="102" t="s">
        <v>1993</v>
      </c>
      <c r="T199" s="86" t="s">
        <v>1994</v>
      </c>
      <c r="U199" s="86" t="s">
        <v>1153</v>
      </c>
      <c r="V199" s="56" t="s">
        <v>2044</v>
      </c>
      <c r="W199" s="364"/>
      <c r="X199" s="365"/>
    </row>
    <row r="200" s="317" customFormat="1" spans="1:24">
      <c r="A200" s="147">
        <v>193</v>
      </c>
      <c r="B200" s="385" t="s">
        <v>2045</v>
      </c>
      <c r="C200" s="147"/>
      <c r="D200" s="147"/>
      <c r="E200" s="147"/>
      <c r="F200" s="147">
        <f t="shared" ref="F200:R200" si="98">F201+F202+F203</f>
        <v>57</v>
      </c>
      <c r="G200" s="147">
        <f t="shared" si="98"/>
        <v>233</v>
      </c>
      <c r="H200" s="147">
        <v>2018</v>
      </c>
      <c r="I200" s="147">
        <v>2018</v>
      </c>
      <c r="J200" s="147">
        <f>K200+L200+M200</f>
        <v>287.38</v>
      </c>
      <c r="K200" s="344">
        <f t="shared" si="98"/>
        <v>287.38</v>
      </c>
      <c r="L200" s="344">
        <f t="shared" si="98"/>
        <v>0</v>
      </c>
      <c r="M200" s="344">
        <f t="shared" si="98"/>
        <v>0</v>
      </c>
      <c r="N200" s="147">
        <f t="shared" si="98"/>
        <v>0</v>
      </c>
      <c r="O200" s="147">
        <f t="shared" si="98"/>
        <v>287.38</v>
      </c>
      <c r="P200" s="147">
        <f t="shared" si="98"/>
        <v>0</v>
      </c>
      <c r="Q200" s="147">
        <f t="shared" si="98"/>
        <v>0</v>
      </c>
      <c r="R200" s="147">
        <f t="shared" si="98"/>
        <v>0</v>
      </c>
      <c r="S200" s="123"/>
      <c r="T200" s="123"/>
      <c r="U200" s="123"/>
      <c r="V200" s="363"/>
      <c r="W200" s="364"/>
      <c r="X200" s="365"/>
    </row>
    <row r="201" s="317" customFormat="1" ht="24" spans="1:24">
      <c r="A201" s="147">
        <v>194</v>
      </c>
      <c r="B201" s="381" t="s">
        <v>2046</v>
      </c>
      <c r="C201" s="71" t="s">
        <v>52</v>
      </c>
      <c r="D201" s="71" t="s">
        <v>560</v>
      </c>
      <c r="E201" s="402">
        <v>7000</v>
      </c>
      <c r="F201" s="402">
        <v>15</v>
      </c>
      <c r="G201" s="402">
        <v>55</v>
      </c>
      <c r="H201" s="402">
        <v>2018</v>
      </c>
      <c r="I201" s="402">
        <v>2018</v>
      </c>
      <c r="J201" s="405">
        <v>98</v>
      </c>
      <c r="K201" s="405">
        <v>98</v>
      </c>
      <c r="L201" s="405"/>
      <c r="M201" s="405"/>
      <c r="N201" s="406"/>
      <c r="O201" s="405">
        <v>98</v>
      </c>
      <c r="P201" s="406"/>
      <c r="Q201" s="406"/>
      <c r="R201" s="406"/>
      <c r="S201" s="102" t="s">
        <v>1982</v>
      </c>
      <c r="T201" s="86" t="s">
        <v>1995</v>
      </c>
      <c r="U201" s="123"/>
      <c r="V201" s="56" t="s">
        <v>2047</v>
      </c>
      <c r="W201" s="364"/>
      <c r="X201" s="365"/>
    </row>
    <row r="202" s="317" customFormat="1" ht="24" spans="1:24">
      <c r="A202" s="147">
        <v>195</v>
      </c>
      <c r="B202" s="381" t="s">
        <v>2048</v>
      </c>
      <c r="C202" s="71" t="s">
        <v>52</v>
      </c>
      <c r="D202" s="71" t="s">
        <v>560</v>
      </c>
      <c r="E202" s="402">
        <v>7000</v>
      </c>
      <c r="F202" s="402">
        <v>21</v>
      </c>
      <c r="G202" s="402">
        <v>101</v>
      </c>
      <c r="H202" s="402">
        <v>2018</v>
      </c>
      <c r="I202" s="402">
        <v>2018</v>
      </c>
      <c r="J202" s="405">
        <v>134.38</v>
      </c>
      <c r="K202" s="405">
        <v>134.38</v>
      </c>
      <c r="L202" s="405"/>
      <c r="M202" s="405"/>
      <c r="N202" s="406"/>
      <c r="O202" s="405">
        <v>134.38</v>
      </c>
      <c r="P202" s="406"/>
      <c r="Q202" s="406"/>
      <c r="R202" s="406"/>
      <c r="S202" s="102" t="s">
        <v>1984</v>
      </c>
      <c r="T202" s="86" t="s">
        <v>1985</v>
      </c>
      <c r="U202" s="123"/>
      <c r="V202" s="56" t="s">
        <v>2047</v>
      </c>
      <c r="W202" s="364"/>
      <c r="X202" s="365"/>
    </row>
    <row r="203" s="317" customFormat="1" ht="24" spans="1:24">
      <c r="A203" s="147">
        <v>196</v>
      </c>
      <c r="B203" s="381" t="s">
        <v>2049</v>
      </c>
      <c r="C203" s="71" t="s">
        <v>52</v>
      </c>
      <c r="D203" s="71" t="s">
        <v>192</v>
      </c>
      <c r="E203" s="402">
        <v>0.38</v>
      </c>
      <c r="F203" s="402">
        <v>21</v>
      </c>
      <c r="G203" s="402">
        <v>77</v>
      </c>
      <c r="H203" s="402">
        <v>2018</v>
      </c>
      <c r="I203" s="402">
        <v>2018</v>
      </c>
      <c r="J203" s="405">
        <v>55</v>
      </c>
      <c r="K203" s="405">
        <v>55</v>
      </c>
      <c r="L203" s="405"/>
      <c r="M203" s="405"/>
      <c r="N203" s="406"/>
      <c r="O203" s="405">
        <v>55</v>
      </c>
      <c r="P203" s="406"/>
      <c r="Q203" s="406"/>
      <c r="R203" s="406"/>
      <c r="S203" s="102" t="s">
        <v>1982</v>
      </c>
      <c r="T203" s="86" t="s">
        <v>1995</v>
      </c>
      <c r="U203" s="123"/>
      <c r="V203" s="136" t="s">
        <v>2031</v>
      </c>
      <c r="W203" s="401"/>
      <c r="X203" s="365"/>
    </row>
    <row r="204" s="319" customFormat="1" spans="1:24">
      <c r="A204" s="147">
        <v>197</v>
      </c>
      <c r="B204" s="28" t="s">
        <v>2050</v>
      </c>
      <c r="C204" s="336" t="s">
        <v>320</v>
      </c>
      <c r="D204" s="336" t="s">
        <v>320</v>
      </c>
      <c r="E204" s="336"/>
      <c r="F204" s="336"/>
      <c r="G204" s="336"/>
      <c r="H204" s="336"/>
      <c r="I204" s="336"/>
      <c r="J204" s="336">
        <f t="shared" ref="J204:R204" si="99">J205+J212</f>
        <v>1444.8</v>
      </c>
      <c r="K204" s="351">
        <f t="shared" si="99"/>
        <v>481.6</v>
      </c>
      <c r="L204" s="351">
        <f t="shared" si="99"/>
        <v>481.6</v>
      </c>
      <c r="M204" s="351">
        <f t="shared" si="99"/>
        <v>481.6</v>
      </c>
      <c r="N204" s="336">
        <f t="shared" si="99"/>
        <v>1444.8</v>
      </c>
      <c r="O204" s="336">
        <f t="shared" si="99"/>
        <v>0</v>
      </c>
      <c r="P204" s="336">
        <f t="shared" si="99"/>
        <v>0</v>
      </c>
      <c r="Q204" s="336">
        <f t="shared" si="99"/>
        <v>0</v>
      </c>
      <c r="R204" s="336">
        <f t="shared" si="99"/>
        <v>0</v>
      </c>
      <c r="S204" s="346"/>
      <c r="T204" s="346"/>
      <c r="U204" s="336" t="s">
        <v>320</v>
      </c>
      <c r="V204" s="363"/>
      <c r="W204" s="364"/>
      <c r="X204" s="365"/>
    </row>
    <row r="205" s="317" customFormat="1" spans="1:24">
      <c r="A205" s="147">
        <v>198</v>
      </c>
      <c r="B205" s="71" t="s">
        <v>413</v>
      </c>
      <c r="C205" s="147" t="s">
        <v>320</v>
      </c>
      <c r="D205" s="71" t="s">
        <v>45</v>
      </c>
      <c r="E205" s="335">
        <v>6000</v>
      </c>
      <c r="F205" s="335">
        <f>SUM(F206:F210)</f>
        <v>548</v>
      </c>
      <c r="G205" s="335">
        <f>SUM(G206:G210)</f>
        <v>2038</v>
      </c>
      <c r="H205" s="335">
        <v>2018</v>
      </c>
      <c r="I205" s="335">
        <v>2020</v>
      </c>
      <c r="J205" s="335">
        <f t="shared" ref="J205:J210" si="100">K205+L205+M205</f>
        <v>960</v>
      </c>
      <c r="K205" s="345">
        <v>320</v>
      </c>
      <c r="L205" s="345">
        <v>320</v>
      </c>
      <c r="M205" s="339">
        <v>320</v>
      </c>
      <c r="N205" s="335">
        <f t="shared" ref="N205:N210" si="101">J205</f>
        <v>960</v>
      </c>
      <c r="O205" s="147"/>
      <c r="P205" s="147"/>
      <c r="Q205" s="147"/>
      <c r="R205" s="398"/>
      <c r="S205" s="86" t="s">
        <v>1982</v>
      </c>
      <c r="T205" s="86" t="s">
        <v>2051</v>
      </c>
      <c r="U205" s="86" t="s">
        <v>417</v>
      </c>
      <c r="V205" s="363"/>
      <c r="W205" s="364"/>
      <c r="X205" s="365"/>
    </row>
    <row r="206" s="317" customFormat="1" ht="24" spans="1:24">
      <c r="A206" s="147">
        <v>199</v>
      </c>
      <c r="B206" s="71" t="s">
        <v>1983</v>
      </c>
      <c r="C206" s="147" t="s">
        <v>320</v>
      </c>
      <c r="D206" s="71" t="s">
        <v>45</v>
      </c>
      <c r="E206" s="335">
        <v>1411</v>
      </c>
      <c r="F206" s="335">
        <v>152</v>
      </c>
      <c r="G206" s="335">
        <v>451</v>
      </c>
      <c r="H206" s="335">
        <v>2018</v>
      </c>
      <c r="I206" s="335">
        <v>2020</v>
      </c>
      <c r="J206" s="335">
        <f t="shared" si="100"/>
        <v>225.76</v>
      </c>
      <c r="K206" s="407">
        <v>145.76</v>
      </c>
      <c r="L206" s="407">
        <v>48</v>
      </c>
      <c r="M206" s="407">
        <v>32</v>
      </c>
      <c r="N206" s="335">
        <f t="shared" si="101"/>
        <v>225.76</v>
      </c>
      <c r="O206" s="385"/>
      <c r="P206" s="385"/>
      <c r="Q206" s="385"/>
      <c r="R206" s="399"/>
      <c r="S206" s="102" t="s">
        <v>1984</v>
      </c>
      <c r="T206" s="86" t="s">
        <v>1985</v>
      </c>
      <c r="U206" s="86" t="s">
        <v>417</v>
      </c>
      <c r="V206" s="363"/>
      <c r="W206" s="364"/>
      <c r="X206" s="365"/>
    </row>
    <row r="207" s="317" customFormat="1" ht="24" spans="1:24">
      <c r="A207" s="147">
        <v>200</v>
      </c>
      <c r="B207" s="71" t="s">
        <v>1986</v>
      </c>
      <c r="C207" s="147" t="s">
        <v>320</v>
      </c>
      <c r="D207" s="71" t="s">
        <v>45</v>
      </c>
      <c r="E207" s="335">
        <v>1098</v>
      </c>
      <c r="F207" s="335">
        <v>96</v>
      </c>
      <c r="G207" s="335">
        <v>389</v>
      </c>
      <c r="H207" s="335">
        <v>2018</v>
      </c>
      <c r="I207" s="335">
        <v>2020</v>
      </c>
      <c r="J207" s="335">
        <f t="shared" si="100"/>
        <v>175.68</v>
      </c>
      <c r="K207" s="407">
        <v>63.68</v>
      </c>
      <c r="L207" s="407">
        <v>64</v>
      </c>
      <c r="M207" s="407">
        <v>48</v>
      </c>
      <c r="N207" s="335">
        <f t="shared" si="101"/>
        <v>175.68</v>
      </c>
      <c r="O207" s="385"/>
      <c r="P207" s="385"/>
      <c r="Q207" s="385"/>
      <c r="R207" s="399"/>
      <c r="S207" s="102" t="s">
        <v>1987</v>
      </c>
      <c r="T207" s="86" t="s">
        <v>1988</v>
      </c>
      <c r="U207" s="86" t="s">
        <v>417</v>
      </c>
      <c r="V207" s="363"/>
      <c r="W207" s="364"/>
      <c r="X207" s="365"/>
    </row>
    <row r="208" s="317" customFormat="1" ht="24" spans="1:24">
      <c r="A208" s="147">
        <v>201</v>
      </c>
      <c r="B208" s="71" t="s">
        <v>1989</v>
      </c>
      <c r="C208" s="147" t="s">
        <v>320</v>
      </c>
      <c r="D208" s="71" t="s">
        <v>45</v>
      </c>
      <c r="E208" s="335">
        <v>1791</v>
      </c>
      <c r="F208" s="335">
        <v>68</v>
      </c>
      <c r="G208" s="335">
        <v>350</v>
      </c>
      <c r="H208" s="335">
        <v>2018</v>
      </c>
      <c r="I208" s="335">
        <v>2020</v>
      </c>
      <c r="J208" s="335">
        <f t="shared" si="100"/>
        <v>286.56</v>
      </c>
      <c r="K208" s="407">
        <v>110.56</v>
      </c>
      <c r="L208" s="407">
        <v>112</v>
      </c>
      <c r="M208" s="407">
        <v>64</v>
      </c>
      <c r="N208" s="335">
        <f t="shared" si="101"/>
        <v>286.56</v>
      </c>
      <c r="O208" s="385"/>
      <c r="P208" s="385"/>
      <c r="Q208" s="385"/>
      <c r="R208" s="399"/>
      <c r="S208" s="102" t="s">
        <v>1980</v>
      </c>
      <c r="T208" s="86" t="s">
        <v>1990</v>
      </c>
      <c r="U208" s="86" t="s">
        <v>417</v>
      </c>
      <c r="V208" s="363"/>
      <c r="W208" s="364"/>
      <c r="X208" s="365"/>
    </row>
    <row r="209" s="317" customFormat="1" ht="24" spans="1:24">
      <c r="A209" s="147">
        <v>202</v>
      </c>
      <c r="B209" s="71" t="s">
        <v>1991</v>
      </c>
      <c r="C209" s="147" t="s">
        <v>320</v>
      </c>
      <c r="D209" s="71" t="s">
        <v>45</v>
      </c>
      <c r="E209" s="335">
        <v>800</v>
      </c>
      <c r="F209" s="335">
        <v>97</v>
      </c>
      <c r="G209" s="335">
        <v>376</v>
      </c>
      <c r="H209" s="335">
        <v>2018</v>
      </c>
      <c r="I209" s="335">
        <v>2020</v>
      </c>
      <c r="J209" s="335">
        <f t="shared" si="100"/>
        <v>128</v>
      </c>
      <c r="K209" s="345"/>
      <c r="L209" s="407">
        <v>48</v>
      </c>
      <c r="M209" s="407">
        <v>80</v>
      </c>
      <c r="N209" s="335">
        <f t="shared" si="101"/>
        <v>128</v>
      </c>
      <c r="O209" s="385"/>
      <c r="P209" s="385"/>
      <c r="Q209" s="385"/>
      <c r="R209" s="399"/>
      <c r="S209" s="102" t="s">
        <v>1982</v>
      </c>
      <c r="T209" s="86" t="s">
        <v>1995</v>
      </c>
      <c r="U209" s="86" t="s">
        <v>417</v>
      </c>
      <c r="V209" s="363"/>
      <c r="W209" s="364"/>
      <c r="X209" s="365"/>
    </row>
    <row r="210" s="317" customFormat="1" ht="24" spans="1:24">
      <c r="A210" s="147">
        <v>203</v>
      </c>
      <c r="B210" s="71" t="s">
        <v>1992</v>
      </c>
      <c r="C210" s="147" t="s">
        <v>320</v>
      </c>
      <c r="D210" s="71" t="s">
        <v>45</v>
      </c>
      <c r="E210" s="335">
        <v>900</v>
      </c>
      <c r="F210" s="335">
        <v>135</v>
      </c>
      <c r="G210" s="335">
        <v>472</v>
      </c>
      <c r="H210" s="335">
        <v>2018</v>
      </c>
      <c r="I210" s="335">
        <v>2020</v>
      </c>
      <c r="J210" s="335">
        <f t="shared" si="100"/>
        <v>144</v>
      </c>
      <c r="K210" s="348"/>
      <c r="L210" s="387">
        <v>48</v>
      </c>
      <c r="M210" s="387">
        <v>96</v>
      </c>
      <c r="N210" s="335">
        <f t="shared" si="101"/>
        <v>144</v>
      </c>
      <c r="O210" s="385"/>
      <c r="P210" s="385"/>
      <c r="Q210" s="385"/>
      <c r="R210" s="399"/>
      <c r="S210" s="102" t="s">
        <v>1993</v>
      </c>
      <c r="T210" s="86" t="s">
        <v>1994</v>
      </c>
      <c r="U210" s="86" t="s">
        <v>417</v>
      </c>
      <c r="V210" s="363"/>
      <c r="W210" s="364"/>
      <c r="X210" s="365"/>
    </row>
    <row r="211" s="317" customFormat="1" spans="1:24">
      <c r="A211" s="147">
        <v>204</v>
      </c>
      <c r="B211" s="71" t="s">
        <v>919</v>
      </c>
      <c r="C211" s="147" t="s">
        <v>320</v>
      </c>
      <c r="D211" s="71" t="s">
        <v>45</v>
      </c>
      <c r="E211" s="335"/>
      <c r="F211" s="335"/>
      <c r="G211" s="335"/>
      <c r="H211" s="335"/>
      <c r="I211" s="335"/>
      <c r="J211" s="335"/>
      <c r="K211" s="348"/>
      <c r="L211" s="348"/>
      <c r="M211" s="340"/>
      <c r="N211" s="385"/>
      <c r="O211" s="385"/>
      <c r="P211" s="385"/>
      <c r="Q211" s="385"/>
      <c r="R211" s="399"/>
      <c r="S211" s="86" t="s">
        <v>1982</v>
      </c>
      <c r="T211" s="86" t="s">
        <v>2051</v>
      </c>
      <c r="U211" s="86" t="s">
        <v>435</v>
      </c>
      <c r="V211" s="363"/>
      <c r="W211" s="364"/>
      <c r="X211" s="365"/>
    </row>
    <row r="212" s="317" customFormat="1" spans="1:24">
      <c r="A212" s="147">
        <v>205</v>
      </c>
      <c r="B212" s="381" t="s">
        <v>423</v>
      </c>
      <c r="C212" s="147" t="s">
        <v>320</v>
      </c>
      <c r="D212" s="71" t="s">
        <v>147</v>
      </c>
      <c r="E212" s="335">
        <f t="shared" ref="E212:G212" si="102">SUM(E213:E217)</f>
        <v>200</v>
      </c>
      <c r="F212" s="335">
        <f t="shared" si="102"/>
        <v>200</v>
      </c>
      <c r="G212" s="335">
        <f t="shared" si="102"/>
        <v>200</v>
      </c>
      <c r="H212" s="335">
        <v>2018</v>
      </c>
      <c r="I212" s="335">
        <v>2020</v>
      </c>
      <c r="J212" s="335">
        <f>K212+L212+M212</f>
        <v>484.8</v>
      </c>
      <c r="K212" s="345">
        <f t="shared" ref="K212:M212" si="103">K213+K214+K215+K216+K217</f>
        <v>161.6</v>
      </c>
      <c r="L212" s="345">
        <f t="shared" si="103"/>
        <v>161.6</v>
      </c>
      <c r="M212" s="345">
        <f t="shared" si="103"/>
        <v>161.6</v>
      </c>
      <c r="N212" s="335">
        <f t="shared" ref="N212:N217" si="104">J212</f>
        <v>484.8</v>
      </c>
      <c r="O212" s="385"/>
      <c r="P212" s="385"/>
      <c r="Q212" s="385"/>
      <c r="R212" s="399"/>
      <c r="S212" s="86" t="s">
        <v>1982</v>
      </c>
      <c r="T212" s="86" t="s">
        <v>2051</v>
      </c>
      <c r="U212" s="86" t="s">
        <v>417</v>
      </c>
      <c r="V212" s="363"/>
      <c r="W212" s="364"/>
      <c r="X212" s="365"/>
    </row>
    <row r="213" s="317" customFormat="1" ht="24" spans="1:24">
      <c r="A213" s="147">
        <v>206</v>
      </c>
      <c r="B213" s="71" t="s">
        <v>1983</v>
      </c>
      <c r="C213" s="147" t="s">
        <v>320</v>
      </c>
      <c r="D213" s="71" t="s">
        <v>147</v>
      </c>
      <c r="E213" s="335">
        <v>50</v>
      </c>
      <c r="F213" s="335">
        <v>50</v>
      </c>
      <c r="G213" s="335">
        <v>50</v>
      </c>
      <c r="H213" s="335">
        <v>2018</v>
      </c>
      <c r="I213" s="335">
        <v>2020</v>
      </c>
      <c r="J213" s="335">
        <f t="shared" ref="J213:J217" si="105">SUM(K213:M213)</f>
        <v>121.2</v>
      </c>
      <c r="K213" s="345">
        <v>40.4</v>
      </c>
      <c r="L213" s="345">
        <v>40.4</v>
      </c>
      <c r="M213" s="339">
        <v>40.4</v>
      </c>
      <c r="N213" s="335">
        <f t="shared" si="104"/>
        <v>121.2</v>
      </c>
      <c r="O213" s="385"/>
      <c r="P213" s="385"/>
      <c r="Q213" s="385"/>
      <c r="R213" s="399"/>
      <c r="S213" s="102" t="s">
        <v>1984</v>
      </c>
      <c r="T213" s="86" t="s">
        <v>1985</v>
      </c>
      <c r="U213" s="86" t="s">
        <v>417</v>
      </c>
      <c r="V213" s="363"/>
      <c r="W213" s="364"/>
      <c r="X213" s="365"/>
    </row>
    <row r="214" s="317" customFormat="1" ht="24" spans="1:24">
      <c r="A214" s="147">
        <v>207</v>
      </c>
      <c r="B214" s="71" t="s">
        <v>1986</v>
      </c>
      <c r="C214" s="147" t="s">
        <v>320</v>
      </c>
      <c r="D214" s="71" t="s">
        <v>147</v>
      </c>
      <c r="E214" s="335">
        <v>36</v>
      </c>
      <c r="F214" s="335">
        <v>36</v>
      </c>
      <c r="G214" s="335">
        <v>36</v>
      </c>
      <c r="H214" s="335">
        <v>2018</v>
      </c>
      <c r="I214" s="335">
        <v>2020</v>
      </c>
      <c r="J214" s="335">
        <f t="shared" si="105"/>
        <v>87.264</v>
      </c>
      <c r="K214" s="343">
        <v>29.088</v>
      </c>
      <c r="L214" s="343">
        <v>29.088</v>
      </c>
      <c r="M214" s="344">
        <v>29.088</v>
      </c>
      <c r="N214" s="335">
        <f t="shared" si="104"/>
        <v>87.264</v>
      </c>
      <c r="O214" s="385"/>
      <c r="P214" s="385"/>
      <c r="Q214" s="385"/>
      <c r="R214" s="399"/>
      <c r="S214" s="102" t="s">
        <v>1987</v>
      </c>
      <c r="T214" s="86" t="s">
        <v>1988</v>
      </c>
      <c r="U214" s="86" t="s">
        <v>417</v>
      </c>
      <c r="V214" s="363"/>
      <c r="W214" s="364"/>
      <c r="X214" s="365"/>
    </row>
    <row r="215" s="317" customFormat="1" ht="24" spans="1:24">
      <c r="A215" s="147">
        <v>208</v>
      </c>
      <c r="B215" s="71" t="s">
        <v>1989</v>
      </c>
      <c r="C215" s="147" t="s">
        <v>320</v>
      </c>
      <c r="D215" s="71" t="s">
        <v>147</v>
      </c>
      <c r="E215" s="335">
        <v>50</v>
      </c>
      <c r="F215" s="335">
        <v>50</v>
      </c>
      <c r="G215" s="335">
        <v>50</v>
      </c>
      <c r="H215" s="335">
        <v>2018</v>
      </c>
      <c r="I215" s="335">
        <v>2020</v>
      </c>
      <c r="J215" s="335">
        <f t="shared" si="105"/>
        <v>121.2</v>
      </c>
      <c r="K215" s="345">
        <v>40.4</v>
      </c>
      <c r="L215" s="345">
        <v>40.4</v>
      </c>
      <c r="M215" s="339">
        <v>40.4</v>
      </c>
      <c r="N215" s="335">
        <f t="shared" si="104"/>
        <v>121.2</v>
      </c>
      <c r="O215" s="385"/>
      <c r="P215" s="385"/>
      <c r="Q215" s="385"/>
      <c r="R215" s="399"/>
      <c r="S215" s="102" t="s">
        <v>1980</v>
      </c>
      <c r="T215" s="86" t="s">
        <v>1990</v>
      </c>
      <c r="U215" s="86" t="s">
        <v>417</v>
      </c>
      <c r="V215" s="363"/>
      <c r="W215" s="364"/>
      <c r="X215" s="365"/>
    </row>
    <row r="216" s="317" customFormat="1" ht="24" spans="1:24">
      <c r="A216" s="147">
        <v>209</v>
      </c>
      <c r="B216" s="71" t="s">
        <v>1991</v>
      </c>
      <c r="C216" s="147" t="s">
        <v>320</v>
      </c>
      <c r="D216" s="71" t="s">
        <v>147</v>
      </c>
      <c r="E216" s="335">
        <v>35</v>
      </c>
      <c r="F216" s="335">
        <v>35</v>
      </c>
      <c r="G216" s="335">
        <v>35</v>
      </c>
      <c r="H216" s="335">
        <v>2018</v>
      </c>
      <c r="I216" s="335">
        <v>2020</v>
      </c>
      <c r="J216" s="335">
        <f t="shared" si="105"/>
        <v>84.84</v>
      </c>
      <c r="K216" s="343">
        <v>28.28</v>
      </c>
      <c r="L216" s="343">
        <v>28.28</v>
      </c>
      <c r="M216" s="344">
        <v>28.28</v>
      </c>
      <c r="N216" s="335">
        <f t="shared" si="104"/>
        <v>84.84</v>
      </c>
      <c r="O216" s="385"/>
      <c r="P216" s="385"/>
      <c r="Q216" s="385"/>
      <c r="R216" s="399"/>
      <c r="S216" s="102" t="s">
        <v>1982</v>
      </c>
      <c r="T216" s="86" t="s">
        <v>1995</v>
      </c>
      <c r="U216" s="86" t="s">
        <v>417</v>
      </c>
      <c r="V216" s="363"/>
      <c r="W216" s="364"/>
      <c r="X216" s="365"/>
    </row>
    <row r="217" s="317" customFormat="1" ht="24" spans="1:24">
      <c r="A217" s="147">
        <v>210</v>
      </c>
      <c r="B217" s="71" t="s">
        <v>1992</v>
      </c>
      <c r="C217" s="147" t="s">
        <v>320</v>
      </c>
      <c r="D217" s="71" t="s">
        <v>147</v>
      </c>
      <c r="E217" s="335">
        <v>29</v>
      </c>
      <c r="F217" s="335">
        <v>29</v>
      </c>
      <c r="G217" s="335">
        <v>29</v>
      </c>
      <c r="H217" s="335">
        <v>2018</v>
      </c>
      <c r="I217" s="335">
        <v>2020</v>
      </c>
      <c r="J217" s="335">
        <f t="shared" si="105"/>
        <v>70.296</v>
      </c>
      <c r="K217" s="343">
        <v>23.432</v>
      </c>
      <c r="L217" s="343">
        <v>23.432</v>
      </c>
      <c r="M217" s="344">
        <v>23.432</v>
      </c>
      <c r="N217" s="335">
        <f t="shared" si="104"/>
        <v>70.296</v>
      </c>
      <c r="O217" s="385"/>
      <c r="P217" s="385"/>
      <c r="Q217" s="385"/>
      <c r="R217" s="399"/>
      <c r="S217" s="102" t="s">
        <v>1993</v>
      </c>
      <c r="T217" s="86" t="s">
        <v>1994</v>
      </c>
      <c r="U217" s="86" t="s">
        <v>417</v>
      </c>
      <c r="V217" s="363"/>
      <c r="W217" s="364"/>
      <c r="X217" s="365"/>
    </row>
    <row r="218" s="317" customFormat="1" spans="1:24">
      <c r="A218" s="147">
        <v>211</v>
      </c>
      <c r="B218" s="381" t="s">
        <v>434</v>
      </c>
      <c r="C218" s="147" t="s">
        <v>320</v>
      </c>
      <c r="D218" s="71" t="s">
        <v>147</v>
      </c>
      <c r="E218" s="335"/>
      <c r="F218" s="335"/>
      <c r="G218" s="335"/>
      <c r="H218" s="335"/>
      <c r="I218" s="335"/>
      <c r="J218" s="335"/>
      <c r="K218" s="348"/>
      <c r="L218" s="348"/>
      <c r="M218" s="340"/>
      <c r="N218" s="385"/>
      <c r="O218" s="385"/>
      <c r="P218" s="385"/>
      <c r="Q218" s="385"/>
      <c r="R218" s="399"/>
      <c r="S218" s="123"/>
      <c r="T218" s="123"/>
      <c r="U218" s="86" t="s">
        <v>435</v>
      </c>
      <c r="V218" s="363"/>
      <c r="W218" s="364"/>
      <c r="X218" s="365"/>
    </row>
    <row r="219" s="317" customFormat="1" ht="24" spans="1:24">
      <c r="A219" s="147">
        <v>212</v>
      </c>
      <c r="B219" s="71" t="s">
        <v>436</v>
      </c>
      <c r="C219" s="71" t="s">
        <v>52</v>
      </c>
      <c r="D219" s="71" t="s">
        <v>150</v>
      </c>
      <c r="E219" s="335"/>
      <c r="F219" s="335"/>
      <c r="G219" s="335"/>
      <c r="H219" s="335"/>
      <c r="I219" s="335"/>
      <c r="J219" s="335"/>
      <c r="K219" s="348"/>
      <c r="L219" s="348"/>
      <c r="M219" s="340"/>
      <c r="N219" s="385"/>
      <c r="O219" s="385"/>
      <c r="P219" s="385"/>
      <c r="Q219" s="385"/>
      <c r="R219" s="399"/>
      <c r="S219" s="123"/>
      <c r="T219" s="123"/>
      <c r="U219" s="86" t="s">
        <v>417</v>
      </c>
      <c r="V219" s="363"/>
      <c r="W219" s="364"/>
      <c r="X219" s="365"/>
    </row>
    <row r="220" s="320" customFormat="1" spans="1:24">
      <c r="A220" s="147">
        <v>213</v>
      </c>
      <c r="B220" s="28" t="s">
        <v>2052</v>
      </c>
      <c r="C220" s="147" t="s">
        <v>320</v>
      </c>
      <c r="D220" s="147" t="s">
        <v>320</v>
      </c>
      <c r="E220" s="335"/>
      <c r="F220" s="335">
        <f>F221+F227+F240+F251</f>
        <v>166</v>
      </c>
      <c r="G220" s="335">
        <f>G221+G227+G240+G251</f>
        <v>329</v>
      </c>
      <c r="H220" s="335">
        <v>2018</v>
      </c>
      <c r="I220" s="335">
        <v>2020</v>
      </c>
      <c r="J220" s="335">
        <f>K220+L220+M220</f>
        <v>414.625176</v>
      </c>
      <c r="K220" s="347">
        <f t="shared" ref="K220:R220" si="106">K221+K227+K240</f>
        <v>129.6036</v>
      </c>
      <c r="L220" s="348">
        <f t="shared" si="106"/>
        <v>137.79864</v>
      </c>
      <c r="M220" s="348">
        <f t="shared" si="106"/>
        <v>147.222936</v>
      </c>
      <c r="N220" s="335">
        <f t="shared" si="106"/>
        <v>414.625176</v>
      </c>
      <c r="O220" s="335">
        <f t="shared" si="106"/>
        <v>0</v>
      </c>
      <c r="P220" s="335">
        <f t="shared" si="106"/>
        <v>0</v>
      </c>
      <c r="Q220" s="335">
        <f t="shared" si="106"/>
        <v>0</v>
      </c>
      <c r="R220" s="335">
        <f t="shared" si="106"/>
        <v>0</v>
      </c>
      <c r="S220" s="123"/>
      <c r="T220" s="123"/>
      <c r="U220" s="147" t="s">
        <v>320</v>
      </c>
      <c r="V220" s="363"/>
      <c r="W220" s="364"/>
      <c r="X220" s="365"/>
    </row>
    <row r="221" s="320" customFormat="1" ht="24" spans="1:24">
      <c r="A221" s="147">
        <v>214</v>
      </c>
      <c r="B221" s="71" t="s">
        <v>443</v>
      </c>
      <c r="C221" s="147" t="s">
        <v>320</v>
      </c>
      <c r="D221" s="71" t="s">
        <v>384</v>
      </c>
      <c r="E221" s="335">
        <f t="shared" ref="E221:G221" si="107">SUM(E222:E226)</f>
        <v>108</v>
      </c>
      <c r="F221" s="335">
        <f t="shared" si="107"/>
        <v>108</v>
      </c>
      <c r="G221" s="335">
        <f t="shared" si="107"/>
        <v>271</v>
      </c>
      <c r="H221" s="335">
        <v>2018</v>
      </c>
      <c r="I221" s="335">
        <v>2020</v>
      </c>
      <c r="J221" s="335">
        <f t="shared" ref="J221:N221" si="108">J222+J223+J224+J225+J226</f>
        <v>189.715176</v>
      </c>
      <c r="K221" s="347">
        <f t="shared" si="108"/>
        <v>54.6336</v>
      </c>
      <c r="L221" s="348">
        <f t="shared" si="108"/>
        <v>62.82864</v>
      </c>
      <c r="M221" s="348">
        <f t="shared" si="108"/>
        <v>72.252936</v>
      </c>
      <c r="N221" s="335">
        <f t="shared" si="108"/>
        <v>189.715176</v>
      </c>
      <c r="O221" s="145"/>
      <c r="P221" s="145"/>
      <c r="Q221" s="145"/>
      <c r="R221" s="399"/>
      <c r="S221" s="86" t="s">
        <v>1982</v>
      </c>
      <c r="T221" s="86" t="s">
        <v>2053</v>
      </c>
      <c r="U221" s="86" t="s">
        <v>338</v>
      </c>
      <c r="V221" s="363"/>
      <c r="W221" s="364"/>
      <c r="X221" s="365"/>
    </row>
    <row r="222" s="320" customFormat="1" ht="24" spans="1:24">
      <c r="A222" s="147">
        <v>215</v>
      </c>
      <c r="B222" s="71" t="s">
        <v>1983</v>
      </c>
      <c r="C222" s="147" t="s">
        <v>320</v>
      </c>
      <c r="D222" s="71" t="s">
        <v>384</v>
      </c>
      <c r="E222" s="335">
        <v>20</v>
      </c>
      <c r="F222" s="335">
        <v>20</v>
      </c>
      <c r="G222" s="335">
        <v>46</v>
      </c>
      <c r="H222" s="335">
        <v>2018</v>
      </c>
      <c r="I222" s="335">
        <v>2020</v>
      </c>
      <c r="J222" s="335">
        <f t="shared" ref="J222:J225" si="109">SUM(K222:M222)</f>
        <v>32.202576</v>
      </c>
      <c r="K222" s="347">
        <f t="shared" ref="K222:K226" si="110">G222*0.0168*12</f>
        <v>9.2736</v>
      </c>
      <c r="L222" s="348">
        <f t="shared" ref="L222:L226" si="111">K222*1.15</f>
        <v>10.66464</v>
      </c>
      <c r="M222" s="340">
        <f t="shared" ref="M222:M226" si="112">L222*1.15</f>
        <v>12.264336</v>
      </c>
      <c r="N222" s="145">
        <v>32.202576</v>
      </c>
      <c r="O222" s="145"/>
      <c r="P222" s="145"/>
      <c r="Q222" s="145"/>
      <c r="R222" s="399"/>
      <c r="S222" s="102" t="s">
        <v>1984</v>
      </c>
      <c r="T222" s="86" t="s">
        <v>1985</v>
      </c>
      <c r="U222" s="86" t="s">
        <v>338</v>
      </c>
      <c r="V222" s="363"/>
      <c r="W222" s="364"/>
      <c r="X222" s="365"/>
    </row>
    <row r="223" s="320" customFormat="1" ht="24" spans="1:24">
      <c r="A223" s="147">
        <v>216</v>
      </c>
      <c r="B223" s="71" t="s">
        <v>1986</v>
      </c>
      <c r="C223" s="147" t="s">
        <v>320</v>
      </c>
      <c r="D223" s="71" t="s">
        <v>384</v>
      </c>
      <c r="E223" s="335">
        <v>32</v>
      </c>
      <c r="F223" s="335">
        <v>32</v>
      </c>
      <c r="G223" s="335">
        <v>89</v>
      </c>
      <c r="H223" s="335">
        <v>2018</v>
      </c>
      <c r="I223" s="335">
        <v>2020</v>
      </c>
      <c r="J223" s="335">
        <f t="shared" si="109"/>
        <v>62.304984</v>
      </c>
      <c r="K223" s="347">
        <f t="shared" si="110"/>
        <v>17.9424</v>
      </c>
      <c r="L223" s="348">
        <f t="shared" si="111"/>
        <v>20.63376</v>
      </c>
      <c r="M223" s="340">
        <f t="shared" si="112"/>
        <v>23.728824</v>
      </c>
      <c r="N223" s="145">
        <v>62.304984</v>
      </c>
      <c r="O223" s="145"/>
      <c r="P223" s="145"/>
      <c r="Q223" s="145"/>
      <c r="R223" s="399"/>
      <c r="S223" s="102" t="s">
        <v>1987</v>
      </c>
      <c r="T223" s="86" t="s">
        <v>1988</v>
      </c>
      <c r="U223" s="86" t="s">
        <v>338</v>
      </c>
      <c r="V223" s="363"/>
      <c r="W223" s="364"/>
      <c r="X223" s="365"/>
    </row>
    <row r="224" s="320" customFormat="1" ht="24" spans="1:24">
      <c r="A224" s="147">
        <v>217</v>
      </c>
      <c r="B224" s="71" t="s">
        <v>1989</v>
      </c>
      <c r="C224" s="147" t="s">
        <v>320</v>
      </c>
      <c r="D224" s="71" t="s">
        <v>384</v>
      </c>
      <c r="E224" s="335">
        <v>27</v>
      </c>
      <c r="F224" s="335">
        <v>27</v>
      </c>
      <c r="G224" s="335">
        <v>55</v>
      </c>
      <c r="H224" s="335">
        <v>2018</v>
      </c>
      <c r="I224" s="335">
        <v>2020</v>
      </c>
      <c r="J224" s="335">
        <f t="shared" si="109"/>
        <v>38.50308</v>
      </c>
      <c r="K224" s="347">
        <f t="shared" si="110"/>
        <v>11.088</v>
      </c>
      <c r="L224" s="348">
        <f t="shared" si="111"/>
        <v>12.7512</v>
      </c>
      <c r="M224" s="340">
        <f t="shared" si="112"/>
        <v>14.66388</v>
      </c>
      <c r="N224" s="145">
        <v>38.50308</v>
      </c>
      <c r="O224" s="145"/>
      <c r="P224" s="145"/>
      <c r="Q224" s="145"/>
      <c r="R224" s="399"/>
      <c r="S224" s="102" t="s">
        <v>1980</v>
      </c>
      <c r="T224" s="86" t="s">
        <v>1990</v>
      </c>
      <c r="U224" s="86" t="s">
        <v>338</v>
      </c>
      <c r="V224" s="363"/>
      <c r="W224" s="364"/>
      <c r="X224" s="365"/>
    </row>
    <row r="225" s="320" customFormat="1" ht="24" spans="1:24">
      <c r="A225" s="147">
        <v>218</v>
      </c>
      <c r="B225" s="71" t="s">
        <v>1991</v>
      </c>
      <c r="C225" s="147" t="s">
        <v>320</v>
      </c>
      <c r="D225" s="71" t="s">
        <v>384</v>
      </c>
      <c r="E225" s="335">
        <v>19</v>
      </c>
      <c r="F225" s="335">
        <v>19</v>
      </c>
      <c r="G225" s="335">
        <v>58</v>
      </c>
      <c r="H225" s="335">
        <v>2018</v>
      </c>
      <c r="I225" s="335">
        <v>2020</v>
      </c>
      <c r="J225" s="335">
        <f t="shared" si="109"/>
        <v>40.603248</v>
      </c>
      <c r="K225" s="347">
        <f t="shared" si="110"/>
        <v>11.6928</v>
      </c>
      <c r="L225" s="348">
        <f t="shared" si="111"/>
        <v>13.44672</v>
      </c>
      <c r="M225" s="340">
        <f t="shared" si="112"/>
        <v>15.463728</v>
      </c>
      <c r="N225" s="145">
        <v>40.603248</v>
      </c>
      <c r="O225" s="145"/>
      <c r="P225" s="145"/>
      <c r="Q225" s="145"/>
      <c r="R225" s="399"/>
      <c r="S225" s="102" t="s">
        <v>1982</v>
      </c>
      <c r="T225" s="86" t="s">
        <v>1995</v>
      </c>
      <c r="U225" s="86" t="s">
        <v>338</v>
      </c>
      <c r="V225" s="363"/>
      <c r="W225" s="364"/>
      <c r="X225" s="365"/>
    </row>
    <row r="226" s="320" customFormat="1" ht="24" spans="1:24">
      <c r="A226" s="147">
        <v>219</v>
      </c>
      <c r="B226" s="71" t="s">
        <v>1992</v>
      </c>
      <c r="C226" s="147" t="s">
        <v>320</v>
      </c>
      <c r="D226" s="71" t="s">
        <v>384</v>
      </c>
      <c r="E226" s="335">
        <v>10</v>
      </c>
      <c r="F226" s="335">
        <v>10</v>
      </c>
      <c r="G226" s="335">
        <v>23</v>
      </c>
      <c r="H226" s="335">
        <v>2018</v>
      </c>
      <c r="I226" s="335">
        <v>2020</v>
      </c>
      <c r="J226" s="145">
        <v>16.101288</v>
      </c>
      <c r="K226" s="347">
        <f t="shared" si="110"/>
        <v>4.6368</v>
      </c>
      <c r="L226" s="348">
        <f t="shared" si="111"/>
        <v>5.33232</v>
      </c>
      <c r="M226" s="340">
        <f t="shared" si="112"/>
        <v>6.132168</v>
      </c>
      <c r="N226" s="145">
        <v>16.101288</v>
      </c>
      <c r="O226" s="145"/>
      <c r="P226" s="145"/>
      <c r="Q226" s="145"/>
      <c r="R226" s="399"/>
      <c r="S226" s="102" t="s">
        <v>1993</v>
      </c>
      <c r="T226" s="86" t="s">
        <v>1994</v>
      </c>
      <c r="U226" s="86" t="s">
        <v>338</v>
      </c>
      <c r="V226" s="363"/>
      <c r="W226" s="364"/>
      <c r="X226" s="365"/>
    </row>
    <row r="227" s="320" customFormat="1" ht="24" spans="1:24">
      <c r="A227" s="147">
        <v>220</v>
      </c>
      <c r="B227" s="71" t="s">
        <v>446</v>
      </c>
      <c r="C227" s="147" t="s">
        <v>320</v>
      </c>
      <c r="D227" s="71" t="s">
        <v>147</v>
      </c>
      <c r="E227" s="335">
        <v>83</v>
      </c>
      <c r="F227" s="335">
        <v>19</v>
      </c>
      <c r="G227" s="335">
        <v>19</v>
      </c>
      <c r="H227" s="335">
        <v>2018</v>
      </c>
      <c r="I227" s="335">
        <v>2020</v>
      </c>
      <c r="J227" s="335">
        <f t="shared" ref="J227:N227" si="113">J228+J234</f>
        <v>198.702</v>
      </c>
      <c r="K227" s="347">
        <f t="shared" si="113"/>
        <v>66.234</v>
      </c>
      <c r="L227" s="347">
        <f t="shared" si="113"/>
        <v>66.234</v>
      </c>
      <c r="M227" s="347">
        <f t="shared" si="113"/>
        <v>66.234</v>
      </c>
      <c r="N227" s="335">
        <f t="shared" si="113"/>
        <v>198.702</v>
      </c>
      <c r="O227" s="145"/>
      <c r="P227" s="145"/>
      <c r="Q227" s="145"/>
      <c r="R227" s="399"/>
      <c r="S227" s="86" t="s">
        <v>1982</v>
      </c>
      <c r="T227" s="86" t="s">
        <v>2053</v>
      </c>
      <c r="U227" s="147" t="s">
        <v>320</v>
      </c>
      <c r="V227" s="363"/>
      <c r="W227" s="364"/>
      <c r="X227" s="365"/>
    </row>
    <row r="228" s="320" customFormat="1" spans="1:24">
      <c r="A228" s="147">
        <v>221</v>
      </c>
      <c r="B228" s="147" t="s">
        <v>936</v>
      </c>
      <c r="C228" s="147" t="s">
        <v>320</v>
      </c>
      <c r="D228" s="71" t="s">
        <v>147</v>
      </c>
      <c r="E228" s="335">
        <v>59</v>
      </c>
      <c r="F228" s="335">
        <v>19</v>
      </c>
      <c r="G228" s="335">
        <v>19</v>
      </c>
      <c r="H228" s="335">
        <v>2018</v>
      </c>
      <c r="I228" s="335">
        <v>2020</v>
      </c>
      <c r="J228" s="335">
        <v>141.246</v>
      </c>
      <c r="K228" s="347">
        <v>47.082</v>
      </c>
      <c r="L228" s="347">
        <v>47.082</v>
      </c>
      <c r="M228" s="347">
        <v>47.082</v>
      </c>
      <c r="N228" s="145">
        <f>J228</f>
        <v>141.246</v>
      </c>
      <c r="O228" s="145"/>
      <c r="P228" s="145"/>
      <c r="Q228" s="145"/>
      <c r="R228" s="399"/>
      <c r="S228" s="86" t="s">
        <v>1993</v>
      </c>
      <c r="T228" s="86" t="s">
        <v>2053</v>
      </c>
      <c r="U228" s="86" t="s">
        <v>338</v>
      </c>
      <c r="V228" s="363"/>
      <c r="W228" s="364"/>
      <c r="X228" s="365"/>
    </row>
    <row r="229" s="320" customFormat="1" ht="24" spans="1:24">
      <c r="A229" s="147">
        <v>222</v>
      </c>
      <c r="B229" s="71" t="s">
        <v>1983</v>
      </c>
      <c r="C229" s="147"/>
      <c r="D229" s="147"/>
      <c r="E229" s="335">
        <v>6</v>
      </c>
      <c r="F229" s="335">
        <v>3</v>
      </c>
      <c r="G229" s="335">
        <v>3</v>
      </c>
      <c r="H229" s="335">
        <v>2018</v>
      </c>
      <c r="I229" s="335">
        <v>2020</v>
      </c>
      <c r="J229" s="335">
        <f t="shared" ref="J229:J233" si="114">K229+L229+M229</f>
        <v>14.364</v>
      </c>
      <c r="K229" s="347">
        <f t="shared" ref="K229:K233" si="115">E229*0.798</f>
        <v>4.788</v>
      </c>
      <c r="L229" s="347">
        <v>4.788</v>
      </c>
      <c r="M229" s="347">
        <v>4.788</v>
      </c>
      <c r="N229" s="145">
        <f t="shared" ref="N229:N233" si="116">K229+L229+M229</f>
        <v>14.364</v>
      </c>
      <c r="O229" s="145"/>
      <c r="P229" s="145"/>
      <c r="Q229" s="145"/>
      <c r="R229" s="399"/>
      <c r="S229" s="102" t="s">
        <v>1984</v>
      </c>
      <c r="T229" s="86" t="s">
        <v>1985</v>
      </c>
      <c r="U229" s="123"/>
      <c r="V229" s="363"/>
      <c r="W229" s="364"/>
      <c r="X229" s="365"/>
    </row>
    <row r="230" s="320" customFormat="1" ht="24" spans="1:24">
      <c r="A230" s="147">
        <v>223</v>
      </c>
      <c r="B230" s="71" t="s">
        <v>1986</v>
      </c>
      <c r="C230" s="147"/>
      <c r="D230" s="147"/>
      <c r="E230" s="335">
        <v>13</v>
      </c>
      <c r="F230" s="335">
        <v>2</v>
      </c>
      <c r="G230" s="335">
        <v>2</v>
      </c>
      <c r="H230" s="335">
        <v>2018</v>
      </c>
      <c r="I230" s="335">
        <v>2020</v>
      </c>
      <c r="J230" s="335">
        <f t="shared" si="114"/>
        <v>31.122</v>
      </c>
      <c r="K230" s="347">
        <f t="shared" si="115"/>
        <v>10.374</v>
      </c>
      <c r="L230" s="347">
        <v>10.374</v>
      </c>
      <c r="M230" s="347">
        <v>10.374</v>
      </c>
      <c r="N230" s="145">
        <f t="shared" si="116"/>
        <v>31.122</v>
      </c>
      <c r="O230" s="145"/>
      <c r="P230" s="145"/>
      <c r="Q230" s="145"/>
      <c r="R230" s="399"/>
      <c r="S230" s="102" t="s">
        <v>1987</v>
      </c>
      <c r="T230" s="86" t="s">
        <v>1988</v>
      </c>
      <c r="U230" s="123"/>
      <c r="V230" s="363"/>
      <c r="W230" s="364"/>
      <c r="X230" s="365"/>
    </row>
    <row r="231" s="320" customFormat="1" ht="24" spans="1:24">
      <c r="A231" s="147">
        <v>224</v>
      </c>
      <c r="B231" s="71" t="s">
        <v>1989</v>
      </c>
      <c r="C231" s="147"/>
      <c r="D231" s="147"/>
      <c r="E231" s="335">
        <v>14</v>
      </c>
      <c r="F231" s="335">
        <v>5</v>
      </c>
      <c r="G231" s="335">
        <v>5</v>
      </c>
      <c r="H231" s="335">
        <v>2018</v>
      </c>
      <c r="I231" s="335">
        <v>2020</v>
      </c>
      <c r="J231" s="335">
        <f t="shared" si="114"/>
        <v>33.516</v>
      </c>
      <c r="K231" s="343">
        <f t="shared" si="115"/>
        <v>11.172</v>
      </c>
      <c r="L231" s="343">
        <v>11.172</v>
      </c>
      <c r="M231" s="343">
        <v>11.172</v>
      </c>
      <c r="N231" s="145">
        <f t="shared" si="116"/>
        <v>33.516</v>
      </c>
      <c r="O231" s="145"/>
      <c r="P231" s="145"/>
      <c r="Q231" s="145"/>
      <c r="R231" s="399"/>
      <c r="S231" s="102" t="s">
        <v>1980</v>
      </c>
      <c r="T231" s="86" t="s">
        <v>1990</v>
      </c>
      <c r="U231" s="123"/>
      <c r="V231" s="363"/>
      <c r="W231" s="364"/>
      <c r="X231" s="365"/>
    </row>
    <row r="232" s="320" customFormat="1" ht="24" spans="1:24">
      <c r="A232" s="147">
        <v>225</v>
      </c>
      <c r="B232" s="71" t="s">
        <v>1991</v>
      </c>
      <c r="C232" s="147"/>
      <c r="D232" s="147"/>
      <c r="E232" s="335">
        <v>14</v>
      </c>
      <c r="F232" s="335">
        <v>2</v>
      </c>
      <c r="G232" s="335">
        <v>2</v>
      </c>
      <c r="H232" s="335">
        <v>2018</v>
      </c>
      <c r="I232" s="335">
        <v>2020</v>
      </c>
      <c r="J232" s="335">
        <f t="shared" si="114"/>
        <v>33.516</v>
      </c>
      <c r="K232" s="347">
        <f t="shared" si="115"/>
        <v>11.172</v>
      </c>
      <c r="L232" s="347">
        <v>11.172</v>
      </c>
      <c r="M232" s="347">
        <v>11.172</v>
      </c>
      <c r="N232" s="145">
        <f t="shared" si="116"/>
        <v>33.516</v>
      </c>
      <c r="O232" s="145"/>
      <c r="P232" s="145"/>
      <c r="Q232" s="145"/>
      <c r="R232" s="399"/>
      <c r="S232" s="102" t="s">
        <v>1982</v>
      </c>
      <c r="T232" s="86" t="s">
        <v>1995</v>
      </c>
      <c r="U232" s="123"/>
      <c r="V232" s="363"/>
      <c r="W232" s="364"/>
      <c r="X232" s="365"/>
    </row>
    <row r="233" s="320" customFormat="1" ht="24" spans="1:24">
      <c r="A233" s="147">
        <v>226</v>
      </c>
      <c r="B233" s="71" t="s">
        <v>1992</v>
      </c>
      <c r="C233" s="147"/>
      <c r="D233" s="147"/>
      <c r="E233" s="335">
        <v>12</v>
      </c>
      <c r="F233" s="335">
        <v>7</v>
      </c>
      <c r="G233" s="335">
        <v>7</v>
      </c>
      <c r="H233" s="335">
        <v>2018</v>
      </c>
      <c r="I233" s="335">
        <v>2020</v>
      </c>
      <c r="J233" s="335">
        <f t="shared" si="114"/>
        <v>28.728</v>
      </c>
      <c r="K233" s="347">
        <f t="shared" si="115"/>
        <v>9.576</v>
      </c>
      <c r="L233" s="347">
        <v>9.576</v>
      </c>
      <c r="M233" s="347">
        <v>9.576</v>
      </c>
      <c r="N233" s="145">
        <f t="shared" si="116"/>
        <v>28.728</v>
      </c>
      <c r="O233" s="145"/>
      <c r="P233" s="145"/>
      <c r="Q233" s="145"/>
      <c r="R233" s="399"/>
      <c r="S233" s="102" t="s">
        <v>1993</v>
      </c>
      <c r="T233" s="86" t="s">
        <v>1994</v>
      </c>
      <c r="U233" s="123"/>
      <c r="V233" s="363"/>
      <c r="W233" s="364"/>
      <c r="X233" s="365"/>
    </row>
    <row r="234" s="320" customFormat="1" spans="1:24">
      <c r="A234" s="147">
        <v>227</v>
      </c>
      <c r="B234" s="147" t="s">
        <v>938</v>
      </c>
      <c r="C234" s="147" t="s">
        <v>320</v>
      </c>
      <c r="D234" s="71" t="s">
        <v>147</v>
      </c>
      <c r="E234" s="335">
        <v>24</v>
      </c>
      <c r="F234" s="335">
        <v>1</v>
      </c>
      <c r="G234" s="335">
        <v>1</v>
      </c>
      <c r="H234" s="335">
        <v>2018</v>
      </c>
      <c r="I234" s="335">
        <v>2020</v>
      </c>
      <c r="J234" s="145">
        <v>57.456</v>
      </c>
      <c r="K234" s="347">
        <v>19.152</v>
      </c>
      <c r="L234" s="347">
        <v>19.152</v>
      </c>
      <c r="M234" s="347">
        <v>19.152</v>
      </c>
      <c r="N234" s="145">
        <f>J234</f>
        <v>57.456</v>
      </c>
      <c r="O234" s="145"/>
      <c r="P234" s="145"/>
      <c r="Q234" s="145"/>
      <c r="R234" s="399"/>
      <c r="S234" s="86" t="s">
        <v>1993</v>
      </c>
      <c r="T234" s="86" t="s">
        <v>2053</v>
      </c>
      <c r="U234" s="86" t="s">
        <v>338</v>
      </c>
      <c r="V234" s="363"/>
      <c r="W234" s="364"/>
      <c r="X234" s="365"/>
    </row>
    <row r="235" s="320" customFormat="1" ht="24" spans="1:24">
      <c r="A235" s="147">
        <v>228</v>
      </c>
      <c r="B235" s="71" t="s">
        <v>1983</v>
      </c>
      <c r="C235" s="147"/>
      <c r="D235" s="147"/>
      <c r="E235" s="335">
        <v>1</v>
      </c>
      <c r="F235" s="335"/>
      <c r="G235" s="335"/>
      <c r="H235" s="335">
        <v>2018</v>
      </c>
      <c r="I235" s="335">
        <v>2020</v>
      </c>
      <c r="J235" s="145">
        <f t="shared" ref="J235:J239" si="117">E235*2.394</f>
        <v>2.394</v>
      </c>
      <c r="K235" s="347">
        <f t="shared" ref="K235:K239" si="118">0.798*E235</f>
        <v>0.798</v>
      </c>
      <c r="L235" s="347">
        <f>K234/24</f>
        <v>0.798</v>
      </c>
      <c r="M235" s="347">
        <f>L234/24</f>
        <v>0.798</v>
      </c>
      <c r="N235" s="335">
        <v>2.394</v>
      </c>
      <c r="O235" s="145"/>
      <c r="P235" s="145"/>
      <c r="Q235" s="145"/>
      <c r="R235" s="399"/>
      <c r="S235" s="102" t="s">
        <v>1984</v>
      </c>
      <c r="T235" s="86" t="s">
        <v>1985</v>
      </c>
      <c r="U235" s="123"/>
      <c r="V235" s="363"/>
      <c r="W235" s="364"/>
      <c r="X235" s="365"/>
    </row>
    <row r="236" s="320" customFormat="1" ht="24" spans="1:24">
      <c r="A236" s="147">
        <v>229</v>
      </c>
      <c r="B236" s="71" t="s">
        <v>1986</v>
      </c>
      <c r="C236" s="147"/>
      <c r="D236" s="147"/>
      <c r="E236" s="335">
        <v>9</v>
      </c>
      <c r="F236" s="335"/>
      <c r="G236" s="335"/>
      <c r="H236" s="335">
        <v>2018</v>
      </c>
      <c r="I236" s="335">
        <v>2020</v>
      </c>
      <c r="J236" s="145">
        <f t="shared" si="117"/>
        <v>21.546</v>
      </c>
      <c r="K236" s="347">
        <f t="shared" si="118"/>
        <v>7.182</v>
      </c>
      <c r="L236" s="347">
        <v>7.182</v>
      </c>
      <c r="M236" s="347">
        <v>7.182</v>
      </c>
      <c r="N236" s="335">
        <v>21.546</v>
      </c>
      <c r="O236" s="145"/>
      <c r="P236" s="145"/>
      <c r="Q236" s="145"/>
      <c r="R236" s="399"/>
      <c r="S236" s="102" t="s">
        <v>1987</v>
      </c>
      <c r="T236" s="86" t="s">
        <v>1988</v>
      </c>
      <c r="U236" s="123"/>
      <c r="V236" s="363"/>
      <c r="W236" s="364"/>
      <c r="X236" s="365"/>
    </row>
    <row r="237" s="320" customFormat="1" ht="24" spans="1:24">
      <c r="A237" s="147">
        <v>230</v>
      </c>
      <c r="B237" s="71" t="s">
        <v>1989</v>
      </c>
      <c r="C237" s="147"/>
      <c r="D237" s="147"/>
      <c r="E237" s="335">
        <v>5</v>
      </c>
      <c r="F237" s="335"/>
      <c r="G237" s="335"/>
      <c r="H237" s="335">
        <v>2018</v>
      </c>
      <c r="I237" s="335">
        <v>2020</v>
      </c>
      <c r="J237" s="145">
        <f t="shared" si="117"/>
        <v>11.97</v>
      </c>
      <c r="K237" s="341">
        <f t="shared" si="118"/>
        <v>3.99</v>
      </c>
      <c r="L237" s="341">
        <v>3.99</v>
      </c>
      <c r="M237" s="341">
        <v>3.99</v>
      </c>
      <c r="N237" s="335">
        <v>11.97</v>
      </c>
      <c r="O237" s="145"/>
      <c r="P237" s="145"/>
      <c r="Q237" s="145"/>
      <c r="R237" s="399"/>
      <c r="S237" s="102" t="s">
        <v>1980</v>
      </c>
      <c r="T237" s="86" t="s">
        <v>1990</v>
      </c>
      <c r="U237" s="123"/>
      <c r="V237" s="363"/>
      <c r="W237" s="364"/>
      <c r="X237" s="365"/>
    </row>
    <row r="238" s="320" customFormat="1" ht="24" spans="1:24">
      <c r="A238" s="147">
        <v>231</v>
      </c>
      <c r="B238" s="71" t="s">
        <v>1991</v>
      </c>
      <c r="C238" s="147"/>
      <c r="D238" s="147"/>
      <c r="E238" s="335">
        <v>7</v>
      </c>
      <c r="F238" s="335">
        <v>1</v>
      </c>
      <c r="G238" s="335">
        <v>1</v>
      </c>
      <c r="H238" s="335">
        <v>2018</v>
      </c>
      <c r="I238" s="335">
        <v>2020</v>
      </c>
      <c r="J238" s="145">
        <f t="shared" si="117"/>
        <v>16.758</v>
      </c>
      <c r="K238" s="347">
        <f t="shared" si="118"/>
        <v>5.586</v>
      </c>
      <c r="L238" s="347">
        <v>5.586</v>
      </c>
      <c r="M238" s="347">
        <v>5.586</v>
      </c>
      <c r="N238" s="335">
        <v>16.758</v>
      </c>
      <c r="O238" s="145"/>
      <c r="P238" s="145"/>
      <c r="Q238" s="145"/>
      <c r="R238" s="399"/>
      <c r="S238" s="102" t="s">
        <v>1982</v>
      </c>
      <c r="T238" s="86" t="s">
        <v>1995</v>
      </c>
      <c r="U238" s="123"/>
      <c r="V238" s="363"/>
      <c r="W238" s="364"/>
      <c r="X238" s="365"/>
    </row>
    <row r="239" s="320" customFormat="1" ht="24" spans="1:24">
      <c r="A239" s="147">
        <v>232</v>
      </c>
      <c r="B239" s="71" t="s">
        <v>1992</v>
      </c>
      <c r="C239" s="147"/>
      <c r="D239" s="147"/>
      <c r="E239" s="335">
        <v>2</v>
      </c>
      <c r="F239" s="335"/>
      <c r="G239" s="335"/>
      <c r="H239" s="335">
        <v>2018</v>
      </c>
      <c r="I239" s="335">
        <v>2020</v>
      </c>
      <c r="J239" s="347">
        <f t="shared" si="117"/>
        <v>4.788</v>
      </c>
      <c r="K239" s="347">
        <f t="shared" si="118"/>
        <v>1.596</v>
      </c>
      <c r="L239" s="347">
        <v>1.596</v>
      </c>
      <c r="M239" s="347">
        <v>1.596</v>
      </c>
      <c r="N239" s="335">
        <v>4.788</v>
      </c>
      <c r="O239" s="145"/>
      <c r="P239" s="145"/>
      <c r="Q239" s="145"/>
      <c r="R239" s="399"/>
      <c r="S239" s="102" t="s">
        <v>1993</v>
      </c>
      <c r="T239" s="86" t="s">
        <v>1994</v>
      </c>
      <c r="U239" s="123"/>
      <c r="V239" s="56" t="s">
        <v>2054</v>
      </c>
      <c r="W239" s="364"/>
      <c r="X239" s="365"/>
    </row>
    <row r="240" s="320" customFormat="1" ht="24" spans="1:24">
      <c r="A240" s="147">
        <v>233</v>
      </c>
      <c r="B240" s="71" t="s">
        <v>449</v>
      </c>
      <c r="C240" s="336" t="s">
        <v>320</v>
      </c>
      <c r="D240" s="71" t="s">
        <v>147</v>
      </c>
      <c r="E240" s="147">
        <v>99</v>
      </c>
      <c r="F240" s="147">
        <v>39</v>
      </c>
      <c r="G240" s="147">
        <v>39</v>
      </c>
      <c r="H240" s="335">
        <v>2018</v>
      </c>
      <c r="I240" s="335">
        <v>2020</v>
      </c>
      <c r="J240" s="347">
        <f t="shared" ref="J240:J250" si="119">K240+L240+M240</f>
        <v>26.208</v>
      </c>
      <c r="K240" s="347">
        <v>8.736</v>
      </c>
      <c r="L240" s="347">
        <v>8.736</v>
      </c>
      <c r="M240" s="347">
        <v>8.736</v>
      </c>
      <c r="N240" s="335">
        <f t="shared" ref="N240:N250" si="120">J240</f>
        <v>26.208</v>
      </c>
      <c r="O240" s="122"/>
      <c r="P240" s="122"/>
      <c r="Q240" s="122"/>
      <c r="R240" s="122"/>
      <c r="S240" s="86" t="s">
        <v>1982</v>
      </c>
      <c r="T240" s="86" t="s">
        <v>2053</v>
      </c>
      <c r="U240" s="86" t="s">
        <v>452</v>
      </c>
      <c r="V240" s="363"/>
      <c r="W240" s="364"/>
      <c r="X240" s="365"/>
    </row>
    <row r="241" s="320" customFormat="1" ht="24" spans="1:24">
      <c r="A241" s="147">
        <v>234</v>
      </c>
      <c r="B241" s="71" t="s">
        <v>1983</v>
      </c>
      <c r="C241" s="28" t="s">
        <v>2055</v>
      </c>
      <c r="D241" s="147"/>
      <c r="E241" s="147">
        <v>5</v>
      </c>
      <c r="F241" s="147">
        <v>2</v>
      </c>
      <c r="G241" s="147">
        <v>2</v>
      </c>
      <c r="H241" s="335">
        <v>2018</v>
      </c>
      <c r="I241" s="335">
        <v>2020</v>
      </c>
      <c r="J241" s="347">
        <f t="shared" si="119"/>
        <v>0.936</v>
      </c>
      <c r="K241" s="347">
        <v>0.312</v>
      </c>
      <c r="L241" s="347">
        <v>0.312</v>
      </c>
      <c r="M241" s="347">
        <v>0.312</v>
      </c>
      <c r="N241" s="335">
        <f t="shared" si="120"/>
        <v>0.936</v>
      </c>
      <c r="O241" s="122"/>
      <c r="P241" s="122"/>
      <c r="Q241" s="122"/>
      <c r="R241" s="122"/>
      <c r="S241" s="102" t="s">
        <v>1984</v>
      </c>
      <c r="T241" s="86" t="s">
        <v>1985</v>
      </c>
      <c r="U241" s="123"/>
      <c r="V241" s="363"/>
      <c r="W241" s="364"/>
      <c r="X241" s="365"/>
    </row>
    <row r="242" s="320" customFormat="1" ht="24" spans="1:24">
      <c r="A242" s="147">
        <v>235</v>
      </c>
      <c r="B242" s="71" t="s">
        <v>1986</v>
      </c>
      <c r="C242" s="28" t="s">
        <v>2055</v>
      </c>
      <c r="D242" s="147"/>
      <c r="E242" s="147">
        <v>4</v>
      </c>
      <c r="F242" s="147">
        <v>2</v>
      </c>
      <c r="G242" s="147">
        <v>2</v>
      </c>
      <c r="H242" s="335">
        <v>2018</v>
      </c>
      <c r="I242" s="335">
        <v>2020</v>
      </c>
      <c r="J242" s="347">
        <f t="shared" si="119"/>
        <v>1.224</v>
      </c>
      <c r="K242" s="347">
        <v>0.408</v>
      </c>
      <c r="L242" s="347">
        <v>0.408</v>
      </c>
      <c r="M242" s="347">
        <v>0.408</v>
      </c>
      <c r="N242" s="335">
        <f t="shared" si="120"/>
        <v>1.224</v>
      </c>
      <c r="O242" s="122"/>
      <c r="P242" s="122"/>
      <c r="Q242" s="122"/>
      <c r="R242" s="122"/>
      <c r="S242" s="102" t="s">
        <v>1987</v>
      </c>
      <c r="T242" s="86" t="s">
        <v>1988</v>
      </c>
      <c r="U242" s="123"/>
      <c r="V242" s="363"/>
      <c r="W242" s="364"/>
      <c r="X242" s="365"/>
    </row>
    <row r="243" s="320" customFormat="1" ht="24" spans="1:24">
      <c r="A243" s="147">
        <v>236</v>
      </c>
      <c r="B243" s="71" t="s">
        <v>1989</v>
      </c>
      <c r="C243" s="28" t="s">
        <v>2055</v>
      </c>
      <c r="D243" s="147"/>
      <c r="E243" s="147">
        <v>12</v>
      </c>
      <c r="F243" s="147">
        <v>6</v>
      </c>
      <c r="G243" s="147">
        <v>6</v>
      </c>
      <c r="H243" s="335">
        <v>2018</v>
      </c>
      <c r="I243" s="335">
        <v>2020</v>
      </c>
      <c r="J243" s="347">
        <f t="shared" si="119"/>
        <v>2.808</v>
      </c>
      <c r="K243" s="347">
        <v>0.936</v>
      </c>
      <c r="L243" s="347">
        <v>0.936</v>
      </c>
      <c r="M243" s="347">
        <v>0.936</v>
      </c>
      <c r="N243" s="335">
        <f t="shared" si="120"/>
        <v>2.808</v>
      </c>
      <c r="O243" s="122"/>
      <c r="P243" s="122"/>
      <c r="Q243" s="122"/>
      <c r="R243" s="122"/>
      <c r="S243" s="102" t="s">
        <v>1980</v>
      </c>
      <c r="T243" s="86" t="s">
        <v>1990</v>
      </c>
      <c r="U243" s="123"/>
      <c r="V243" s="363"/>
      <c r="W243" s="364"/>
      <c r="X243" s="365"/>
    </row>
    <row r="244" s="320" customFormat="1" ht="24" spans="1:24">
      <c r="A244" s="147">
        <v>237</v>
      </c>
      <c r="B244" s="71" t="s">
        <v>1991</v>
      </c>
      <c r="C244" s="28" t="s">
        <v>2055</v>
      </c>
      <c r="D244" s="147"/>
      <c r="E244" s="147">
        <v>12</v>
      </c>
      <c r="F244" s="147">
        <v>4</v>
      </c>
      <c r="G244" s="147">
        <v>4</v>
      </c>
      <c r="H244" s="335">
        <v>2018</v>
      </c>
      <c r="I244" s="335">
        <v>2020</v>
      </c>
      <c r="J244" s="347">
        <f t="shared" si="119"/>
        <v>3.384</v>
      </c>
      <c r="K244" s="347">
        <v>1.128</v>
      </c>
      <c r="L244" s="347">
        <v>1.128</v>
      </c>
      <c r="M244" s="347">
        <v>1.128</v>
      </c>
      <c r="N244" s="335">
        <f t="shared" si="120"/>
        <v>3.384</v>
      </c>
      <c r="O244" s="122"/>
      <c r="P244" s="122"/>
      <c r="Q244" s="122"/>
      <c r="R244" s="122"/>
      <c r="S244" s="102" t="s">
        <v>1982</v>
      </c>
      <c r="T244" s="86" t="s">
        <v>1995</v>
      </c>
      <c r="U244" s="123"/>
      <c r="V244" s="363"/>
      <c r="W244" s="364"/>
      <c r="X244" s="365"/>
    </row>
    <row r="245" s="320" customFormat="1" ht="24" spans="1:24">
      <c r="A245" s="147">
        <v>238</v>
      </c>
      <c r="B245" s="71" t="s">
        <v>1992</v>
      </c>
      <c r="C245" s="28" t="s">
        <v>2055</v>
      </c>
      <c r="D245" s="147"/>
      <c r="E245" s="147">
        <v>6</v>
      </c>
      <c r="F245" s="147">
        <v>3</v>
      </c>
      <c r="G245" s="147">
        <v>3</v>
      </c>
      <c r="H245" s="335">
        <v>2018</v>
      </c>
      <c r="I245" s="335">
        <v>2020</v>
      </c>
      <c r="J245" s="347">
        <f t="shared" si="119"/>
        <v>1.692</v>
      </c>
      <c r="K245" s="347">
        <v>0.564</v>
      </c>
      <c r="L245" s="347">
        <v>0.564</v>
      </c>
      <c r="M245" s="347">
        <v>0.564</v>
      </c>
      <c r="N245" s="335">
        <f t="shared" si="120"/>
        <v>1.692</v>
      </c>
      <c r="O245" s="122"/>
      <c r="P245" s="122"/>
      <c r="Q245" s="122"/>
      <c r="R245" s="122"/>
      <c r="S245" s="102" t="s">
        <v>1993</v>
      </c>
      <c r="T245" s="86" t="s">
        <v>1994</v>
      </c>
      <c r="U245" s="123"/>
      <c r="V245" s="363"/>
      <c r="W245" s="364"/>
      <c r="X245" s="365"/>
    </row>
    <row r="246" s="320" customFormat="1" ht="24" spans="1:24">
      <c r="A246" s="147">
        <v>239</v>
      </c>
      <c r="B246" s="71" t="s">
        <v>1983</v>
      </c>
      <c r="C246" s="28" t="s">
        <v>2056</v>
      </c>
      <c r="D246" s="147"/>
      <c r="E246" s="147">
        <v>6</v>
      </c>
      <c r="F246" s="147">
        <v>4</v>
      </c>
      <c r="G246" s="147">
        <v>4</v>
      </c>
      <c r="H246" s="335">
        <v>2018</v>
      </c>
      <c r="I246" s="335">
        <v>2020</v>
      </c>
      <c r="J246" s="347">
        <f t="shared" si="119"/>
        <v>0.864</v>
      </c>
      <c r="K246" s="347">
        <v>0.288</v>
      </c>
      <c r="L246" s="347">
        <v>0.288</v>
      </c>
      <c r="M246" s="347">
        <v>0.288</v>
      </c>
      <c r="N246" s="335">
        <f t="shared" si="120"/>
        <v>0.864</v>
      </c>
      <c r="O246" s="122"/>
      <c r="P246" s="122"/>
      <c r="Q246" s="122"/>
      <c r="R246" s="122"/>
      <c r="S246" s="102" t="s">
        <v>1984</v>
      </c>
      <c r="T246" s="86" t="s">
        <v>1985</v>
      </c>
      <c r="U246" s="123"/>
      <c r="V246" s="363"/>
      <c r="W246" s="364"/>
      <c r="X246" s="365"/>
    </row>
    <row r="247" s="320" customFormat="1" ht="24" spans="1:24">
      <c r="A247" s="147">
        <v>240</v>
      </c>
      <c r="B247" s="71" t="s">
        <v>1986</v>
      </c>
      <c r="C247" s="28" t="s">
        <v>2056</v>
      </c>
      <c r="D247" s="147"/>
      <c r="E247" s="147">
        <v>17</v>
      </c>
      <c r="F247" s="147">
        <v>4</v>
      </c>
      <c r="G247" s="147">
        <v>4</v>
      </c>
      <c r="H247" s="335">
        <v>2018</v>
      </c>
      <c r="I247" s="335">
        <v>2020</v>
      </c>
      <c r="J247" s="347">
        <f t="shared" si="119"/>
        <v>5.364</v>
      </c>
      <c r="K247" s="347">
        <v>1.788</v>
      </c>
      <c r="L247" s="347">
        <v>1.788</v>
      </c>
      <c r="M247" s="347">
        <v>1.788</v>
      </c>
      <c r="N247" s="335">
        <f t="shared" si="120"/>
        <v>5.364</v>
      </c>
      <c r="O247" s="122"/>
      <c r="P247" s="122"/>
      <c r="Q247" s="122"/>
      <c r="R247" s="122"/>
      <c r="S247" s="102" t="s">
        <v>1987</v>
      </c>
      <c r="T247" s="86" t="s">
        <v>1988</v>
      </c>
      <c r="U247" s="123"/>
      <c r="V247" s="363"/>
      <c r="W247" s="364"/>
      <c r="X247" s="365"/>
    </row>
    <row r="248" s="320" customFormat="1" ht="24" spans="1:24">
      <c r="A248" s="147">
        <v>241</v>
      </c>
      <c r="B248" s="71" t="s">
        <v>1989</v>
      </c>
      <c r="C248" s="28" t="s">
        <v>2056</v>
      </c>
      <c r="D248" s="147"/>
      <c r="E248" s="147">
        <v>15</v>
      </c>
      <c r="F248" s="147">
        <v>3</v>
      </c>
      <c r="G248" s="147">
        <v>3</v>
      </c>
      <c r="H248" s="335">
        <v>2018</v>
      </c>
      <c r="I248" s="335">
        <v>2020</v>
      </c>
      <c r="J248" s="347">
        <f t="shared" si="119"/>
        <v>3.456</v>
      </c>
      <c r="K248" s="347">
        <v>1.152</v>
      </c>
      <c r="L248" s="347">
        <v>1.152</v>
      </c>
      <c r="M248" s="347">
        <v>1.152</v>
      </c>
      <c r="N248" s="335">
        <f t="shared" si="120"/>
        <v>3.456</v>
      </c>
      <c r="O248" s="122"/>
      <c r="P248" s="122"/>
      <c r="Q248" s="122"/>
      <c r="R248" s="122"/>
      <c r="S248" s="102" t="s">
        <v>1980</v>
      </c>
      <c r="T248" s="86" t="s">
        <v>1990</v>
      </c>
      <c r="U248" s="123"/>
      <c r="V248" s="363"/>
      <c r="W248" s="364"/>
      <c r="X248" s="365"/>
    </row>
    <row r="249" s="320" customFormat="1" ht="24" spans="1:24">
      <c r="A249" s="147">
        <v>242</v>
      </c>
      <c r="B249" s="71" t="s">
        <v>1991</v>
      </c>
      <c r="C249" s="28" t="s">
        <v>2056</v>
      </c>
      <c r="D249" s="147"/>
      <c r="E249" s="147">
        <v>15</v>
      </c>
      <c r="F249" s="147">
        <v>8</v>
      </c>
      <c r="G249" s="147">
        <v>8</v>
      </c>
      <c r="H249" s="335">
        <v>2018</v>
      </c>
      <c r="I249" s="335">
        <v>2020</v>
      </c>
      <c r="J249" s="347">
        <f t="shared" si="119"/>
        <v>3.996</v>
      </c>
      <c r="K249" s="347">
        <v>1.332</v>
      </c>
      <c r="L249" s="347">
        <v>1.332</v>
      </c>
      <c r="M249" s="347">
        <v>1.332</v>
      </c>
      <c r="N249" s="335">
        <f t="shared" si="120"/>
        <v>3.996</v>
      </c>
      <c r="O249" s="122"/>
      <c r="P249" s="122"/>
      <c r="Q249" s="122"/>
      <c r="R249" s="122"/>
      <c r="S249" s="102" t="s">
        <v>1982</v>
      </c>
      <c r="T249" s="86" t="s">
        <v>1995</v>
      </c>
      <c r="U249" s="123"/>
      <c r="V249" s="363"/>
      <c r="W249" s="364"/>
      <c r="X249" s="365"/>
    </row>
    <row r="250" s="320" customFormat="1" ht="24" spans="1:24">
      <c r="A250" s="147">
        <v>243</v>
      </c>
      <c r="B250" s="71" t="s">
        <v>1992</v>
      </c>
      <c r="C250" s="28" t="s">
        <v>2056</v>
      </c>
      <c r="D250" s="147"/>
      <c r="E250" s="147">
        <v>7</v>
      </c>
      <c r="F250" s="147">
        <v>3</v>
      </c>
      <c r="G250" s="147">
        <v>3</v>
      </c>
      <c r="H250" s="335">
        <v>2018</v>
      </c>
      <c r="I250" s="335">
        <v>2020</v>
      </c>
      <c r="J250" s="347">
        <f t="shared" si="119"/>
        <v>2.484</v>
      </c>
      <c r="K250" s="347">
        <v>0.828</v>
      </c>
      <c r="L250" s="347">
        <v>0.828</v>
      </c>
      <c r="M250" s="347">
        <v>0.828</v>
      </c>
      <c r="N250" s="335">
        <f t="shared" si="120"/>
        <v>2.484</v>
      </c>
      <c r="O250" s="122"/>
      <c r="P250" s="122"/>
      <c r="Q250" s="122"/>
      <c r="R250" s="122"/>
      <c r="S250" s="102" t="s">
        <v>1993</v>
      </c>
      <c r="T250" s="86" t="s">
        <v>1994</v>
      </c>
      <c r="U250" s="123"/>
      <c r="V250" s="363"/>
      <c r="W250" s="364"/>
      <c r="X250" s="365"/>
    </row>
    <row r="251" s="320" customFormat="1" spans="1:24">
      <c r="A251" s="147">
        <v>244</v>
      </c>
      <c r="B251" s="71" t="s">
        <v>457</v>
      </c>
      <c r="C251" s="147" t="s">
        <v>320</v>
      </c>
      <c r="D251" s="71" t="s">
        <v>147</v>
      </c>
      <c r="E251" s="335">
        <v>0</v>
      </c>
      <c r="F251" s="335">
        <v>0</v>
      </c>
      <c r="G251" s="335">
        <v>0</v>
      </c>
      <c r="H251" s="335"/>
      <c r="I251" s="335"/>
      <c r="J251" s="342">
        <f t="shared" ref="J251:R251" si="121">J252+J253</f>
        <v>0</v>
      </c>
      <c r="K251" s="342">
        <v>0</v>
      </c>
      <c r="L251" s="342">
        <v>0</v>
      </c>
      <c r="M251" s="342">
        <v>0</v>
      </c>
      <c r="N251" s="342">
        <f t="shared" si="121"/>
        <v>0</v>
      </c>
      <c r="O251" s="335">
        <f t="shared" si="121"/>
        <v>0</v>
      </c>
      <c r="P251" s="335">
        <f t="shared" si="121"/>
        <v>0</v>
      </c>
      <c r="Q251" s="335">
        <f t="shared" si="121"/>
        <v>0</v>
      </c>
      <c r="R251" s="335">
        <f t="shared" si="121"/>
        <v>0</v>
      </c>
      <c r="S251" s="86" t="s">
        <v>1982</v>
      </c>
      <c r="T251" s="86" t="s">
        <v>2053</v>
      </c>
      <c r="U251" s="147" t="s">
        <v>320</v>
      </c>
      <c r="V251" s="363"/>
      <c r="W251" s="364"/>
      <c r="X251" s="365"/>
    </row>
    <row r="252" s="320" customFormat="1" spans="1:24">
      <c r="A252" s="147">
        <v>245</v>
      </c>
      <c r="B252" s="147" t="s">
        <v>949</v>
      </c>
      <c r="C252" s="147"/>
      <c r="D252" s="71" t="s">
        <v>147</v>
      </c>
      <c r="E252" s="335">
        <v>0</v>
      </c>
      <c r="F252" s="335">
        <v>0</v>
      </c>
      <c r="G252" s="335">
        <v>0</v>
      </c>
      <c r="H252" s="335"/>
      <c r="I252" s="335"/>
      <c r="J252" s="342">
        <v>0</v>
      </c>
      <c r="K252" s="342">
        <v>0</v>
      </c>
      <c r="L252" s="342">
        <v>0</v>
      </c>
      <c r="M252" s="404">
        <v>0</v>
      </c>
      <c r="N252" s="145">
        <v>0</v>
      </c>
      <c r="O252" s="145">
        <v>0</v>
      </c>
      <c r="P252" s="145">
        <v>0</v>
      </c>
      <c r="Q252" s="145">
        <v>0</v>
      </c>
      <c r="R252" s="398">
        <v>0</v>
      </c>
      <c r="S252" s="123"/>
      <c r="T252" s="123"/>
      <c r="U252" s="123"/>
      <c r="V252" s="363"/>
      <c r="W252" s="364"/>
      <c r="X252" s="365"/>
    </row>
    <row r="253" s="320" customFormat="1" spans="1:24">
      <c r="A253" s="147">
        <v>246</v>
      </c>
      <c r="B253" s="147" t="s">
        <v>950</v>
      </c>
      <c r="C253" s="147"/>
      <c r="D253" s="71" t="s">
        <v>147</v>
      </c>
      <c r="E253" s="335">
        <v>0</v>
      </c>
      <c r="F253" s="335">
        <v>0</v>
      </c>
      <c r="G253" s="335">
        <v>0</v>
      </c>
      <c r="H253" s="335"/>
      <c r="I253" s="335"/>
      <c r="J253" s="342">
        <v>0</v>
      </c>
      <c r="K253" s="342">
        <v>0</v>
      </c>
      <c r="L253" s="342">
        <v>0</v>
      </c>
      <c r="M253" s="404">
        <v>0</v>
      </c>
      <c r="N253" s="145">
        <v>0</v>
      </c>
      <c r="O253" s="145">
        <v>0</v>
      </c>
      <c r="P253" s="145">
        <v>0</v>
      </c>
      <c r="Q253" s="145">
        <v>0</v>
      </c>
      <c r="R253" s="398">
        <v>0</v>
      </c>
      <c r="S253" s="123"/>
      <c r="T253" s="123"/>
      <c r="U253" s="123"/>
      <c r="V253" s="363"/>
      <c r="W253" s="364"/>
      <c r="X253" s="365"/>
    </row>
    <row r="254" s="317" customFormat="1" ht="24" spans="1:24">
      <c r="A254" s="147">
        <v>247</v>
      </c>
      <c r="B254" s="371" t="s">
        <v>2057</v>
      </c>
      <c r="C254" s="147" t="s">
        <v>320</v>
      </c>
      <c r="D254" s="147" t="s">
        <v>320</v>
      </c>
      <c r="E254" s="335"/>
      <c r="F254" s="335"/>
      <c r="G254" s="335"/>
      <c r="H254" s="335"/>
      <c r="I254" s="335"/>
      <c r="J254" s="335">
        <f t="shared" ref="J254:L254" si="122">J255+J256+J265+J268+J270+J274+J279+J281+J285+J292</f>
        <v>3321.2847</v>
      </c>
      <c r="K254" s="343">
        <f t="shared" si="122"/>
        <v>647.2247</v>
      </c>
      <c r="L254" s="343">
        <f t="shared" si="122"/>
        <v>2674.06</v>
      </c>
      <c r="M254" s="343"/>
      <c r="N254" s="335">
        <f t="shared" ref="N254:R254" si="123">N255+N256+N265+N268+N270+N274+N279+N281+N285+N292</f>
        <v>397.535</v>
      </c>
      <c r="O254" s="335">
        <f t="shared" si="123"/>
        <v>435.7697</v>
      </c>
      <c r="P254" s="335">
        <f t="shared" si="123"/>
        <v>382.98</v>
      </c>
      <c r="Q254" s="335">
        <f t="shared" si="123"/>
        <v>2105</v>
      </c>
      <c r="R254" s="335">
        <f t="shared" si="123"/>
        <v>0</v>
      </c>
      <c r="S254" s="86" t="s">
        <v>1993</v>
      </c>
      <c r="T254" s="86" t="s">
        <v>2053</v>
      </c>
      <c r="U254" s="123"/>
      <c r="V254" s="363"/>
      <c r="W254" s="364"/>
      <c r="X254" s="365"/>
    </row>
    <row r="255" s="317" customFormat="1" ht="24.75" spans="1:24">
      <c r="A255" s="147">
        <v>248</v>
      </c>
      <c r="B255" s="381" t="s">
        <v>952</v>
      </c>
      <c r="C255" s="147" t="s">
        <v>320</v>
      </c>
      <c r="D255" s="147" t="s">
        <v>320</v>
      </c>
      <c r="E255" s="335" t="s">
        <v>320</v>
      </c>
      <c r="F255" s="335"/>
      <c r="G255" s="335"/>
      <c r="H255" s="335"/>
      <c r="I255" s="335"/>
      <c r="J255" s="335"/>
      <c r="K255" s="343"/>
      <c r="L255" s="343"/>
      <c r="M255" s="344"/>
      <c r="N255" s="145"/>
      <c r="O255" s="145"/>
      <c r="P255" s="145"/>
      <c r="Q255" s="145"/>
      <c r="R255" s="398"/>
      <c r="S255" s="147" t="s">
        <v>320</v>
      </c>
      <c r="T255" s="147" t="s">
        <v>320</v>
      </c>
      <c r="U255" s="147" t="s">
        <v>320</v>
      </c>
      <c r="V255" s="363"/>
      <c r="W255" s="364"/>
      <c r="X255" s="365"/>
    </row>
    <row r="256" s="317" customFormat="1" spans="1:24">
      <c r="A256" s="147">
        <v>249</v>
      </c>
      <c r="B256" s="381" t="s">
        <v>462</v>
      </c>
      <c r="C256" s="147" t="s">
        <v>320</v>
      </c>
      <c r="D256" s="71" t="s">
        <v>192</v>
      </c>
      <c r="E256" s="335"/>
      <c r="F256" s="335"/>
      <c r="G256" s="335"/>
      <c r="H256" s="335">
        <v>2018</v>
      </c>
      <c r="I256" s="335">
        <v>2020</v>
      </c>
      <c r="J256" s="335">
        <f t="shared" ref="J256:L256" si="124">J257+J262</f>
        <v>975</v>
      </c>
      <c r="K256" s="343">
        <f t="shared" si="124"/>
        <v>446</v>
      </c>
      <c r="L256" s="341">
        <f t="shared" si="124"/>
        <v>529</v>
      </c>
      <c r="M256" s="343"/>
      <c r="N256" s="335">
        <f t="shared" ref="N256:Q256" si="125">N257+N262</f>
        <v>349</v>
      </c>
      <c r="O256" s="335">
        <f t="shared" si="125"/>
        <v>348</v>
      </c>
      <c r="P256" s="335">
        <f t="shared" si="125"/>
        <v>278</v>
      </c>
      <c r="Q256" s="335">
        <f t="shared" si="125"/>
        <v>0</v>
      </c>
      <c r="R256" s="335">
        <f>R257+R194+R200+R262</f>
        <v>0</v>
      </c>
      <c r="S256" s="86" t="s">
        <v>1987</v>
      </c>
      <c r="T256" s="89" t="s">
        <v>2008</v>
      </c>
      <c r="U256" s="86" t="s">
        <v>271</v>
      </c>
      <c r="V256" s="363"/>
      <c r="W256" s="364"/>
      <c r="X256" s="365"/>
    </row>
    <row r="257" s="317" customFormat="1" ht="48.75" spans="1:24">
      <c r="A257" s="147">
        <v>250</v>
      </c>
      <c r="B257" s="385" t="s">
        <v>953</v>
      </c>
      <c r="C257" s="147"/>
      <c r="D257" s="71" t="s">
        <v>192</v>
      </c>
      <c r="E257" s="335">
        <f t="shared" ref="E257:G257" si="126">E258+E259+E260+E261</f>
        <v>58.2</v>
      </c>
      <c r="F257" s="335">
        <f t="shared" si="126"/>
        <v>1286</v>
      </c>
      <c r="G257" s="335">
        <f t="shared" si="126"/>
        <v>5228</v>
      </c>
      <c r="H257" s="335">
        <v>2018</v>
      </c>
      <c r="I257" s="335">
        <v>2020</v>
      </c>
      <c r="J257" s="335">
        <f t="shared" ref="J257:L257" si="127">J258+J259+J260+J261</f>
        <v>366</v>
      </c>
      <c r="K257" s="345">
        <f t="shared" si="127"/>
        <v>326</v>
      </c>
      <c r="L257" s="341">
        <f t="shared" si="127"/>
        <v>40</v>
      </c>
      <c r="M257" s="343"/>
      <c r="N257" s="335">
        <f t="shared" ref="N257:R257" si="128">N258+N259+N260+N261</f>
        <v>0</v>
      </c>
      <c r="O257" s="335">
        <f t="shared" si="128"/>
        <v>88</v>
      </c>
      <c r="P257" s="335">
        <f t="shared" si="128"/>
        <v>278</v>
      </c>
      <c r="Q257" s="335">
        <f t="shared" si="128"/>
        <v>0</v>
      </c>
      <c r="R257" s="335">
        <f t="shared" si="128"/>
        <v>0</v>
      </c>
      <c r="S257" s="86" t="s">
        <v>1987</v>
      </c>
      <c r="T257" s="89" t="s">
        <v>2008</v>
      </c>
      <c r="U257" s="86" t="s">
        <v>271</v>
      </c>
      <c r="V257" s="363"/>
      <c r="W257" s="364"/>
      <c r="X257" s="365"/>
    </row>
    <row r="258" s="317" customFormat="1" ht="24" spans="1:24">
      <c r="A258" s="147">
        <v>251</v>
      </c>
      <c r="B258" s="381" t="s">
        <v>2058</v>
      </c>
      <c r="C258" s="71" t="s">
        <v>2059</v>
      </c>
      <c r="D258" s="71" t="s">
        <v>192</v>
      </c>
      <c r="E258" s="147">
        <v>7.1</v>
      </c>
      <c r="F258" s="147">
        <v>274</v>
      </c>
      <c r="G258" s="147">
        <v>1136</v>
      </c>
      <c r="H258" s="335">
        <v>2018</v>
      </c>
      <c r="I258" s="335">
        <v>2018</v>
      </c>
      <c r="J258" s="147">
        <v>92</v>
      </c>
      <c r="K258" s="339">
        <v>92</v>
      </c>
      <c r="L258" s="123"/>
      <c r="M258" s="344"/>
      <c r="N258" s="122"/>
      <c r="O258" s="122">
        <v>48</v>
      </c>
      <c r="P258" s="147">
        <v>44</v>
      </c>
      <c r="Q258" s="122"/>
      <c r="R258" s="147"/>
      <c r="S258" s="86" t="s">
        <v>1987</v>
      </c>
      <c r="T258" s="89" t="s">
        <v>2008</v>
      </c>
      <c r="U258" s="86" t="s">
        <v>271</v>
      </c>
      <c r="V258" s="363"/>
      <c r="W258" s="364"/>
      <c r="X258" s="365"/>
    </row>
    <row r="259" s="317" customFormat="1" ht="24" spans="1:24">
      <c r="A259" s="147">
        <v>252</v>
      </c>
      <c r="B259" s="381" t="s">
        <v>2060</v>
      </c>
      <c r="C259" s="71" t="s">
        <v>2059</v>
      </c>
      <c r="D259" s="71" t="s">
        <v>192</v>
      </c>
      <c r="E259" s="147">
        <v>15</v>
      </c>
      <c r="F259" s="147">
        <v>235</v>
      </c>
      <c r="G259" s="147">
        <v>888</v>
      </c>
      <c r="H259" s="335">
        <v>2018</v>
      </c>
      <c r="I259" s="335">
        <v>2018</v>
      </c>
      <c r="J259" s="147">
        <v>101</v>
      </c>
      <c r="K259" s="339">
        <v>101</v>
      </c>
      <c r="L259" s="123"/>
      <c r="M259" s="344"/>
      <c r="N259" s="122"/>
      <c r="O259" s="122"/>
      <c r="P259" s="147">
        <v>101</v>
      </c>
      <c r="Q259" s="122"/>
      <c r="R259" s="122"/>
      <c r="S259" s="86" t="s">
        <v>1987</v>
      </c>
      <c r="T259" s="89" t="s">
        <v>2008</v>
      </c>
      <c r="U259" s="86" t="s">
        <v>271</v>
      </c>
      <c r="V259" s="363"/>
      <c r="W259" s="364"/>
      <c r="X259" s="365"/>
    </row>
    <row r="260" s="317" customFormat="1" ht="24" spans="1:24">
      <c r="A260" s="147">
        <v>253</v>
      </c>
      <c r="B260" s="381" t="s">
        <v>2061</v>
      </c>
      <c r="C260" s="71" t="s">
        <v>2059</v>
      </c>
      <c r="D260" s="71" t="s">
        <v>192</v>
      </c>
      <c r="E260" s="147">
        <v>30.9</v>
      </c>
      <c r="F260" s="147">
        <v>158</v>
      </c>
      <c r="G260" s="147">
        <v>624</v>
      </c>
      <c r="H260" s="335">
        <v>2018</v>
      </c>
      <c r="I260" s="335">
        <v>2018</v>
      </c>
      <c r="J260" s="147">
        <v>133</v>
      </c>
      <c r="K260" s="339">
        <v>133</v>
      </c>
      <c r="L260" s="123"/>
      <c r="M260" s="344"/>
      <c r="N260" s="122"/>
      <c r="O260" s="122"/>
      <c r="P260" s="147">
        <v>133</v>
      </c>
      <c r="Q260" s="122"/>
      <c r="R260" s="122"/>
      <c r="S260" s="86" t="s">
        <v>1987</v>
      </c>
      <c r="T260" s="89" t="s">
        <v>2008</v>
      </c>
      <c r="U260" s="86" t="s">
        <v>271</v>
      </c>
      <c r="V260" s="363"/>
      <c r="W260" s="364"/>
      <c r="X260" s="365"/>
    </row>
    <row r="261" s="317" customFormat="1" ht="24" spans="1:24">
      <c r="A261" s="147">
        <v>254</v>
      </c>
      <c r="B261" s="381" t="s">
        <v>2062</v>
      </c>
      <c r="C261" s="71" t="s">
        <v>2059</v>
      </c>
      <c r="D261" s="71" t="s">
        <v>192</v>
      </c>
      <c r="E261" s="147">
        <v>5.2</v>
      </c>
      <c r="F261" s="147">
        <v>619</v>
      </c>
      <c r="G261" s="147">
        <v>2580</v>
      </c>
      <c r="H261" s="147">
        <v>2019</v>
      </c>
      <c r="I261" s="147">
        <v>2019</v>
      </c>
      <c r="J261" s="147">
        <v>40</v>
      </c>
      <c r="K261" s="339"/>
      <c r="L261" s="123">
        <v>40</v>
      </c>
      <c r="M261" s="344"/>
      <c r="N261" s="122"/>
      <c r="O261" s="122">
        <v>40</v>
      </c>
      <c r="P261" s="147">
        <v>0</v>
      </c>
      <c r="Q261" s="122"/>
      <c r="R261" s="122"/>
      <c r="S261" s="86" t="s">
        <v>1987</v>
      </c>
      <c r="T261" s="89" t="s">
        <v>2008</v>
      </c>
      <c r="U261" s="86" t="s">
        <v>271</v>
      </c>
      <c r="V261" s="363"/>
      <c r="W261" s="364"/>
      <c r="X261" s="365"/>
    </row>
    <row r="262" s="317" customFormat="1" spans="1:24">
      <c r="A262" s="147">
        <v>255</v>
      </c>
      <c r="B262" s="385" t="s">
        <v>2063</v>
      </c>
      <c r="C262" s="71" t="s">
        <v>52</v>
      </c>
      <c r="D262" s="71" t="s">
        <v>192</v>
      </c>
      <c r="E262" s="147">
        <f t="shared" ref="E262:I262" si="129">E263</f>
        <v>5.3</v>
      </c>
      <c r="F262" s="147">
        <f t="shared" si="129"/>
        <v>46</v>
      </c>
      <c r="G262" s="147">
        <f t="shared" si="129"/>
        <v>210</v>
      </c>
      <c r="H262" s="147">
        <f t="shared" si="129"/>
        <v>2018</v>
      </c>
      <c r="I262" s="147">
        <f t="shared" si="129"/>
        <v>2019</v>
      </c>
      <c r="J262" s="147">
        <f t="shared" ref="J262:R262" si="130">J263+J264</f>
        <v>609</v>
      </c>
      <c r="K262" s="147">
        <f t="shared" si="130"/>
        <v>120</v>
      </c>
      <c r="L262" s="147">
        <f t="shared" si="130"/>
        <v>489</v>
      </c>
      <c r="M262" s="147">
        <f t="shared" si="130"/>
        <v>0</v>
      </c>
      <c r="N262" s="147">
        <f t="shared" si="130"/>
        <v>349</v>
      </c>
      <c r="O262" s="147">
        <f t="shared" si="130"/>
        <v>260</v>
      </c>
      <c r="P262" s="147">
        <f t="shared" si="130"/>
        <v>0</v>
      </c>
      <c r="Q262" s="147">
        <f t="shared" si="130"/>
        <v>0</v>
      </c>
      <c r="R262" s="147">
        <f t="shared" si="130"/>
        <v>0</v>
      </c>
      <c r="S262" s="71" t="s">
        <v>1980</v>
      </c>
      <c r="T262" s="71" t="s">
        <v>2006</v>
      </c>
      <c r="U262" s="123"/>
      <c r="V262" s="363"/>
      <c r="W262" s="364"/>
      <c r="X262" s="365"/>
    </row>
    <row r="263" s="317" customFormat="1" ht="24" spans="1:24">
      <c r="A263" s="147">
        <v>256</v>
      </c>
      <c r="B263" s="381" t="s">
        <v>2064</v>
      </c>
      <c r="C263" s="71" t="s">
        <v>52</v>
      </c>
      <c r="D263" s="71" t="s">
        <v>192</v>
      </c>
      <c r="E263" s="147">
        <v>5.3</v>
      </c>
      <c r="F263" s="147">
        <v>46</v>
      </c>
      <c r="G263" s="147">
        <v>210</v>
      </c>
      <c r="H263" s="147">
        <v>2018</v>
      </c>
      <c r="I263" s="147">
        <v>2019</v>
      </c>
      <c r="J263" s="147">
        <v>349</v>
      </c>
      <c r="K263" s="339">
        <v>120</v>
      </c>
      <c r="L263" s="123">
        <v>229</v>
      </c>
      <c r="M263" s="344"/>
      <c r="N263" s="147">
        <v>349</v>
      </c>
      <c r="O263" s="147"/>
      <c r="P263" s="147"/>
      <c r="Q263" s="147"/>
      <c r="R263" s="147"/>
      <c r="S263" s="102" t="s">
        <v>1984</v>
      </c>
      <c r="T263" s="86" t="s">
        <v>1985</v>
      </c>
      <c r="U263" s="123"/>
      <c r="V263" s="136" t="s">
        <v>2031</v>
      </c>
      <c r="W263" s="419"/>
      <c r="X263" s="365"/>
    </row>
    <row r="264" s="317" customFormat="1" ht="33.75" spans="1:24">
      <c r="A264" s="147">
        <v>257</v>
      </c>
      <c r="B264" s="409" t="s">
        <v>2065</v>
      </c>
      <c r="C264" s="256" t="s">
        <v>52</v>
      </c>
      <c r="D264" s="71" t="s">
        <v>202</v>
      </c>
      <c r="E264" s="410" t="s">
        <v>2066</v>
      </c>
      <c r="F264" s="140">
        <v>13</v>
      </c>
      <c r="G264" s="140">
        <v>55</v>
      </c>
      <c r="H264" s="335">
        <v>2019</v>
      </c>
      <c r="I264" s="335">
        <v>2019</v>
      </c>
      <c r="J264" s="140">
        <v>260</v>
      </c>
      <c r="K264" s="339"/>
      <c r="L264" s="140">
        <v>260</v>
      </c>
      <c r="M264" s="344"/>
      <c r="N264" s="147"/>
      <c r="O264" s="140">
        <v>260</v>
      </c>
      <c r="P264" s="147"/>
      <c r="Q264" s="147"/>
      <c r="R264" s="147"/>
      <c r="S264" s="102" t="s">
        <v>1984</v>
      </c>
      <c r="T264" s="86" t="s">
        <v>1985</v>
      </c>
      <c r="U264" s="123"/>
      <c r="V264" s="136"/>
      <c r="W264" s="419"/>
      <c r="X264" s="365"/>
    </row>
    <row r="265" s="317" customFormat="1" ht="24.75" spans="1:24">
      <c r="A265" s="147">
        <v>258</v>
      </c>
      <c r="B265" s="381" t="s">
        <v>980</v>
      </c>
      <c r="C265" s="147"/>
      <c r="D265" s="71" t="s">
        <v>496</v>
      </c>
      <c r="E265" s="335">
        <f t="shared" ref="E265:G265" si="131">E266+E267</f>
        <v>2</v>
      </c>
      <c r="F265" s="335">
        <f t="shared" si="131"/>
        <v>25</v>
      </c>
      <c r="G265" s="335">
        <f t="shared" si="131"/>
        <v>94</v>
      </c>
      <c r="H265" s="335">
        <v>2018</v>
      </c>
      <c r="I265" s="335">
        <v>2019</v>
      </c>
      <c r="J265" s="335">
        <f t="shared" ref="J265:R265" si="132">J266+J267</f>
        <v>78.98</v>
      </c>
      <c r="K265" s="343">
        <f t="shared" si="132"/>
        <v>33.12</v>
      </c>
      <c r="L265" s="341">
        <f t="shared" si="132"/>
        <v>45.86</v>
      </c>
      <c r="M265" s="342">
        <f t="shared" si="132"/>
        <v>0</v>
      </c>
      <c r="N265" s="335">
        <f t="shared" si="132"/>
        <v>0</v>
      </c>
      <c r="O265" s="335">
        <f t="shared" si="132"/>
        <v>0</v>
      </c>
      <c r="P265" s="335">
        <f t="shared" si="132"/>
        <v>78.98</v>
      </c>
      <c r="Q265" s="335">
        <f t="shared" si="132"/>
        <v>0</v>
      </c>
      <c r="R265" s="335">
        <f t="shared" si="132"/>
        <v>0</v>
      </c>
      <c r="S265" s="147"/>
      <c r="T265" s="123"/>
      <c r="U265" s="123"/>
      <c r="V265" s="86" t="s">
        <v>497</v>
      </c>
      <c r="W265" s="420"/>
      <c r="X265" s="365"/>
    </row>
    <row r="266" s="317" customFormat="1" ht="36" spans="1:24">
      <c r="A266" s="147">
        <v>259</v>
      </c>
      <c r="B266" s="381" t="s">
        <v>2067</v>
      </c>
      <c r="C266" s="71" t="s">
        <v>1688</v>
      </c>
      <c r="D266" s="71" t="s">
        <v>496</v>
      </c>
      <c r="E266" s="147">
        <v>1</v>
      </c>
      <c r="F266" s="147">
        <v>9</v>
      </c>
      <c r="G266" s="147">
        <v>30</v>
      </c>
      <c r="H266" s="335">
        <v>2018</v>
      </c>
      <c r="I266" s="335">
        <v>2018</v>
      </c>
      <c r="J266" s="147">
        <v>33.12</v>
      </c>
      <c r="K266" s="344">
        <v>33.12</v>
      </c>
      <c r="L266" s="344"/>
      <c r="M266" s="344"/>
      <c r="N266" s="147"/>
      <c r="O266" s="122"/>
      <c r="P266" s="122">
        <f>J266</f>
        <v>33.12</v>
      </c>
      <c r="Q266" s="122"/>
      <c r="R266" s="122"/>
      <c r="S266" s="102" t="s">
        <v>1982</v>
      </c>
      <c r="T266" s="86" t="s">
        <v>1995</v>
      </c>
      <c r="U266" s="86" t="s">
        <v>497</v>
      </c>
      <c r="V266" s="56" t="s">
        <v>999</v>
      </c>
      <c r="W266" s="364"/>
      <c r="X266" s="365"/>
    </row>
    <row r="267" s="317" customFormat="1" ht="36" spans="1:24">
      <c r="A267" s="147">
        <v>260</v>
      </c>
      <c r="B267" s="381" t="s">
        <v>2068</v>
      </c>
      <c r="C267" s="71" t="s">
        <v>1688</v>
      </c>
      <c r="D267" s="71" t="s">
        <v>496</v>
      </c>
      <c r="E267" s="147">
        <v>1</v>
      </c>
      <c r="F267" s="147">
        <v>16</v>
      </c>
      <c r="G267" s="147">
        <v>64</v>
      </c>
      <c r="H267" s="335">
        <v>2019</v>
      </c>
      <c r="I267" s="335">
        <v>2019</v>
      </c>
      <c r="J267" s="147">
        <v>45.86</v>
      </c>
      <c r="K267" s="344"/>
      <c r="L267" s="344">
        <v>45.86</v>
      </c>
      <c r="M267" s="344"/>
      <c r="N267" s="147"/>
      <c r="O267" s="122"/>
      <c r="P267" s="122">
        <f>J267</f>
        <v>45.86</v>
      </c>
      <c r="Q267" s="122"/>
      <c r="R267" s="122"/>
      <c r="S267" s="102" t="s">
        <v>1980</v>
      </c>
      <c r="T267" s="86" t="s">
        <v>1990</v>
      </c>
      <c r="U267" s="86" t="s">
        <v>497</v>
      </c>
      <c r="V267" s="363"/>
      <c r="W267" s="364"/>
      <c r="X267" s="365"/>
    </row>
    <row r="268" s="317" customFormat="1" ht="36" spans="1:24">
      <c r="A268" s="147">
        <v>261</v>
      </c>
      <c r="B268" s="381" t="s">
        <v>499</v>
      </c>
      <c r="C268" s="71" t="s">
        <v>872</v>
      </c>
      <c r="D268" s="71" t="s">
        <v>384</v>
      </c>
      <c r="E268" s="335">
        <v>85</v>
      </c>
      <c r="F268" s="335">
        <v>85</v>
      </c>
      <c r="G268" s="335"/>
      <c r="H268" s="335">
        <v>2018</v>
      </c>
      <c r="I268" s="335">
        <v>2019</v>
      </c>
      <c r="J268" s="335">
        <f t="shared" ref="J268:R268" si="133">J269</f>
        <v>2.975</v>
      </c>
      <c r="K268" s="343">
        <f t="shared" si="133"/>
        <v>2.975</v>
      </c>
      <c r="L268" s="342">
        <f t="shared" si="133"/>
        <v>0</v>
      </c>
      <c r="M268" s="342">
        <f t="shared" si="133"/>
        <v>0</v>
      </c>
      <c r="N268" s="335">
        <f t="shared" si="133"/>
        <v>2.975</v>
      </c>
      <c r="O268" s="335">
        <f t="shared" si="133"/>
        <v>0</v>
      </c>
      <c r="P268" s="335">
        <f t="shared" si="133"/>
        <v>0</v>
      </c>
      <c r="Q268" s="335">
        <f t="shared" si="133"/>
        <v>0</v>
      </c>
      <c r="R268" s="335">
        <f t="shared" si="133"/>
        <v>0</v>
      </c>
      <c r="S268" s="86" t="s">
        <v>1993</v>
      </c>
      <c r="T268" s="86" t="s">
        <v>2069</v>
      </c>
      <c r="U268" s="86" t="s">
        <v>500</v>
      </c>
      <c r="V268" s="86" t="s">
        <v>497</v>
      </c>
      <c r="W268" s="420"/>
      <c r="X268" s="365"/>
    </row>
    <row r="269" s="317" customFormat="1" ht="24.75" spans="1:24">
      <c r="A269" s="147">
        <v>262</v>
      </c>
      <c r="B269" s="71" t="s">
        <v>2070</v>
      </c>
      <c r="C269" s="71" t="s">
        <v>872</v>
      </c>
      <c r="D269" s="71" t="s">
        <v>384</v>
      </c>
      <c r="E269" s="335">
        <v>85</v>
      </c>
      <c r="F269" s="335">
        <v>85</v>
      </c>
      <c r="G269" s="335"/>
      <c r="H269" s="335">
        <v>2018</v>
      </c>
      <c r="I269" s="335">
        <v>2019</v>
      </c>
      <c r="J269" s="335">
        <v>2.975</v>
      </c>
      <c r="K269" s="343">
        <v>2.975</v>
      </c>
      <c r="L269" s="342">
        <v>0</v>
      </c>
      <c r="M269" s="404"/>
      <c r="N269" s="418">
        <v>2.975</v>
      </c>
      <c r="O269" s="418"/>
      <c r="P269" s="418"/>
      <c r="Q269" s="385"/>
      <c r="R269" s="399"/>
      <c r="S269" s="86" t="s">
        <v>1993</v>
      </c>
      <c r="T269" s="86" t="s">
        <v>2069</v>
      </c>
      <c r="U269" s="86" t="s">
        <v>500</v>
      </c>
      <c r="V269" s="86" t="s">
        <v>497</v>
      </c>
      <c r="W269" s="420"/>
      <c r="X269" s="365"/>
    </row>
    <row r="270" s="317" customFormat="1" spans="1:24">
      <c r="A270" s="147">
        <v>263</v>
      </c>
      <c r="B270" s="381" t="s">
        <v>501</v>
      </c>
      <c r="C270" s="147" t="s">
        <v>320</v>
      </c>
      <c r="D270" s="147" t="s">
        <v>320</v>
      </c>
      <c r="E270" s="335"/>
      <c r="F270" s="335">
        <f t="shared" ref="F270:R270" si="134">F271+F272+F273</f>
        <v>0</v>
      </c>
      <c r="G270" s="335">
        <f t="shared" si="134"/>
        <v>0</v>
      </c>
      <c r="H270" s="335"/>
      <c r="I270" s="335"/>
      <c r="J270" s="335">
        <f t="shared" si="134"/>
        <v>0</v>
      </c>
      <c r="K270" s="342">
        <f t="shared" si="134"/>
        <v>0</v>
      </c>
      <c r="L270" s="342">
        <f t="shared" si="134"/>
        <v>0</v>
      </c>
      <c r="M270" s="342">
        <f t="shared" si="134"/>
        <v>0</v>
      </c>
      <c r="N270" s="335">
        <f t="shared" si="134"/>
        <v>0</v>
      </c>
      <c r="O270" s="335">
        <f t="shared" si="134"/>
        <v>0</v>
      </c>
      <c r="P270" s="335">
        <f t="shared" si="134"/>
        <v>0</v>
      </c>
      <c r="Q270" s="335">
        <f t="shared" si="134"/>
        <v>0</v>
      </c>
      <c r="R270" s="335">
        <f t="shared" si="134"/>
        <v>0</v>
      </c>
      <c r="S270" s="86" t="s">
        <v>1993</v>
      </c>
      <c r="T270" s="86" t="s">
        <v>2069</v>
      </c>
      <c r="U270" s="147" t="s">
        <v>320</v>
      </c>
      <c r="V270" s="363"/>
      <c r="W270" s="364"/>
      <c r="X270" s="365"/>
    </row>
    <row r="271" s="317" customFormat="1" ht="24.75" spans="1:24">
      <c r="A271" s="147">
        <v>264</v>
      </c>
      <c r="B271" s="385" t="s">
        <v>993</v>
      </c>
      <c r="C271" s="71" t="s">
        <v>872</v>
      </c>
      <c r="D271" s="71" t="s">
        <v>496</v>
      </c>
      <c r="E271" s="335"/>
      <c r="F271" s="335"/>
      <c r="G271" s="335"/>
      <c r="H271" s="335"/>
      <c r="I271" s="335"/>
      <c r="J271" s="335"/>
      <c r="K271" s="343"/>
      <c r="L271" s="343"/>
      <c r="M271" s="344"/>
      <c r="N271" s="336"/>
      <c r="O271" s="336"/>
      <c r="P271" s="336"/>
      <c r="Q271" s="336"/>
      <c r="R271" s="366"/>
      <c r="S271" s="86" t="s">
        <v>1512</v>
      </c>
      <c r="T271" s="123"/>
      <c r="U271" s="86" t="s">
        <v>497</v>
      </c>
      <c r="V271" s="363"/>
      <c r="W271" s="364"/>
      <c r="X271" s="365"/>
    </row>
    <row r="272" s="317" customFormat="1" spans="1:24">
      <c r="A272" s="147">
        <v>265</v>
      </c>
      <c r="B272" s="385" t="s">
        <v>994</v>
      </c>
      <c r="C272" s="147"/>
      <c r="D272" s="71" t="s">
        <v>496</v>
      </c>
      <c r="E272" s="335"/>
      <c r="F272" s="335"/>
      <c r="G272" s="335"/>
      <c r="H272" s="335"/>
      <c r="I272" s="335"/>
      <c r="J272" s="335"/>
      <c r="K272" s="343"/>
      <c r="L272" s="343"/>
      <c r="M272" s="344"/>
      <c r="N272" s="147"/>
      <c r="O272" s="147"/>
      <c r="P272" s="147"/>
      <c r="Q272" s="147"/>
      <c r="R272" s="398"/>
      <c r="S272" s="86" t="s">
        <v>1512</v>
      </c>
      <c r="T272" s="123"/>
      <c r="U272" s="86" t="s">
        <v>497</v>
      </c>
      <c r="V272" s="363"/>
      <c r="W272" s="364"/>
      <c r="X272" s="365"/>
    </row>
    <row r="273" s="317" customFormat="1" spans="1:24">
      <c r="A273" s="147">
        <v>266</v>
      </c>
      <c r="B273" s="385" t="s">
        <v>995</v>
      </c>
      <c r="C273" s="147"/>
      <c r="D273" s="71" t="s">
        <v>496</v>
      </c>
      <c r="E273" s="335"/>
      <c r="F273" s="335"/>
      <c r="G273" s="335"/>
      <c r="H273" s="335"/>
      <c r="I273" s="335"/>
      <c r="J273" s="335"/>
      <c r="K273" s="343"/>
      <c r="L273" s="343"/>
      <c r="M273" s="344"/>
      <c r="N273" s="147"/>
      <c r="O273" s="147"/>
      <c r="P273" s="147"/>
      <c r="Q273" s="147"/>
      <c r="R273" s="398"/>
      <c r="S273" s="86" t="s">
        <v>1512</v>
      </c>
      <c r="T273" s="123"/>
      <c r="U273" s="86" t="s">
        <v>497</v>
      </c>
      <c r="V273" s="363"/>
      <c r="W273" s="364"/>
      <c r="X273" s="365"/>
    </row>
    <row r="274" s="317" customFormat="1" ht="24.75" spans="1:24">
      <c r="A274" s="147">
        <v>267</v>
      </c>
      <c r="B274" s="71" t="s">
        <v>505</v>
      </c>
      <c r="C274" s="71" t="s">
        <v>872</v>
      </c>
      <c r="D274" s="71" t="s">
        <v>147</v>
      </c>
      <c r="E274" s="147">
        <v>471</v>
      </c>
      <c r="F274" s="147">
        <v>45</v>
      </c>
      <c r="G274" s="147">
        <v>139</v>
      </c>
      <c r="H274" s="147">
        <v>2018</v>
      </c>
      <c r="I274" s="147">
        <v>2019</v>
      </c>
      <c r="J274" s="147">
        <f t="shared" ref="J274:R274" si="135">J275+J276+J277+J278</f>
        <v>59.76</v>
      </c>
      <c r="K274" s="147">
        <f t="shared" si="135"/>
        <v>45.56</v>
      </c>
      <c r="L274" s="147">
        <f t="shared" si="135"/>
        <v>14.2</v>
      </c>
      <c r="M274" s="147">
        <f t="shared" si="135"/>
        <v>0</v>
      </c>
      <c r="N274" s="147">
        <f t="shared" si="135"/>
        <v>45.56</v>
      </c>
      <c r="O274" s="147">
        <f t="shared" si="135"/>
        <v>14.2</v>
      </c>
      <c r="P274" s="147">
        <f t="shared" si="135"/>
        <v>0</v>
      </c>
      <c r="Q274" s="147">
        <f t="shared" si="135"/>
        <v>0</v>
      </c>
      <c r="R274" s="147">
        <f t="shared" si="135"/>
        <v>0</v>
      </c>
      <c r="S274" s="123"/>
      <c r="T274" s="123"/>
      <c r="U274" s="86" t="s">
        <v>275</v>
      </c>
      <c r="V274" s="147"/>
      <c r="W274" s="421"/>
      <c r="X274" s="365"/>
    </row>
    <row r="275" s="317" customFormat="1" ht="24" spans="1:24">
      <c r="A275" s="147">
        <v>268</v>
      </c>
      <c r="B275" s="71" t="s">
        <v>2071</v>
      </c>
      <c r="C275" s="71" t="s">
        <v>52</v>
      </c>
      <c r="D275" s="28" t="s">
        <v>147</v>
      </c>
      <c r="E275" s="147">
        <v>132</v>
      </c>
      <c r="F275" s="147">
        <v>13</v>
      </c>
      <c r="G275" s="147">
        <v>42</v>
      </c>
      <c r="H275" s="147">
        <v>2018</v>
      </c>
      <c r="I275" s="147">
        <v>2018</v>
      </c>
      <c r="J275" s="147">
        <v>17.04</v>
      </c>
      <c r="K275" s="344">
        <v>17.04</v>
      </c>
      <c r="L275" s="344"/>
      <c r="M275" s="344"/>
      <c r="N275" s="147">
        <v>17.04</v>
      </c>
      <c r="O275" s="147"/>
      <c r="P275" s="147"/>
      <c r="Q275" s="147"/>
      <c r="R275" s="147"/>
      <c r="S275" s="102" t="s">
        <v>1982</v>
      </c>
      <c r="T275" s="86" t="s">
        <v>1995</v>
      </c>
      <c r="U275" s="147"/>
      <c r="V275" s="71" t="s">
        <v>1002</v>
      </c>
      <c r="W275" s="421"/>
      <c r="X275" s="365"/>
    </row>
    <row r="276" s="317" customFormat="1" ht="36" spans="1:24">
      <c r="A276" s="147">
        <v>269</v>
      </c>
      <c r="B276" s="71" t="s">
        <v>2072</v>
      </c>
      <c r="C276" s="71" t="s">
        <v>52</v>
      </c>
      <c r="D276" s="28" t="s">
        <v>147</v>
      </c>
      <c r="E276" s="147">
        <v>332</v>
      </c>
      <c r="F276" s="147">
        <v>30</v>
      </c>
      <c r="G276" s="147">
        <v>90</v>
      </c>
      <c r="H276" s="147">
        <v>2018</v>
      </c>
      <c r="I276" s="147">
        <v>2018</v>
      </c>
      <c r="J276" s="147">
        <v>28.52</v>
      </c>
      <c r="K276" s="344">
        <v>28.52</v>
      </c>
      <c r="L276" s="344"/>
      <c r="M276" s="344"/>
      <c r="N276" s="147">
        <v>28.52</v>
      </c>
      <c r="O276" s="147"/>
      <c r="P276" s="147"/>
      <c r="Q276" s="147"/>
      <c r="R276" s="147"/>
      <c r="S276" s="102" t="s">
        <v>1982</v>
      </c>
      <c r="T276" s="86" t="s">
        <v>1995</v>
      </c>
      <c r="U276" s="147"/>
      <c r="V276" s="71" t="s">
        <v>1002</v>
      </c>
      <c r="W276" s="421"/>
      <c r="X276" s="365"/>
    </row>
    <row r="277" s="317" customFormat="1" ht="36.75" spans="1:24">
      <c r="A277" s="147">
        <v>270</v>
      </c>
      <c r="B277" s="71" t="s">
        <v>2073</v>
      </c>
      <c r="C277" s="71" t="s">
        <v>52</v>
      </c>
      <c r="D277" s="28" t="s">
        <v>147</v>
      </c>
      <c r="E277" s="147">
        <v>7</v>
      </c>
      <c r="F277" s="147">
        <v>2</v>
      </c>
      <c r="G277" s="147">
        <v>7</v>
      </c>
      <c r="H277" s="147">
        <v>2019</v>
      </c>
      <c r="I277" s="147">
        <v>2019</v>
      </c>
      <c r="J277" s="147">
        <v>4.2</v>
      </c>
      <c r="K277" s="147"/>
      <c r="L277" s="147">
        <v>4.2</v>
      </c>
      <c r="M277" s="147"/>
      <c r="N277" s="147"/>
      <c r="O277" s="147">
        <v>4.2</v>
      </c>
      <c r="P277" s="147"/>
      <c r="Q277" s="147"/>
      <c r="R277" s="147"/>
      <c r="S277" s="102" t="s">
        <v>1984</v>
      </c>
      <c r="T277" s="86" t="s">
        <v>1985</v>
      </c>
      <c r="U277" s="147"/>
      <c r="V277" s="71" t="s">
        <v>1010</v>
      </c>
      <c r="W277" s="421"/>
      <c r="X277" s="365"/>
    </row>
    <row r="278" s="317" customFormat="1" ht="22.5" spans="1:24">
      <c r="A278" s="147">
        <v>271</v>
      </c>
      <c r="B278" s="409" t="s">
        <v>1221</v>
      </c>
      <c r="C278" s="256" t="s">
        <v>488</v>
      </c>
      <c r="D278" s="28" t="s">
        <v>1018</v>
      </c>
      <c r="E278" s="411" t="s">
        <v>2074</v>
      </c>
      <c r="F278" s="147"/>
      <c r="G278" s="147"/>
      <c r="H278" s="335">
        <v>2019</v>
      </c>
      <c r="I278" s="335">
        <v>2019</v>
      </c>
      <c r="J278" s="147">
        <v>10</v>
      </c>
      <c r="K278" s="147"/>
      <c r="L278" s="147">
        <v>10</v>
      </c>
      <c r="M278" s="147"/>
      <c r="N278" s="147"/>
      <c r="O278" s="147">
        <v>10</v>
      </c>
      <c r="P278" s="147"/>
      <c r="Q278" s="147"/>
      <c r="R278" s="147"/>
      <c r="S278" s="102" t="s">
        <v>1980</v>
      </c>
      <c r="T278" s="86" t="s">
        <v>2006</v>
      </c>
      <c r="U278" s="147"/>
      <c r="V278" s="147"/>
      <c r="W278" s="421"/>
      <c r="X278" s="365"/>
    </row>
    <row r="279" s="317" customFormat="1" spans="1:24">
      <c r="A279" s="147">
        <v>272</v>
      </c>
      <c r="B279" s="381" t="s">
        <v>537</v>
      </c>
      <c r="C279" s="147" t="s">
        <v>320</v>
      </c>
      <c r="D279" s="147" t="s">
        <v>320</v>
      </c>
      <c r="E279" s="335">
        <f t="shared" ref="E279:R279" si="136">E280</f>
        <v>4</v>
      </c>
      <c r="F279" s="335">
        <f t="shared" si="136"/>
        <v>971</v>
      </c>
      <c r="G279" s="335">
        <f t="shared" si="136"/>
        <v>3883</v>
      </c>
      <c r="H279" s="335">
        <f t="shared" si="136"/>
        <v>2018</v>
      </c>
      <c r="I279" s="335">
        <f t="shared" si="136"/>
        <v>2019</v>
      </c>
      <c r="J279" s="335">
        <f t="shared" si="136"/>
        <v>16</v>
      </c>
      <c r="K279" s="335">
        <f t="shared" si="136"/>
        <v>16</v>
      </c>
      <c r="L279" s="335">
        <f t="shared" si="136"/>
        <v>0</v>
      </c>
      <c r="M279" s="335">
        <f t="shared" si="136"/>
        <v>0</v>
      </c>
      <c r="N279" s="335">
        <f t="shared" si="136"/>
        <v>0</v>
      </c>
      <c r="O279" s="335">
        <f t="shared" si="136"/>
        <v>0</v>
      </c>
      <c r="P279" s="335">
        <f t="shared" si="136"/>
        <v>16</v>
      </c>
      <c r="Q279" s="335">
        <f t="shared" si="136"/>
        <v>0</v>
      </c>
      <c r="R279" s="335">
        <f t="shared" si="136"/>
        <v>0</v>
      </c>
      <c r="S279" s="123"/>
      <c r="T279" s="147" t="s">
        <v>320</v>
      </c>
      <c r="U279" s="363"/>
      <c r="V279" s="363"/>
      <c r="W279" s="364"/>
      <c r="X279" s="365"/>
    </row>
    <row r="280" s="317" customFormat="1" ht="36" spans="1:24">
      <c r="A280" s="147">
        <v>273</v>
      </c>
      <c r="B280" s="381" t="s">
        <v>2075</v>
      </c>
      <c r="C280" s="71" t="s">
        <v>2076</v>
      </c>
      <c r="D280" s="71" t="s">
        <v>150</v>
      </c>
      <c r="E280" s="335">
        <v>4</v>
      </c>
      <c r="F280" s="335">
        <v>971</v>
      </c>
      <c r="G280" s="335">
        <v>3883</v>
      </c>
      <c r="H280" s="335">
        <v>2018</v>
      </c>
      <c r="I280" s="335">
        <v>2019</v>
      </c>
      <c r="J280" s="335">
        <f>SUM(K280:M280)</f>
        <v>16</v>
      </c>
      <c r="K280" s="335">
        <v>16</v>
      </c>
      <c r="L280" s="335"/>
      <c r="M280" s="147"/>
      <c r="N280" s="147"/>
      <c r="O280" s="147"/>
      <c r="P280" s="147">
        <f>J280</f>
        <v>16</v>
      </c>
      <c r="Q280" s="147"/>
      <c r="R280" s="398"/>
      <c r="S280" s="86" t="s">
        <v>1987</v>
      </c>
      <c r="T280" s="86" t="s">
        <v>2001</v>
      </c>
      <c r="U280" s="86" t="s">
        <v>358</v>
      </c>
      <c r="V280" s="363"/>
      <c r="W280" s="364"/>
      <c r="X280" s="365"/>
    </row>
    <row r="281" s="317" customFormat="1" spans="1:24">
      <c r="A281" s="147">
        <v>274</v>
      </c>
      <c r="B281" s="381" t="s">
        <v>552</v>
      </c>
      <c r="C281" s="147" t="s">
        <v>320</v>
      </c>
      <c r="D281" s="147" t="s">
        <v>320</v>
      </c>
      <c r="E281" s="335">
        <f t="shared" ref="E281:G281" si="137">E282+E283+E284</f>
        <v>3</v>
      </c>
      <c r="F281" s="335">
        <f t="shared" si="137"/>
        <v>194</v>
      </c>
      <c r="G281" s="335">
        <f t="shared" si="137"/>
        <v>780</v>
      </c>
      <c r="H281" s="147">
        <v>2018</v>
      </c>
      <c r="I281" s="147">
        <v>2018</v>
      </c>
      <c r="J281" s="335">
        <f t="shared" ref="J281:R281" si="138">J282+J283+J284</f>
        <v>73.5697</v>
      </c>
      <c r="K281" s="335">
        <f t="shared" si="138"/>
        <v>63.5697</v>
      </c>
      <c r="L281" s="335">
        <f t="shared" si="138"/>
        <v>10</v>
      </c>
      <c r="M281" s="335">
        <f t="shared" si="138"/>
        <v>0</v>
      </c>
      <c r="N281" s="335">
        <f t="shared" si="138"/>
        <v>0</v>
      </c>
      <c r="O281" s="335">
        <f t="shared" si="138"/>
        <v>73.5697</v>
      </c>
      <c r="P281" s="335">
        <f t="shared" si="138"/>
        <v>0</v>
      </c>
      <c r="Q281" s="335">
        <f t="shared" si="138"/>
        <v>0</v>
      </c>
      <c r="R281" s="335">
        <f t="shared" si="138"/>
        <v>0</v>
      </c>
      <c r="S281" s="123"/>
      <c r="T281" s="123"/>
      <c r="U281" s="147" t="s">
        <v>320</v>
      </c>
      <c r="V281" s="363"/>
      <c r="W281" s="364"/>
      <c r="X281" s="365"/>
    </row>
    <row r="282" s="317" customFormat="1" ht="36" spans="1:24">
      <c r="A282" s="147">
        <v>275</v>
      </c>
      <c r="B282" s="381" t="s">
        <v>2077</v>
      </c>
      <c r="C282" s="71" t="s">
        <v>52</v>
      </c>
      <c r="D282" s="71" t="s">
        <v>2078</v>
      </c>
      <c r="E282" s="147">
        <v>1</v>
      </c>
      <c r="F282" s="147">
        <v>15</v>
      </c>
      <c r="G282" s="147">
        <v>55</v>
      </c>
      <c r="H282" s="147">
        <v>2018</v>
      </c>
      <c r="I282" s="147">
        <v>2018</v>
      </c>
      <c r="J282" s="147">
        <v>30</v>
      </c>
      <c r="K282" s="147">
        <v>30</v>
      </c>
      <c r="L282" s="147"/>
      <c r="M282" s="147"/>
      <c r="N282" s="122"/>
      <c r="O282" s="122">
        <v>30</v>
      </c>
      <c r="P282" s="122"/>
      <c r="Q282" s="122"/>
      <c r="R282" s="122"/>
      <c r="S282" s="102" t="s">
        <v>1982</v>
      </c>
      <c r="T282" s="86" t="s">
        <v>1995</v>
      </c>
      <c r="U282" s="123"/>
      <c r="V282" s="56" t="s">
        <v>2047</v>
      </c>
      <c r="W282" s="364"/>
      <c r="X282" s="365"/>
    </row>
    <row r="283" s="317" customFormat="1" ht="36" spans="1:24">
      <c r="A283" s="147">
        <v>276</v>
      </c>
      <c r="B283" s="381" t="s">
        <v>2079</v>
      </c>
      <c r="C283" s="71" t="s">
        <v>1688</v>
      </c>
      <c r="D283" s="71" t="s">
        <v>2078</v>
      </c>
      <c r="E283" s="147">
        <v>1</v>
      </c>
      <c r="F283" s="147">
        <v>158</v>
      </c>
      <c r="G283" s="147">
        <v>624</v>
      </c>
      <c r="H283" s="335">
        <v>2019</v>
      </c>
      <c r="I283" s="335">
        <v>2019</v>
      </c>
      <c r="J283" s="147">
        <v>10</v>
      </c>
      <c r="K283" s="147"/>
      <c r="L283" s="147">
        <v>10</v>
      </c>
      <c r="M283" s="147"/>
      <c r="N283" s="122"/>
      <c r="O283" s="122">
        <v>10</v>
      </c>
      <c r="P283" s="122"/>
      <c r="Q283" s="122"/>
      <c r="R283" s="122"/>
      <c r="S283" s="102" t="s">
        <v>1993</v>
      </c>
      <c r="T283" s="86" t="s">
        <v>1994</v>
      </c>
      <c r="U283" s="123"/>
      <c r="V283" s="363"/>
      <c r="W283" s="364"/>
      <c r="X283" s="365"/>
    </row>
    <row r="284" s="317" customFormat="1" ht="24" spans="1:24">
      <c r="A284" s="147">
        <v>277</v>
      </c>
      <c r="B284" s="381" t="s">
        <v>2080</v>
      </c>
      <c r="C284" s="71" t="s">
        <v>52</v>
      </c>
      <c r="D284" s="71" t="s">
        <v>2078</v>
      </c>
      <c r="E284" s="147">
        <v>1</v>
      </c>
      <c r="F284" s="147">
        <v>21</v>
      </c>
      <c r="G284" s="147">
        <v>101</v>
      </c>
      <c r="H284" s="147">
        <v>2018</v>
      </c>
      <c r="I284" s="147">
        <v>2018</v>
      </c>
      <c r="J284" s="403">
        <v>33.5697</v>
      </c>
      <c r="K284" s="403">
        <v>33.5697</v>
      </c>
      <c r="L284" s="147"/>
      <c r="M284" s="147"/>
      <c r="N284" s="122"/>
      <c r="O284" s="122">
        <v>33.5697</v>
      </c>
      <c r="P284" s="122"/>
      <c r="Q284" s="122"/>
      <c r="R284" s="122"/>
      <c r="S284" s="102" t="s">
        <v>1984</v>
      </c>
      <c r="T284" s="86" t="s">
        <v>1985</v>
      </c>
      <c r="U284" s="123"/>
      <c r="V284" s="56" t="s">
        <v>2047</v>
      </c>
      <c r="W284" s="364"/>
      <c r="X284" s="365"/>
    </row>
    <row r="285" s="317" customFormat="1" ht="24" spans="1:24">
      <c r="A285" s="147">
        <v>278</v>
      </c>
      <c r="B285" s="381" t="s">
        <v>555</v>
      </c>
      <c r="C285" s="147" t="s">
        <v>320</v>
      </c>
      <c r="D285" s="147" t="s">
        <v>320</v>
      </c>
      <c r="E285" s="335">
        <f t="shared" ref="E285:I285" si="139">E286</f>
        <v>2232</v>
      </c>
      <c r="F285" s="335">
        <f t="shared" si="139"/>
        <v>574</v>
      </c>
      <c r="G285" s="335">
        <f t="shared" si="139"/>
        <v>792</v>
      </c>
      <c r="H285" s="335">
        <f t="shared" si="139"/>
        <v>2018</v>
      </c>
      <c r="I285" s="335">
        <f t="shared" si="139"/>
        <v>2020</v>
      </c>
      <c r="J285" s="335"/>
      <c r="K285" s="335"/>
      <c r="L285" s="335"/>
      <c r="M285" s="147"/>
      <c r="N285" s="383"/>
      <c r="O285" s="383"/>
      <c r="P285" s="383"/>
      <c r="Q285" s="383"/>
      <c r="R285" s="422"/>
      <c r="S285" s="123"/>
      <c r="T285" s="123"/>
      <c r="U285" s="147" t="s">
        <v>320</v>
      </c>
      <c r="V285" s="363"/>
      <c r="W285" s="364"/>
      <c r="X285" s="365"/>
    </row>
    <row r="286" s="317" customFormat="1" ht="72.75" spans="1:24">
      <c r="A286" s="147">
        <v>279</v>
      </c>
      <c r="B286" s="381" t="s">
        <v>1033</v>
      </c>
      <c r="C286" s="147" t="s">
        <v>320</v>
      </c>
      <c r="D286" s="71" t="s">
        <v>147</v>
      </c>
      <c r="E286" s="335">
        <v>2232</v>
      </c>
      <c r="F286" s="335">
        <v>574</v>
      </c>
      <c r="G286" s="335">
        <v>792</v>
      </c>
      <c r="H286" s="336">
        <v>2018</v>
      </c>
      <c r="I286" s="336">
        <v>2020</v>
      </c>
      <c r="J286" s="335"/>
      <c r="K286" s="335"/>
      <c r="L286" s="335"/>
      <c r="M286" s="147"/>
      <c r="N286" s="383"/>
      <c r="O286" s="383"/>
      <c r="P286" s="383"/>
      <c r="Q286" s="383"/>
      <c r="R286" s="422"/>
      <c r="S286" s="123"/>
      <c r="T286" s="123"/>
      <c r="U286" s="86" t="s">
        <v>294</v>
      </c>
      <c r="V286" s="363"/>
      <c r="W286" s="364"/>
      <c r="X286" s="365"/>
    </row>
    <row r="287" s="317" customFormat="1" ht="24" spans="1:24">
      <c r="A287" s="147">
        <v>280</v>
      </c>
      <c r="B287" s="212" t="s">
        <v>1983</v>
      </c>
      <c r="C287" s="147"/>
      <c r="D287" s="71" t="s">
        <v>147</v>
      </c>
      <c r="E287" s="335">
        <v>521</v>
      </c>
      <c r="F287" s="335">
        <v>156</v>
      </c>
      <c r="G287" s="335">
        <v>228</v>
      </c>
      <c r="H287" s="335">
        <v>2018</v>
      </c>
      <c r="I287" s="335">
        <v>2020</v>
      </c>
      <c r="J287" s="335"/>
      <c r="K287" s="335"/>
      <c r="L287" s="335"/>
      <c r="M287" s="147"/>
      <c r="N287" s="383"/>
      <c r="O287" s="383"/>
      <c r="P287" s="383"/>
      <c r="Q287" s="383"/>
      <c r="R287" s="422"/>
      <c r="S287" s="102" t="s">
        <v>1984</v>
      </c>
      <c r="T287" s="86" t="s">
        <v>1985</v>
      </c>
      <c r="U287" s="123"/>
      <c r="V287" s="363"/>
      <c r="W287" s="364"/>
      <c r="X287" s="365"/>
    </row>
    <row r="288" s="317" customFormat="1" ht="24" spans="1:24">
      <c r="A288" s="147">
        <v>281</v>
      </c>
      <c r="B288" s="212" t="s">
        <v>1986</v>
      </c>
      <c r="C288" s="147"/>
      <c r="D288" s="71" t="s">
        <v>147</v>
      </c>
      <c r="E288" s="335">
        <v>755</v>
      </c>
      <c r="F288" s="335">
        <v>167</v>
      </c>
      <c r="G288" s="335">
        <v>254</v>
      </c>
      <c r="H288" s="335">
        <v>2018</v>
      </c>
      <c r="I288" s="335">
        <v>2020</v>
      </c>
      <c r="J288" s="335"/>
      <c r="K288" s="335"/>
      <c r="L288" s="335"/>
      <c r="M288" s="147"/>
      <c r="N288" s="383"/>
      <c r="O288" s="383"/>
      <c r="P288" s="383"/>
      <c r="Q288" s="383"/>
      <c r="R288" s="422"/>
      <c r="S288" s="102" t="s">
        <v>1987</v>
      </c>
      <c r="T288" s="86" t="s">
        <v>1988</v>
      </c>
      <c r="U288" s="123"/>
      <c r="V288" s="363"/>
      <c r="W288" s="364"/>
      <c r="X288" s="365"/>
    </row>
    <row r="289" s="317" customFormat="1" ht="24" spans="1:24">
      <c r="A289" s="147">
        <v>282</v>
      </c>
      <c r="B289" s="212" t="s">
        <v>1989</v>
      </c>
      <c r="C289" s="147"/>
      <c r="D289" s="71" t="s">
        <v>147</v>
      </c>
      <c r="E289" s="335">
        <v>484</v>
      </c>
      <c r="F289" s="335">
        <v>125</v>
      </c>
      <c r="G289" s="335">
        <v>161</v>
      </c>
      <c r="H289" s="335">
        <v>2018</v>
      </c>
      <c r="I289" s="335">
        <v>2020</v>
      </c>
      <c r="J289" s="335"/>
      <c r="K289" s="335"/>
      <c r="L289" s="335"/>
      <c r="M289" s="147"/>
      <c r="N289" s="383"/>
      <c r="O289" s="383"/>
      <c r="P289" s="383"/>
      <c r="Q289" s="383"/>
      <c r="R289" s="422"/>
      <c r="S289" s="102" t="s">
        <v>1980</v>
      </c>
      <c r="T289" s="86" t="s">
        <v>1990</v>
      </c>
      <c r="U289" s="123"/>
      <c r="V289" s="363"/>
      <c r="W289" s="364"/>
      <c r="X289" s="365"/>
    </row>
    <row r="290" s="317" customFormat="1" ht="24" spans="1:24">
      <c r="A290" s="147">
        <v>283</v>
      </c>
      <c r="B290" s="212" t="s">
        <v>1991</v>
      </c>
      <c r="C290" s="147"/>
      <c r="D290" s="71" t="s">
        <v>147</v>
      </c>
      <c r="E290" s="335">
        <v>286</v>
      </c>
      <c r="F290" s="335">
        <v>68</v>
      </c>
      <c r="G290" s="335">
        <v>81</v>
      </c>
      <c r="H290" s="335">
        <v>2018</v>
      </c>
      <c r="I290" s="335">
        <v>2020</v>
      </c>
      <c r="J290" s="335"/>
      <c r="K290" s="335"/>
      <c r="L290" s="335"/>
      <c r="M290" s="147"/>
      <c r="N290" s="383"/>
      <c r="O290" s="383"/>
      <c r="P290" s="383"/>
      <c r="Q290" s="383"/>
      <c r="R290" s="422"/>
      <c r="S290" s="102" t="s">
        <v>1982</v>
      </c>
      <c r="T290" s="86" t="s">
        <v>1995</v>
      </c>
      <c r="U290" s="123"/>
      <c r="V290" s="363"/>
      <c r="W290" s="364"/>
      <c r="X290" s="365"/>
    </row>
    <row r="291" s="317" customFormat="1" ht="24" spans="1:24">
      <c r="A291" s="147">
        <v>284</v>
      </c>
      <c r="B291" s="212" t="s">
        <v>1992</v>
      </c>
      <c r="C291" s="147"/>
      <c r="D291" s="71" t="s">
        <v>147</v>
      </c>
      <c r="E291" s="335">
        <v>186</v>
      </c>
      <c r="F291" s="335">
        <v>58</v>
      </c>
      <c r="G291" s="335">
        <v>68</v>
      </c>
      <c r="H291" s="335">
        <v>2018</v>
      </c>
      <c r="I291" s="335">
        <v>2020</v>
      </c>
      <c r="J291" s="335"/>
      <c r="K291" s="335"/>
      <c r="L291" s="335"/>
      <c r="M291" s="147"/>
      <c r="N291" s="383"/>
      <c r="O291" s="383"/>
      <c r="P291" s="383"/>
      <c r="Q291" s="383"/>
      <c r="R291" s="422"/>
      <c r="S291" s="102" t="s">
        <v>1993</v>
      </c>
      <c r="T291" s="86" t="s">
        <v>1994</v>
      </c>
      <c r="U291" s="123"/>
      <c r="V291" s="363"/>
      <c r="W291" s="364"/>
      <c r="X291" s="365"/>
    </row>
    <row r="292" s="318" customFormat="1" ht="24.75" spans="1:24">
      <c r="A292" s="147">
        <v>285</v>
      </c>
      <c r="B292" s="412" t="s">
        <v>2081</v>
      </c>
      <c r="C292" s="76" t="s">
        <v>52</v>
      </c>
      <c r="D292" s="76" t="s">
        <v>150</v>
      </c>
      <c r="E292" s="122">
        <f>E294</f>
        <v>20</v>
      </c>
      <c r="F292" s="122">
        <f t="shared" ref="F292:I292" si="140">F294</f>
        <v>15</v>
      </c>
      <c r="G292" s="122">
        <f t="shared" si="140"/>
        <v>59</v>
      </c>
      <c r="H292" s="122">
        <f t="shared" si="140"/>
        <v>2018</v>
      </c>
      <c r="I292" s="122">
        <f t="shared" si="140"/>
        <v>2018</v>
      </c>
      <c r="J292" s="122">
        <f t="shared" ref="J292:R292" si="141">J294+J295</f>
        <v>2115</v>
      </c>
      <c r="K292" s="122">
        <f t="shared" si="141"/>
        <v>40</v>
      </c>
      <c r="L292" s="122">
        <f t="shared" si="141"/>
        <v>2075</v>
      </c>
      <c r="M292" s="122">
        <f t="shared" si="141"/>
        <v>0</v>
      </c>
      <c r="N292" s="122">
        <f t="shared" si="141"/>
        <v>0</v>
      </c>
      <c r="O292" s="122">
        <f t="shared" si="141"/>
        <v>0</v>
      </c>
      <c r="P292" s="122">
        <f t="shared" si="141"/>
        <v>10</v>
      </c>
      <c r="Q292" s="122">
        <f t="shared" si="141"/>
        <v>2105</v>
      </c>
      <c r="R292" s="122">
        <f t="shared" si="141"/>
        <v>0</v>
      </c>
      <c r="S292" s="122"/>
      <c r="T292" s="122"/>
      <c r="U292" s="76" t="s">
        <v>273</v>
      </c>
      <c r="V292" s="408"/>
      <c r="W292" s="401"/>
      <c r="X292" s="365"/>
    </row>
    <row r="293" s="321" customFormat="1" spans="1:24">
      <c r="A293" s="147">
        <v>286</v>
      </c>
      <c r="B293" s="147" t="s">
        <v>2082</v>
      </c>
      <c r="C293" s="147"/>
      <c r="D293" s="413"/>
      <c r="E293" s="413">
        <f>E294</f>
        <v>20</v>
      </c>
      <c r="F293" s="413">
        <f t="shared" ref="F293:R293" si="142">F294</f>
        <v>15</v>
      </c>
      <c r="G293" s="413">
        <f t="shared" si="142"/>
        <v>59</v>
      </c>
      <c r="H293" s="413">
        <f t="shared" si="142"/>
        <v>2018</v>
      </c>
      <c r="I293" s="413">
        <f t="shared" si="142"/>
        <v>2018</v>
      </c>
      <c r="J293" s="413">
        <f t="shared" si="142"/>
        <v>10</v>
      </c>
      <c r="K293" s="413">
        <f t="shared" si="142"/>
        <v>10</v>
      </c>
      <c r="L293" s="413">
        <f t="shared" si="142"/>
        <v>0</v>
      </c>
      <c r="M293" s="413">
        <f t="shared" si="142"/>
        <v>0</v>
      </c>
      <c r="N293" s="413">
        <f t="shared" si="142"/>
        <v>0</v>
      </c>
      <c r="O293" s="413">
        <f t="shared" si="142"/>
        <v>0</v>
      </c>
      <c r="P293" s="413">
        <f t="shared" si="142"/>
        <v>10</v>
      </c>
      <c r="Q293" s="413">
        <f t="shared" si="142"/>
        <v>0</v>
      </c>
      <c r="R293" s="413">
        <f t="shared" si="142"/>
        <v>0</v>
      </c>
      <c r="S293" s="413"/>
      <c r="T293" s="413"/>
      <c r="U293" s="147"/>
      <c r="V293" s="400"/>
      <c r="W293" s="317"/>
      <c r="X293" s="365"/>
    </row>
    <row r="294" s="318" customFormat="1" ht="24.75" spans="1:24">
      <c r="A294" s="147">
        <v>287</v>
      </c>
      <c r="B294" s="381" t="s">
        <v>2083</v>
      </c>
      <c r="C294" s="71" t="s">
        <v>2084</v>
      </c>
      <c r="D294" s="71" t="s">
        <v>1517</v>
      </c>
      <c r="E294" s="147">
        <v>20</v>
      </c>
      <c r="F294" s="147">
        <v>15</v>
      </c>
      <c r="G294" s="147">
        <v>59</v>
      </c>
      <c r="H294" s="147">
        <v>2018</v>
      </c>
      <c r="I294" s="147">
        <v>2018</v>
      </c>
      <c r="J294" s="147">
        <v>10</v>
      </c>
      <c r="K294" s="147">
        <v>10</v>
      </c>
      <c r="L294" s="147"/>
      <c r="M294" s="147"/>
      <c r="N294" s="122"/>
      <c r="O294" s="122"/>
      <c r="P294" s="147">
        <v>10</v>
      </c>
      <c r="Q294" s="122"/>
      <c r="R294" s="122"/>
      <c r="S294" s="102" t="s">
        <v>1993</v>
      </c>
      <c r="T294" s="86" t="s">
        <v>1994</v>
      </c>
      <c r="U294" s="86" t="s">
        <v>1027</v>
      </c>
      <c r="V294" s="136" t="s">
        <v>2031</v>
      </c>
      <c r="W294" s="401"/>
      <c r="X294" s="365"/>
    </row>
    <row r="295" s="318" customFormat="1" spans="1:24">
      <c r="A295" s="147">
        <v>288</v>
      </c>
      <c r="B295" s="385" t="s">
        <v>2085</v>
      </c>
      <c r="C295" s="147"/>
      <c r="D295" s="147"/>
      <c r="E295" s="147"/>
      <c r="F295" s="147">
        <f t="shared" ref="F295:R295" si="143">F296+F297+F298</f>
        <v>537</v>
      </c>
      <c r="G295" s="147">
        <f t="shared" si="143"/>
        <v>2228</v>
      </c>
      <c r="H295" s="147">
        <v>2019</v>
      </c>
      <c r="I295" s="147">
        <v>2019</v>
      </c>
      <c r="J295" s="147">
        <f t="shared" si="143"/>
        <v>2105</v>
      </c>
      <c r="K295" s="147">
        <f t="shared" si="143"/>
        <v>30</v>
      </c>
      <c r="L295" s="147">
        <f t="shared" si="143"/>
        <v>2075</v>
      </c>
      <c r="M295" s="147">
        <f t="shared" si="143"/>
        <v>0</v>
      </c>
      <c r="N295" s="147">
        <f t="shared" si="143"/>
        <v>0</v>
      </c>
      <c r="O295" s="147">
        <f t="shared" si="143"/>
        <v>0</v>
      </c>
      <c r="P295" s="147">
        <f t="shared" si="143"/>
        <v>0</v>
      </c>
      <c r="Q295" s="147">
        <f t="shared" si="143"/>
        <v>2105</v>
      </c>
      <c r="R295" s="147">
        <f t="shared" si="143"/>
        <v>0</v>
      </c>
      <c r="S295" s="122"/>
      <c r="T295" s="122"/>
      <c r="U295" s="123"/>
      <c r="V295" s="408"/>
      <c r="W295" s="401"/>
      <c r="X295" s="365"/>
    </row>
    <row r="296" s="318" customFormat="1" ht="48.75" spans="1:24">
      <c r="A296" s="147">
        <v>289</v>
      </c>
      <c r="B296" s="381" t="s">
        <v>2086</v>
      </c>
      <c r="C296" s="147"/>
      <c r="D296" s="147"/>
      <c r="E296" s="71" t="s">
        <v>2087</v>
      </c>
      <c r="F296" s="147">
        <v>13</v>
      </c>
      <c r="G296" s="147">
        <v>42</v>
      </c>
      <c r="H296" s="147"/>
      <c r="I296" s="147"/>
      <c r="J296" s="147">
        <v>30</v>
      </c>
      <c r="K296" s="147">
        <v>30</v>
      </c>
      <c r="L296" s="147"/>
      <c r="M296" s="147"/>
      <c r="N296" s="147"/>
      <c r="O296" s="147"/>
      <c r="P296" s="147"/>
      <c r="Q296" s="147">
        <v>30</v>
      </c>
      <c r="R296" s="147"/>
      <c r="S296" s="102" t="s">
        <v>1982</v>
      </c>
      <c r="T296" s="86" t="s">
        <v>1995</v>
      </c>
      <c r="U296" s="123"/>
      <c r="V296" s="408"/>
      <c r="W296" s="401"/>
      <c r="X296" s="365"/>
    </row>
    <row r="297" s="318" customFormat="1" ht="187.5" spans="1:24">
      <c r="A297" s="147">
        <v>290</v>
      </c>
      <c r="B297" s="381" t="s">
        <v>2088</v>
      </c>
      <c r="C297" s="76" t="s">
        <v>52</v>
      </c>
      <c r="D297" s="147" t="s">
        <v>320</v>
      </c>
      <c r="E297" s="132" t="s">
        <v>2089</v>
      </c>
      <c r="F297" s="147">
        <v>341</v>
      </c>
      <c r="G297" s="147">
        <v>1439</v>
      </c>
      <c r="H297" s="147">
        <v>2019</v>
      </c>
      <c r="I297" s="147">
        <v>2019</v>
      </c>
      <c r="J297" s="147">
        <v>1175</v>
      </c>
      <c r="K297" s="147"/>
      <c r="L297" s="147">
        <v>1175</v>
      </c>
      <c r="M297" s="147"/>
      <c r="N297" s="122"/>
      <c r="O297" s="122"/>
      <c r="P297" s="147"/>
      <c r="Q297" s="147">
        <v>1175</v>
      </c>
      <c r="R297" s="122"/>
      <c r="S297" s="102" t="s">
        <v>1987</v>
      </c>
      <c r="T297" s="86" t="s">
        <v>1988</v>
      </c>
      <c r="U297" s="123"/>
      <c r="V297" s="136" t="s">
        <v>2090</v>
      </c>
      <c r="W297" s="401"/>
      <c r="X297" s="365"/>
    </row>
    <row r="298" s="318" customFormat="1" ht="152.25" spans="1:24">
      <c r="A298" s="147">
        <v>291</v>
      </c>
      <c r="B298" s="381" t="s">
        <v>2091</v>
      </c>
      <c r="C298" s="76" t="s">
        <v>52</v>
      </c>
      <c r="D298" s="147" t="s">
        <v>320</v>
      </c>
      <c r="E298" s="56" t="s">
        <v>2092</v>
      </c>
      <c r="F298" s="147">
        <v>183</v>
      </c>
      <c r="G298" s="147">
        <v>747</v>
      </c>
      <c r="H298" s="147">
        <v>2019</v>
      </c>
      <c r="I298" s="147">
        <v>2019</v>
      </c>
      <c r="J298" s="147">
        <v>900</v>
      </c>
      <c r="K298" s="147"/>
      <c r="L298" s="147">
        <v>900</v>
      </c>
      <c r="M298" s="147"/>
      <c r="N298" s="122"/>
      <c r="O298" s="122"/>
      <c r="P298" s="147"/>
      <c r="Q298" s="147">
        <v>900</v>
      </c>
      <c r="R298" s="122"/>
      <c r="S298" s="102" t="s">
        <v>1984</v>
      </c>
      <c r="T298" s="86" t="s">
        <v>1985</v>
      </c>
      <c r="U298" s="123"/>
      <c r="V298" s="136" t="s">
        <v>2093</v>
      </c>
      <c r="W298" s="401"/>
      <c r="X298" s="365"/>
    </row>
    <row r="299" s="317" customFormat="1" spans="1:24">
      <c r="A299" s="147">
        <v>292</v>
      </c>
      <c r="B299" s="371" t="s">
        <v>2094</v>
      </c>
      <c r="C299" s="147"/>
      <c r="D299" s="147"/>
      <c r="E299" s="335"/>
      <c r="F299" s="335">
        <f t="shared" ref="F299:R299" si="144">F300+F305+F306</f>
        <v>236</v>
      </c>
      <c r="G299" s="335">
        <f t="shared" si="144"/>
        <v>878</v>
      </c>
      <c r="H299" s="335"/>
      <c r="I299" s="335"/>
      <c r="J299" s="335">
        <f t="shared" si="144"/>
        <v>30</v>
      </c>
      <c r="K299" s="335">
        <f t="shared" si="144"/>
        <v>0</v>
      </c>
      <c r="L299" s="335">
        <f t="shared" si="144"/>
        <v>30</v>
      </c>
      <c r="M299" s="335">
        <f t="shared" si="144"/>
        <v>0</v>
      </c>
      <c r="N299" s="335">
        <f t="shared" si="144"/>
        <v>0</v>
      </c>
      <c r="O299" s="335">
        <f t="shared" si="144"/>
        <v>0</v>
      </c>
      <c r="P299" s="335">
        <f t="shared" si="144"/>
        <v>30</v>
      </c>
      <c r="Q299" s="335">
        <f t="shared" si="144"/>
        <v>0</v>
      </c>
      <c r="R299" s="335">
        <f t="shared" si="144"/>
        <v>0</v>
      </c>
      <c r="S299" s="123"/>
      <c r="T299" s="123"/>
      <c r="U299" s="123"/>
      <c r="V299" s="363"/>
      <c r="W299" s="364"/>
      <c r="X299" s="365"/>
    </row>
    <row r="300" s="317" customFormat="1" spans="1:24">
      <c r="A300" s="147">
        <v>293</v>
      </c>
      <c r="B300" s="381" t="s">
        <v>1049</v>
      </c>
      <c r="C300" s="147" t="s">
        <v>320</v>
      </c>
      <c r="D300" s="147" t="s">
        <v>320</v>
      </c>
      <c r="E300" s="335">
        <f t="shared" ref="E300:G300" si="145">E301+E302+E303</f>
        <v>1</v>
      </c>
      <c r="F300" s="335">
        <f t="shared" si="145"/>
        <v>236</v>
      </c>
      <c r="G300" s="335">
        <f t="shared" si="145"/>
        <v>878</v>
      </c>
      <c r="H300" s="335">
        <v>2018</v>
      </c>
      <c r="I300" s="335">
        <v>2019</v>
      </c>
      <c r="J300" s="335">
        <f t="shared" ref="J300:P300" si="146">J301+J302+J303</f>
        <v>30</v>
      </c>
      <c r="K300" s="335">
        <f t="shared" si="146"/>
        <v>0</v>
      </c>
      <c r="L300" s="335">
        <f t="shared" si="146"/>
        <v>30</v>
      </c>
      <c r="M300" s="335">
        <f t="shared" si="146"/>
        <v>0</v>
      </c>
      <c r="N300" s="335">
        <f t="shared" si="146"/>
        <v>0</v>
      </c>
      <c r="O300" s="335">
        <f t="shared" si="146"/>
        <v>0</v>
      </c>
      <c r="P300" s="335">
        <f t="shared" si="146"/>
        <v>30</v>
      </c>
      <c r="Q300" s="383"/>
      <c r="R300" s="422"/>
      <c r="S300" s="123"/>
      <c r="T300" s="123"/>
      <c r="U300" s="147" t="s">
        <v>320</v>
      </c>
      <c r="V300" s="363"/>
      <c r="W300" s="364"/>
      <c r="X300" s="365"/>
    </row>
    <row r="301" s="317" customFormat="1" ht="24.75" spans="1:24">
      <c r="A301" s="147">
        <v>294</v>
      </c>
      <c r="B301" s="385" t="s">
        <v>1050</v>
      </c>
      <c r="C301" s="71" t="s">
        <v>52</v>
      </c>
      <c r="D301" s="71" t="s">
        <v>202</v>
      </c>
      <c r="E301" s="335"/>
      <c r="F301" s="335"/>
      <c r="G301" s="335"/>
      <c r="H301" s="335"/>
      <c r="I301" s="335"/>
      <c r="J301" s="335"/>
      <c r="K301" s="335"/>
      <c r="L301" s="335"/>
      <c r="M301" s="147"/>
      <c r="N301" s="383"/>
      <c r="O301" s="383"/>
      <c r="P301" s="383"/>
      <c r="Q301" s="383"/>
      <c r="R301" s="422"/>
      <c r="S301" s="123"/>
      <c r="T301" s="123"/>
      <c r="U301" s="86" t="s">
        <v>497</v>
      </c>
      <c r="V301" s="363"/>
      <c r="W301" s="364"/>
      <c r="X301" s="365"/>
    </row>
    <row r="302" s="317" customFormat="1" ht="24.75" spans="1:24">
      <c r="A302" s="147">
        <v>295</v>
      </c>
      <c r="B302" s="147" t="s">
        <v>1051</v>
      </c>
      <c r="C302" s="147" t="s">
        <v>320</v>
      </c>
      <c r="D302" s="147" t="s">
        <v>320</v>
      </c>
      <c r="E302" s="335"/>
      <c r="F302" s="335"/>
      <c r="G302" s="335"/>
      <c r="H302" s="335"/>
      <c r="I302" s="335"/>
      <c r="J302" s="335"/>
      <c r="K302" s="335"/>
      <c r="L302" s="335"/>
      <c r="M302" s="147"/>
      <c r="N302" s="383"/>
      <c r="O302" s="383"/>
      <c r="P302" s="383"/>
      <c r="Q302" s="383"/>
      <c r="R302" s="422"/>
      <c r="S302" s="375"/>
      <c r="T302" s="375"/>
      <c r="U302" s="89" t="s">
        <v>160</v>
      </c>
      <c r="V302" s="363"/>
      <c r="W302" s="364"/>
      <c r="X302" s="365"/>
    </row>
    <row r="303" s="317" customFormat="1" ht="24.75" spans="1:24">
      <c r="A303" s="147">
        <v>296</v>
      </c>
      <c r="B303" s="147" t="s">
        <v>1052</v>
      </c>
      <c r="C303" s="147" t="s">
        <v>320</v>
      </c>
      <c r="D303" s="147" t="s">
        <v>320</v>
      </c>
      <c r="E303" s="335">
        <f t="shared" ref="E303:G303" si="147">E304</f>
        <v>1</v>
      </c>
      <c r="F303" s="335">
        <f t="shared" si="147"/>
        <v>236</v>
      </c>
      <c r="G303" s="335">
        <f t="shared" si="147"/>
        <v>878</v>
      </c>
      <c r="H303" s="335">
        <v>2019</v>
      </c>
      <c r="I303" s="335">
        <v>2019</v>
      </c>
      <c r="J303" s="335">
        <f t="shared" ref="J303:R303" si="148">J304</f>
        <v>30</v>
      </c>
      <c r="K303" s="335">
        <f t="shared" si="148"/>
        <v>0</v>
      </c>
      <c r="L303" s="335">
        <f t="shared" si="148"/>
        <v>30</v>
      </c>
      <c r="M303" s="335">
        <f t="shared" si="148"/>
        <v>0</v>
      </c>
      <c r="N303" s="335">
        <f t="shared" si="148"/>
        <v>0</v>
      </c>
      <c r="O303" s="335">
        <f t="shared" si="148"/>
        <v>0</v>
      </c>
      <c r="P303" s="335">
        <f t="shared" si="148"/>
        <v>30</v>
      </c>
      <c r="Q303" s="335">
        <f t="shared" si="148"/>
        <v>0</v>
      </c>
      <c r="R303" s="335">
        <f t="shared" si="148"/>
        <v>0</v>
      </c>
      <c r="S303" s="89" t="s">
        <v>1982</v>
      </c>
      <c r="T303" s="89" t="s">
        <v>2039</v>
      </c>
      <c r="U303" s="86" t="s">
        <v>160</v>
      </c>
      <c r="V303" s="363"/>
      <c r="W303" s="364"/>
      <c r="X303" s="365"/>
    </row>
    <row r="304" s="317" customFormat="1" ht="147.75" spans="1:24">
      <c r="A304" s="147">
        <v>297</v>
      </c>
      <c r="B304" s="414" t="s">
        <v>2095</v>
      </c>
      <c r="C304" s="132" t="s">
        <v>2096</v>
      </c>
      <c r="D304" s="157" t="s">
        <v>2078</v>
      </c>
      <c r="E304" s="145">
        <v>1</v>
      </c>
      <c r="F304" s="145">
        <v>236</v>
      </c>
      <c r="G304" s="145">
        <v>878</v>
      </c>
      <c r="H304" s="335">
        <v>2019</v>
      </c>
      <c r="I304" s="335">
        <v>2019</v>
      </c>
      <c r="J304" s="145">
        <f>K304+L304+M304</f>
        <v>30</v>
      </c>
      <c r="K304" s="145"/>
      <c r="L304" s="145">
        <v>30</v>
      </c>
      <c r="M304" s="145"/>
      <c r="N304" s="383"/>
      <c r="O304" s="383"/>
      <c r="P304" s="383">
        <f>J304</f>
        <v>30</v>
      </c>
      <c r="Q304" s="383"/>
      <c r="R304" s="145"/>
      <c r="S304" s="102" t="s">
        <v>1982</v>
      </c>
      <c r="T304" s="86" t="s">
        <v>1995</v>
      </c>
      <c r="U304" s="123"/>
      <c r="V304" s="363"/>
      <c r="W304" s="364"/>
      <c r="X304" s="365"/>
    </row>
    <row r="305" s="317" customFormat="1" ht="27" spans="1:24">
      <c r="A305" s="147">
        <v>298</v>
      </c>
      <c r="B305" s="139" t="s">
        <v>1059</v>
      </c>
      <c r="C305" s="383"/>
      <c r="D305" s="383"/>
      <c r="E305" s="335"/>
      <c r="F305" s="335"/>
      <c r="G305" s="335"/>
      <c r="H305" s="335"/>
      <c r="I305" s="335"/>
      <c r="J305" s="335"/>
      <c r="K305" s="335"/>
      <c r="L305" s="335"/>
      <c r="M305" s="147"/>
      <c r="N305" s="383"/>
      <c r="O305" s="383"/>
      <c r="P305" s="383"/>
      <c r="Q305" s="383"/>
      <c r="R305" s="422"/>
      <c r="S305" s="383"/>
      <c r="T305" s="383"/>
      <c r="U305" s="86" t="s">
        <v>43</v>
      </c>
      <c r="V305" s="363"/>
      <c r="W305" s="364"/>
      <c r="X305" s="365"/>
    </row>
    <row r="306" s="317" customFormat="1" ht="24" spans="1:24">
      <c r="A306" s="147">
        <v>299</v>
      </c>
      <c r="B306" s="71" t="s">
        <v>1060</v>
      </c>
      <c r="C306" s="147"/>
      <c r="D306" s="147"/>
      <c r="E306" s="335"/>
      <c r="F306" s="335"/>
      <c r="G306" s="335"/>
      <c r="H306" s="335"/>
      <c r="I306" s="335"/>
      <c r="J306" s="335"/>
      <c r="K306" s="335"/>
      <c r="L306" s="335"/>
      <c r="M306" s="147"/>
      <c r="N306" s="383"/>
      <c r="O306" s="383"/>
      <c r="P306" s="383"/>
      <c r="Q306" s="383"/>
      <c r="R306" s="422"/>
      <c r="S306" s="123"/>
      <c r="T306" s="123"/>
      <c r="U306" s="123"/>
      <c r="V306" s="363"/>
      <c r="W306" s="364"/>
      <c r="X306" s="365"/>
    </row>
    <row r="307" spans="1:23">
      <c r="A307" s="203" t="s">
        <v>2097</v>
      </c>
      <c r="C307" s="415"/>
      <c r="D307" s="415"/>
      <c r="N307" s="322"/>
      <c r="O307" s="322"/>
      <c r="P307" s="322"/>
      <c r="Q307" s="322"/>
      <c r="R307" s="324"/>
      <c r="S307" s="415"/>
      <c r="T307" s="415"/>
      <c r="U307" s="415"/>
      <c r="V307" s="415"/>
      <c r="W307" s="415"/>
    </row>
    <row r="308" spans="1:23">
      <c r="A308" s="416" t="s">
        <v>2098</v>
      </c>
      <c r="B308" s="417"/>
      <c r="C308" s="416"/>
      <c r="D308" s="416"/>
      <c r="E308" s="417"/>
      <c r="F308" s="417"/>
      <c r="G308" s="417"/>
      <c r="H308" s="417"/>
      <c r="I308" s="417"/>
      <c r="J308" s="417"/>
      <c r="K308" s="417"/>
      <c r="L308" s="417"/>
      <c r="M308" s="417"/>
      <c r="N308" s="322"/>
      <c r="O308" s="322"/>
      <c r="P308" s="322"/>
      <c r="Q308" s="322"/>
      <c r="R308" s="324"/>
      <c r="S308" s="416"/>
      <c r="T308" s="416"/>
      <c r="U308" s="416"/>
      <c r="V308" s="416"/>
      <c r="W308" s="416"/>
    </row>
    <row r="309" ht="18.95" customHeight="1" spans="1:23">
      <c r="A309" s="415" t="s">
        <v>2099</v>
      </c>
      <c r="C309" s="415"/>
      <c r="D309" s="415"/>
      <c r="N309" s="322"/>
      <c r="O309" s="322"/>
      <c r="P309" s="322"/>
      <c r="Q309" s="322"/>
      <c r="R309" s="324"/>
      <c r="S309" s="415"/>
      <c r="T309" s="415"/>
      <c r="U309" s="415"/>
      <c r="V309" s="415"/>
      <c r="W309" s="415"/>
    </row>
    <row r="310" hidden="1"/>
    <row r="311" hidden="1"/>
    <row r="312" hidden="1"/>
    <row r="313" hidden="1"/>
    <row r="314" hidden="1"/>
    <row r="315" hidden="1"/>
    <row r="316" hidden="1"/>
    <row r="317" hidden="1"/>
    <row r="318" hidden="1"/>
    <row r="319" hidden="1"/>
    <row r="320" hidden="1"/>
    <row r="321" hidden="1"/>
    <row r="322" hidden="1"/>
  </sheetData>
  <mergeCells count="18">
    <mergeCell ref="A1:B1"/>
    <mergeCell ref="A2:V2"/>
    <mergeCell ref="A3:T3"/>
    <mergeCell ref="F4:G4"/>
    <mergeCell ref="H4:I4"/>
    <mergeCell ref="J4:M4"/>
    <mergeCell ref="N4:R4"/>
    <mergeCell ref="A307:V307"/>
    <mergeCell ref="A308:V308"/>
    <mergeCell ref="A309:V309"/>
    <mergeCell ref="A4:A6"/>
    <mergeCell ref="B4:B6"/>
    <mergeCell ref="C4:C6"/>
    <mergeCell ref="D4:D5"/>
    <mergeCell ref="E4:E5"/>
    <mergeCell ref="U4:U5"/>
    <mergeCell ref="V4:V5"/>
    <mergeCell ref="S4:T5"/>
  </mergeCells>
  <dataValidations count="1">
    <dataValidation allowBlank="1" showInputMessage="1" showErrorMessage="1" sqref="A2"/>
  </dataValidations>
  <pageMargins left="0.468055555555556" right="0.0388888888888889" top="0.313888888888889" bottom="0.235416666666667" header="0.297916666666667" footer="0.297916666666667"/>
  <pageSetup paperSize="9" scale="74"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autoPageBreaks="0"/>
  </sheetPr>
  <dimension ref="A1:AO473"/>
  <sheetViews>
    <sheetView view="pageBreakPreview" zoomScale="72" zoomScaleNormal="77" workbookViewId="0">
      <selection activeCell="O9" sqref="O9"/>
    </sheetView>
  </sheetViews>
  <sheetFormatPr defaultColWidth="8.88333333333333" defaultRowHeight="12"/>
  <cols>
    <col min="1" max="1" width="4.13333333333333" style="258" customWidth="1"/>
    <col min="2" max="2" width="21.25" style="262" customWidth="1"/>
    <col min="3" max="3" width="10.3833333333333" style="261" customWidth="1"/>
    <col min="4" max="5" width="5.5" style="258" customWidth="1"/>
    <col min="6" max="9" width="8.63333333333333" style="263" customWidth="1"/>
    <col min="10" max="10" width="22.6333333333333" style="258" customWidth="1"/>
    <col min="11" max="11" width="8.38333333333333" style="258"/>
    <col min="12" max="12" width="7.88333333333333" style="258"/>
    <col min="13" max="13" width="8.63333333333333" style="258" customWidth="1"/>
    <col min="14" max="14" width="6.63333333333333" style="258" customWidth="1"/>
    <col min="15" max="15" width="10.75" style="264" customWidth="1"/>
    <col min="16" max="16" width="9.25" style="264" customWidth="1"/>
    <col min="17" max="17" width="9.63333333333333" style="264" customWidth="1"/>
    <col min="18" max="18" width="8.38333333333333" style="264" customWidth="1"/>
    <col min="19" max="19" width="9.25" style="264" customWidth="1"/>
    <col min="20" max="21" width="9.63333333333333" style="264" customWidth="1"/>
    <col min="22" max="22" width="7.5" style="264" customWidth="1"/>
    <col min="23" max="23" width="5.75" style="264" customWidth="1"/>
    <col min="24" max="25" width="6.63333333333333" style="258" customWidth="1"/>
    <col min="26" max="26" width="7.25" style="258" customWidth="1"/>
    <col min="27" max="27" width="12.6333333333333" style="258" customWidth="1"/>
    <col min="28" max="28" width="20.6333333333333" style="258" customWidth="1"/>
    <col min="29" max="29" width="10.6333333333333" style="258" customWidth="1"/>
    <col min="30" max="16384" width="8.88333333333333" style="262"/>
  </cols>
  <sheetData>
    <row r="1" s="257" customFormat="1" spans="1:29">
      <c r="A1" s="265" t="s">
        <v>0</v>
      </c>
      <c r="B1" s="265"/>
      <c r="C1" s="266"/>
      <c r="D1" s="267"/>
      <c r="E1" s="267"/>
      <c r="F1" s="267"/>
      <c r="G1" s="267"/>
      <c r="H1" s="267"/>
      <c r="I1" s="267"/>
      <c r="J1" s="281"/>
      <c r="K1" s="267"/>
      <c r="L1" s="267"/>
      <c r="M1" s="267"/>
      <c r="N1" s="267"/>
      <c r="O1" s="282"/>
      <c r="P1" s="282"/>
      <c r="Q1" s="282"/>
      <c r="R1" s="282"/>
      <c r="S1" s="282"/>
      <c r="T1" s="282"/>
      <c r="U1" s="282"/>
      <c r="V1" s="282"/>
      <c r="W1" s="282"/>
      <c r="X1" s="267"/>
      <c r="Y1" s="267"/>
      <c r="Z1" s="267"/>
      <c r="AA1" s="267"/>
      <c r="AB1" s="267"/>
      <c r="AC1" s="267"/>
    </row>
    <row r="2" s="257" customFormat="1" ht="30" customHeight="1" spans="1:29">
      <c r="A2" s="268" t="s">
        <v>2100</v>
      </c>
      <c r="B2" s="268"/>
      <c r="C2" s="269"/>
      <c r="D2" s="268"/>
      <c r="E2" s="268"/>
      <c r="F2" s="268"/>
      <c r="G2" s="268"/>
      <c r="H2" s="268"/>
      <c r="I2" s="268"/>
      <c r="J2" s="268"/>
      <c r="K2" s="268"/>
      <c r="L2" s="268"/>
      <c r="M2" s="268"/>
      <c r="N2" s="268"/>
      <c r="O2" s="283"/>
      <c r="P2" s="283"/>
      <c r="Q2" s="283"/>
      <c r="R2" s="283"/>
      <c r="S2" s="283"/>
      <c r="T2" s="283"/>
      <c r="U2" s="283"/>
      <c r="V2" s="283"/>
      <c r="W2" s="283"/>
      <c r="X2" s="268"/>
      <c r="Y2" s="268"/>
      <c r="Z2" s="268"/>
      <c r="AA2" s="268"/>
      <c r="AB2" s="268"/>
      <c r="AC2" s="268"/>
    </row>
    <row r="3" s="257" customFormat="1" ht="30" customHeight="1" spans="1:29">
      <c r="A3" s="265" t="s">
        <v>1512</v>
      </c>
      <c r="B3" s="265"/>
      <c r="C3" s="270"/>
      <c r="D3" s="265"/>
      <c r="E3" s="265"/>
      <c r="F3" s="265"/>
      <c r="G3" s="265"/>
      <c r="H3" s="265"/>
      <c r="I3" s="265"/>
      <c r="J3" s="265"/>
      <c r="K3" s="265"/>
      <c r="L3" s="265"/>
      <c r="M3" s="265"/>
      <c r="N3" s="265"/>
      <c r="O3" s="284"/>
      <c r="P3" s="284"/>
      <c r="Q3" s="284"/>
      <c r="R3" s="284"/>
      <c r="S3" s="284"/>
      <c r="T3" s="284"/>
      <c r="U3" s="284"/>
      <c r="V3" s="284"/>
      <c r="W3" s="284"/>
      <c r="X3" s="265"/>
      <c r="Y3" s="265"/>
      <c r="Z3" s="265"/>
      <c r="AA3" s="265"/>
      <c r="AB3" s="265"/>
      <c r="AC3" s="265"/>
    </row>
    <row r="4" s="257" customFormat="1" ht="30" customHeight="1" spans="1:29">
      <c r="A4" s="271" t="s">
        <v>3</v>
      </c>
      <c r="B4" s="271" t="s">
        <v>4</v>
      </c>
      <c r="C4" s="272" t="s">
        <v>1066</v>
      </c>
      <c r="D4" s="271" t="s">
        <v>6</v>
      </c>
      <c r="E4" s="271"/>
      <c r="F4" s="271" t="s">
        <v>2101</v>
      </c>
      <c r="G4" s="271"/>
      <c r="H4" s="271"/>
      <c r="I4" s="271"/>
      <c r="J4" s="271" t="s">
        <v>2102</v>
      </c>
      <c r="K4" s="271" t="s">
        <v>737</v>
      </c>
      <c r="L4" s="271"/>
      <c r="M4" s="271" t="s">
        <v>11</v>
      </c>
      <c r="N4" s="271"/>
      <c r="O4" s="285" t="s">
        <v>12</v>
      </c>
      <c r="P4" s="285"/>
      <c r="Q4" s="285"/>
      <c r="R4" s="285"/>
      <c r="S4" s="285" t="s">
        <v>13</v>
      </c>
      <c r="T4" s="285"/>
      <c r="U4" s="285"/>
      <c r="V4" s="285"/>
      <c r="W4" s="285"/>
      <c r="X4" s="287" t="s">
        <v>18</v>
      </c>
      <c r="Y4" s="287"/>
      <c r="Z4" s="287" t="s">
        <v>19</v>
      </c>
      <c r="AA4" s="287" t="s">
        <v>20</v>
      </c>
      <c r="AB4" s="287"/>
      <c r="AC4" s="287"/>
    </row>
    <row r="5" s="257" customFormat="1" ht="30" customHeight="1" spans="1:29">
      <c r="A5" s="271"/>
      <c r="B5" s="271"/>
      <c r="C5" s="272"/>
      <c r="D5" s="271"/>
      <c r="E5" s="271"/>
      <c r="F5" s="271" t="s">
        <v>38</v>
      </c>
      <c r="G5" s="271" t="s">
        <v>591</v>
      </c>
      <c r="H5" s="271" t="s">
        <v>592</v>
      </c>
      <c r="I5" s="271" t="s">
        <v>593</v>
      </c>
      <c r="J5" s="271"/>
      <c r="K5" s="271" t="s">
        <v>384</v>
      </c>
      <c r="L5" s="271" t="s">
        <v>147</v>
      </c>
      <c r="M5" s="271" t="s">
        <v>22</v>
      </c>
      <c r="N5" s="271" t="s">
        <v>23</v>
      </c>
      <c r="O5" s="286" t="s">
        <v>38</v>
      </c>
      <c r="P5" s="286" t="s">
        <v>591</v>
      </c>
      <c r="Q5" s="286" t="s">
        <v>592</v>
      </c>
      <c r="R5" s="286" t="s">
        <v>593</v>
      </c>
      <c r="S5" s="286" t="s">
        <v>25</v>
      </c>
      <c r="T5" s="286" t="s">
        <v>26</v>
      </c>
      <c r="U5" s="286" t="s">
        <v>27</v>
      </c>
      <c r="V5" s="286" t="s">
        <v>28</v>
      </c>
      <c r="W5" s="286" t="s">
        <v>29</v>
      </c>
      <c r="X5" s="287"/>
      <c r="Y5" s="287"/>
      <c r="Z5" s="287"/>
      <c r="AA5" s="271" t="s">
        <v>2103</v>
      </c>
      <c r="AB5" s="287" t="s">
        <v>2104</v>
      </c>
      <c r="AC5" s="287" t="s">
        <v>2105</v>
      </c>
    </row>
    <row r="6" s="257" customFormat="1" spans="1:29">
      <c r="A6" s="271"/>
      <c r="B6" s="271"/>
      <c r="C6" s="272"/>
      <c r="D6" s="271">
        <v>1</v>
      </c>
      <c r="E6" s="271"/>
      <c r="F6" s="271">
        <v>2</v>
      </c>
      <c r="G6" s="271"/>
      <c r="H6" s="271"/>
      <c r="I6" s="271"/>
      <c r="J6" s="271"/>
      <c r="K6" s="271">
        <v>3</v>
      </c>
      <c r="L6" s="271">
        <v>4</v>
      </c>
      <c r="M6" s="271">
        <v>5</v>
      </c>
      <c r="N6" s="271">
        <v>6</v>
      </c>
      <c r="O6" s="286" t="s">
        <v>740</v>
      </c>
      <c r="P6" s="286">
        <v>8</v>
      </c>
      <c r="Q6" s="286">
        <v>9</v>
      </c>
      <c r="R6" s="286">
        <v>10</v>
      </c>
      <c r="S6" s="286"/>
      <c r="T6" s="286"/>
      <c r="U6" s="286"/>
      <c r="V6" s="286"/>
      <c r="W6" s="286"/>
      <c r="X6" s="271">
        <v>11</v>
      </c>
      <c r="Y6" s="271">
        <v>12</v>
      </c>
      <c r="Z6" s="271">
        <v>13</v>
      </c>
      <c r="AA6" s="271"/>
      <c r="AB6" s="271"/>
      <c r="AC6" s="271"/>
    </row>
    <row r="7" ht="45" customHeight="1" spans="1:29">
      <c r="A7" s="273">
        <v>0</v>
      </c>
      <c r="B7" s="274" t="s">
        <v>39</v>
      </c>
      <c r="C7" s="275" t="s">
        <v>320</v>
      </c>
      <c r="D7" s="274" t="s">
        <v>320</v>
      </c>
      <c r="E7" s="274"/>
      <c r="F7" s="276" t="s">
        <v>320</v>
      </c>
      <c r="G7" s="276" t="s">
        <v>320</v>
      </c>
      <c r="H7" s="276" t="s">
        <v>320</v>
      </c>
      <c r="I7" s="276" t="s">
        <v>320</v>
      </c>
      <c r="J7" s="274" t="s">
        <v>320</v>
      </c>
      <c r="K7" s="274">
        <v>1351</v>
      </c>
      <c r="L7" s="274">
        <v>4888</v>
      </c>
      <c r="M7" s="274">
        <v>2018</v>
      </c>
      <c r="N7" s="274">
        <v>2020</v>
      </c>
      <c r="O7" s="280">
        <f t="shared" ref="O7:O44" si="0">SUM(P7:R7)</f>
        <v>14237.268428</v>
      </c>
      <c r="P7" s="280">
        <f t="shared" ref="P7:W7" si="1">SUM(P8,P44,P92,P126,P243,P354,P373,P402,P462)</f>
        <v>6152.6756</v>
      </c>
      <c r="Q7" s="280">
        <f t="shared" si="1"/>
        <v>7221.755674</v>
      </c>
      <c r="R7" s="280">
        <f t="shared" si="1"/>
        <v>862.837154</v>
      </c>
      <c r="S7" s="280">
        <f t="shared" si="1"/>
        <v>4269.658526</v>
      </c>
      <c r="T7" s="280">
        <f t="shared" si="1"/>
        <v>7063.787502</v>
      </c>
      <c r="U7" s="280">
        <f t="shared" si="1"/>
        <v>2718.7724</v>
      </c>
      <c r="V7" s="280">
        <f t="shared" si="1"/>
        <v>185.05</v>
      </c>
      <c r="W7" s="280">
        <f t="shared" si="1"/>
        <v>0</v>
      </c>
      <c r="X7" s="274" t="s">
        <v>320</v>
      </c>
      <c r="Y7" s="274" t="s">
        <v>320</v>
      </c>
      <c r="Z7" s="274" t="s">
        <v>320</v>
      </c>
      <c r="AA7" s="274" t="s">
        <v>320</v>
      </c>
      <c r="AB7" s="274" t="s">
        <v>320</v>
      </c>
      <c r="AC7" s="274" t="s">
        <v>2106</v>
      </c>
    </row>
    <row r="8" ht="30" customHeight="1" spans="1:29">
      <c r="A8" s="273">
        <v>1</v>
      </c>
      <c r="B8" s="277" t="s">
        <v>742</v>
      </c>
      <c r="C8" s="275" t="s">
        <v>52</v>
      </c>
      <c r="D8" s="274" t="s">
        <v>320</v>
      </c>
      <c r="E8" s="274"/>
      <c r="F8" s="276">
        <f t="shared" ref="F8:F43" si="2">SUM(G8:I8)</f>
        <v>1594</v>
      </c>
      <c r="G8" s="276">
        <v>1565</v>
      </c>
      <c r="H8" s="276">
        <v>29</v>
      </c>
      <c r="I8" s="276">
        <v>0</v>
      </c>
      <c r="J8" s="274" t="s">
        <v>320</v>
      </c>
      <c r="K8" s="274">
        <f t="shared" ref="K8:W8" si="3">SUM(K9,K14,K38)</f>
        <v>736</v>
      </c>
      <c r="L8" s="274">
        <f t="shared" si="3"/>
        <v>2550</v>
      </c>
      <c r="M8" s="274">
        <v>2018</v>
      </c>
      <c r="N8" s="274">
        <v>2020</v>
      </c>
      <c r="O8" s="280">
        <f t="shared" si="0"/>
        <v>6874.368</v>
      </c>
      <c r="P8" s="280">
        <f t="shared" si="3"/>
        <v>4126.968</v>
      </c>
      <c r="Q8" s="280">
        <f t="shared" si="3"/>
        <v>2747.4</v>
      </c>
      <c r="R8" s="280">
        <f t="shared" si="3"/>
        <v>0</v>
      </c>
      <c r="S8" s="280">
        <f t="shared" si="3"/>
        <v>1075.05</v>
      </c>
      <c r="T8" s="280">
        <f t="shared" si="3"/>
        <v>3388.8</v>
      </c>
      <c r="U8" s="280">
        <f t="shared" si="3"/>
        <v>2410.518</v>
      </c>
      <c r="V8" s="280">
        <f t="shared" si="3"/>
        <v>0</v>
      </c>
      <c r="W8" s="280">
        <f t="shared" si="3"/>
        <v>0</v>
      </c>
      <c r="X8" s="274" t="s">
        <v>320</v>
      </c>
      <c r="Y8" s="274" t="s">
        <v>320</v>
      </c>
      <c r="Z8" s="274" t="s">
        <v>320</v>
      </c>
      <c r="AA8" s="274" t="s">
        <v>320</v>
      </c>
      <c r="AB8" s="274" t="s">
        <v>320</v>
      </c>
      <c r="AC8" s="274" t="s">
        <v>2106</v>
      </c>
    </row>
    <row r="9" ht="108" spans="1:29">
      <c r="A9" s="273">
        <v>2</v>
      </c>
      <c r="B9" s="277" t="s">
        <v>380</v>
      </c>
      <c r="C9" s="275" t="s">
        <v>52</v>
      </c>
      <c r="D9" s="274" t="s">
        <v>147</v>
      </c>
      <c r="E9" s="274"/>
      <c r="F9" s="276">
        <f t="shared" si="2"/>
        <v>156</v>
      </c>
      <c r="G9" s="276">
        <f t="shared" ref="G9:L9" si="4">SUM(G10:G13)</f>
        <v>70</v>
      </c>
      <c r="H9" s="276">
        <f t="shared" si="4"/>
        <v>86</v>
      </c>
      <c r="I9" s="276">
        <v>0</v>
      </c>
      <c r="J9" s="276" t="s">
        <v>2107</v>
      </c>
      <c r="K9" s="274">
        <f t="shared" si="4"/>
        <v>47</v>
      </c>
      <c r="L9" s="274">
        <f t="shared" si="4"/>
        <v>156</v>
      </c>
      <c r="M9" s="274">
        <v>2018</v>
      </c>
      <c r="N9" s="274">
        <v>2019</v>
      </c>
      <c r="O9" s="280">
        <f t="shared" si="0"/>
        <v>3220.968</v>
      </c>
      <c r="P9" s="280">
        <f>SUM(P10:P13)+1937.918</f>
        <v>2550.168</v>
      </c>
      <c r="Q9" s="280">
        <f>SUM(Q10:Q13)</f>
        <v>670.8</v>
      </c>
      <c r="R9" s="280">
        <v>0</v>
      </c>
      <c r="S9" s="280">
        <f>SUM(70*5.775+86*7.8)</f>
        <v>1075.05</v>
      </c>
      <c r="T9" s="280">
        <v>0</v>
      </c>
      <c r="U9" s="280">
        <f>SUM(52*4+1937.918)</f>
        <v>2145.918</v>
      </c>
      <c r="V9" s="280">
        <v>0</v>
      </c>
      <c r="W9" s="280">
        <v>0</v>
      </c>
      <c r="X9" s="288" t="s">
        <v>2108</v>
      </c>
      <c r="Y9" s="288" t="s">
        <v>2109</v>
      </c>
      <c r="Z9" s="288" t="s">
        <v>201</v>
      </c>
      <c r="AA9" s="274" t="s">
        <v>2110</v>
      </c>
      <c r="AB9" s="288" t="s">
        <v>2111</v>
      </c>
      <c r="AC9" s="274" t="s">
        <v>1073</v>
      </c>
    </row>
    <row r="10" ht="36" spans="1:29">
      <c r="A10" s="273"/>
      <c r="B10" s="274" t="s">
        <v>2112</v>
      </c>
      <c r="C10" s="275" t="s">
        <v>52</v>
      </c>
      <c r="D10" s="274" t="s">
        <v>147</v>
      </c>
      <c r="E10" s="274"/>
      <c r="F10" s="276">
        <f t="shared" si="2"/>
        <v>13</v>
      </c>
      <c r="G10" s="276">
        <v>6</v>
      </c>
      <c r="H10" s="276">
        <v>7</v>
      </c>
      <c r="I10" s="276">
        <v>0</v>
      </c>
      <c r="J10" s="274" t="s">
        <v>2113</v>
      </c>
      <c r="K10" s="274">
        <v>6</v>
      </c>
      <c r="L10" s="274">
        <v>13</v>
      </c>
      <c r="M10" s="274">
        <v>2018</v>
      </c>
      <c r="N10" s="274">
        <v>2019</v>
      </c>
      <c r="O10" s="280">
        <f t="shared" si="0"/>
        <v>125.25</v>
      </c>
      <c r="P10" s="280">
        <f>SUM(6*5.775+9*4)</f>
        <v>70.65</v>
      </c>
      <c r="Q10" s="280">
        <f>7*7.8</f>
        <v>54.6</v>
      </c>
      <c r="R10" s="280">
        <v>0</v>
      </c>
      <c r="S10" s="280"/>
      <c r="T10" s="280"/>
      <c r="U10" s="280"/>
      <c r="V10" s="280"/>
      <c r="W10" s="280"/>
      <c r="X10" s="274"/>
      <c r="Y10" s="274"/>
      <c r="Z10" s="288"/>
      <c r="AA10" s="274"/>
      <c r="AB10" s="288"/>
      <c r="AC10" s="274"/>
    </row>
    <row r="11" ht="30" customHeight="1" spans="1:29">
      <c r="A11" s="273"/>
      <c r="B11" s="274" t="s">
        <v>2114</v>
      </c>
      <c r="C11" s="275" t="s">
        <v>52</v>
      </c>
      <c r="D11" s="274" t="s">
        <v>147</v>
      </c>
      <c r="E11" s="274"/>
      <c r="F11" s="276">
        <f t="shared" si="2"/>
        <v>24</v>
      </c>
      <c r="G11" s="276">
        <v>0</v>
      </c>
      <c r="H11" s="276">
        <v>24</v>
      </c>
      <c r="I11" s="276">
        <v>0</v>
      </c>
      <c r="J11" s="274" t="s">
        <v>2115</v>
      </c>
      <c r="K11" s="274">
        <v>9</v>
      </c>
      <c r="L11" s="274">
        <v>24</v>
      </c>
      <c r="M11" s="274">
        <v>2019</v>
      </c>
      <c r="N11" s="274">
        <v>2019</v>
      </c>
      <c r="O11" s="280">
        <f t="shared" si="0"/>
        <v>187.2</v>
      </c>
      <c r="P11" s="280">
        <v>0</v>
      </c>
      <c r="Q11" s="280">
        <f>24*7.8</f>
        <v>187.2</v>
      </c>
      <c r="R11" s="280">
        <v>0</v>
      </c>
      <c r="S11" s="280"/>
      <c r="T11" s="280"/>
      <c r="U11" s="280"/>
      <c r="V11" s="280"/>
      <c r="W11" s="280"/>
      <c r="X11" s="288"/>
      <c r="Y11" s="288"/>
      <c r="Z11" s="288"/>
      <c r="AA11" s="274"/>
      <c r="AB11" s="288"/>
      <c r="AC11" s="274"/>
    </row>
    <row r="12" ht="30" customHeight="1" spans="1:29">
      <c r="A12" s="273"/>
      <c r="B12" s="274" t="s">
        <v>2116</v>
      </c>
      <c r="C12" s="275" t="s">
        <v>52</v>
      </c>
      <c r="D12" s="274" t="s">
        <v>147</v>
      </c>
      <c r="E12" s="274"/>
      <c r="F12" s="276">
        <f t="shared" si="2"/>
        <v>26</v>
      </c>
      <c r="G12" s="276">
        <v>0</v>
      </c>
      <c r="H12" s="276">
        <v>26</v>
      </c>
      <c r="I12" s="276">
        <v>0</v>
      </c>
      <c r="J12" s="274" t="s">
        <v>2117</v>
      </c>
      <c r="K12" s="274">
        <v>7</v>
      </c>
      <c r="L12" s="274">
        <v>26</v>
      </c>
      <c r="M12" s="274">
        <v>2019</v>
      </c>
      <c r="N12" s="274">
        <v>2019</v>
      </c>
      <c r="O12" s="280">
        <f t="shared" si="0"/>
        <v>202.8</v>
      </c>
      <c r="P12" s="280">
        <v>0</v>
      </c>
      <c r="Q12" s="280">
        <f>26*7.8</f>
        <v>202.8</v>
      </c>
      <c r="R12" s="280">
        <v>0</v>
      </c>
      <c r="S12" s="280"/>
      <c r="T12" s="280"/>
      <c r="U12" s="280"/>
      <c r="V12" s="280"/>
      <c r="W12" s="280"/>
      <c r="X12" s="288"/>
      <c r="Y12" s="288"/>
      <c r="Z12" s="288"/>
      <c r="AA12" s="274"/>
      <c r="AB12" s="288"/>
      <c r="AC12" s="274"/>
    </row>
    <row r="13" ht="36" spans="1:29">
      <c r="A13" s="273"/>
      <c r="B13" s="274" t="s">
        <v>2118</v>
      </c>
      <c r="C13" s="275" t="s">
        <v>52</v>
      </c>
      <c r="D13" s="274" t="s">
        <v>147</v>
      </c>
      <c r="E13" s="274"/>
      <c r="F13" s="276">
        <f t="shared" si="2"/>
        <v>93</v>
      </c>
      <c r="G13" s="276">
        <v>64</v>
      </c>
      <c r="H13" s="276">
        <v>29</v>
      </c>
      <c r="I13" s="276">
        <v>0</v>
      </c>
      <c r="J13" s="274" t="s">
        <v>2119</v>
      </c>
      <c r="K13" s="274">
        <v>25</v>
      </c>
      <c r="L13" s="274">
        <v>93</v>
      </c>
      <c r="M13" s="274">
        <v>2018</v>
      </c>
      <c r="N13" s="274">
        <v>2019</v>
      </c>
      <c r="O13" s="280">
        <f t="shared" si="0"/>
        <v>767.8</v>
      </c>
      <c r="P13" s="280">
        <f>SUM(64*5.775+43*4)</f>
        <v>541.6</v>
      </c>
      <c r="Q13" s="280">
        <f>29*7.8</f>
        <v>226.2</v>
      </c>
      <c r="R13" s="280">
        <v>0</v>
      </c>
      <c r="S13" s="280"/>
      <c r="T13" s="280"/>
      <c r="U13" s="280"/>
      <c r="V13" s="280"/>
      <c r="W13" s="280"/>
      <c r="X13" s="288"/>
      <c r="Y13" s="288"/>
      <c r="Z13" s="288"/>
      <c r="AA13" s="274"/>
      <c r="AB13" s="288"/>
      <c r="AC13" s="274"/>
    </row>
    <row r="14" ht="30" customHeight="1" spans="1:29">
      <c r="A14" s="273">
        <v>3</v>
      </c>
      <c r="B14" s="277" t="s">
        <v>761</v>
      </c>
      <c r="C14" s="275" t="s">
        <v>52</v>
      </c>
      <c r="D14" s="274" t="s">
        <v>384</v>
      </c>
      <c r="E14" s="274"/>
      <c r="F14" s="276">
        <f t="shared" si="2"/>
        <v>1348</v>
      </c>
      <c r="G14" s="276">
        <f t="shared" ref="G14:I14" si="5">SUM(G15,G23,G31)</f>
        <v>1348</v>
      </c>
      <c r="H14" s="276">
        <f t="shared" si="5"/>
        <v>0</v>
      </c>
      <c r="I14" s="276">
        <f t="shared" si="5"/>
        <v>0</v>
      </c>
      <c r="J14" s="274" t="s">
        <v>320</v>
      </c>
      <c r="K14" s="276">
        <f t="shared" ref="K14:W14" si="6">SUM(K15,K23,K31)</f>
        <v>689</v>
      </c>
      <c r="L14" s="276">
        <f t="shared" si="6"/>
        <v>2394</v>
      </c>
      <c r="M14" s="274">
        <v>2018</v>
      </c>
      <c r="N14" s="274">
        <v>2018</v>
      </c>
      <c r="O14" s="280">
        <f t="shared" si="0"/>
        <v>3388.8</v>
      </c>
      <c r="P14" s="280">
        <f t="shared" si="6"/>
        <v>1576.8</v>
      </c>
      <c r="Q14" s="280">
        <f t="shared" si="6"/>
        <v>1812</v>
      </c>
      <c r="R14" s="280">
        <f t="shared" si="6"/>
        <v>0</v>
      </c>
      <c r="S14" s="280">
        <f t="shared" si="6"/>
        <v>0</v>
      </c>
      <c r="T14" s="280">
        <f t="shared" si="6"/>
        <v>3388.8</v>
      </c>
      <c r="U14" s="280">
        <f t="shared" si="6"/>
        <v>0</v>
      </c>
      <c r="V14" s="280">
        <f t="shared" si="6"/>
        <v>0</v>
      </c>
      <c r="W14" s="280">
        <f t="shared" si="6"/>
        <v>0</v>
      </c>
      <c r="X14" s="288" t="s">
        <v>2108</v>
      </c>
      <c r="Y14" s="274" t="s">
        <v>2120</v>
      </c>
      <c r="Z14" s="274" t="s">
        <v>273</v>
      </c>
      <c r="AA14" s="274" t="s">
        <v>320</v>
      </c>
      <c r="AB14" s="274" t="s">
        <v>320</v>
      </c>
      <c r="AC14" s="274" t="s">
        <v>320</v>
      </c>
    </row>
    <row r="15" ht="30" customHeight="1" spans="1:29">
      <c r="A15" s="273">
        <v>4</v>
      </c>
      <c r="B15" s="277" t="s">
        <v>1072</v>
      </c>
      <c r="C15" s="275" t="s">
        <v>52</v>
      </c>
      <c r="D15" s="274" t="s">
        <v>384</v>
      </c>
      <c r="E15" s="274"/>
      <c r="F15" s="276">
        <f t="shared" si="2"/>
        <v>604</v>
      </c>
      <c r="G15" s="276">
        <f t="shared" ref="G15:I15" si="7">SUM(G16:G22)</f>
        <v>604</v>
      </c>
      <c r="H15" s="276">
        <f t="shared" si="7"/>
        <v>0</v>
      </c>
      <c r="I15" s="276">
        <f t="shared" si="7"/>
        <v>0</v>
      </c>
      <c r="J15" s="274" t="s">
        <v>320</v>
      </c>
      <c r="K15" s="274">
        <f>SUM(K16:K22)</f>
        <v>304</v>
      </c>
      <c r="L15" s="274">
        <f>SUM(L16:L22)</f>
        <v>1144</v>
      </c>
      <c r="M15" s="274">
        <v>2018</v>
      </c>
      <c r="N15" s="274">
        <v>2018</v>
      </c>
      <c r="O15" s="280">
        <f t="shared" si="0"/>
        <v>1812</v>
      </c>
      <c r="P15" s="280">
        <f>SUM(P16:P22)</f>
        <v>0</v>
      </c>
      <c r="Q15" s="280">
        <f t="shared" ref="Q15:W15" si="8">SUM(Q16:Q22)</f>
        <v>1812</v>
      </c>
      <c r="R15" s="280">
        <f t="shared" si="8"/>
        <v>0</v>
      </c>
      <c r="S15" s="280">
        <f t="shared" si="8"/>
        <v>0</v>
      </c>
      <c r="T15" s="280">
        <f>O15</f>
        <v>1812</v>
      </c>
      <c r="U15" s="280">
        <f t="shared" si="8"/>
        <v>0</v>
      </c>
      <c r="V15" s="280">
        <f t="shared" si="8"/>
        <v>0</v>
      </c>
      <c r="W15" s="280">
        <f t="shared" si="8"/>
        <v>0</v>
      </c>
      <c r="X15" s="288" t="s">
        <v>2108</v>
      </c>
      <c r="Y15" s="274" t="s">
        <v>2120</v>
      </c>
      <c r="Z15" s="288" t="s">
        <v>273</v>
      </c>
      <c r="AA15" s="274" t="s">
        <v>2121</v>
      </c>
      <c r="AB15" s="288" t="s">
        <v>2122</v>
      </c>
      <c r="AC15" s="288" t="s">
        <v>1073</v>
      </c>
    </row>
    <row r="16" ht="30" customHeight="1" spans="1:29">
      <c r="A16" s="273"/>
      <c r="B16" s="274" t="s">
        <v>2123</v>
      </c>
      <c r="C16" s="275" t="s">
        <v>52</v>
      </c>
      <c r="D16" s="274" t="s">
        <v>384</v>
      </c>
      <c r="E16" s="274"/>
      <c r="F16" s="276">
        <f t="shared" si="2"/>
        <v>163</v>
      </c>
      <c r="G16" s="276">
        <v>163</v>
      </c>
      <c r="H16" s="276">
        <v>0</v>
      </c>
      <c r="I16" s="276">
        <v>0</v>
      </c>
      <c r="J16" s="274" t="s">
        <v>320</v>
      </c>
      <c r="K16" s="274">
        <v>84</v>
      </c>
      <c r="L16" s="274">
        <v>356</v>
      </c>
      <c r="M16" s="274">
        <v>2018</v>
      </c>
      <c r="N16" s="274">
        <v>2018</v>
      </c>
      <c r="O16" s="280">
        <f t="shared" si="0"/>
        <v>489</v>
      </c>
      <c r="P16" s="280"/>
      <c r="Q16" s="280">
        <v>489</v>
      </c>
      <c r="R16" s="280">
        <v>0</v>
      </c>
      <c r="S16" s="280"/>
      <c r="T16" s="280">
        <f t="shared" ref="T16:T22" si="9">O16</f>
        <v>489</v>
      </c>
      <c r="U16" s="280"/>
      <c r="V16" s="280"/>
      <c r="W16" s="280"/>
      <c r="X16" s="289"/>
      <c r="Y16" s="289"/>
      <c r="Z16" s="288"/>
      <c r="AA16" s="274"/>
      <c r="AB16" s="288"/>
      <c r="AC16" s="274"/>
    </row>
    <row r="17" ht="30" customHeight="1" spans="1:29">
      <c r="A17" s="273"/>
      <c r="B17" s="274" t="s">
        <v>2112</v>
      </c>
      <c r="C17" s="275" t="s">
        <v>52</v>
      </c>
      <c r="D17" s="274" t="s">
        <v>384</v>
      </c>
      <c r="E17" s="274"/>
      <c r="F17" s="276">
        <f t="shared" si="2"/>
        <v>51</v>
      </c>
      <c r="G17" s="276">
        <v>51</v>
      </c>
      <c r="H17" s="276">
        <v>0</v>
      </c>
      <c r="I17" s="276">
        <v>0</v>
      </c>
      <c r="J17" s="280" t="s">
        <v>320</v>
      </c>
      <c r="K17" s="274">
        <v>24</v>
      </c>
      <c r="L17" s="274">
        <v>98</v>
      </c>
      <c r="M17" s="274">
        <v>2018</v>
      </c>
      <c r="N17" s="274">
        <v>2018</v>
      </c>
      <c r="O17" s="280">
        <f t="shared" si="0"/>
        <v>153</v>
      </c>
      <c r="P17" s="280"/>
      <c r="Q17" s="280">
        <v>153</v>
      </c>
      <c r="R17" s="280">
        <v>0</v>
      </c>
      <c r="S17" s="280"/>
      <c r="T17" s="280">
        <f t="shared" si="9"/>
        <v>153</v>
      </c>
      <c r="U17" s="280"/>
      <c r="V17" s="280"/>
      <c r="W17" s="280"/>
      <c r="X17" s="274"/>
      <c r="Y17" s="274"/>
      <c r="Z17" s="288"/>
      <c r="AA17" s="274"/>
      <c r="AB17" s="288"/>
      <c r="AC17" s="274"/>
    </row>
    <row r="18" ht="30" customHeight="1" spans="1:29">
      <c r="A18" s="273"/>
      <c r="B18" s="274" t="s">
        <v>2114</v>
      </c>
      <c r="C18" s="275" t="s">
        <v>52</v>
      </c>
      <c r="D18" s="274" t="s">
        <v>384</v>
      </c>
      <c r="E18" s="274"/>
      <c r="F18" s="276">
        <f t="shared" si="2"/>
        <v>170</v>
      </c>
      <c r="G18" s="276">
        <v>170</v>
      </c>
      <c r="H18" s="276">
        <v>0</v>
      </c>
      <c r="I18" s="276">
        <v>0</v>
      </c>
      <c r="J18" s="280" t="s">
        <v>320</v>
      </c>
      <c r="K18" s="274">
        <v>81</v>
      </c>
      <c r="L18" s="274">
        <v>274</v>
      </c>
      <c r="M18" s="274">
        <v>2018</v>
      </c>
      <c r="N18" s="274">
        <v>2018</v>
      </c>
      <c r="O18" s="280">
        <f t="shared" si="0"/>
        <v>510</v>
      </c>
      <c r="P18" s="280"/>
      <c r="Q18" s="280">
        <v>510</v>
      </c>
      <c r="R18" s="280">
        <v>0</v>
      </c>
      <c r="S18" s="280"/>
      <c r="T18" s="280">
        <f t="shared" si="9"/>
        <v>510</v>
      </c>
      <c r="U18" s="280"/>
      <c r="V18" s="280"/>
      <c r="W18" s="280"/>
      <c r="X18" s="289"/>
      <c r="Y18" s="289"/>
      <c r="Z18" s="288"/>
      <c r="AA18" s="274"/>
      <c r="AB18" s="288"/>
      <c r="AC18" s="274"/>
    </row>
    <row r="19" ht="30" customHeight="1" spans="1:29">
      <c r="A19" s="273"/>
      <c r="B19" s="274" t="s">
        <v>2116</v>
      </c>
      <c r="C19" s="275" t="s">
        <v>52</v>
      </c>
      <c r="D19" s="274" t="s">
        <v>384</v>
      </c>
      <c r="E19" s="274"/>
      <c r="F19" s="276">
        <f t="shared" si="2"/>
        <v>92</v>
      </c>
      <c r="G19" s="276">
        <v>92</v>
      </c>
      <c r="H19" s="276">
        <v>0</v>
      </c>
      <c r="I19" s="276">
        <v>0</v>
      </c>
      <c r="J19" s="280" t="s">
        <v>320</v>
      </c>
      <c r="K19" s="274">
        <v>46</v>
      </c>
      <c r="L19" s="274">
        <v>169</v>
      </c>
      <c r="M19" s="274">
        <v>2018</v>
      </c>
      <c r="N19" s="274">
        <v>2018</v>
      </c>
      <c r="O19" s="280">
        <f t="shared" si="0"/>
        <v>276</v>
      </c>
      <c r="P19" s="280"/>
      <c r="Q19" s="280">
        <v>276</v>
      </c>
      <c r="R19" s="280">
        <v>0</v>
      </c>
      <c r="S19" s="280"/>
      <c r="T19" s="280">
        <f t="shared" si="9"/>
        <v>276</v>
      </c>
      <c r="U19" s="280"/>
      <c r="V19" s="280"/>
      <c r="W19" s="280"/>
      <c r="X19" s="289"/>
      <c r="Y19" s="289"/>
      <c r="Z19" s="288"/>
      <c r="AA19" s="274"/>
      <c r="AB19" s="288"/>
      <c r="AC19" s="274"/>
    </row>
    <row r="20" ht="30" customHeight="1" spans="1:29">
      <c r="A20" s="273"/>
      <c r="B20" s="274" t="s">
        <v>2118</v>
      </c>
      <c r="C20" s="275" t="s">
        <v>52</v>
      </c>
      <c r="D20" s="274" t="s">
        <v>384</v>
      </c>
      <c r="E20" s="274"/>
      <c r="F20" s="276">
        <f t="shared" si="2"/>
        <v>62</v>
      </c>
      <c r="G20" s="276">
        <v>62</v>
      </c>
      <c r="H20" s="276">
        <v>0</v>
      </c>
      <c r="I20" s="276">
        <v>0</v>
      </c>
      <c r="J20" s="280" t="s">
        <v>320</v>
      </c>
      <c r="K20" s="274">
        <v>35</v>
      </c>
      <c r="L20" s="274">
        <v>123</v>
      </c>
      <c r="M20" s="274">
        <v>2018</v>
      </c>
      <c r="N20" s="274">
        <v>2018</v>
      </c>
      <c r="O20" s="280">
        <f t="shared" si="0"/>
        <v>186</v>
      </c>
      <c r="P20" s="280"/>
      <c r="Q20" s="280">
        <v>186</v>
      </c>
      <c r="R20" s="280">
        <v>0</v>
      </c>
      <c r="S20" s="280"/>
      <c r="T20" s="280">
        <f t="shared" si="9"/>
        <v>186</v>
      </c>
      <c r="U20" s="280"/>
      <c r="V20" s="280"/>
      <c r="W20" s="280"/>
      <c r="X20" s="288"/>
      <c r="Y20" s="288"/>
      <c r="Z20" s="288"/>
      <c r="AA20" s="274"/>
      <c r="AB20" s="288"/>
      <c r="AC20" s="274"/>
    </row>
    <row r="21" ht="30" customHeight="1" spans="1:29">
      <c r="A21" s="273"/>
      <c r="B21" s="274" t="s">
        <v>2124</v>
      </c>
      <c r="C21" s="275" t="s">
        <v>52</v>
      </c>
      <c r="D21" s="274" t="s">
        <v>384</v>
      </c>
      <c r="E21" s="274"/>
      <c r="F21" s="276">
        <f t="shared" si="2"/>
        <v>24</v>
      </c>
      <c r="G21" s="276">
        <v>24</v>
      </c>
      <c r="H21" s="276">
        <v>0</v>
      </c>
      <c r="I21" s="276">
        <v>0</v>
      </c>
      <c r="J21" s="280" t="s">
        <v>320</v>
      </c>
      <c r="K21" s="274">
        <v>15</v>
      </c>
      <c r="L21" s="274">
        <v>56</v>
      </c>
      <c r="M21" s="274">
        <v>2018</v>
      </c>
      <c r="N21" s="274">
        <v>2018</v>
      </c>
      <c r="O21" s="280">
        <f t="shared" si="0"/>
        <v>72</v>
      </c>
      <c r="P21" s="280"/>
      <c r="Q21" s="280">
        <v>72</v>
      </c>
      <c r="R21" s="280">
        <v>0</v>
      </c>
      <c r="S21" s="280"/>
      <c r="T21" s="280">
        <f t="shared" si="9"/>
        <v>72</v>
      </c>
      <c r="U21" s="280"/>
      <c r="V21" s="280"/>
      <c r="W21" s="280"/>
      <c r="X21" s="288"/>
      <c r="Y21" s="288"/>
      <c r="Z21" s="288"/>
      <c r="AA21" s="274"/>
      <c r="AB21" s="288"/>
      <c r="AC21" s="274"/>
    </row>
    <row r="22" ht="30" customHeight="1" spans="1:29">
      <c r="A22" s="273"/>
      <c r="B22" s="274" t="s">
        <v>2125</v>
      </c>
      <c r="C22" s="275" t="s">
        <v>52</v>
      </c>
      <c r="D22" s="274" t="s">
        <v>384</v>
      </c>
      <c r="E22" s="274"/>
      <c r="F22" s="276">
        <f t="shared" si="2"/>
        <v>42</v>
      </c>
      <c r="G22" s="276">
        <v>42</v>
      </c>
      <c r="H22" s="276">
        <v>0</v>
      </c>
      <c r="I22" s="276">
        <v>0</v>
      </c>
      <c r="J22" s="280" t="s">
        <v>320</v>
      </c>
      <c r="K22" s="274">
        <v>19</v>
      </c>
      <c r="L22" s="274">
        <v>68</v>
      </c>
      <c r="M22" s="274">
        <v>2018</v>
      </c>
      <c r="N22" s="274">
        <v>2018</v>
      </c>
      <c r="O22" s="280">
        <f t="shared" si="0"/>
        <v>126</v>
      </c>
      <c r="P22" s="280"/>
      <c r="Q22" s="280">
        <v>126</v>
      </c>
      <c r="R22" s="280">
        <v>0</v>
      </c>
      <c r="S22" s="280"/>
      <c r="T22" s="280">
        <f t="shared" si="9"/>
        <v>126</v>
      </c>
      <c r="U22" s="280"/>
      <c r="V22" s="280"/>
      <c r="W22" s="280"/>
      <c r="X22" s="274"/>
      <c r="Y22" s="274"/>
      <c r="Z22" s="288"/>
      <c r="AA22" s="274"/>
      <c r="AB22" s="288"/>
      <c r="AC22" s="274"/>
    </row>
    <row r="23" ht="30" customHeight="1" spans="1:29">
      <c r="A23" s="273">
        <v>5</v>
      </c>
      <c r="B23" s="277" t="s">
        <v>1074</v>
      </c>
      <c r="C23" s="275" t="s">
        <v>52</v>
      </c>
      <c r="D23" s="274" t="s">
        <v>384</v>
      </c>
      <c r="E23" s="274"/>
      <c r="F23" s="276">
        <f t="shared" si="2"/>
        <v>636</v>
      </c>
      <c r="G23" s="276">
        <f t="shared" ref="G23:I23" si="10">SUM(G24:G30)</f>
        <v>636</v>
      </c>
      <c r="H23" s="276">
        <f t="shared" si="10"/>
        <v>0</v>
      </c>
      <c r="I23" s="276">
        <f t="shared" si="10"/>
        <v>0</v>
      </c>
      <c r="J23" s="274" t="s">
        <v>320</v>
      </c>
      <c r="K23" s="274">
        <f t="shared" ref="K23:R23" si="11">SUM(K24:K30)</f>
        <v>307</v>
      </c>
      <c r="L23" s="274">
        <f t="shared" si="11"/>
        <v>1094</v>
      </c>
      <c r="M23" s="274">
        <v>2018</v>
      </c>
      <c r="N23" s="274">
        <v>2018</v>
      </c>
      <c r="O23" s="280">
        <f t="shared" si="0"/>
        <v>1144.8</v>
      </c>
      <c r="P23" s="280">
        <f t="shared" si="11"/>
        <v>1144.8</v>
      </c>
      <c r="Q23" s="280">
        <f t="shared" si="11"/>
        <v>0</v>
      </c>
      <c r="R23" s="280">
        <f t="shared" si="11"/>
        <v>0</v>
      </c>
      <c r="S23" s="280"/>
      <c r="T23" s="280">
        <f>SUM(P23:R23)</f>
        <v>1144.8</v>
      </c>
      <c r="U23" s="280"/>
      <c r="V23" s="280"/>
      <c r="W23" s="280"/>
      <c r="X23" s="288" t="s">
        <v>2108</v>
      </c>
      <c r="Y23" s="274" t="s">
        <v>2120</v>
      </c>
      <c r="Z23" s="288" t="s">
        <v>273</v>
      </c>
      <c r="AA23" s="274" t="s">
        <v>2126</v>
      </c>
      <c r="AB23" s="288" t="s">
        <v>2122</v>
      </c>
      <c r="AC23" s="288" t="s">
        <v>1073</v>
      </c>
    </row>
    <row r="24" ht="30" customHeight="1" spans="1:29">
      <c r="A24" s="273"/>
      <c r="B24" s="274" t="s">
        <v>2123</v>
      </c>
      <c r="C24" s="275" t="s">
        <v>52</v>
      </c>
      <c r="D24" s="274" t="s">
        <v>384</v>
      </c>
      <c r="E24" s="274"/>
      <c r="F24" s="276">
        <f t="shared" si="2"/>
        <v>68</v>
      </c>
      <c r="G24" s="276">
        <v>68</v>
      </c>
      <c r="H24" s="276">
        <v>0</v>
      </c>
      <c r="I24" s="276">
        <v>0</v>
      </c>
      <c r="J24" s="280" t="s">
        <v>320</v>
      </c>
      <c r="K24" s="274">
        <v>35</v>
      </c>
      <c r="L24" s="274">
        <v>128</v>
      </c>
      <c r="M24" s="274">
        <v>2018</v>
      </c>
      <c r="N24" s="274">
        <v>2018</v>
      </c>
      <c r="O24" s="280">
        <f t="shared" si="0"/>
        <v>122.4</v>
      </c>
      <c r="P24" s="280">
        <f t="shared" ref="P24:P30" si="12">F24*1.8</f>
        <v>122.4</v>
      </c>
      <c r="Q24" s="280">
        <v>0</v>
      </c>
      <c r="R24" s="280">
        <v>0</v>
      </c>
      <c r="S24" s="280"/>
      <c r="T24" s="280"/>
      <c r="U24" s="280"/>
      <c r="V24" s="280"/>
      <c r="W24" s="280"/>
      <c r="X24" s="289"/>
      <c r="Y24" s="289"/>
      <c r="Z24" s="288"/>
      <c r="AA24" s="274"/>
      <c r="AB24" s="288"/>
      <c r="AC24" s="274"/>
    </row>
    <row r="25" ht="30" customHeight="1" spans="1:29">
      <c r="A25" s="273"/>
      <c r="B25" s="274" t="s">
        <v>2112</v>
      </c>
      <c r="C25" s="275" t="s">
        <v>52</v>
      </c>
      <c r="D25" s="274" t="s">
        <v>384</v>
      </c>
      <c r="E25" s="274"/>
      <c r="F25" s="276">
        <f t="shared" si="2"/>
        <v>56</v>
      </c>
      <c r="G25" s="276">
        <v>56</v>
      </c>
      <c r="H25" s="276">
        <v>0</v>
      </c>
      <c r="I25" s="276">
        <v>0</v>
      </c>
      <c r="J25" s="280" t="s">
        <v>320</v>
      </c>
      <c r="K25" s="274">
        <v>19</v>
      </c>
      <c r="L25" s="274">
        <v>71</v>
      </c>
      <c r="M25" s="274">
        <v>2018</v>
      </c>
      <c r="N25" s="274">
        <v>2018</v>
      </c>
      <c r="O25" s="280">
        <f t="shared" si="0"/>
        <v>100.8</v>
      </c>
      <c r="P25" s="280">
        <f t="shared" si="12"/>
        <v>100.8</v>
      </c>
      <c r="Q25" s="280">
        <v>0</v>
      </c>
      <c r="R25" s="280">
        <v>0</v>
      </c>
      <c r="S25" s="280"/>
      <c r="T25" s="280"/>
      <c r="U25" s="280"/>
      <c r="V25" s="280"/>
      <c r="W25" s="280"/>
      <c r="X25" s="274"/>
      <c r="Y25" s="274"/>
      <c r="Z25" s="288"/>
      <c r="AA25" s="274"/>
      <c r="AB25" s="288"/>
      <c r="AC25" s="274"/>
    </row>
    <row r="26" ht="30" customHeight="1" spans="1:29">
      <c r="A26" s="273"/>
      <c r="B26" s="274" t="s">
        <v>2114</v>
      </c>
      <c r="C26" s="275" t="s">
        <v>52</v>
      </c>
      <c r="D26" s="274" t="s">
        <v>384</v>
      </c>
      <c r="E26" s="274"/>
      <c r="F26" s="276">
        <f t="shared" si="2"/>
        <v>112</v>
      </c>
      <c r="G26" s="276">
        <v>112</v>
      </c>
      <c r="H26" s="276">
        <v>0</v>
      </c>
      <c r="I26" s="276">
        <v>0</v>
      </c>
      <c r="J26" s="280" t="s">
        <v>320</v>
      </c>
      <c r="K26" s="274">
        <v>57</v>
      </c>
      <c r="L26" s="274">
        <v>196</v>
      </c>
      <c r="M26" s="274">
        <v>2018</v>
      </c>
      <c r="N26" s="274">
        <v>2018</v>
      </c>
      <c r="O26" s="280">
        <f t="shared" si="0"/>
        <v>201.6</v>
      </c>
      <c r="P26" s="280">
        <f t="shared" si="12"/>
        <v>201.6</v>
      </c>
      <c r="Q26" s="280">
        <v>0</v>
      </c>
      <c r="R26" s="280">
        <v>0</v>
      </c>
      <c r="S26" s="280"/>
      <c r="T26" s="280"/>
      <c r="U26" s="280"/>
      <c r="V26" s="280"/>
      <c r="W26" s="280"/>
      <c r="X26" s="289"/>
      <c r="Y26" s="289"/>
      <c r="Z26" s="288"/>
      <c r="AA26" s="274"/>
      <c r="AB26" s="288"/>
      <c r="AC26" s="274"/>
    </row>
    <row r="27" ht="30" customHeight="1" spans="1:29">
      <c r="A27" s="273"/>
      <c r="B27" s="274" t="s">
        <v>2116</v>
      </c>
      <c r="C27" s="275" t="s">
        <v>52</v>
      </c>
      <c r="D27" s="274" t="s">
        <v>384</v>
      </c>
      <c r="E27" s="274"/>
      <c r="F27" s="276">
        <f t="shared" si="2"/>
        <v>120</v>
      </c>
      <c r="G27" s="276">
        <v>120</v>
      </c>
      <c r="H27" s="276">
        <v>0</v>
      </c>
      <c r="I27" s="276">
        <v>0</v>
      </c>
      <c r="J27" s="280" t="s">
        <v>320</v>
      </c>
      <c r="K27" s="274">
        <v>67</v>
      </c>
      <c r="L27" s="274">
        <v>247</v>
      </c>
      <c r="M27" s="274">
        <v>2018</v>
      </c>
      <c r="N27" s="274">
        <v>2018</v>
      </c>
      <c r="O27" s="280">
        <f t="shared" si="0"/>
        <v>216</v>
      </c>
      <c r="P27" s="280">
        <f t="shared" si="12"/>
        <v>216</v>
      </c>
      <c r="Q27" s="280">
        <v>0</v>
      </c>
      <c r="R27" s="280">
        <v>0</v>
      </c>
      <c r="S27" s="280"/>
      <c r="T27" s="280"/>
      <c r="U27" s="280"/>
      <c r="V27" s="280"/>
      <c r="W27" s="280"/>
      <c r="X27" s="289"/>
      <c r="Y27" s="289"/>
      <c r="Z27" s="288"/>
      <c r="AA27" s="274"/>
      <c r="AB27" s="288"/>
      <c r="AC27" s="274"/>
    </row>
    <row r="28" ht="30" customHeight="1" spans="1:29">
      <c r="A28" s="273"/>
      <c r="B28" s="274" t="s">
        <v>2118</v>
      </c>
      <c r="C28" s="275" t="s">
        <v>52</v>
      </c>
      <c r="D28" s="274" t="s">
        <v>384</v>
      </c>
      <c r="E28" s="274"/>
      <c r="F28" s="276">
        <f t="shared" si="2"/>
        <v>42</v>
      </c>
      <c r="G28" s="276">
        <v>42</v>
      </c>
      <c r="H28" s="276">
        <v>0</v>
      </c>
      <c r="I28" s="276">
        <v>0</v>
      </c>
      <c r="J28" s="280" t="s">
        <v>320</v>
      </c>
      <c r="K28" s="274">
        <v>17</v>
      </c>
      <c r="L28" s="274">
        <v>62</v>
      </c>
      <c r="M28" s="274">
        <v>2018</v>
      </c>
      <c r="N28" s="274">
        <v>2018</v>
      </c>
      <c r="O28" s="280">
        <f t="shared" si="0"/>
        <v>75.6</v>
      </c>
      <c r="P28" s="280">
        <f t="shared" si="12"/>
        <v>75.6</v>
      </c>
      <c r="Q28" s="280">
        <v>0</v>
      </c>
      <c r="R28" s="280">
        <v>0</v>
      </c>
      <c r="S28" s="280"/>
      <c r="T28" s="280"/>
      <c r="U28" s="280"/>
      <c r="V28" s="280"/>
      <c r="W28" s="280"/>
      <c r="X28" s="288"/>
      <c r="Y28" s="288"/>
      <c r="Z28" s="288"/>
      <c r="AA28" s="274"/>
      <c r="AB28" s="288"/>
      <c r="AC28" s="274"/>
    </row>
    <row r="29" ht="30" customHeight="1" spans="1:29">
      <c r="A29" s="273"/>
      <c r="B29" s="274" t="s">
        <v>2124</v>
      </c>
      <c r="C29" s="275" t="s">
        <v>52</v>
      </c>
      <c r="D29" s="274" t="s">
        <v>384</v>
      </c>
      <c r="E29" s="274"/>
      <c r="F29" s="276">
        <f t="shared" si="2"/>
        <v>1</v>
      </c>
      <c r="G29" s="276">
        <v>1</v>
      </c>
      <c r="H29" s="276">
        <v>0</v>
      </c>
      <c r="I29" s="276">
        <v>0</v>
      </c>
      <c r="J29" s="280" t="s">
        <v>320</v>
      </c>
      <c r="K29" s="274">
        <v>0</v>
      </c>
      <c r="L29" s="274">
        <v>0</v>
      </c>
      <c r="M29" s="274">
        <v>2018</v>
      </c>
      <c r="N29" s="274">
        <v>2018</v>
      </c>
      <c r="O29" s="280">
        <f t="shared" si="0"/>
        <v>1.8</v>
      </c>
      <c r="P29" s="280">
        <f t="shared" si="12"/>
        <v>1.8</v>
      </c>
      <c r="Q29" s="280">
        <v>0</v>
      </c>
      <c r="R29" s="280">
        <v>0</v>
      </c>
      <c r="S29" s="280"/>
      <c r="T29" s="280"/>
      <c r="U29" s="280"/>
      <c r="V29" s="280"/>
      <c r="W29" s="280"/>
      <c r="X29" s="288"/>
      <c r="Y29" s="288"/>
      <c r="Z29" s="288"/>
      <c r="AA29" s="274"/>
      <c r="AB29" s="288"/>
      <c r="AC29" s="274"/>
    </row>
    <row r="30" ht="30" customHeight="1" spans="1:29">
      <c r="A30" s="273"/>
      <c r="B30" s="274" t="s">
        <v>2125</v>
      </c>
      <c r="C30" s="275" t="s">
        <v>52</v>
      </c>
      <c r="D30" s="274" t="s">
        <v>384</v>
      </c>
      <c r="E30" s="274"/>
      <c r="F30" s="276">
        <f t="shared" si="2"/>
        <v>237</v>
      </c>
      <c r="G30" s="276">
        <v>237</v>
      </c>
      <c r="H30" s="276">
        <v>0</v>
      </c>
      <c r="I30" s="276">
        <v>0</v>
      </c>
      <c r="J30" s="280" t="s">
        <v>320</v>
      </c>
      <c r="K30" s="274">
        <v>112</v>
      </c>
      <c r="L30" s="274">
        <v>390</v>
      </c>
      <c r="M30" s="274">
        <v>2018</v>
      </c>
      <c r="N30" s="274">
        <v>2018</v>
      </c>
      <c r="O30" s="280">
        <f t="shared" si="0"/>
        <v>426.6</v>
      </c>
      <c r="P30" s="280">
        <f t="shared" si="12"/>
        <v>426.6</v>
      </c>
      <c r="Q30" s="280">
        <v>0</v>
      </c>
      <c r="R30" s="280">
        <v>0</v>
      </c>
      <c r="S30" s="280"/>
      <c r="T30" s="280"/>
      <c r="U30" s="280"/>
      <c r="V30" s="280"/>
      <c r="W30" s="280"/>
      <c r="X30" s="274"/>
      <c r="Y30" s="274"/>
      <c r="Z30" s="288"/>
      <c r="AA30" s="274"/>
      <c r="AB30" s="288"/>
      <c r="AC30" s="274"/>
    </row>
    <row r="31" ht="30" customHeight="1" spans="1:29">
      <c r="A31" s="273">
        <v>6</v>
      </c>
      <c r="B31" s="278" t="s">
        <v>1075</v>
      </c>
      <c r="C31" s="275" t="s">
        <v>52</v>
      </c>
      <c r="D31" s="274" t="s">
        <v>384</v>
      </c>
      <c r="E31" s="274"/>
      <c r="F31" s="276">
        <f t="shared" si="2"/>
        <v>108</v>
      </c>
      <c r="G31" s="276">
        <f t="shared" ref="G31:I31" si="13">SUM(G32:G37)</f>
        <v>108</v>
      </c>
      <c r="H31" s="276">
        <f t="shared" si="13"/>
        <v>0</v>
      </c>
      <c r="I31" s="276">
        <f t="shared" si="13"/>
        <v>0</v>
      </c>
      <c r="J31" s="274" t="s">
        <v>320</v>
      </c>
      <c r="K31" s="274">
        <f t="shared" ref="K31:R31" si="14">SUM(K32:K37)</f>
        <v>78</v>
      </c>
      <c r="L31" s="274">
        <f t="shared" si="14"/>
        <v>156</v>
      </c>
      <c r="M31" s="274">
        <v>2018</v>
      </c>
      <c r="N31" s="274">
        <v>2018</v>
      </c>
      <c r="O31" s="280">
        <f t="shared" si="0"/>
        <v>432</v>
      </c>
      <c r="P31" s="280">
        <f t="shared" si="14"/>
        <v>432</v>
      </c>
      <c r="Q31" s="280">
        <f t="shared" si="14"/>
        <v>0</v>
      </c>
      <c r="R31" s="280">
        <f t="shared" si="14"/>
        <v>0</v>
      </c>
      <c r="S31" s="280"/>
      <c r="T31" s="280">
        <f>SUM(P31:R31)</f>
        <v>432</v>
      </c>
      <c r="U31" s="280"/>
      <c r="V31" s="280"/>
      <c r="W31" s="280"/>
      <c r="X31" s="288" t="s">
        <v>2108</v>
      </c>
      <c r="Y31" s="274" t="s">
        <v>2120</v>
      </c>
      <c r="Z31" s="288" t="s">
        <v>273</v>
      </c>
      <c r="AA31" s="274" t="s">
        <v>2127</v>
      </c>
      <c r="AB31" s="288" t="s">
        <v>2122</v>
      </c>
      <c r="AC31" s="274" t="s">
        <v>1073</v>
      </c>
    </row>
    <row r="32" s="258" customFormat="1" ht="30" customHeight="1" spans="1:29">
      <c r="A32" s="273"/>
      <c r="B32" s="274" t="s">
        <v>2123</v>
      </c>
      <c r="C32" s="275" t="s">
        <v>52</v>
      </c>
      <c r="D32" s="274" t="s">
        <v>384</v>
      </c>
      <c r="E32" s="274"/>
      <c r="F32" s="276">
        <f t="shared" si="2"/>
        <v>18</v>
      </c>
      <c r="G32" s="276">
        <v>18</v>
      </c>
      <c r="H32" s="276">
        <v>0</v>
      </c>
      <c r="I32" s="276">
        <v>0</v>
      </c>
      <c r="J32" s="280" t="s">
        <v>320</v>
      </c>
      <c r="K32" s="274">
        <v>11</v>
      </c>
      <c r="L32" s="274">
        <v>36</v>
      </c>
      <c r="M32" s="274">
        <v>2018</v>
      </c>
      <c r="N32" s="274">
        <v>2018</v>
      </c>
      <c r="O32" s="280">
        <f t="shared" si="0"/>
        <v>72</v>
      </c>
      <c r="P32" s="280">
        <f t="shared" ref="P32:P37" si="15">F32*4</f>
        <v>72</v>
      </c>
      <c r="Q32" s="280">
        <v>0</v>
      </c>
      <c r="R32" s="280">
        <v>0</v>
      </c>
      <c r="S32" s="280"/>
      <c r="T32" s="280"/>
      <c r="U32" s="280"/>
      <c r="V32" s="280"/>
      <c r="W32" s="280"/>
      <c r="X32" s="289"/>
      <c r="Y32" s="289"/>
      <c r="Z32" s="288"/>
      <c r="AA32" s="274"/>
      <c r="AB32" s="288"/>
      <c r="AC32" s="274"/>
    </row>
    <row r="33" s="258" customFormat="1" ht="30" customHeight="1" spans="1:29">
      <c r="A33" s="273"/>
      <c r="B33" s="274" t="s">
        <v>2114</v>
      </c>
      <c r="C33" s="275" t="s">
        <v>52</v>
      </c>
      <c r="D33" s="274" t="s">
        <v>384</v>
      </c>
      <c r="E33" s="274"/>
      <c r="F33" s="276">
        <f t="shared" si="2"/>
        <v>37</v>
      </c>
      <c r="G33" s="276">
        <v>37</v>
      </c>
      <c r="H33" s="276">
        <v>0</v>
      </c>
      <c r="I33" s="276">
        <v>0</v>
      </c>
      <c r="J33" s="280" t="s">
        <v>320</v>
      </c>
      <c r="K33" s="274">
        <v>30</v>
      </c>
      <c r="L33" s="274">
        <v>54</v>
      </c>
      <c r="M33" s="274">
        <v>2018</v>
      </c>
      <c r="N33" s="274">
        <v>2018</v>
      </c>
      <c r="O33" s="280">
        <f t="shared" si="0"/>
        <v>148</v>
      </c>
      <c r="P33" s="280">
        <f t="shared" si="15"/>
        <v>148</v>
      </c>
      <c r="Q33" s="280">
        <v>0</v>
      </c>
      <c r="R33" s="280">
        <v>0</v>
      </c>
      <c r="S33" s="280"/>
      <c r="T33" s="280"/>
      <c r="U33" s="280"/>
      <c r="V33" s="280"/>
      <c r="W33" s="280"/>
      <c r="X33" s="288"/>
      <c r="Y33" s="288"/>
      <c r="Z33" s="288"/>
      <c r="AA33" s="274"/>
      <c r="AB33" s="288"/>
      <c r="AC33" s="274"/>
    </row>
    <row r="34" s="258" customFormat="1" ht="30" customHeight="1" spans="1:29">
      <c r="A34" s="273"/>
      <c r="B34" s="274" t="s">
        <v>2116</v>
      </c>
      <c r="C34" s="275" t="s">
        <v>52</v>
      </c>
      <c r="D34" s="274" t="s">
        <v>384</v>
      </c>
      <c r="E34" s="274"/>
      <c r="F34" s="276">
        <f t="shared" si="2"/>
        <v>7</v>
      </c>
      <c r="G34" s="276">
        <v>7</v>
      </c>
      <c r="H34" s="276">
        <v>0</v>
      </c>
      <c r="I34" s="276">
        <v>0</v>
      </c>
      <c r="J34" s="280" t="s">
        <v>320</v>
      </c>
      <c r="K34" s="274">
        <v>4</v>
      </c>
      <c r="L34" s="274">
        <v>6</v>
      </c>
      <c r="M34" s="274">
        <v>2018</v>
      </c>
      <c r="N34" s="274">
        <v>2018</v>
      </c>
      <c r="O34" s="280">
        <f t="shared" si="0"/>
        <v>28</v>
      </c>
      <c r="P34" s="280">
        <f t="shared" si="15"/>
        <v>28</v>
      </c>
      <c r="Q34" s="280">
        <v>0</v>
      </c>
      <c r="R34" s="280">
        <v>0</v>
      </c>
      <c r="S34" s="280"/>
      <c r="T34" s="280"/>
      <c r="U34" s="280"/>
      <c r="V34" s="280"/>
      <c r="W34" s="280"/>
      <c r="X34" s="288"/>
      <c r="Y34" s="288"/>
      <c r="Z34" s="288"/>
      <c r="AA34" s="274"/>
      <c r="AB34" s="288"/>
      <c r="AC34" s="274"/>
    </row>
    <row r="35" s="258" customFormat="1" ht="30" customHeight="1" spans="1:29">
      <c r="A35" s="273"/>
      <c r="B35" s="274" t="s">
        <v>2118</v>
      </c>
      <c r="C35" s="275" t="s">
        <v>52</v>
      </c>
      <c r="D35" s="274" t="s">
        <v>384</v>
      </c>
      <c r="E35" s="274"/>
      <c r="F35" s="276">
        <f t="shared" si="2"/>
        <v>12</v>
      </c>
      <c r="G35" s="276">
        <v>12</v>
      </c>
      <c r="H35" s="276">
        <v>0</v>
      </c>
      <c r="I35" s="276">
        <v>0</v>
      </c>
      <c r="J35" s="280" t="s">
        <v>320</v>
      </c>
      <c r="K35" s="274">
        <v>10</v>
      </c>
      <c r="L35" s="274">
        <v>19</v>
      </c>
      <c r="M35" s="274">
        <v>2018</v>
      </c>
      <c r="N35" s="274">
        <v>2018</v>
      </c>
      <c r="O35" s="280">
        <f t="shared" si="0"/>
        <v>48</v>
      </c>
      <c r="P35" s="280">
        <f t="shared" si="15"/>
        <v>48</v>
      </c>
      <c r="Q35" s="280">
        <v>0</v>
      </c>
      <c r="R35" s="280">
        <v>0</v>
      </c>
      <c r="S35" s="280"/>
      <c r="T35" s="280"/>
      <c r="U35" s="280"/>
      <c r="V35" s="280"/>
      <c r="W35" s="280"/>
      <c r="X35" s="288"/>
      <c r="Y35" s="288"/>
      <c r="Z35" s="288"/>
      <c r="AA35" s="274"/>
      <c r="AB35" s="288"/>
      <c r="AC35" s="274"/>
    </row>
    <row r="36" s="258" customFormat="1" ht="30" customHeight="1" spans="1:29">
      <c r="A36" s="273"/>
      <c r="B36" s="274" t="s">
        <v>2124</v>
      </c>
      <c r="C36" s="275" t="s">
        <v>52</v>
      </c>
      <c r="D36" s="274" t="s">
        <v>384</v>
      </c>
      <c r="E36" s="274"/>
      <c r="F36" s="276">
        <f t="shared" si="2"/>
        <v>4</v>
      </c>
      <c r="G36" s="276">
        <v>4</v>
      </c>
      <c r="H36" s="276">
        <v>0</v>
      </c>
      <c r="I36" s="276">
        <v>0</v>
      </c>
      <c r="J36" s="280" t="s">
        <v>320</v>
      </c>
      <c r="K36" s="274">
        <v>4</v>
      </c>
      <c r="L36" s="274">
        <v>5</v>
      </c>
      <c r="M36" s="274">
        <v>2018</v>
      </c>
      <c r="N36" s="274">
        <v>2018</v>
      </c>
      <c r="O36" s="280">
        <f t="shared" si="0"/>
        <v>16</v>
      </c>
      <c r="P36" s="280">
        <f t="shared" si="15"/>
        <v>16</v>
      </c>
      <c r="Q36" s="280">
        <v>0</v>
      </c>
      <c r="R36" s="280">
        <v>0</v>
      </c>
      <c r="S36" s="280"/>
      <c r="T36" s="280"/>
      <c r="U36" s="280"/>
      <c r="V36" s="280"/>
      <c r="W36" s="280"/>
      <c r="X36" s="288"/>
      <c r="Y36" s="288"/>
      <c r="Z36" s="288"/>
      <c r="AA36" s="274"/>
      <c r="AB36" s="288"/>
      <c r="AC36" s="274"/>
    </row>
    <row r="37" s="258" customFormat="1" ht="30" customHeight="1" spans="1:29">
      <c r="A37" s="273"/>
      <c r="B37" s="274" t="s">
        <v>2125</v>
      </c>
      <c r="C37" s="275" t="s">
        <v>52</v>
      </c>
      <c r="D37" s="274" t="s">
        <v>384</v>
      </c>
      <c r="E37" s="274"/>
      <c r="F37" s="276">
        <f t="shared" si="2"/>
        <v>30</v>
      </c>
      <c r="G37" s="276">
        <v>30</v>
      </c>
      <c r="H37" s="276">
        <v>0</v>
      </c>
      <c r="I37" s="276">
        <v>0</v>
      </c>
      <c r="J37" s="280" t="s">
        <v>320</v>
      </c>
      <c r="K37" s="274">
        <v>19</v>
      </c>
      <c r="L37" s="274">
        <v>36</v>
      </c>
      <c r="M37" s="274">
        <v>2018</v>
      </c>
      <c r="N37" s="274">
        <v>2018</v>
      </c>
      <c r="O37" s="280">
        <f t="shared" si="0"/>
        <v>120</v>
      </c>
      <c r="P37" s="280">
        <f t="shared" si="15"/>
        <v>120</v>
      </c>
      <c r="Q37" s="280">
        <v>0</v>
      </c>
      <c r="R37" s="280">
        <v>0</v>
      </c>
      <c r="S37" s="280"/>
      <c r="T37" s="280"/>
      <c r="U37" s="280"/>
      <c r="V37" s="280"/>
      <c r="W37" s="280"/>
      <c r="X37" s="274"/>
      <c r="Y37" s="274"/>
      <c r="Z37" s="288"/>
      <c r="AA37" s="274"/>
      <c r="AB37" s="288"/>
      <c r="AC37" s="274"/>
    </row>
    <row r="38" ht="30" customHeight="1" spans="1:29">
      <c r="A38" s="273">
        <v>7</v>
      </c>
      <c r="B38" s="277" t="s">
        <v>1076</v>
      </c>
      <c r="C38" s="275" t="s">
        <v>52</v>
      </c>
      <c r="D38" s="274" t="s">
        <v>384</v>
      </c>
      <c r="E38" s="274"/>
      <c r="F38" s="276">
        <f t="shared" si="2"/>
        <v>147</v>
      </c>
      <c r="G38" s="276">
        <f t="shared" ref="G38:I38" si="16">SUM(G39:G43)</f>
        <v>147</v>
      </c>
      <c r="H38" s="276">
        <f t="shared" si="16"/>
        <v>0</v>
      </c>
      <c r="I38" s="276">
        <f t="shared" si="16"/>
        <v>0</v>
      </c>
      <c r="J38" s="274" t="s">
        <v>320</v>
      </c>
      <c r="K38" s="274" t="s">
        <v>320</v>
      </c>
      <c r="L38" s="274" t="s">
        <v>320</v>
      </c>
      <c r="M38" s="274">
        <v>2018</v>
      </c>
      <c r="N38" s="274">
        <v>2018</v>
      </c>
      <c r="O38" s="280">
        <f t="shared" si="0"/>
        <v>264.6</v>
      </c>
      <c r="P38" s="280">
        <f t="shared" ref="P38:R38" si="17">SUM(P39:P43)</f>
        <v>0</v>
      </c>
      <c r="Q38" s="280">
        <f t="shared" si="17"/>
        <v>264.6</v>
      </c>
      <c r="R38" s="280">
        <f t="shared" si="17"/>
        <v>0</v>
      </c>
      <c r="S38" s="280"/>
      <c r="T38" s="280"/>
      <c r="U38" s="280">
        <f>SUM(P38:R38)</f>
        <v>264.6</v>
      </c>
      <c r="V38" s="280"/>
      <c r="W38" s="280"/>
      <c r="X38" s="288" t="s">
        <v>2108</v>
      </c>
      <c r="Y38" s="274" t="s">
        <v>2120</v>
      </c>
      <c r="Z38" s="288" t="s">
        <v>273</v>
      </c>
      <c r="AA38" s="274" t="s">
        <v>2126</v>
      </c>
      <c r="AB38" s="288" t="s">
        <v>2122</v>
      </c>
      <c r="AC38" s="274" t="s">
        <v>1073</v>
      </c>
    </row>
    <row r="39" ht="30" customHeight="1" spans="1:29">
      <c r="A39" s="273"/>
      <c r="B39" s="274" t="s">
        <v>2123</v>
      </c>
      <c r="C39" s="275" t="s">
        <v>52</v>
      </c>
      <c r="D39" s="274" t="s">
        <v>384</v>
      </c>
      <c r="E39" s="274"/>
      <c r="F39" s="276">
        <f t="shared" si="2"/>
        <v>13</v>
      </c>
      <c r="G39" s="276">
        <v>13</v>
      </c>
      <c r="H39" s="276">
        <v>0</v>
      </c>
      <c r="I39" s="276">
        <v>0</v>
      </c>
      <c r="J39" s="280" t="s">
        <v>320</v>
      </c>
      <c r="K39" s="274" t="s">
        <v>320</v>
      </c>
      <c r="L39" s="274" t="s">
        <v>320</v>
      </c>
      <c r="M39" s="274">
        <v>2018</v>
      </c>
      <c r="N39" s="274">
        <v>2018</v>
      </c>
      <c r="O39" s="280">
        <f t="shared" si="0"/>
        <v>23.4</v>
      </c>
      <c r="P39" s="280"/>
      <c r="Q39" s="280">
        <v>23.4</v>
      </c>
      <c r="R39" s="280">
        <v>0</v>
      </c>
      <c r="S39" s="280"/>
      <c r="T39" s="280"/>
      <c r="U39" s="280"/>
      <c r="V39" s="280"/>
      <c r="W39" s="280"/>
      <c r="X39" s="289"/>
      <c r="Y39" s="289"/>
      <c r="Z39" s="288"/>
      <c r="AA39" s="274"/>
      <c r="AB39" s="288"/>
      <c r="AC39" s="274"/>
    </row>
    <row r="40" ht="30" customHeight="1" spans="1:29">
      <c r="A40" s="273"/>
      <c r="B40" s="274" t="s">
        <v>2114</v>
      </c>
      <c r="C40" s="275" t="s">
        <v>52</v>
      </c>
      <c r="D40" s="274" t="s">
        <v>384</v>
      </c>
      <c r="E40" s="274"/>
      <c r="F40" s="276">
        <f t="shared" si="2"/>
        <v>6</v>
      </c>
      <c r="G40" s="276">
        <v>6</v>
      </c>
      <c r="H40" s="276">
        <v>0</v>
      </c>
      <c r="I40" s="276">
        <v>0</v>
      </c>
      <c r="J40" s="280" t="s">
        <v>320</v>
      </c>
      <c r="K40" s="274" t="s">
        <v>320</v>
      </c>
      <c r="L40" s="274" t="s">
        <v>320</v>
      </c>
      <c r="M40" s="274">
        <v>2018</v>
      </c>
      <c r="N40" s="274">
        <v>2018</v>
      </c>
      <c r="O40" s="280">
        <f t="shared" si="0"/>
        <v>10.8</v>
      </c>
      <c r="P40" s="280"/>
      <c r="Q40" s="280">
        <v>10.8</v>
      </c>
      <c r="R40" s="280">
        <v>0</v>
      </c>
      <c r="S40" s="280"/>
      <c r="T40" s="280"/>
      <c r="U40" s="280"/>
      <c r="V40" s="280"/>
      <c r="W40" s="280"/>
      <c r="X40" s="288"/>
      <c r="Y40" s="288"/>
      <c r="Z40" s="288"/>
      <c r="AA40" s="274"/>
      <c r="AB40" s="288"/>
      <c r="AC40" s="274"/>
    </row>
    <row r="41" ht="30" customHeight="1" spans="1:29">
      <c r="A41" s="273"/>
      <c r="B41" s="274" t="s">
        <v>2116</v>
      </c>
      <c r="C41" s="275" t="s">
        <v>52</v>
      </c>
      <c r="D41" s="274" t="s">
        <v>384</v>
      </c>
      <c r="E41" s="274"/>
      <c r="F41" s="276">
        <f t="shared" si="2"/>
        <v>29</v>
      </c>
      <c r="G41" s="276">
        <v>29</v>
      </c>
      <c r="H41" s="276">
        <v>0</v>
      </c>
      <c r="I41" s="276">
        <v>0</v>
      </c>
      <c r="J41" s="280" t="s">
        <v>320</v>
      </c>
      <c r="K41" s="274" t="s">
        <v>320</v>
      </c>
      <c r="L41" s="274" t="s">
        <v>320</v>
      </c>
      <c r="M41" s="274">
        <v>2018</v>
      </c>
      <c r="N41" s="274">
        <v>2018</v>
      </c>
      <c r="O41" s="280">
        <f t="shared" si="0"/>
        <v>52.2</v>
      </c>
      <c r="P41" s="280"/>
      <c r="Q41" s="280">
        <v>52.2</v>
      </c>
      <c r="R41" s="280">
        <v>0</v>
      </c>
      <c r="S41" s="280"/>
      <c r="T41" s="280"/>
      <c r="U41" s="280"/>
      <c r="V41" s="280"/>
      <c r="W41" s="280"/>
      <c r="X41" s="288"/>
      <c r="Y41" s="288"/>
      <c r="Z41" s="288"/>
      <c r="AA41" s="274"/>
      <c r="AB41" s="288"/>
      <c r="AC41" s="274"/>
    </row>
    <row r="42" ht="30" customHeight="1" spans="1:29">
      <c r="A42" s="273"/>
      <c r="B42" s="274" t="s">
        <v>2118</v>
      </c>
      <c r="C42" s="275" t="s">
        <v>52</v>
      </c>
      <c r="D42" s="274" t="s">
        <v>384</v>
      </c>
      <c r="E42" s="274"/>
      <c r="F42" s="276">
        <f t="shared" si="2"/>
        <v>11</v>
      </c>
      <c r="G42" s="276">
        <v>11</v>
      </c>
      <c r="H42" s="276">
        <v>0</v>
      </c>
      <c r="I42" s="276">
        <v>0</v>
      </c>
      <c r="J42" s="280" t="s">
        <v>320</v>
      </c>
      <c r="K42" s="274" t="s">
        <v>320</v>
      </c>
      <c r="L42" s="274" t="s">
        <v>320</v>
      </c>
      <c r="M42" s="274">
        <v>2018</v>
      </c>
      <c r="N42" s="274">
        <v>2018</v>
      </c>
      <c r="O42" s="280">
        <f t="shared" si="0"/>
        <v>19.8</v>
      </c>
      <c r="P42" s="280"/>
      <c r="Q42" s="280">
        <v>19.8</v>
      </c>
      <c r="R42" s="280">
        <v>0</v>
      </c>
      <c r="S42" s="280"/>
      <c r="T42" s="280"/>
      <c r="U42" s="280"/>
      <c r="V42" s="280"/>
      <c r="W42" s="280"/>
      <c r="X42" s="288"/>
      <c r="Y42" s="288"/>
      <c r="Z42" s="288"/>
      <c r="AA42" s="274"/>
      <c r="AB42" s="288"/>
      <c r="AC42" s="274"/>
    </row>
    <row r="43" ht="30" customHeight="1" spans="1:29">
      <c r="A43" s="273"/>
      <c r="B43" s="274" t="s">
        <v>2125</v>
      </c>
      <c r="C43" s="275" t="s">
        <v>52</v>
      </c>
      <c r="D43" s="274" t="s">
        <v>384</v>
      </c>
      <c r="E43" s="274"/>
      <c r="F43" s="276">
        <f t="shared" si="2"/>
        <v>88</v>
      </c>
      <c r="G43" s="276">
        <v>88</v>
      </c>
      <c r="H43" s="276">
        <v>0</v>
      </c>
      <c r="I43" s="276">
        <v>0</v>
      </c>
      <c r="J43" s="280" t="s">
        <v>320</v>
      </c>
      <c r="K43" s="274" t="s">
        <v>320</v>
      </c>
      <c r="L43" s="274" t="s">
        <v>320</v>
      </c>
      <c r="M43" s="274">
        <v>2018</v>
      </c>
      <c r="N43" s="274">
        <v>2018</v>
      </c>
      <c r="O43" s="280">
        <f t="shared" si="0"/>
        <v>158.4</v>
      </c>
      <c r="P43" s="280"/>
      <c r="Q43" s="280">
        <v>158.4</v>
      </c>
      <c r="R43" s="280">
        <v>0</v>
      </c>
      <c r="S43" s="280"/>
      <c r="T43" s="280"/>
      <c r="U43" s="280"/>
      <c r="V43" s="280"/>
      <c r="W43" s="280"/>
      <c r="X43" s="274"/>
      <c r="Y43" s="274"/>
      <c r="Z43" s="288"/>
      <c r="AA43" s="274"/>
      <c r="AB43" s="288"/>
      <c r="AC43" s="274"/>
    </row>
    <row r="44" ht="30" customHeight="1" spans="1:29">
      <c r="A44" s="273">
        <v>8</v>
      </c>
      <c r="B44" s="277" t="s">
        <v>779</v>
      </c>
      <c r="C44" s="279" t="s">
        <v>1124</v>
      </c>
      <c r="D44" s="280" t="s">
        <v>194</v>
      </c>
      <c r="E44" s="280"/>
      <c r="F44" s="276">
        <v>238</v>
      </c>
      <c r="G44" s="276">
        <f t="shared" ref="G44:I44" si="18">SUM(G48,G54,G62,G70)</f>
        <v>238</v>
      </c>
      <c r="H44" s="276">
        <f t="shared" si="18"/>
        <v>238</v>
      </c>
      <c r="I44" s="276">
        <f t="shared" si="18"/>
        <v>238</v>
      </c>
      <c r="J44" s="274" t="s">
        <v>320</v>
      </c>
      <c r="K44" s="276">
        <f t="shared" ref="K44:W44" si="19">SUM(K45,K48,K54,K62,K70,K91)</f>
        <v>232</v>
      </c>
      <c r="L44" s="276">
        <f t="shared" si="19"/>
        <v>232</v>
      </c>
      <c r="M44" s="274">
        <v>2018</v>
      </c>
      <c r="N44" s="274">
        <v>2020</v>
      </c>
      <c r="O44" s="280">
        <f t="shared" si="0"/>
        <v>328.125</v>
      </c>
      <c r="P44" s="280">
        <f t="shared" si="19"/>
        <v>109.375</v>
      </c>
      <c r="Q44" s="280">
        <f t="shared" si="19"/>
        <v>109.375</v>
      </c>
      <c r="R44" s="280">
        <f t="shared" si="19"/>
        <v>109.375</v>
      </c>
      <c r="S44" s="280">
        <f t="shared" si="19"/>
        <v>161.475</v>
      </c>
      <c r="T44" s="280">
        <f t="shared" si="19"/>
        <v>84.6</v>
      </c>
      <c r="U44" s="280">
        <f t="shared" si="19"/>
        <v>82.05</v>
      </c>
      <c r="V44" s="280">
        <f t="shared" si="19"/>
        <v>0</v>
      </c>
      <c r="W44" s="280">
        <f t="shared" si="19"/>
        <v>0</v>
      </c>
      <c r="X44" s="276" t="s">
        <v>320</v>
      </c>
      <c r="Y44" s="276" t="s">
        <v>320</v>
      </c>
      <c r="Z44" s="276" t="s">
        <v>320</v>
      </c>
      <c r="AA44" s="276" t="s">
        <v>320</v>
      </c>
      <c r="AB44" s="276" t="s">
        <v>320</v>
      </c>
      <c r="AC44" s="274" t="s">
        <v>2106</v>
      </c>
    </row>
    <row r="45" ht="30" customHeight="1" spans="1:29">
      <c r="A45" s="273">
        <v>9</v>
      </c>
      <c r="B45" s="277" t="s">
        <v>295</v>
      </c>
      <c r="C45" s="279" t="s">
        <v>320</v>
      </c>
      <c r="D45" s="280" t="s">
        <v>320</v>
      </c>
      <c r="E45" s="280"/>
      <c r="F45" s="276" t="s">
        <v>320</v>
      </c>
      <c r="G45" s="276" t="s">
        <v>320</v>
      </c>
      <c r="H45" s="276" t="s">
        <v>320</v>
      </c>
      <c r="I45" s="276" t="s">
        <v>320</v>
      </c>
      <c r="J45" s="274" t="s">
        <v>320</v>
      </c>
      <c r="K45" s="280" t="s">
        <v>320</v>
      </c>
      <c r="L45" s="274" t="s">
        <v>320</v>
      </c>
      <c r="M45" s="274" t="s">
        <v>320</v>
      </c>
      <c r="N45" s="274" t="s">
        <v>320</v>
      </c>
      <c r="O45" s="280" t="s">
        <v>320</v>
      </c>
      <c r="P45" s="280" t="s">
        <v>320</v>
      </c>
      <c r="Q45" s="280" t="s">
        <v>320</v>
      </c>
      <c r="R45" s="280" t="s">
        <v>320</v>
      </c>
      <c r="S45" s="280" t="s">
        <v>320</v>
      </c>
      <c r="T45" s="280" t="s">
        <v>320</v>
      </c>
      <c r="U45" s="280" t="s">
        <v>320</v>
      </c>
      <c r="V45" s="280" t="s">
        <v>320</v>
      </c>
      <c r="W45" s="280" t="s">
        <v>320</v>
      </c>
      <c r="X45" s="274" t="s">
        <v>320</v>
      </c>
      <c r="Y45" s="274" t="s">
        <v>320</v>
      </c>
      <c r="Z45" s="274" t="s">
        <v>320</v>
      </c>
      <c r="AA45" s="274" t="s">
        <v>320</v>
      </c>
      <c r="AB45" s="274" t="s">
        <v>2128</v>
      </c>
      <c r="AC45" s="274" t="s">
        <v>320</v>
      </c>
    </row>
    <row r="46" ht="30" customHeight="1" spans="1:29">
      <c r="A46" s="273">
        <v>10</v>
      </c>
      <c r="B46" s="277" t="s">
        <v>2129</v>
      </c>
      <c r="C46" s="279" t="s">
        <v>320</v>
      </c>
      <c r="D46" s="280" t="s">
        <v>320</v>
      </c>
      <c r="E46" s="280"/>
      <c r="F46" s="276" t="s">
        <v>320</v>
      </c>
      <c r="G46" s="276" t="s">
        <v>320</v>
      </c>
      <c r="H46" s="276" t="s">
        <v>320</v>
      </c>
      <c r="I46" s="276" t="s">
        <v>320</v>
      </c>
      <c r="J46" s="274" t="s">
        <v>320</v>
      </c>
      <c r="K46" s="280" t="s">
        <v>320</v>
      </c>
      <c r="L46" s="274" t="s">
        <v>320</v>
      </c>
      <c r="M46" s="274" t="s">
        <v>320</v>
      </c>
      <c r="N46" s="274" t="s">
        <v>320</v>
      </c>
      <c r="O46" s="280" t="s">
        <v>320</v>
      </c>
      <c r="P46" s="280" t="s">
        <v>320</v>
      </c>
      <c r="Q46" s="280" t="s">
        <v>320</v>
      </c>
      <c r="R46" s="280" t="s">
        <v>320</v>
      </c>
      <c r="S46" s="280" t="s">
        <v>320</v>
      </c>
      <c r="T46" s="280" t="s">
        <v>320</v>
      </c>
      <c r="U46" s="280" t="s">
        <v>320</v>
      </c>
      <c r="V46" s="280" t="s">
        <v>320</v>
      </c>
      <c r="W46" s="280" t="s">
        <v>320</v>
      </c>
      <c r="X46" s="274" t="s">
        <v>320</v>
      </c>
      <c r="Y46" s="274" t="s">
        <v>320</v>
      </c>
      <c r="Z46" s="274" t="s">
        <v>320</v>
      </c>
      <c r="AA46" s="274" t="s">
        <v>320</v>
      </c>
      <c r="AB46" s="274" t="s">
        <v>2128</v>
      </c>
      <c r="AC46" s="274" t="s">
        <v>320</v>
      </c>
    </row>
    <row r="47" ht="30" customHeight="1" spans="1:29">
      <c r="A47" s="273">
        <v>11</v>
      </c>
      <c r="B47" s="277" t="s">
        <v>2130</v>
      </c>
      <c r="C47" s="279" t="s">
        <v>320</v>
      </c>
      <c r="D47" s="280" t="s">
        <v>320</v>
      </c>
      <c r="E47" s="280"/>
      <c r="F47" s="276" t="s">
        <v>320</v>
      </c>
      <c r="G47" s="276" t="s">
        <v>320</v>
      </c>
      <c r="H47" s="276" t="s">
        <v>320</v>
      </c>
      <c r="I47" s="276" t="s">
        <v>320</v>
      </c>
      <c r="J47" s="274" t="s">
        <v>320</v>
      </c>
      <c r="K47" s="280" t="s">
        <v>320</v>
      </c>
      <c r="L47" s="274" t="s">
        <v>320</v>
      </c>
      <c r="M47" s="274" t="s">
        <v>320</v>
      </c>
      <c r="N47" s="274" t="s">
        <v>320</v>
      </c>
      <c r="O47" s="280" t="s">
        <v>320</v>
      </c>
      <c r="P47" s="280" t="s">
        <v>320</v>
      </c>
      <c r="Q47" s="280" t="s">
        <v>320</v>
      </c>
      <c r="R47" s="280" t="s">
        <v>320</v>
      </c>
      <c r="S47" s="280" t="s">
        <v>320</v>
      </c>
      <c r="T47" s="280" t="s">
        <v>320</v>
      </c>
      <c r="U47" s="280" t="s">
        <v>320</v>
      </c>
      <c r="V47" s="280" t="s">
        <v>320</v>
      </c>
      <c r="W47" s="280" t="s">
        <v>320</v>
      </c>
      <c r="X47" s="274" t="s">
        <v>320</v>
      </c>
      <c r="Y47" s="274" t="s">
        <v>320</v>
      </c>
      <c r="Z47" s="274" t="s">
        <v>320</v>
      </c>
      <c r="AA47" s="274" t="s">
        <v>320</v>
      </c>
      <c r="AB47" s="274" t="s">
        <v>2128</v>
      </c>
      <c r="AC47" s="274" t="s">
        <v>320</v>
      </c>
    </row>
    <row r="48" ht="30" customHeight="1" spans="1:29">
      <c r="A48" s="273">
        <v>12</v>
      </c>
      <c r="B48" s="277" t="s">
        <v>319</v>
      </c>
      <c r="C48" s="275" t="s">
        <v>1124</v>
      </c>
      <c r="D48" s="274" t="s">
        <v>147</v>
      </c>
      <c r="E48" s="274"/>
      <c r="F48" s="276">
        <f t="shared" ref="F48:I48" si="20">SUM(F49:F53)</f>
        <v>27</v>
      </c>
      <c r="G48" s="276">
        <f t="shared" si="20"/>
        <v>27</v>
      </c>
      <c r="H48" s="276">
        <f t="shared" si="20"/>
        <v>27</v>
      </c>
      <c r="I48" s="276">
        <f t="shared" si="20"/>
        <v>27</v>
      </c>
      <c r="J48" s="274" t="s">
        <v>2131</v>
      </c>
      <c r="K48" s="276">
        <f t="shared" ref="K48:R48" si="21">SUM(K49:K53)</f>
        <v>21</v>
      </c>
      <c r="L48" s="276">
        <f t="shared" si="21"/>
        <v>21</v>
      </c>
      <c r="M48" s="274">
        <v>2018</v>
      </c>
      <c r="N48" s="274">
        <v>2020</v>
      </c>
      <c r="O48" s="280">
        <f t="shared" ref="O48:O90" si="22">SUM(P48:R48)</f>
        <v>10.125</v>
      </c>
      <c r="P48" s="280">
        <f t="shared" si="21"/>
        <v>3.375</v>
      </c>
      <c r="Q48" s="280">
        <f t="shared" si="21"/>
        <v>3.375</v>
      </c>
      <c r="R48" s="280">
        <f t="shared" si="21"/>
        <v>3.375</v>
      </c>
      <c r="S48" s="280"/>
      <c r="T48" s="280"/>
      <c r="U48" s="280">
        <f>SUM(P48:R48)</f>
        <v>10.125</v>
      </c>
      <c r="V48" s="280"/>
      <c r="W48" s="280"/>
      <c r="X48" s="288" t="s">
        <v>2108</v>
      </c>
      <c r="Y48" s="274" t="s">
        <v>2132</v>
      </c>
      <c r="Z48" s="288" t="s">
        <v>294</v>
      </c>
      <c r="AA48" s="274" t="s">
        <v>2133</v>
      </c>
      <c r="AB48" s="288" t="s">
        <v>2134</v>
      </c>
      <c r="AC48" s="274" t="s">
        <v>1073</v>
      </c>
    </row>
    <row r="49" s="258" customFormat="1" ht="30" customHeight="1" spans="1:29">
      <c r="A49" s="273"/>
      <c r="B49" s="274" t="s">
        <v>2123</v>
      </c>
      <c r="C49" s="275" t="s">
        <v>1124</v>
      </c>
      <c r="D49" s="274" t="s">
        <v>147</v>
      </c>
      <c r="E49" s="274"/>
      <c r="F49" s="276">
        <v>4</v>
      </c>
      <c r="G49" s="276">
        <v>4</v>
      </c>
      <c r="H49" s="276">
        <v>4</v>
      </c>
      <c r="I49" s="276">
        <v>4</v>
      </c>
      <c r="J49" s="274" t="s">
        <v>2135</v>
      </c>
      <c r="K49" s="276">
        <v>4</v>
      </c>
      <c r="L49" s="276">
        <v>4</v>
      </c>
      <c r="M49" s="274">
        <v>2018</v>
      </c>
      <c r="N49" s="274">
        <v>2020</v>
      </c>
      <c r="O49" s="280">
        <f t="shared" si="22"/>
        <v>1.5</v>
      </c>
      <c r="P49" s="280">
        <f t="shared" ref="P49:R49" si="23">SUM(G49*0.125)</f>
        <v>0.5</v>
      </c>
      <c r="Q49" s="280">
        <f t="shared" si="23"/>
        <v>0.5</v>
      </c>
      <c r="R49" s="280">
        <f t="shared" si="23"/>
        <v>0.5</v>
      </c>
      <c r="S49" s="280"/>
      <c r="T49" s="280"/>
      <c r="U49" s="280"/>
      <c r="V49" s="280"/>
      <c r="W49" s="280"/>
      <c r="X49" s="289"/>
      <c r="Y49" s="290"/>
      <c r="Z49" s="288"/>
      <c r="AA49" s="274"/>
      <c r="AB49" s="288"/>
      <c r="AC49" s="274"/>
    </row>
    <row r="50" s="258" customFormat="1" ht="30" customHeight="1" spans="1:29">
      <c r="A50" s="273"/>
      <c r="B50" s="274" t="s">
        <v>2112</v>
      </c>
      <c r="C50" s="275" t="s">
        <v>1124</v>
      </c>
      <c r="D50" s="274" t="s">
        <v>147</v>
      </c>
      <c r="E50" s="274"/>
      <c r="F50" s="276">
        <v>1</v>
      </c>
      <c r="G50" s="276">
        <v>1</v>
      </c>
      <c r="H50" s="276">
        <v>1</v>
      </c>
      <c r="I50" s="276">
        <v>1</v>
      </c>
      <c r="J50" s="274" t="s">
        <v>2136</v>
      </c>
      <c r="K50" s="276">
        <v>1</v>
      </c>
      <c r="L50" s="276">
        <v>1</v>
      </c>
      <c r="M50" s="274">
        <v>2018</v>
      </c>
      <c r="N50" s="274">
        <v>2020</v>
      </c>
      <c r="O50" s="280">
        <f t="shared" si="22"/>
        <v>0.375</v>
      </c>
      <c r="P50" s="280">
        <f t="shared" ref="P50:R50" si="24">SUM(G50*0.125)</f>
        <v>0.125</v>
      </c>
      <c r="Q50" s="280">
        <f t="shared" si="24"/>
        <v>0.125</v>
      </c>
      <c r="R50" s="280">
        <f t="shared" si="24"/>
        <v>0.125</v>
      </c>
      <c r="S50" s="280"/>
      <c r="T50" s="280"/>
      <c r="U50" s="280"/>
      <c r="V50" s="280"/>
      <c r="W50" s="280"/>
      <c r="X50" s="290"/>
      <c r="Y50" s="290"/>
      <c r="Z50" s="288"/>
      <c r="AA50" s="274"/>
      <c r="AB50" s="288"/>
      <c r="AC50" s="274"/>
    </row>
    <row r="51" s="258" customFormat="1" ht="30" customHeight="1" spans="1:29">
      <c r="A51" s="273"/>
      <c r="B51" s="274" t="s">
        <v>2116</v>
      </c>
      <c r="C51" s="275" t="s">
        <v>1124</v>
      </c>
      <c r="D51" s="274" t="s">
        <v>147</v>
      </c>
      <c r="E51" s="274"/>
      <c r="F51" s="276">
        <v>6</v>
      </c>
      <c r="G51" s="276">
        <v>6</v>
      </c>
      <c r="H51" s="276">
        <v>6</v>
      </c>
      <c r="I51" s="276">
        <v>6</v>
      </c>
      <c r="J51" s="274" t="s">
        <v>2137</v>
      </c>
      <c r="K51" s="276">
        <v>4</v>
      </c>
      <c r="L51" s="276">
        <v>4</v>
      </c>
      <c r="M51" s="274">
        <v>2018</v>
      </c>
      <c r="N51" s="274">
        <v>2020</v>
      </c>
      <c r="O51" s="280">
        <f t="shared" si="22"/>
        <v>2.25</v>
      </c>
      <c r="P51" s="280">
        <f t="shared" ref="P51:R51" si="25">SUM(G51*0.125)</f>
        <v>0.75</v>
      </c>
      <c r="Q51" s="280">
        <f t="shared" si="25"/>
        <v>0.75</v>
      </c>
      <c r="R51" s="280">
        <f t="shared" si="25"/>
        <v>0.75</v>
      </c>
      <c r="S51" s="280"/>
      <c r="T51" s="280"/>
      <c r="U51" s="280"/>
      <c r="V51" s="280"/>
      <c r="W51" s="280"/>
      <c r="X51" s="289"/>
      <c r="Y51" s="290"/>
      <c r="Z51" s="288"/>
      <c r="AA51" s="274"/>
      <c r="AB51" s="288"/>
      <c r="AC51" s="274"/>
    </row>
    <row r="52" s="258" customFormat="1" ht="30" customHeight="1" spans="1:29">
      <c r="A52" s="273"/>
      <c r="B52" s="274" t="s">
        <v>2124</v>
      </c>
      <c r="C52" s="275" t="s">
        <v>1124</v>
      </c>
      <c r="D52" s="274" t="s">
        <v>147</v>
      </c>
      <c r="E52" s="274"/>
      <c r="F52" s="276">
        <v>7</v>
      </c>
      <c r="G52" s="276">
        <v>7</v>
      </c>
      <c r="H52" s="276">
        <v>7</v>
      </c>
      <c r="I52" s="276">
        <v>7</v>
      </c>
      <c r="J52" s="274" t="s">
        <v>2138</v>
      </c>
      <c r="K52" s="276">
        <v>7</v>
      </c>
      <c r="L52" s="276">
        <v>7</v>
      </c>
      <c r="M52" s="274">
        <v>2018</v>
      </c>
      <c r="N52" s="274">
        <v>2020</v>
      </c>
      <c r="O52" s="280">
        <f t="shared" si="22"/>
        <v>2.625</v>
      </c>
      <c r="P52" s="280">
        <f t="shared" ref="P52:R52" si="26">SUM(G52*0.125)</f>
        <v>0.875</v>
      </c>
      <c r="Q52" s="280">
        <f t="shared" si="26"/>
        <v>0.875</v>
      </c>
      <c r="R52" s="280">
        <f t="shared" si="26"/>
        <v>0.875</v>
      </c>
      <c r="S52" s="280"/>
      <c r="T52" s="280"/>
      <c r="U52" s="280"/>
      <c r="V52" s="280"/>
      <c r="W52" s="280"/>
      <c r="X52" s="288"/>
      <c r="Y52" s="288"/>
      <c r="Z52" s="288"/>
      <c r="AA52" s="274"/>
      <c r="AB52" s="288"/>
      <c r="AC52" s="274"/>
    </row>
    <row r="53" s="258" customFormat="1" ht="30" customHeight="1" spans="1:29">
      <c r="A53" s="273"/>
      <c r="B53" s="274" t="s">
        <v>2125</v>
      </c>
      <c r="C53" s="275" t="s">
        <v>1124</v>
      </c>
      <c r="D53" s="274" t="s">
        <v>147</v>
      </c>
      <c r="E53" s="274"/>
      <c r="F53" s="276">
        <v>9</v>
      </c>
      <c r="G53" s="276">
        <v>9</v>
      </c>
      <c r="H53" s="276">
        <v>9</v>
      </c>
      <c r="I53" s="276">
        <v>9</v>
      </c>
      <c r="J53" s="274" t="s">
        <v>2139</v>
      </c>
      <c r="K53" s="276">
        <v>5</v>
      </c>
      <c r="L53" s="276">
        <v>5</v>
      </c>
      <c r="M53" s="274">
        <v>2018</v>
      </c>
      <c r="N53" s="274">
        <v>2020</v>
      </c>
      <c r="O53" s="280">
        <f t="shared" si="22"/>
        <v>3.375</v>
      </c>
      <c r="P53" s="280">
        <f t="shared" ref="P53:R53" si="27">SUM(G53*0.125)</f>
        <v>1.125</v>
      </c>
      <c r="Q53" s="280">
        <f t="shared" si="27"/>
        <v>1.125</v>
      </c>
      <c r="R53" s="280">
        <f t="shared" si="27"/>
        <v>1.125</v>
      </c>
      <c r="S53" s="280"/>
      <c r="T53" s="280"/>
      <c r="U53" s="280"/>
      <c r="V53" s="280"/>
      <c r="W53" s="280"/>
      <c r="X53" s="274"/>
      <c r="Y53" s="274"/>
      <c r="Z53" s="288"/>
      <c r="AA53" s="274"/>
      <c r="AB53" s="288"/>
      <c r="AC53" s="274"/>
    </row>
    <row r="54" ht="72" spans="1:29">
      <c r="A54" s="273">
        <v>13</v>
      </c>
      <c r="B54" s="277" t="s">
        <v>321</v>
      </c>
      <c r="C54" s="275" t="s">
        <v>1124</v>
      </c>
      <c r="D54" s="274" t="s">
        <v>147</v>
      </c>
      <c r="E54" s="274"/>
      <c r="F54" s="276">
        <f t="shared" ref="F54:I54" si="28">SUM(F55:F61)</f>
        <v>71</v>
      </c>
      <c r="G54" s="276">
        <f t="shared" si="28"/>
        <v>71</v>
      </c>
      <c r="H54" s="276">
        <f t="shared" si="28"/>
        <v>71</v>
      </c>
      <c r="I54" s="276">
        <f t="shared" si="28"/>
        <v>71</v>
      </c>
      <c r="J54" s="274" t="s">
        <v>2140</v>
      </c>
      <c r="K54" s="276">
        <f t="shared" ref="K54:R54" si="29">SUM(K55:K61)</f>
        <v>71</v>
      </c>
      <c r="L54" s="276">
        <f t="shared" si="29"/>
        <v>71</v>
      </c>
      <c r="M54" s="274">
        <v>2018</v>
      </c>
      <c r="N54" s="274">
        <v>2020</v>
      </c>
      <c r="O54" s="280">
        <f t="shared" si="22"/>
        <v>117.15</v>
      </c>
      <c r="P54" s="280">
        <f t="shared" si="29"/>
        <v>39.05</v>
      </c>
      <c r="Q54" s="280">
        <f t="shared" si="29"/>
        <v>39.05</v>
      </c>
      <c r="R54" s="280">
        <f t="shared" si="29"/>
        <v>39.05</v>
      </c>
      <c r="S54" s="280">
        <f>F54*3*0.425</f>
        <v>90.525</v>
      </c>
      <c r="T54" s="280"/>
      <c r="U54" s="280">
        <f>F54*3*0.125</f>
        <v>26.625</v>
      </c>
      <c r="V54" s="280"/>
      <c r="W54" s="280"/>
      <c r="X54" s="288" t="s">
        <v>2108</v>
      </c>
      <c r="Y54" s="274" t="s">
        <v>2132</v>
      </c>
      <c r="Z54" s="288" t="s">
        <v>294</v>
      </c>
      <c r="AA54" s="274" t="s">
        <v>2141</v>
      </c>
      <c r="AB54" s="288" t="s">
        <v>2142</v>
      </c>
      <c r="AC54" s="274" t="s">
        <v>1073</v>
      </c>
    </row>
    <row r="55" ht="36" spans="1:29">
      <c r="A55" s="273"/>
      <c r="B55" s="274" t="s">
        <v>2123</v>
      </c>
      <c r="C55" s="275" t="s">
        <v>1124</v>
      </c>
      <c r="D55" s="274" t="s">
        <v>147</v>
      </c>
      <c r="E55" s="274"/>
      <c r="F55" s="276">
        <v>37</v>
      </c>
      <c r="G55" s="276">
        <v>37</v>
      </c>
      <c r="H55" s="276">
        <v>37</v>
      </c>
      <c r="I55" s="276">
        <v>37</v>
      </c>
      <c r="J55" s="274" t="s">
        <v>2143</v>
      </c>
      <c r="K55" s="276">
        <v>37</v>
      </c>
      <c r="L55" s="276">
        <v>37</v>
      </c>
      <c r="M55" s="274">
        <v>2018</v>
      </c>
      <c r="N55" s="274">
        <v>2020</v>
      </c>
      <c r="O55" s="280">
        <f t="shared" si="22"/>
        <v>61.05</v>
      </c>
      <c r="P55" s="280">
        <f t="shared" ref="P55:R55" si="30">SUM(G55*0.55)</f>
        <v>20.35</v>
      </c>
      <c r="Q55" s="280">
        <f t="shared" si="30"/>
        <v>20.35</v>
      </c>
      <c r="R55" s="280">
        <f t="shared" si="30"/>
        <v>20.35</v>
      </c>
      <c r="S55" s="280"/>
      <c r="T55" s="280"/>
      <c r="U55" s="280"/>
      <c r="V55" s="280"/>
      <c r="W55" s="280"/>
      <c r="X55" s="289"/>
      <c r="Y55" s="290"/>
      <c r="Z55" s="288"/>
      <c r="AA55" s="274"/>
      <c r="AB55" s="288" t="s">
        <v>2144</v>
      </c>
      <c r="AC55" s="274"/>
    </row>
    <row r="56" ht="30" customHeight="1" spans="1:29">
      <c r="A56" s="273"/>
      <c r="B56" s="274" t="s">
        <v>2112</v>
      </c>
      <c r="C56" s="275" t="s">
        <v>1124</v>
      </c>
      <c r="D56" s="274" t="s">
        <v>147</v>
      </c>
      <c r="E56" s="274"/>
      <c r="F56" s="276">
        <v>3</v>
      </c>
      <c r="G56" s="276">
        <v>3</v>
      </c>
      <c r="H56" s="276">
        <v>3</v>
      </c>
      <c r="I56" s="276">
        <v>3</v>
      </c>
      <c r="J56" s="274" t="s">
        <v>2145</v>
      </c>
      <c r="K56" s="276">
        <v>3</v>
      </c>
      <c r="L56" s="276">
        <v>3</v>
      </c>
      <c r="M56" s="274">
        <v>2018</v>
      </c>
      <c r="N56" s="274">
        <v>2020</v>
      </c>
      <c r="O56" s="280">
        <f t="shared" si="22"/>
        <v>4.95</v>
      </c>
      <c r="P56" s="280">
        <f t="shared" ref="P56:R56" si="31">SUM(G56*0.55)</f>
        <v>1.65</v>
      </c>
      <c r="Q56" s="280">
        <f t="shared" si="31"/>
        <v>1.65</v>
      </c>
      <c r="R56" s="280">
        <f t="shared" si="31"/>
        <v>1.65</v>
      </c>
      <c r="S56" s="280"/>
      <c r="T56" s="280"/>
      <c r="U56" s="280"/>
      <c r="V56" s="280"/>
      <c r="W56" s="280"/>
      <c r="X56" s="289"/>
      <c r="Y56" s="290"/>
      <c r="Z56" s="288"/>
      <c r="AA56" s="274"/>
      <c r="AB56" s="288"/>
      <c r="AC56" s="274"/>
    </row>
    <row r="57" ht="30" customHeight="1" spans="1:29">
      <c r="A57" s="273"/>
      <c r="B57" s="274" t="s">
        <v>2114</v>
      </c>
      <c r="C57" s="275" t="s">
        <v>1124</v>
      </c>
      <c r="D57" s="274" t="s">
        <v>147</v>
      </c>
      <c r="E57" s="274"/>
      <c r="F57" s="276">
        <v>8</v>
      </c>
      <c r="G57" s="276">
        <v>8</v>
      </c>
      <c r="H57" s="276">
        <v>8</v>
      </c>
      <c r="I57" s="276">
        <v>8</v>
      </c>
      <c r="J57" s="274" t="s">
        <v>2146</v>
      </c>
      <c r="K57" s="276">
        <v>8</v>
      </c>
      <c r="L57" s="276">
        <v>8</v>
      </c>
      <c r="M57" s="274">
        <v>2018</v>
      </c>
      <c r="N57" s="274">
        <v>2020</v>
      </c>
      <c r="O57" s="280">
        <f t="shared" si="22"/>
        <v>13.2</v>
      </c>
      <c r="P57" s="280">
        <f t="shared" ref="P57:R57" si="32">SUM(G57*0.55)</f>
        <v>4.4</v>
      </c>
      <c r="Q57" s="280">
        <f t="shared" si="32"/>
        <v>4.4</v>
      </c>
      <c r="R57" s="280">
        <f t="shared" si="32"/>
        <v>4.4</v>
      </c>
      <c r="S57" s="280"/>
      <c r="T57" s="280"/>
      <c r="U57" s="280"/>
      <c r="V57" s="280"/>
      <c r="W57" s="280"/>
      <c r="X57" s="289"/>
      <c r="Y57" s="290"/>
      <c r="Z57" s="288"/>
      <c r="AA57" s="274"/>
      <c r="AB57" s="288"/>
      <c r="AC57" s="274"/>
    </row>
    <row r="58" ht="30" customHeight="1" spans="1:29">
      <c r="A58" s="273"/>
      <c r="B58" s="274" t="s">
        <v>2116</v>
      </c>
      <c r="C58" s="275" t="s">
        <v>1124</v>
      </c>
      <c r="D58" s="274" t="s">
        <v>147</v>
      </c>
      <c r="E58" s="274"/>
      <c r="F58" s="276">
        <v>6</v>
      </c>
      <c r="G58" s="276">
        <v>6</v>
      </c>
      <c r="H58" s="276">
        <v>6</v>
      </c>
      <c r="I58" s="276">
        <v>6</v>
      </c>
      <c r="J58" s="274" t="s">
        <v>2137</v>
      </c>
      <c r="K58" s="276">
        <v>6</v>
      </c>
      <c r="L58" s="276">
        <v>6</v>
      </c>
      <c r="M58" s="274">
        <v>2018</v>
      </c>
      <c r="N58" s="274">
        <v>2020</v>
      </c>
      <c r="O58" s="280">
        <f t="shared" si="22"/>
        <v>9.9</v>
      </c>
      <c r="P58" s="280">
        <f t="shared" ref="P58:R58" si="33">SUM(G58*0.55)</f>
        <v>3.3</v>
      </c>
      <c r="Q58" s="280">
        <f t="shared" si="33"/>
        <v>3.3</v>
      </c>
      <c r="R58" s="280">
        <f t="shared" si="33"/>
        <v>3.3</v>
      </c>
      <c r="S58" s="280"/>
      <c r="T58" s="280"/>
      <c r="U58" s="280"/>
      <c r="V58" s="280"/>
      <c r="W58" s="280"/>
      <c r="X58" s="289"/>
      <c r="Y58" s="290"/>
      <c r="Z58" s="288"/>
      <c r="AA58" s="274"/>
      <c r="AB58" s="288"/>
      <c r="AC58" s="274"/>
    </row>
    <row r="59" ht="30" customHeight="1" spans="1:29">
      <c r="A59" s="273"/>
      <c r="B59" s="274" t="s">
        <v>2118</v>
      </c>
      <c r="C59" s="275" t="s">
        <v>1124</v>
      </c>
      <c r="D59" s="274" t="s">
        <v>147</v>
      </c>
      <c r="E59" s="274"/>
      <c r="F59" s="276">
        <v>3</v>
      </c>
      <c r="G59" s="276">
        <v>3</v>
      </c>
      <c r="H59" s="276">
        <v>3</v>
      </c>
      <c r="I59" s="276">
        <v>3</v>
      </c>
      <c r="J59" s="274" t="s">
        <v>2145</v>
      </c>
      <c r="K59" s="276">
        <v>3</v>
      </c>
      <c r="L59" s="276">
        <v>3</v>
      </c>
      <c r="M59" s="274">
        <v>2018</v>
      </c>
      <c r="N59" s="274">
        <v>2020</v>
      </c>
      <c r="O59" s="280">
        <f t="shared" si="22"/>
        <v>4.95</v>
      </c>
      <c r="P59" s="280">
        <f t="shared" ref="P59:R59" si="34">SUM(G59*0.55)</f>
        <v>1.65</v>
      </c>
      <c r="Q59" s="280">
        <f t="shared" si="34"/>
        <v>1.65</v>
      </c>
      <c r="R59" s="280">
        <f t="shared" si="34"/>
        <v>1.65</v>
      </c>
      <c r="S59" s="280"/>
      <c r="T59" s="280"/>
      <c r="U59" s="280"/>
      <c r="V59" s="280"/>
      <c r="W59" s="280"/>
      <c r="X59" s="288"/>
      <c r="Y59" s="288"/>
      <c r="Z59" s="288"/>
      <c r="AA59" s="274"/>
      <c r="AB59" s="288"/>
      <c r="AC59" s="274"/>
    </row>
    <row r="60" ht="30" customHeight="1" spans="1:29">
      <c r="A60" s="273"/>
      <c r="B60" s="274" t="s">
        <v>2124</v>
      </c>
      <c r="C60" s="275" t="s">
        <v>1124</v>
      </c>
      <c r="D60" s="274" t="s">
        <v>147</v>
      </c>
      <c r="E60" s="274"/>
      <c r="F60" s="276">
        <v>7</v>
      </c>
      <c r="G60" s="276">
        <v>7</v>
      </c>
      <c r="H60" s="276">
        <v>7</v>
      </c>
      <c r="I60" s="276">
        <v>7</v>
      </c>
      <c r="J60" s="274" t="s">
        <v>2138</v>
      </c>
      <c r="K60" s="276">
        <v>7</v>
      </c>
      <c r="L60" s="276">
        <v>7</v>
      </c>
      <c r="M60" s="274">
        <v>2018</v>
      </c>
      <c r="N60" s="274">
        <v>2020</v>
      </c>
      <c r="O60" s="280">
        <f t="shared" si="22"/>
        <v>11.55</v>
      </c>
      <c r="P60" s="280">
        <f t="shared" ref="P60:R60" si="35">SUM(G60*0.55)</f>
        <v>3.85</v>
      </c>
      <c r="Q60" s="280">
        <f t="shared" si="35"/>
        <v>3.85</v>
      </c>
      <c r="R60" s="280">
        <f t="shared" si="35"/>
        <v>3.85</v>
      </c>
      <c r="S60" s="280"/>
      <c r="T60" s="280"/>
      <c r="U60" s="280"/>
      <c r="V60" s="280"/>
      <c r="W60" s="280"/>
      <c r="X60" s="288"/>
      <c r="Y60" s="288"/>
      <c r="Z60" s="288"/>
      <c r="AA60" s="274"/>
      <c r="AB60" s="288"/>
      <c r="AC60" s="274"/>
    </row>
    <row r="61" ht="30" customHeight="1" spans="1:29">
      <c r="A61" s="273"/>
      <c r="B61" s="274" t="s">
        <v>2125</v>
      </c>
      <c r="C61" s="275" t="s">
        <v>1124</v>
      </c>
      <c r="D61" s="274" t="s">
        <v>147</v>
      </c>
      <c r="E61" s="274"/>
      <c r="F61" s="276">
        <v>7</v>
      </c>
      <c r="G61" s="276">
        <v>7</v>
      </c>
      <c r="H61" s="276">
        <v>7</v>
      </c>
      <c r="I61" s="276">
        <v>7</v>
      </c>
      <c r="J61" s="274" t="s">
        <v>2138</v>
      </c>
      <c r="K61" s="276">
        <v>7</v>
      </c>
      <c r="L61" s="276">
        <v>7</v>
      </c>
      <c r="M61" s="274">
        <v>2018</v>
      </c>
      <c r="N61" s="274">
        <v>2020</v>
      </c>
      <c r="O61" s="280">
        <f t="shared" si="22"/>
        <v>11.55</v>
      </c>
      <c r="P61" s="280">
        <f t="shared" ref="P61:R61" si="36">SUM(G61*0.55)</f>
        <v>3.85</v>
      </c>
      <c r="Q61" s="280">
        <f t="shared" si="36"/>
        <v>3.85</v>
      </c>
      <c r="R61" s="280">
        <f t="shared" si="36"/>
        <v>3.85</v>
      </c>
      <c r="S61" s="280"/>
      <c r="T61" s="280"/>
      <c r="U61" s="280"/>
      <c r="V61" s="280"/>
      <c r="W61" s="280"/>
      <c r="X61" s="274"/>
      <c r="Y61" s="274"/>
      <c r="Z61" s="288"/>
      <c r="AA61" s="274"/>
      <c r="AB61" s="288"/>
      <c r="AC61" s="274"/>
    </row>
    <row r="62" ht="84" spans="1:29">
      <c r="A62" s="273">
        <v>14</v>
      </c>
      <c r="B62" s="277" t="s">
        <v>322</v>
      </c>
      <c r="C62" s="275" t="s">
        <v>1124</v>
      </c>
      <c r="D62" s="274" t="s">
        <v>147</v>
      </c>
      <c r="E62" s="274"/>
      <c r="F62" s="276">
        <f t="shared" ref="F62:I62" si="37">SUM(F63:F69)</f>
        <v>59</v>
      </c>
      <c r="G62" s="276">
        <f t="shared" si="37"/>
        <v>59</v>
      </c>
      <c r="H62" s="276">
        <f t="shared" si="37"/>
        <v>59</v>
      </c>
      <c r="I62" s="276">
        <f t="shared" si="37"/>
        <v>59</v>
      </c>
      <c r="J62" s="274" t="s">
        <v>2147</v>
      </c>
      <c r="K62" s="276">
        <f t="shared" ref="K62:R62" si="38">SUM(K63:K69)</f>
        <v>59</v>
      </c>
      <c r="L62" s="276">
        <f t="shared" si="38"/>
        <v>59</v>
      </c>
      <c r="M62" s="274">
        <v>2018</v>
      </c>
      <c r="N62" s="274">
        <v>2020</v>
      </c>
      <c r="O62" s="280">
        <f t="shared" si="22"/>
        <v>97.35</v>
      </c>
      <c r="P62" s="280">
        <f t="shared" si="38"/>
        <v>32.45</v>
      </c>
      <c r="Q62" s="280">
        <f t="shared" si="38"/>
        <v>32.45</v>
      </c>
      <c r="R62" s="280">
        <f t="shared" si="38"/>
        <v>32.45</v>
      </c>
      <c r="S62" s="280">
        <f>F62*3*0.2</f>
        <v>35.4</v>
      </c>
      <c r="T62" s="280">
        <f>F62*3*0.3</f>
        <v>53.1</v>
      </c>
      <c r="U62" s="280">
        <f>F62*3*0.05</f>
        <v>8.85</v>
      </c>
      <c r="V62" s="280"/>
      <c r="W62" s="280"/>
      <c r="X62" s="288" t="s">
        <v>2108</v>
      </c>
      <c r="Y62" s="274" t="s">
        <v>2132</v>
      </c>
      <c r="Z62" s="288" t="s">
        <v>294</v>
      </c>
      <c r="AA62" s="274" t="s">
        <v>2148</v>
      </c>
      <c r="AB62" s="288" t="s">
        <v>2142</v>
      </c>
      <c r="AC62" s="274" t="s">
        <v>1073</v>
      </c>
    </row>
    <row r="63" ht="30" customHeight="1" spans="1:29">
      <c r="A63" s="273"/>
      <c r="B63" s="274" t="s">
        <v>2123</v>
      </c>
      <c r="C63" s="275" t="s">
        <v>1124</v>
      </c>
      <c r="D63" s="274" t="s">
        <v>147</v>
      </c>
      <c r="E63" s="274"/>
      <c r="F63" s="276">
        <v>18</v>
      </c>
      <c r="G63" s="276">
        <v>18</v>
      </c>
      <c r="H63" s="276">
        <v>18</v>
      </c>
      <c r="I63" s="276">
        <v>18</v>
      </c>
      <c r="J63" s="274" t="s">
        <v>2149</v>
      </c>
      <c r="K63" s="276">
        <v>18</v>
      </c>
      <c r="L63" s="276">
        <v>18</v>
      </c>
      <c r="M63" s="274">
        <v>2018</v>
      </c>
      <c r="N63" s="274">
        <v>2020</v>
      </c>
      <c r="O63" s="280">
        <f t="shared" si="22"/>
        <v>29.7</v>
      </c>
      <c r="P63" s="280">
        <f t="shared" ref="P63:R63" si="39">SUM(G63*0.55)</f>
        <v>9.9</v>
      </c>
      <c r="Q63" s="280">
        <f t="shared" si="39"/>
        <v>9.9</v>
      </c>
      <c r="R63" s="280">
        <f t="shared" si="39"/>
        <v>9.9</v>
      </c>
      <c r="S63" s="280"/>
      <c r="T63" s="280"/>
      <c r="U63" s="280"/>
      <c r="V63" s="280"/>
      <c r="W63" s="280"/>
      <c r="X63" s="289"/>
      <c r="Y63" s="289"/>
      <c r="Z63" s="288"/>
      <c r="AA63" s="274"/>
      <c r="AB63" s="288"/>
      <c r="AC63" s="274"/>
    </row>
    <row r="64" ht="30" customHeight="1" spans="1:29">
      <c r="A64" s="273"/>
      <c r="B64" s="274" t="s">
        <v>2112</v>
      </c>
      <c r="C64" s="275" t="s">
        <v>1124</v>
      </c>
      <c r="D64" s="274" t="s">
        <v>147</v>
      </c>
      <c r="E64" s="274"/>
      <c r="F64" s="276">
        <v>7</v>
      </c>
      <c r="G64" s="276">
        <v>7</v>
      </c>
      <c r="H64" s="276">
        <v>7</v>
      </c>
      <c r="I64" s="276">
        <v>7</v>
      </c>
      <c r="J64" s="274" t="s">
        <v>2138</v>
      </c>
      <c r="K64" s="276">
        <v>7</v>
      </c>
      <c r="L64" s="276">
        <v>7</v>
      </c>
      <c r="M64" s="274">
        <v>2018</v>
      </c>
      <c r="N64" s="274">
        <v>2020</v>
      </c>
      <c r="O64" s="280">
        <f t="shared" si="22"/>
        <v>11.55</v>
      </c>
      <c r="P64" s="280">
        <f t="shared" ref="P64:R64" si="40">SUM(G64*0.55)</f>
        <v>3.85</v>
      </c>
      <c r="Q64" s="280">
        <f t="shared" si="40"/>
        <v>3.85</v>
      </c>
      <c r="R64" s="280">
        <f t="shared" si="40"/>
        <v>3.85</v>
      </c>
      <c r="S64" s="280"/>
      <c r="T64" s="280"/>
      <c r="U64" s="280"/>
      <c r="V64" s="280"/>
      <c r="W64" s="280"/>
      <c r="X64" s="290"/>
      <c r="Y64" s="290"/>
      <c r="Z64" s="288"/>
      <c r="AA64" s="274"/>
      <c r="AB64" s="288"/>
      <c r="AC64" s="274"/>
    </row>
    <row r="65" ht="30" customHeight="1" spans="1:29">
      <c r="A65" s="273"/>
      <c r="B65" s="274" t="s">
        <v>2114</v>
      </c>
      <c r="C65" s="275" t="s">
        <v>1124</v>
      </c>
      <c r="D65" s="274" t="s">
        <v>147</v>
      </c>
      <c r="E65" s="274"/>
      <c r="F65" s="276">
        <v>8</v>
      </c>
      <c r="G65" s="276">
        <v>8</v>
      </c>
      <c r="H65" s="276">
        <v>8</v>
      </c>
      <c r="I65" s="276">
        <v>8</v>
      </c>
      <c r="J65" s="274" t="s">
        <v>2146</v>
      </c>
      <c r="K65" s="276">
        <v>8</v>
      </c>
      <c r="L65" s="276">
        <v>8</v>
      </c>
      <c r="M65" s="274">
        <v>2018</v>
      </c>
      <c r="N65" s="274">
        <v>2020</v>
      </c>
      <c r="O65" s="280">
        <f t="shared" si="22"/>
        <v>13.2</v>
      </c>
      <c r="P65" s="280">
        <f t="shared" ref="P65:R65" si="41">SUM(G65*0.55)</f>
        <v>4.4</v>
      </c>
      <c r="Q65" s="280">
        <f t="shared" si="41"/>
        <v>4.4</v>
      </c>
      <c r="R65" s="280">
        <f t="shared" si="41"/>
        <v>4.4</v>
      </c>
      <c r="S65" s="280"/>
      <c r="T65" s="280"/>
      <c r="U65" s="280"/>
      <c r="V65" s="280"/>
      <c r="W65" s="280"/>
      <c r="X65" s="289"/>
      <c r="Y65" s="289"/>
      <c r="Z65" s="288"/>
      <c r="AA65" s="274"/>
      <c r="AB65" s="288"/>
      <c r="AC65" s="274"/>
    </row>
    <row r="66" ht="30" customHeight="1" spans="1:29">
      <c r="A66" s="273"/>
      <c r="B66" s="274" t="s">
        <v>2116</v>
      </c>
      <c r="C66" s="275" t="s">
        <v>1124</v>
      </c>
      <c r="D66" s="274" t="s">
        <v>147</v>
      </c>
      <c r="E66" s="274"/>
      <c r="F66" s="276">
        <v>3</v>
      </c>
      <c r="G66" s="276">
        <v>3</v>
      </c>
      <c r="H66" s="276">
        <v>3</v>
      </c>
      <c r="I66" s="276">
        <v>3</v>
      </c>
      <c r="J66" s="274" t="s">
        <v>2145</v>
      </c>
      <c r="K66" s="276">
        <v>3</v>
      </c>
      <c r="L66" s="276">
        <v>3</v>
      </c>
      <c r="M66" s="274">
        <v>2018</v>
      </c>
      <c r="N66" s="274">
        <v>2020</v>
      </c>
      <c r="O66" s="280">
        <f t="shared" si="22"/>
        <v>4.95</v>
      </c>
      <c r="P66" s="280">
        <f t="shared" ref="P66:R66" si="42">SUM(G66*0.55)</f>
        <v>1.65</v>
      </c>
      <c r="Q66" s="280">
        <f t="shared" si="42"/>
        <v>1.65</v>
      </c>
      <c r="R66" s="280">
        <f t="shared" si="42"/>
        <v>1.65</v>
      </c>
      <c r="S66" s="280"/>
      <c r="T66" s="280"/>
      <c r="U66" s="280"/>
      <c r="V66" s="280"/>
      <c r="W66" s="280"/>
      <c r="X66" s="289"/>
      <c r="Y66" s="289"/>
      <c r="Z66" s="288"/>
      <c r="AA66" s="274"/>
      <c r="AB66" s="288"/>
      <c r="AC66" s="274"/>
    </row>
    <row r="67" ht="30" customHeight="1" spans="1:29">
      <c r="A67" s="273"/>
      <c r="B67" s="274" t="s">
        <v>2118</v>
      </c>
      <c r="C67" s="275" t="s">
        <v>1124</v>
      </c>
      <c r="D67" s="274" t="s">
        <v>147</v>
      </c>
      <c r="E67" s="274"/>
      <c r="F67" s="276">
        <v>9</v>
      </c>
      <c r="G67" s="276">
        <v>9</v>
      </c>
      <c r="H67" s="276">
        <v>9</v>
      </c>
      <c r="I67" s="276">
        <v>9</v>
      </c>
      <c r="J67" s="274" t="s">
        <v>2139</v>
      </c>
      <c r="K67" s="276">
        <v>9</v>
      </c>
      <c r="L67" s="276">
        <v>9</v>
      </c>
      <c r="M67" s="274">
        <v>2018</v>
      </c>
      <c r="N67" s="274">
        <v>2020</v>
      </c>
      <c r="O67" s="280">
        <f t="shared" si="22"/>
        <v>14.85</v>
      </c>
      <c r="P67" s="280">
        <f t="shared" ref="P67:R67" si="43">SUM(G67*0.55)</f>
        <v>4.95</v>
      </c>
      <c r="Q67" s="280">
        <f t="shared" si="43"/>
        <v>4.95</v>
      </c>
      <c r="R67" s="280">
        <f t="shared" si="43"/>
        <v>4.95</v>
      </c>
      <c r="S67" s="280"/>
      <c r="T67" s="280"/>
      <c r="U67" s="280"/>
      <c r="V67" s="280"/>
      <c r="W67" s="280"/>
      <c r="X67" s="288"/>
      <c r="Y67" s="288"/>
      <c r="Z67" s="288"/>
      <c r="AA67" s="274"/>
      <c r="AB67" s="288"/>
      <c r="AC67" s="274"/>
    </row>
    <row r="68" ht="30" customHeight="1" spans="1:29">
      <c r="A68" s="273"/>
      <c r="B68" s="274" t="s">
        <v>2124</v>
      </c>
      <c r="C68" s="275" t="s">
        <v>1124</v>
      </c>
      <c r="D68" s="274" t="s">
        <v>147</v>
      </c>
      <c r="E68" s="274"/>
      <c r="F68" s="276">
        <v>4</v>
      </c>
      <c r="G68" s="276">
        <v>4</v>
      </c>
      <c r="H68" s="276">
        <v>4</v>
      </c>
      <c r="I68" s="276">
        <v>4</v>
      </c>
      <c r="J68" s="274" t="s">
        <v>2135</v>
      </c>
      <c r="K68" s="276">
        <v>4</v>
      </c>
      <c r="L68" s="276">
        <v>4</v>
      </c>
      <c r="M68" s="274">
        <v>2018</v>
      </c>
      <c r="N68" s="274">
        <v>2020</v>
      </c>
      <c r="O68" s="280">
        <f t="shared" si="22"/>
        <v>6.6</v>
      </c>
      <c r="P68" s="280">
        <f t="shared" ref="P68:R68" si="44">SUM(G68*0.55)</f>
        <v>2.2</v>
      </c>
      <c r="Q68" s="280">
        <f t="shared" si="44"/>
        <v>2.2</v>
      </c>
      <c r="R68" s="280">
        <f t="shared" si="44"/>
        <v>2.2</v>
      </c>
      <c r="S68" s="280"/>
      <c r="T68" s="280"/>
      <c r="U68" s="280"/>
      <c r="V68" s="280"/>
      <c r="W68" s="280"/>
      <c r="X68" s="288"/>
      <c r="Y68" s="288"/>
      <c r="Z68" s="288"/>
      <c r="AA68" s="274"/>
      <c r="AB68" s="288"/>
      <c r="AC68" s="274"/>
    </row>
    <row r="69" ht="30" customHeight="1" spans="1:29">
      <c r="A69" s="273"/>
      <c r="B69" s="274" t="s">
        <v>2125</v>
      </c>
      <c r="C69" s="275" t="s">
        <v>1124</v>
      </c>
      <c r="D69" s="274" t="s">
        <v>147</v>
      </c>
      <c r="E69" s="274"/>
      <c r="F69" s="276">
        <v>10</v>
      </c>
      <c r="G69" s="276">
        <v>10</v>
      </c>
      <c r="H69" s="276">
        <v>10</v>
      </c>
      <c r="I69" s="276">
        <v>10</v>
      </c>
      <c r="J69" s="274" t="s">
        <v>2150</v>
      </c>
      <c r="K69" s="276">
        <v>10</v>
      </c>
      <c r="L69" s="276">
        <v>10</v>
      </c>
      <c r="M69" s="274">
        <v>2018</v>
      </c>
      <c r="N69" s="274">
        <v>2020</v>
      </c>
      <c r="O69" s="280">
        <f t="shared" si="22"/>
        <v>16.5</v>
      </c>
      <c r="P69" s="280">
        <f t="shared" ref="P69:R69" si="45">SUM(G69*0.55)</f>
        <v>5.5</v>
      </c>
      <c r="Q69" s="280">
        <f t="shared" si="45"/>
        <v>5.5</v>
      </c>
      <c r="R69" s="280">
        <f t="shared" si="45"/>
        <v>5.5</v>
      </c>
      <c r="S69" s="280"/>
      <c r="T69" s="280"/>
      <c r="U69" s="280"/>
      <c r="V69" s="280"/>
      <c r="W69" s="280"/>
      <c r="X69" s="274"/>
      <c r="Y69" s="274"/>
      <c r="Z69" s="288"/>
      <c r="AA69" s="274"/>
      <c r="AB69" s="288"/>
      <c r="AC69" s="274"/>
    </row>
    <row r="70" ht="30" customHeight="1" spans="1:29">
      <c r="A70" s="273">
        <v>15</v>
      </c>
      <c r="B70" s="277" t="s">
        <v>323</v>
      </c>
      <c r="C70" s="275" t="s">
        <v>1124</v>
      </c>
      <c r="D70" s="274" t="s">
        <v>147</v>
      </c>
      <c r="E70" s="274"/>
      <c r="F70" s="276">
        <v>81</v>
      </c>
      <c r="G70" s="276">
        <f t="shared" ref="G70:I70" si="46">SUM(G71,G79,G83)</f>
        <v>81</v>
      </c>
      <c r="H70" s="276">
        <f t="shared" si="46"/>
        <v>81</v>
      </c>
      <c r="I70" s="276">
        <f t="shared" si="46"/>
        <v>81</v>
      </c>
      <c r="J70" s="274" t="s">
        <v>2151</v>
      </c>
      <c r="K70" s="276">
        <f t="shared" ref="K70:W70" si="47">SUM(K71,K79,K83)</f>
        <v>81</v>
      </c>
      <c r="L70" s="276">
        <f t="shared" si="47"/>
        <v>81</v>
      </c>
      <c r="M70" s="274">
        <v>2018</v>
      </c>
      <c r="N70" s="274">
        <v>2020</v>
      </c>
      <c r="O70" s="280">
        <f t="shared" si="22"/>
        <v>103.5</v>
      </c>
      <c r="P70" s="280">
        <f t="shared" si="47"/>
        <v>34.5</v>
      </c>
      <c r="Q70" s="280">
        <f t="shared" si="47"/>
        <v>34.5</v>
      </c>
      <c r="R70" s="280">
        <f t="shared" si="47"/>
        <v>34.5</v>
      </c>
      <c r="S70" s="280">
        <f t="shared" si="47"/>
        <v>35.55</v>
      </c>
      <c r="T70" s="280">
        <f t="shared" si="47"/>
        <v>31.5</v>
      </c>
      <c r="U70" s="280">
        <f t="shared" si="47"/>
        <v>36.45</v>
      </c>
      <c r="V70" s="280">
        <f t="shared" si="47"/>
        <v>0</v>
      </c>
      <c r="W70" s="280">
        <f t="shared" si="47"/>
        <v>0</v>
      </c>
      <c r="X70" s="288" t="s">
        <v>2108</v>
      </c>
      <c r="Y70" s="274" t="s">
        <v>2132</v>
      </c>
      <c r="Z70" s="288" t="s">
        <v>294</v>
      </c>
      <c r="AA70" s="274" t="s">
        <v>320</v>
      </c>
      <c r="AB70" s="274" t="s">
        <v>2142</v>
      </c>
      <c r="AC70" s="274" t="s">
        <v>1073</v>
      </c>
    </row>
    <row r="71" ht="84" spans="1:29">
      <c r="A71" s="273">
        <v>16</v>
      </c>
      <c r="B71" s="278" t="s">
        <v>2152</v>
      </c>
      <c r="C71" s="275" t="s">
        <v>1124</v>
      </c>
      <c r="D71" s="274" t="s">
        <v>147</v>
      </c>
      <c r="E71" s="274"/>
      <c r="F71" s="276">
        <f t="shared" ref="F71:I71" si="48">SUM(F72:F78)</f>
        <v>29</v>
      </c>
      <c r="G71" s="276">
        <f t="shared" si="48"/>
        <v>29</v>
      </c>
      <c r="H71" s="276">
        <f t="shared" si="48"/>
        <v>29</v>
      </c>
      <c r="I71" s="276">
        <f t="shared" si="48"/>
        <v>29</v>
      </c>
      <c r="J71" s="274" t="s">
        <v>2153</v>
      </c>
      <c r="K71" s="274">
        <f t="shared" ref="K71:R71" si="49">SUM(K72:K78)</f>
        <v>29</v>
      </c>
      <c r="L71" s="274">
        <f t="shared" si="49"/>
        <v>29</v>
      </c>
      <c r="M71" s="274">
        <v>2018</v>
      </c>
      <c r="N71" s="274">
        <v>2020</v>
      </c>
      <c r="O71" s="280">
        <f t="shared" si="22"/>
        <v>52.2</v>
      </c>
      <c r="P71" s="280">
        <f t="shared" si="49"/>
        <v>17.4</v>
      </c>
      <c r="Q71" s="280">
        <f t="shared" si="49"/>
        <v>17.4</v>
      </c>
      <c r="R71" s="280">
        <f t="shared" si="49"/>
        <v>17.4</v>
      </c>
      <c r="S71" s="280">
        <f>F71*3*0.15</f>
        <v>13.05</v>
      </c>
      <c r="T71" s="280">
        <f>F71*3*0.3</f>
        <v>26.1</v>
      </c>
      <c r="U71" s="280">
        <f>F71*3*0.15</f>
        <v>13.05</v>
      </c>
      <c r="V71" s="280"/>
      <c r="W71" s="280"/>
      <c r="X71" s="288" t="s">
        <v>2108</v>
      </c>
      <c r="Y71" s="274" t="s">
        <v>2132</v>
      </c>
      <c r="Z71" s="288" t="s">
        <v>294</v>
      </c>
      <c r="AA71" s="274" t="s">
        <v>2154</v>
      </c>
      <c r="AB71" s="274" t="s">
        <v>2142</v>
      </c>
      <c r="AC71" s="274" t="s">
        <v>1073</v>
      </c>
    </row>
    <row r="72" ht="30" customHeight="1" spans="1:29">
      <c r="A72" s="273"/>
      <c r="B72" s="274" t="s">
        <v>2123</v>
      </c>
      <c r="C72" s="275" t="s">
        <v>1124</v>
      </c>
      <c r="D72" s="274" t="s">
        <v>147</v>
      </c>
      <c r="E72" s="274"/>
      <c r="F72" s="276">
        <v>9</v>
      </c>
      <c r="G72" s="276">
        <v>9</v>
      </c>
      <c r="H72" s="276">
        <v>9</v>
      </c>
      <c r="I72" s="276">
        <v>9</v>
      </c>
      <c r="J72" s="274" t="s">
        <v>2139</v>
      </c>
      <c r="K72" s="276">
        <v>9</v>
      </c>
      <c r="L72" s="276">
        <v>9</v>
      </c>
      <c r="M72" s="274">
        <v>2018</v>
      </c>
      <c r="N72" s="274">
        <v>2020</v>
      </c>
      <c r="O72" s="280">
        <f t="shared" si="22"/>
        <v>16.2</v>
      </c>
      <c r="P72" s="280">
        <f t="shared" ref="P72:R72" si="50">SUM(G72*0.6)</f>
        <v>5.4</v>
      </c>
      <c r="Q72" s="280">
        <f t="shared" si="50"/>
        <v>5.4</v>
      </c>
      <c r="R72" s="280">
        <f t="shared" si="50"/>
        <v>5.4</v>
      </c>
      <c r="S72" s="280"/>
      <c r="T72" s="280"/>
      <c r="U72" s="280"/>
      <c r="V72" s="280"/>
      <c r="W72" s="280"/>
      <c r="X72" s="288"/>
      <c r="Y72" s="288"/>
      <c r="Z72" s="288"/>
      <c r="AA72" s="274"/>
      <c r="AB72" s="288"/>
      <c r="AC72" s="274"/>
    </row>
    <row r="73" ht="30" customHeight="1" spans="1:29">
      <c r="A73" s="273"/>
      <c r="B73" s="274" t="s">
        <v>2112</v>
      </c>
      <c r="C73" s="275" t="s">
        <v>1124</v>
      </c>
      <c r="D73" s="274" t="s">
        <v>147</v>
      </c>
      <c r="E73" s="274"/>
      <c r="F73" s="276">
        <v>5</v>
      </c>
      <c r="G73" s="276">
        <v>5</v>
      </c>
      <c r="H73" s="276">
        <v>5</v>
      </c>
      <c r="I73" s="276">
        <v>5</v>
      </c>
      <c r="J73" s="274" t="s">
        <v>2155</v>
      </c>
      <c r="K73" s="276">
        <v>5</v>
      </c>
      <c r="L73" s="276">
        <v>5</v>
      </c>
      <c r="M73" s="274">
        <v>2018</v>
      </c>
      <c r="N73" s="274">
        <v>2020</v>
      </c>
      <c r="O73" s="280">
        <f t="shared" si="22"/>
        <v>9</v>
      </c>
      <c r="P73" s="280">
        <f t="shared" ref="P73:R73" si="51">SUM(G73*0.6)</f>
        <v>3</v>
      </c>
      <c r="Q73" s="280">
        <f t="shared" si="51"/>
        <v>3</v>
      </c>
      <c r="R73" s="280">
        <f t="shared" si="51"/>
        <v>3</v>
      </c>
      <c r="S73" s="280"/>
      <c r="T73" s="280"/>
      <c r="U73" s="280"/>
      <c r="V73" s="280"/>
      <c r="W73" s="280"/>
      <c r="X73" s="288"/>
      <c r="Y73" s="288"/>
      <c r="Z73" s="288"/>
      <c r="AA73" s="274"/>
      <c r="AB73" s="288"/>
      <c r="AC73" s="274"/>
    </row>
    <row r="74" ht="30" customHeight="1" spans="1:29">
      <c r="A74" s="273"/>
      <c r="B74" s="274" t="s">
        <v>2114</v>
      </c>
      <c r="C74" s="275" t="s">
        <v>1124</v>
      </c>
      <c r="D74" s="274" t="s">
        <v>147</v>
      </c>
      <c r="E74" s="274"/>
      <c r="F74" s="276">
        <v>3</v>
      </c>
      <c r="G74" s="276">
        <v>3</v>
      </c>
      <c r="H74" s="276">
        <v>3</v>
      </c>
      <c r="I74" s="276">
        <v>3</v>
      </c>
      <c r="J74" s="274" t="s">
        <v>2145</v>
      </c>
      <c r="K74" s="276">
        <v>3</v>
      </c>
      <c r="L74" s="276">
        <v>3</v>
      </c>
      <c r="M74" s="274">
        <v>2018</v>
      </c>
      <c r="N74" s="274">
        <v>2020</v>
      </c>
      <c r="O74" s="280">
        <f t="shared" si="22"/>
        <v>5.4</v>
      </c>
      <c r="P74" s="280">
        <f t="shared" ref="P74:R74" si="52">SUM(G74*0.6)</f>
        <v>1.8</v>
      </c>
      <c r="Q74" s="280">
        <f t="shared" si="52"/>
        <v>1.8</v>
      </c>
      <c r="R74" s="280">
        <f t="shared" si="52"/>
        <v>1.8</v>
      </c>
      <c r="S74" s="280"/>
      <c r="T74" s="280"/>
      <c r="U74" s="280"/>
      <c r="V74" s="280"/>
      <c r="W74" s="280"/>
      <c r="X74" s="288"/>
      <c r="Y74" s="288"/>
      <c r="Z74" s="288"/>
      <c r="AA74" s="274"/>
      <c r="AB74" s="288"/>
      <c r="AC74" s="274"/>
    </row>
    <row r="75" ht="30" customHeight="1" spans="1:29">
      <c r="A75" s="273"/>
      <c r="B75" s="274" t="s">
        <v>2116</v>
      </c>
      <c r="C75" s="275" t="s">
        <v>1124</v>
      </c>
      <c r="D75" s="274" t="s">
        <v>147</v>
      </c>
      <c r="E75" s="274"/>
      <c r="F75" s="276">
        <v>3</v>
      </c>
      <c r="G75" s="276">
        <v>3</v>
      </c>
      <c r="H75" s="276">
        <v>3</v>
      </c>
      <c r="I75" s="276">
        <v>3</v>
      </c>
      <c r="J75" s="274" t="s">
        <v>2145</v>
      </c>
      <c r="K75" s="276">
        <v>3</v>
      </c>
      <c r="L75" s="276">
        <v>3</v>
      </c>
      <c r="M75" s="274">
        <v>2018</v>
      </c>
      <c r="N75" s="274">
        <v>2020</v>
      </c>
      <c r="O75" s="280">
        <f t="shared" si="22"/>
        <v>5.4</v>
      </c>
      <c r="P75" s="280">
        <f t="shared" ref="P75:R75" si="53">SUM(G75*0.6)</f>
        <v>1.8</v>
      </c>
      <c r="Q75" s="280">
        <f t="shared" si="53"/>
        <v>1.8</v>
      </c>
      <c r="R75" s="280">
        <f t="shared" si="53"/>
        <v>1.8</v>
      </c>
      <c r="S75" s="280"/>
      <c r="T75" s="280"/>
      <c r="U75" s="280"/>
      <c r="V75" s="280"/>
      <c r="W75" s="280"/>
      <c r="X75" s="288"/>
      <c r="Y75" s="288"/>
      <c r="Z75" s="288"/>
      <c r="AA75" s="274"/>
      <c r="AB75" s="288"/>
      <c r="AC75" s="274"/>
    </row>
    <row r="76" ht="30" customHeight="1" spans="1:29">
      <c r="A76" s="273"/>
      <c r="B76" s="274" t="s">
        <v>2118</v>
      </c>
      <c r="C76" s="275" t="s">
        <v>1124</v>
      </c>
      <c r="D76" s="274" t="s">
        <v>147</v>
      </c>
      <c r="E76" s="274"/>
      <c r="F76" s="276">
        <v>3</v>
      </c>
      <c r="G76" s="276">
        <v>3</v>
      </c>
      <c r="H76" s="276">
        <v>3</v>
      </c>
      <c r="I76" s="276">
        <v>3</v>
      </c>
      <c r="J76" s="274" t="s">
        <v>2145</v>
      </c>
      <c r="K76" s="276">
        <v>3</v>
      </c>
      <c r="L76" s="276">
        <v>3</v>
      </c>
      <c r="M76" s="274">
        <v>2018</v>
      </c>
      <c r="N76" s="274">
        <v>2020</v>
      </c>
      <c r="O76" s="280">
        <f t="shared" si="22"/>
        <v>5.4</v>
      </c>
      <c r="P76" s="280">
        <f t="shared" ref="P76:R76" si="54">SUM(G76*0.6)</f>
        <v>1.8</v>
      </c>
      <c r="Q76" s="280">
        <f t="shared" si="54"/>
        <v>1.8</v>
      </c>
      <c r="R76" s="280">
        <f t="shared" si="54"/>
        <v>1.8</v>
      </c>
      <c r="S76" s="280"/>
      <c r="T76" s="280"/>
      <c r="U76" s="280"/>
      <c r="V76" s="280"/>
      <c r="W76" s="280"/>
      <c r="X76" s="288"/>
      <c r="Y76" s="288"/>
      <c r="Z76" s="288"/>
      <c r="AA76" s="274"/>
      <c r="AB76" s="288"/>
      <c r="AC76" s="274"/>
    </row>
    <row r="77" ht="30" customHeight="1" spans="1:29">
      <c r="A77" s="273"/>
      <c r="B77" s="274" t="s">
        <v>2124</v>
      </c>
      <c r="C77" s="275" t="s">
        <v>1124</v>
      </c>
      <c r="D77" s="274" t="s">
        <v>147</v>
      </c>
      <c r="E77" s="274"/>
      <c r="F77" s="276">
        <v>3</v>
      </c>
      <c r="G77" s="276">
        <v>3</v>
      </c>
      <c r="H77" s="276">
        <v>3</v>
      </c>
      <c r="I77" s="276">
        <v>3</v>
      </c>
      <c r="J77" s="274" t="s">
        <v>2145</v>
      </c>
      <c r="K77" s="276">
        <v>3</v>
      </c>
      <c r="L77" s="276">
        <v>3</v>
      </c>
      <c r="M77" s="274">
        <v>2018</v>
      </c>
      <c r="N77" s="274">
        <v>2020</v>
      </c>
      <c r="O77" s="280">
        <f t="shared" si="22"/>
        <v>5.4</v>
      </c>
      <c r="P77" s="280">
        <f t="shared" ref="P77:R77" si="55">SUM(G77*0.6)</f>
        <v>1.8</v>
      </c>
      <c r="Q77" s="280">
        <f t="shared" si="55"/>
        <v>1.8</v>
      </c>
      <c r="R77" s="280">
        <f t="shared" si="55"/>
        <v>1.8</v>
      </c>
      <c r="S77" s="280"/>
      <c r="T77" s="280"/>
      <c r="U77" s="280"/>
      <c r="V77" s="280"/>
      <c r="W77" s="280"/>
      <c r="X77" s="288"/>
      <c r="Y77" s="288"/>
      <c r="Z77" s="288"/>
      <c r="AA77" s="274"/>
      <c r="AB77" s="288"/>
      <c r="AC77" s="274"/>
    </row>
    <row r="78" ht="30" customHeight="1" spans="1:29">
      <c r="A78" s="273"/>
      <c r="B78" s="274" t="s">
        <v>2125</v>
      </c>
      <c r="C78" s="275" t="s">
        <v>1124</v>
      </c>
      <c r="D78" s="274" t="s">
        <v>147</v>
      </c>
      <c r="E78" s="274"/>
      <c r="F78" s="276">
        <v>3</v>
      </c>
      <c r="G78" s="276">
        <v>3</v>
      </c>
      <c r="H78" s="276">
        <v>3</v>
      </c>
      <c r="I78" s="276">
        <v>3</v>
      </c>
      <c r="J78" s="274" t="s">
        <v>2145</v>
      </c>
      <c r="K78" s="276">
        <v>3</v>
      </c>
      <c r="L78" s="276">
        <v>3</v>
      </c>
      <c r="M78" s="274">
        <v>2018</v>
      </c>
      <c r="N78" s="274">
        <v>2020</v>
      </c>
      <c r="O78" s="280">
        <f t="shared" si="22"/>
        <v>5.4</v>
      </c>
      <c r="P78" s="280">
        <f t="shared" ref="P78:R78" si="56">SUM(G78*0.6)</f>
        <v>1.8</v>
      </c>
      <c r="Q78" s="280">
        <f t="shared" si="56"/>
        <v>1.8</v>
      </c>
      <c r="R78" s="280">
        <f t="shared" si="56"/>
        <v>1.8</v>
      </c>
      <c r="S78" s="280"/>
      <c r="T78" s="280"/>
      <c r="U78" s="280"/>
      <c r="V78" s="280"/>
      <c r="W78" s="280"/>
      <c r="X78" s="288"/>
      <c r="Y78" s="288"/>
      <c r="Z78" s="288"/>
      <c r="AA78" s="274"/>
      <c r="AB78" s="288"/>
      <c r="AC78" s="274"/>
    </row>
    <row r="79" ht="84" spans="1:29">
      <c r="A79" s="273">
        <v>17</v>
      </c>
      <c r="B79" s="278" t="s">
        <v>2156</v>
      </c>
      <c r="C79" s="275" t="s">
        <v>1124</v>
      </c>
      <c r="D79" s="274" t="s">
        <v>147</v>
      </c>
      <c r="E79" s="274"/>
      <c r="F79" s="276">
        <f t="shared" ref="F79:I79" si="57">SUM(F80:F82)</f>
        <v>6</v>
      </c>
      <c r="G79" s="276">
        <f t="shared" si="57"/>
        <v>6</v>
      </c>
      <c r="H79" s="276">
        <f t="shared" si="57"/>
        <v>6</v>
      </c>
      <c r="I79" s="276">
        <f t="shared" si="57"/>
        <v>6</v>
      </c>
      <c r="J79" s="274" t="s">
        <v>2157</v>
      </c>
      <c r="K79" s="274">
        <f t="shared" ref="K79:R79" si="58">SUM(K80:K82)</f>
        <v>6</v>
      </c>
      <c r="L79" s="274">
        <f t="shared" si="58"/>
        <v>6</v>
      </c>
      <c r="M79" s="274">
        <v>2018</v>
      </c>
      <c r="N79" s="274">
        <v>2020</v>
      </c>
      <c r="O79" s="280">
        <f t="shared" si="22"/>
        <v>9.9</v>
      </c>
      <c r="P79" s="280">
        <f t="shared" si="58"/>
        <v>3.3</v>
      </c>
      <c r="Q79" s="280">
        <f t="shared" si="58"/>
        <v>3.3</v>
      </c>
      <c r="R79" s="280">
        <f t="shared" si="58"/>
        <v>3.3</v>
      </c>
      <c r="S79" s="280">
        <f>F79*3*0.1</f>
        <v>1.8</v>
      </c>
      <c r="T79" s="280">
        <f>F79*3*0.3</f>
        <v>5.4</v>
      </c>
      <c r="U79" s="280">
        <f>F79*3*0.15</f>
        <v>2.7</v>
      </c>
      <c r="V79" s="280"/>
      <c r="W79" s="280"/>
      <c r="X79" s="288" t="s">
        <v>2108</v>
      </c>
      <c r="Y79" s="274" t="s">
        <v>2132</v>
      </c>
      <c r="Z79" s="288" t="s">
        <v>294</v>
      </c>
      <c r="AA79" s="274" t="s">
        <v>2158</v>
      </c>
      <c r="AB79" s="274" t="s">
        <v>2142</v>
      </c>
      <c r="AC79" s="274" t="s">
        <v>1073</v>
      </c>
    </row>
    <row r="80" ht="30" customHeight="1" spans="1:29">
      <c r="A80" s="273"/>
      <c r="B80" s="274" t="s">
        <v>2123</v>
      </c>
      <c r="C80" s="275" t="s">
        <v>1124</v>
      </c>
      <c r="D80" s="274" t="s">
        <v>147</v>
      </c>
      <c r="E80" s="274"/>
      <c r="F80" s="276">
        <v>4</v>
      </c>
      <c r="G80" s="276">
        <v>4</v>
      </c>
      <c r="H80" s="276">
        <v>4</v>
      </c>
      <c r="I80" s="276">
        <v>4</v>
      </c>
      <c r="J80" s="274" t="s">
        <v>2135</v>
      </c>
      <c r="K80" s="276">
        <v>4</v>
      </c>
      <c r="L80" s="276">
        <v>4</v>
      </c>
      <c r="M80" s="274">
        <v>2018</v>
      </c>
      <c r="N80" s="274">
        <v>2020</v>
      </c>
      <c r="O80" s="280">
        <f t="shared" si="22"/>
        <v>6.6</v>
      </c>
      <c r="P80" s="280">
        <f t="shared" ref="P80:R80" si="59">SUM(G80*0.55)</f>
        <v>2.2</v>
      </c>
      <c r="Q80" s="280">
        <f t="shared" si="59"/>
        <v>2.2</v>
      </c>
      <c r="R80" s="280">
        <f t="shared" si="59"/>
        <v>2.2</v>
      </c>
      <c r="S80" s="280"/>
      <c r="T80" s="280"/>
      <c r="U80" s="280"/>
      <c r="V80" s="280"/>
      <c r="W80" s="280"/>
      <c r="X80" s="288"/>
      <c r="Y80" s="288"/>
      <c r="Z80" s="288"/>
      <c r="AA80" s="274"/>
      <c r="AB80" s="288"/>
      <c r="AC80" s="274"/>
    </row>
    <row r="81" ht="30" customHeight="1" spans="1:29">
      <c r="A81" s="273"/>
      <c r="B81" s="274" t="s">
        <v>2116</v>
      </c>
      <c r="C81" s="275" t="s">
        <v>1124</v>
      </c>
      <c r="D81" s="274" t="s">
        <v>147</v>
      </c>
      <c r="E81" s="274"/>
      <c r="F81" s="276">
        <v>1</v>
      </c>
      <c r="G81" s="276">
        <v>1</v>
      </c>
      <c r="H81" s="276">
        <v>1</v>
      </c>
      <c r="I81" s="276">
        <v>1</v>
      </c>
      <c r="J81" s="274" t="s">
        <v>2136</v>
      </c>
      <c r="K81" s="276">
        <v>1</v>
      </c>
      <c r="L81" s="276">
        <v>1</v>
      </c>
      <c r="M81" s="274">
        <v>2018</v>
      </c>
      <c r="N81" s="274">
        <v>2020</v>
      </c>
      <c r="O81" s="280">
        <f t="shared" si="22"/>
        <v>1.65</v>
      </c>
      <c r="P81" s="280">
        <f t="shared" ref="P81:R81" si="60">SUM(G81*0.55)</f>
        <v>0.55</v>
      </c>
      <c r="Q81" s="280">
        <f t="shared" si="60"/>
        <v>0.55</v>
      </c>
      <c r="R81" s="280">
        <f t="shared" si="60"/>
        <v>0.55</v>
      </c>
      <c r="S81" s="280"/>
      <c r="T81" s="280"/>
      <c r="U81" s="280"/>
      <c r="V81" s="280"/>
      <c r="W81" s="280"/>
      <c r="X81" s="288"/>
      <c r="Y81" s="288"/>
      <c r="Z81" s="288"/>
      <c r="AA81" s="274"/>
      <c r="AB81" s="288"/>
      <c r="AC81" s="274"/>
    </row>
    <row r="82" ht="30" customHeight="1" spans="1:29">
      <c r="A82" s="273"/>
      <c r="B82" s="274" t="s">
        <v>2124</v>
      </c>
      <c r="C82" s="275" t="s">
        <v>1124</v>
      </c>
      <c r="D82" s="274" t="s">
        <v>147</v>
      </c>
      <c r="E82" s="274"/>
      <c r="F82" s="276">
        <v>1</v>
      </c>
      <c r="G82" s="276">
        <v>1</v>
      </c>
      <c r="H82" s="276">
        <v>1</v>
      </c>
      <c r="I82" s="276">
        <v>1</v>
      </c>
      <c r="J82" s="274" t="s">
        <v>2136</v>
      </c>
      <c r="K82" s="276">
        <v>1</v>
      </c>
      <c r="L82" s="276">
        <v>1</v>
      </c>
      <c r="M82" s="274">
        <v>2018</v>
      </c>
      <c r="N82" s="274">
        <v>2020</v>
      </c>
      <c r="O82" s="280">
        <f t="shared" si="22"/>
        <v>1.65</v>
      </c>
      <c r="P82" s="280">
        <f t="shared" ref="P82:R82" si="61">SUM(G82*0.55)</f>
        <v>0.55</v>
      </c>
      <c r="Q82" s="280">
        <f t="shared" si="61"/>
        <v>0.55</v>
      </c>
      <c r="R82" s="280">
        <f t="shared" si="61"/>
        <v>0.55</v>
      </c>
      <c r="S82" s="280"/>
      <c r="T82" s="280"/>
      <c r="U82" s="280"/>
      <c r="V82" s="280"/>
      <c r="W82" s="280"/>
      <c r="X82" s="288"/>
      <c r="Y82" s="288"/>
      <c r="Z82" s="288"/>
      <c r="AA82" s="274"/>
      <c r="AB82" s="288"/>
      <c r="AC82" s="274"/>
    </row>
    <row r="83" ht="72" spans="1:29">
      <c r="A83" s="273">
        <v>18</v>
      </c>
      <c r="B83" s="278" t="s">
        <v>2159</v>
      </c>
      <c r="C83" s="275" t="s">
        <v>1124</v>
      </c>
      <c r="D83" s="274" t="s">
        <v>147</v>
      </c>
      <c r="E83" s="274"/>
      <c r="F83" s="276">
        <f t="shared" ref="F83:I83" si="62">SUM(F84:F90)</f>
        <v>46</v>
      </c>
      <c r="G83" s="276">
        <f t="shared" si="62"/>
        <v>46</v>
      </c>
      <c r="H83" s="276">
        <f t="shared" si="62"/>
        <v>46</v>
      </c>
      <c r="I83" s="276">
        <f t="shared" si="62"/>
        <v>46</v>
      </c>
      <c r="J83" s="274" t="s">
        <v>2160</v>
      </c>
      <c r="K83" s="274">
        <f t="shared" ref="K83:R83" si="63">SUM(K84:K90)</f>
        <v>46</v>
      </c>
      <c r="L83" s="274">
        <f t="shared" si="63"/>
        <v>46</v>
      </c>
      <c r="M83" s="274">
        <v>2018</v>
      </c>
      <c r="N83" s="274">
        <v>2020</v>
      </c>
      <c r="O83" s="280">
        <f t="shared" si="22"/>
        <v>41.4</v>
      </c>
      <c r="P83" s="280">
        <f t="shared" si="63"/>
        <v>13.8</v>
      </c>
      <c r="Q83" s="280">
        <f t="shared" si="63"/>
        <v>13.8</v>
      </c>
      <c r="R83" s="280">
        <f t="shared" si="63"/>
        <v>13.8</v>
      </c>
      <c r="S83" s="280">
        <f>F83*3*0.15</f>
        <v>20.7</v>
      </c>
      <c r="T83" s="280"/>
      <c r="U83" s="280">
        <f>F83*3*0.15</f>
        <v>20.7</v>
      </c>
      <c r="V83" s="280"/>
      <c r="W83" s="280"/>
      <c r="X83" s="288" t="s">
        <v>2108</v>
      </c>
      <c r="Y83" s="274" t="s">
        <v>2132</v>
      </c>
      <c r="Z83" s="288" t="s">
        <v>294</v>
      </c>
      <c r="AA83" s="274" t="s">
        <v>2161</v>
      </c>
      <c r="AB83" s="274" t="s">
        <v>2142</v>
      </c>
      <c r="AC83" s="274" t="s">
        <v>1073</v>
      </c>
    </row>
    <row r="84" ht="30" customHeight="1" spans="1:29">
      <c r="A84" s="273"/>
      <c r="B84" s="274" t="s">
        <v>2123</v>
      </c>
      <c r="C84" s="275" t="s">
        <v>1124</v>
      </c>
      <c r="D84" s="274" t="s">
        <v>147</v>
      </c>
      <c r="E84" s="274"/>
      <c r="F84" s="276">
        <v>24</v>
      </c>
      <c r="G84" s="276">
        <v>24</v>
      </c>
      <c r="H84" s="276">
        <v>24</v>
      </c>
      <c r="I84" s="276">
        <v>24</v>
      </c>
      <c r="J84" s="274" t="s">
        <v>2162</v>
      </c>
      <c r="K84" s="276">
        <v>24</v>
      </c>
      <c r="L84" s="276">
        <v>24</v>
      </c>
      <c r="M84" s="274">
        <v>2018</v>
      </c>
      <c r="N84" s="274">
        <v>2020</v>
      </c>
      <c r="O84" s="280">
        <f t="shared" si="22"/>
        <v>21.6</v>
      </c>
      <c r="P84" s="280">
        <f t="shared" ref="P84:R84" si="64">SUM(G84*0.3)</f>
        <v>7.2</v>
      </c>
      <c r="Q84" s="280">
        <f t="shared" si="64"/>
        <v>7.2</v>
      </c>
      <c r="R84" s="280">
        <f t="shared" si="64"/>
        <v>7.2</v>
      </c>
      <c r="S84" s="280"/>
      <c r="T84" s="280"/>
      <c r="U84" s="280"/>
      <c r="V84" s="280"/>
      <c r="W84" s="280"/>
      <c r="X84" s="288"/>
      <c r="Y84" s="288"/>
      <c r="Z84" s="288"/>
      <c r="AA84" s="274"/>
      <c r="AB84" s="288"/>
      <c r="AC84" s="274"/>
    </row>
    <row r="85" ht="30" customHeight="1" spans="1:29">
      <c r="A85" s="273"/>
      <c r="B85" s="274" t="s">
        <v>2112</v>
      </c>
      <c r="C85" s="275" t="s">
        <v>1124</v>
      </c>
      <c r="D85" s="274" t="s">
        <v>147</v>
      </c>
      <c r="E85" s="274"/>
      <c r="F85" s="276">
        <v>4</v>
      </c>
      <c r="G85" s="276">
        <v>4</v>
      </c>
      <c r="H85" s="276">
        <v>4</v>
      </c>
      <c r="I85" s="276">
        <v>4</v>
      </c>
      <c r="J85" s="274" t="s">
        <v>2135</v>
      </c>
      <c r="K85" s="276">
        <v>4</v>
      </c>
      <c r="L85" s="276">
        <v>4</v>
      </c>
      <c r="M85" s="274">
        <v>2018</v>
      </c>
      <c r="N85" s="274">
        <v>2020</v>
      </c>
      <c r="O85" s="280">
        <f t="shared" si="22"/>
        <v>3.6</v>
      </c>
      <c r="P85" s="280">
        <f t="shared" ref="P85:R85" si="65">SUM(G85*0.3)</f>
        <v>1.2</v>
      </c>
      <c r="Q85" s="280">
        <f t="shared" si="65"/>
        <v>1.2</v>
      </c>
      <c r="R85" s="280">
        <f t="shared" si="65"/>
        <v>1.2</v>
      </c>
      <c r="S85" s="280"/>
      <c r="T85" s="280"/>
      <c r="U85" s="280"/>
      <c r="V85" s="280"/>
      <c r="W85" s="280"/>
      <c r="X85" s="288"/>
      <c r="Y85" s="288"/>
      <c r="Z85" s="288"/>
      <c r="AA85" s="274"/>
      <c r="AB85" s="288"/>
      <c r="AC85" s="274"/>
    </row>
    <row r="86" ht="30" customHeight="1" spans="1:29">
      <c r="A86" s="273"/>
      <c r="B86" s="274" t="s">
        <v>2114</v>
      </c>
      <c r="C86" s="275" t="s">
        <v>1124</v>
      </c>
      <c r="D86" s="274" t="s">
        <v>147</v>
      </c>
      <c r="E86" s="274"/>
      <c r="F86" s="276">
        <v>3</v>
      </c>
      <c r="G86" s="276">
        <v>3</v>
      </c>
      <c r="H86" s="276">
        <v>3</v>
      </c>
      <c r="I86" s="276">
        <v>3</v>
      </c>
      <c r="J86" s="274" t="s">
        <v>2145</v>
      </c>
      <c r="K86" s="276">
        <v>3</v>
      </c>
      <c r="L86" s="276">
        <v>3</v>
      </c>
      <c r="M86" s="274">
        <v>2018</v>
      </c>
      <c r="N86" s="274">
        <v>2020</v>
      </c>
      <c r="O86" s="280">
        <f t="shared" si="22"/>
        <v>2.7</v>
      </c>
      <c r="P86" s="280">
        <f t="shared" ref="P86:R86" si="66">SUM(G86*0.3)</f>
        <v>0.9</v>
      </c>
      <c r="Q86" s="280">
        <f t="shared" si="66"/>
        <v>0.9</v>
      </c>
      <c r="R86" s="280">
        <f t="shared" si="66"/>
        <v>0.9</v>
      </c>
      <c r="S86" s="280"/>
      <c r="T86" s="280"/>
      <c r="U86" s="280"/>
      <c r="V86" s="280"/>
      <c r="W86" s="280"/>
      <c r="X86" s="288"/>
      <c r="Y86" s="288"/>
      <c r="Z86" s="288"/>
      <c r="AA86" s="274"/>
      <c r="AB86" s="288"/>
      <c r="AC86" s="274"/>
    </row>
    <row r="87" ht="30" customHeight="1" spans="1:29">
      <c r="A87" s="273"/>
      <c r="B87" s="274" t="s">
        <v>2116</v>
      </c>
      <c r="C87" s="275" t="s">
        <v>1124</v>
      </c>
      <c r="D87" s="274" t="s">
        <v>147</v>
      </c>
      <c r="E87" s="274"/>
      <c r="F87" s="276">
        <v>4</v>
      </c>
      <c r="G87" s="276">
        <v>4</v>
      </c>
      <c r="H87" s="276">
        <v>4</v>
      </c>
      <c r="I87" s="276">
        <v>4</v>
      </c>
      <c r="J87" s="274" t="s">
        <v>2135</v>
      </c>
      <c r="K87" s="276">
        <v>4</v>
      </c>
      <c r="L87" s="276">
        <v>4</v>
      </c>
      <c r="M87" s="274">
        <v>2018</v>
      </c>
      <c r="N87" s="274">
        <v>2020</v>
      </c>
      <c r="O87" s="280">
        <f t="shared" si="22"/>
        <v>3.6</v>
      </c>
      <c r="P87" s="280">
        <f t="shared" ref="P87:R87" si="67">SUM(G87*0.3)</f>
        <v>1.2</v>
      </c>
      <c r="Q87" s="280">
        <f t="shared" si="67"/>
        <v>1.2</v>
      </c>
      <c r="R87" s="280">
        <f t="shared" si="67"/>
        <v>1.2</v>
      </c>
      <c r="S87" s="280"/>
      <c r="T87" s="280"/>
      <c r="U87" s="280"/>
      <c r="V87" s="280"/>
      <c r="W87" s="280"/>
      <c r="X87" s="288"/>
      <c r="Y87" s="288"/>
      <c r="Z87" s="288"/>
      <c r="AA87" s="274"/>
      <c r="AB87" s="288"/>
      <c r="AC87" s="274"/>
    </row>
    <row r="88" ht="30" customHeight="1" spans="1:29">
      <c r="A88" s="273"/>
      <c r="B88" s="274" t="s">
        <v>2118</v>
      </c>
      <c r="C88" s="275" t="s">
        <v>1124</v>
      </c>
      <c r="D88" s="274" t="s">
        <v>147</v>
      </c>
      <c r="E88" s="274"/>
      <c r="F88" s="276">
        <v>6</v>
      </c>
      <c r="G88" s="276">
        <v>6</v>
      </c>
      <c r="H88" s="276">
        <v>6</v>
      </c>
      <c r="I88" s="276">
        <v>6</v>
      </c>
      <c r="J88" s="274" t="s">
        <v>2137</v>
      </c>
      <c r="K88" s="276">
        <v>6</v>
      </c>
      <c r="L88" s="276">
        <v>6</v>
      </c>
      <c r="M88" s="274">
        <v>2018</v>
      </c>
      <c r="N88" s="274">
        <v>2020</v>
      </c>
      <c r="O88" s="280">
        <f t="shared" si="22"/>
        <v>5.4</v>
      </c>
      <c r="P88" s="280">
        <f t="shared" ref="P88:R88" si="68">SUM(G88*0.3)</f>
        <v>1.8</v>
      </c>
      <c r="Q88" s="280">
        <f t="shared" si="68"/>
        <v>1.8</v>
      </c>
      <c r="R88" s="280">
        <f t="shared" si="68"/>
        <v>1.8</v>
      </c>
      <c r="S88" s="280"/>
      <c r="T88" s="280"/>
      <c r="U88" s="280"/>
      <c r="V88" s="280"/>
      <c r="W88" s="280"/>
      <c r="X88" s="288"/>
      <c r="Y88" s="288"/>
      <c r="Z88" s="288"/>
      <c r="AA88" s="274"/>
      <c r="AB88" s="288"/>
      <c r="AC88" s="274"/>
    </row>
    <row r="89" ht="30" customHeight="1" spans="1:29">
      <c r="A89" s="273"/>
      <c r="B89" s="274" t="s">
        <v>2124</v>
      </c>
      <c r="C89" s="275" t="s">
        <v>1124</v>
      </c>
      <c r="D89" s="274" t="s">
        <v>147</v>
      </c>
      <c r="E89" s="274"/>
      <c r="F89" s="276">
        <v>3</v>
      </c>
      <c r="G89" s="276">
        <v>3</v>
      </c>
      <c r="H89" s="276">
        <v>3</v>
      </c>
      <c r="I89" s="276">
        <v>3</v>
      </c>
      <c r="J89" s="274" t="s">
        <v>2145</v>
      </c>
      <c r="K89" s="276">
        <v>3</v>
      </c>
      <c r="L89" s="276">
        <v>3</v>
      </c>
      <c r="M89" s="274">
        <v>2018</v>
      </c>
      <c r="N89" s="274">
        <v>2020</v>
      </c>
      <c r="O89" s="280">
        <f t="shared" si="22"/>
        <v>2.7</v>
      </c>
      <c r="P89" s="280">
        <f t="shared" ref="P89:R89" si="69">SUM(G89*0.3)</f>
        <v>0.9</v>
      </c>
      <c r="Q89" s="280">
        <f t="shared" si="69"/>
        <v>0.9</v>
      </c>
      <c r="R89" s="280">
        <f t="shared" si="69"/>
        <v>0.9</v>
      </c>
      <c r="S89" s="280"/>
      <c r="T89" s="280"/>
      <c r="U89" s="280"/>
      <c r="V89" s="280"/>
      <c r="W89" s="280"/>
      <c r="X89" s="288"/>
      <c r="Y89" s="288"/>
      <c r="Z89" s="288"/>
      <c r="AA89" s="274"/>
      <c r="AB89" s="288"/>
      <c r="AC89" s="274"/>
    </row>
    <row r="90" ht="30" customHeight="1" spans="1:29">
      <c r="A90" s="273"/>
      <c r="B90" s="274" t="s">
        <v>2125</v>
      </c>
      <c r="C90" s="275" t="s">
        <v>1124</v>
      </c>
      <c r="D90" s="274" t="s">
        <v>147</v>
      </c>
      <c r="E90" s="274"/>
      <c r="F90" s="276">
        <v>2</v>
      </c>
      <c r="G90" s="276">
        <v>2</v>
      </c>
      <c r="H90" s="276">
        <v>2</v>
      </c>
      <c r="I90" s="276">
        <v>2</v>
      </c>
      <c r="J90" s="274" t="s">
        <v>2163</v>
      </c>
      <c r="K90" s="276">
        <v>2</v>
      </c>
      <c r="L90" s="276">
        <v>2</v>
      </c>
      <c r="M90" s="274">
        <v>2018</v>
      </c>
      <c r="N90" s="274">
        <v>2020</v>
      </c>
      <c r="O90" s="280">
        <f t="shared" si="22"/>
        <v>1.8</v>
      </c>
      <c r="P90" s="280">
        <f t="shared" ref="P90:R90" si="70">SUM(G90*0.3)</f>
        <v>0.6</v>
      </c>
      <c r="Q90" s="280">
        <f t="shared" si="70"/>
        <v>0.6</v>
      </c>
      <c r="R90" s="280">
        <f t="shared" si="70"/>
        <v>0.6</v>
      </c>
      <c r="S90" s="280"/>
      <c r="T90" s="280"/>
      <c r="U90" s="280"/>
      <c r="V90" s="280"/>
      <c r="W90" s="280"/>
      <c r="X90" s="288"/>
      <c r="Y90" s="288"/>
      <c r="Z90" s="288"/>
      <c r="AA90" s="274"/>
      <c r="AB90" s="288"/>
      <c r="AC90" s="274"/>
    </row>
    <row r="91" ht="30" customHeight="1" spans="1:29">
      <c r="A91" s="273">
        <v>19</v>
      </c>
      <c r="B91" s="277" t="s">
        <v>324</v>
      </c>
      <c r="C91" s="275" t="s">
        <v>320</v>
      </c>
      <c r="D91" s="274" t="s">
        <v>320</v>
      </c>
      <c r="E91" s="274"/>
      <c r="F91" s="276" t="s">
        <v>320</v>
      </c>
      <c r="G91" s="276" t="s">
        <v>320</v>
      </c>
      <c r="H91" s="276" t="s">
        <v>320</v>
      </c>
      <c r="I91" s="276" t="s">
        <v>320</v>
      </c>
      <c r="J91" s="274" t="s">
        <v>320</v>
      </c>
      <c r="K91" s="274" t="s">
        <v>320</v>
      </c>
      <c r="L91" s="274" t="s">
        <v>320</v>
      </c>
      <c r="M91" s="274" t="s">
        <v>320</v>
      </c>
      <c r="N91" s="274" t="s">
        <v>320</v>
      </c>
      <c r="O91" s="280" t="s">
        <v>320</v>
      </c>
      <c r="P91" s="280" t="s">
        <v>320</v>
      </c>
      <c r="Q91" s="280" t="s">
        <v>320</v>
      </c>
      <c r="R91" s="280" t="s">
        <v>320</v>
      </c>
      <c r="S91" s="280" t="s">
        <v>320</v>
      </c>
      <c r="T91" s="280" t="s">
        <v>320</v>
      </c>
      <c r="U91" s="280" t="s">
        <v>320</v>
      </c>
      <c r="V91" s="280" t="s">
        <v>320</v>
      </c>
      <c r="W91" s="280" t="s">
        <v>320</v>
      </c>
      <c r="X91" s="274" t="s">
        <v>320</v>
      </c>
      <c r="Y91" s="274" t="s">
        <v>320</v>
      </c>
      <c r="Z91" s="274" t="s">
        <v>320</v>
      </c>
      <c r="AA91" s="274" t="s">
        <v>320</v>
      </c>
      <c r="AB91" s="274" t="s">
        <v>2128</v>
      </c>
      <c r="AC91" s="274" t="s">
        <v>320</v>
      </c>
    </row>
    <row r="92" ht="30" customHeight="1" spans="1:29">
      <c r="A92" s="273">
        <v>20</v>
      </c>
      <c r="B92" s="277" t="s">
        <v>802</v>
      </c>
      <c r="C92" s="275" t="s">
        <v>1124</v>
      </c>
      <c r="D92" s="274" t="s">
        <v>194</v>
      </c>
      <c r="E92" s="274"/>
      <c r="F92" s="276" t="s">
        <v>320</v>
      </c>
      <c r="G92" s="276" t="s">
        <v>320</v>
      </c>
      <c r="H92" s="276" t="s">
        <v>320</v>
      </c>
      <c r="I92" s="276" t="s">
        <v>320</v>
      </c>
      <c r="J92" s="274" t="s">
        <v>320</v>
      </c>
      <c r="K92" s="274">
        <v>1351</v>
      </c>
      <c r="L92" s="274">
        <v>4888</v>
      </c>
      <c r="M92" s="274">
        <v>2018</v>
      </c>
      <c r="N92" s="274">
        <v>2020</v>
      </c>
      <c r="O92" s="280">
        <f>P92+Q92+R92</f>
        <v>397.818</v>
      </c>
      <c r="P92" s="280">
        <f t="shared" ref="P92:W92" si="71">SUM(P93,P102,P110,P118)</f>
        <v>128.26</v>
      </c>
      <c r="Q92" s="280">
        <f t="shared" si="71"/>
        <v>132.554</v>
      </c>
      <c r="R92" s="280">
        <f t="shared" si="71"/>
        <v>137.004</v>
      </c>
      <c r="S92" s="280">
        <f t="shared" si="71"/>
        <v>280.7154</v>
      </c>
      <c r="T92" s="280">
        <f t="shared" si="71"/>
        <v>0</v>
      </c>
      <c r="U92" s="280">
        <f t="shared" si="71"/>
        <v>117.1026</v>
      </c>
      <c r="V92" s="280">
        <f t="shared" si="71"/>
        <v>0</v>
      </c>
      <c r="W92" s="280">
        <f t="shared" si="71"/>
        <v>0</v>
      </c>
      <c r="X92" s="274" t="s">
        <v>320</v>
      </c>
      <c r="Y92" s="274" t="s">
        <v>320</v>
      </c>
      <c r="Z92" s="274" t="s">
        <v>320</v>
      </c>
      <c r="AA92" s="274" t="s">
        <v>320</v>
      </c>
      <c r="AB92" s="274" t="s">
        <v>320</v>
      </c>
      <c r="AC92" s="274" t="s">
        <v>2106</v>
      </c>
    </row>
    <row r="93" ht="60" customHeight="1" spans="1:29">
      <c r="A93" s="273">
        <v>21</v>
      </c>
      <c r="B93" s="277" t="s">
        <v>327</v>
      </c>
      <c r="C93" s="275" t="s">
        <v>1124</v>
      </c>
      <c r="D93" s="274" t="s">
        <v>194</v>
      </c>
      <c r="E93" s="274"/>
      <c r="F93" s="276">
        <f t="shared" ref="F93:I93" si="72">SUM(F95:F101)</f>
        <v>14651</v>
      </c>
      <c r="G93" s="276">
        <f t="shared" si="72"/>
        <v>4875</v>
      </c>
      <c r="H93" s="276">
        <f t="shared" si="72"/>
        <v>4888</v>
      </c>
      <c r="I93" s="276">
        <f t="shared" si="72"/>
        <v>4888</v>
      </c>
      <c r="J93" s="274" t="s">
        <v>2164</v>
      </c>
      <c r="K93" s="274">
        <v>1351</v>
      </c>
      <c r="L93" s="274">
        <v>4888</v>
      </c>
      <c r="M93" s="274">
        <v>2018</v>
      </c>
      <c r="N93" s="274">
        <v>2020</v>
      </c>
      <c r="O93" s="280">
        <f>SUM(P93:R94)</f>
        <v>263.718</v>
      </c>
      <c r="P93" s="280">
        <f t="shared" ref="P93:R93" si="73">SUM(P95:P101)</f>
        <v>87.75</v>
      </c>
      <c r="Q93" s="280">
        <f t="shared" si="73"/>
        <v>87.984</v>
      </c>
      <c r="R93" s="280">
        <f t="shared" si="73"/>
        <v>87.984</v>
      </c>
      <c r="S93" s="280">
        <f>SUM(126*2263+90*2612+126*918*2+90*3970*2)/10000</f>
        <v>146.6154</v>
      </c>
      <c r="T93" s="280"/>
      <c r="U93" s="280">
        <f>SUM(54*2263+90*2612+54*918*2+90*3970*2)/10000</f>
        <v>117.1026</v>
      </c>
      <c r="V93" s="280"/>
      <c r="W93" s="280"/>
      <c r="X93" s="288" t="s">
        <v>2108</v>
      </c>
      <c r="Y93" s="274" t="s">
        <v>2132</v>
      </c>
      <c r="Z93" s="288" t="s">
        <v>195</v>
      </c>
      <c r="AA93" s="274" t="s">
        <v>2165</v>
      </c>
      <c r="AB93" s="288" t="s">
        <v>2166</v>
      </c>
      <c r="AC93" s="274" t="s">
        <v>1073</v>
      </c>
    </row>
    <row r="94" ht="60" customHeight="1" spans="1:29">
      <c r="A94" s="273">
        <v>22</v>
      </c>
      <c r="B94" s="277" t="s">
        <v>332</v>
      </c>
      <c r="C94" s="275" t="s">
        <v>1124</v>
      </c>
      <c r="D94" s="274" t="s">
        <v>194</v>
      </c>
      <c r="E94" s="274"/>
      <c r="F94" s="276">
        <f t="shared" ref="F94:F109" si="74">SUM(G94:I94)</f>
        <v>14651</v>
      </c>
      <c r="G94" s="276">
        <f t="shared" ref="G94:I94" si="75">SUM(G95:G101)</f>
        <v>4875</v>
      </c>
      <c r="H94" s="276">
        <f t="shared" si="75"/>
        <v>4888</v>
      </c>
      <c r="I94" s="276">
        <f t="shared" si="75"/>
        <v>4888</v>
      </c>
      <c r="J94" s="274"/>
      <c r="K94" s="276">
        <f>SUM(K95:K101)</f>
        <v>1351</v>
      </c>
      <c r="L94" s="276">
        <v>4888</v>
      </c>
      <c r="M94" s="274">
        <v>2018</v>
      </c>
      <c r="N94" s="274">
        <v>2020</v>
      </c>
      <c r="O94" s="280"/>
      <c r="P94" s="280"/>
      <c r="Q94" s="280"/>
      <c r="R94" s="280"/>
      <c r="S94" s="280"/>
      <c r="T94" s="280"/>
      <c r="U94" s="280"/>
      <c r="V94" s="280"/>
      <c r="W94" s="280"/>
      <c r="X94" s="288"/>
      <c r="Y94" s="274"/>
      <c r="Z94" s="288"/>
      <c r="AA94" s="274"/>
      <c r="AB94" s="288"/>
      <c r="AC94" s="274"/>
    </row>
    <row r="95" s="258" customFormat="1" ht="30" customHeight="1" spans="1:29">
      <c r="A95" s="273"/>
      <c r="B95" s="274" t="s">
        <v>2123</v>
      </c>
      <c r="C95" s="275" t="s">
        <v>1124</v>
      </c>
      <c r="D95" s="274" t="s">
        <v>194</v>
      </c>
      <c r="E95" s="274"/>
      <c r="F95" s="276">
        <f t="shared" si="74"/>
        <v>4991</v>
      </c>
      <c r="G95" s="195">
        <v>1673</v>
      </c>
      <c r="H95" s="195">
        <v>1659</v>
      </c>
      <c r="I95" s="195">
        <v>1659</v>
      </c>
      <c r="J95" s="274" t="s">
        <v>2167</v>
      </c>
      <c r="K95" s="141">
        <v>429</v>
      </c>
      <c r="L95" s="141">
        <v>1659</v>
      </c>
      <c r="M95" s="274">
        <v>2018</v>
      </c>
      <c r="N95" s="274">
        <v>2020</v>
      </c>
      <c r="O95" s="280">
        <f t="shared" ref="O95:O109" si="76">SUM(P95:R95)</f>
        <v>89.838</v>
      </c>
      <c r="P95" s="280">
        <f t="shared" ref="P95:R95" si="77">G95*0.018</f>
        <v>30.114</v>
      </c>
      <c r="Q95" s="280">
        <f t="shared" si="77"/>
        <v>29.862</v>
      </c>
      <c r="R95" s="280">
        <f t="shared" si="77"/>
        <v>29.862</v>
      </c>
      <c r="S95" s="280"/>
      <c r="T95" s="280"/>
      <c r="U95" s="280"/>
      <c r="V95" s="280"/>
      <c r="W95" s="280"/>
      <c r="X95" s="288"/>
      <c r="Y95" s="288"/>
      <c r="Z95" s="288"/>
      <c r="AA95" s="274"/>
      <c r="AB95" s="288"/>
      <c r="AC95" s="274"/>
    </row>
    <row r="96" s="258" customFormat="1" ht="30" customHeight="1" spans="1:29">
      <c r="A96" s="273"/>
      <c r="B96" s="274" t="s">
        <v>2112</v>
      </c>
      <c r="C96" s="275" t="s">
        <v>1124</v>
      </c>
      <c r="D96" s="274" t="s">
        <v>194</v>
      </c>
      <c r="E96" s="274"/>
      <c r="F96" s="276">
        <f t="shared" si="74"/>
        <v>1382</v>
      </c>
      <c r="G96" s="195">
        <v>460</v>
      </c>
      <c r="H96" s="195">
        <v>461</v>
      </c>
      <c r="I96" s="195">
        <v>461</v>
      </c>
      <c r="J96" s="274" t="s">
        <v>2168</v>
      </c>
      <c r="K96" s="141">
        <v>118</v>
      </c>
      <c r="L96" s="141">
        <v>461</v>
      </c>
      <c r="M96" s="274">
        <v>2018</v>
      </c>
      <c r="N96" s="274">
        <v>2020</v>
      </c>
      <c r="O96" s="280">
        <f t="shared" si="76"/>
        <v>24.876</v>
      </c>
      <c r="P96" s="280">
        <f t="shared" ref="P96:R96" si="78">G96*0.018</f>
        <v>8.28</v>
      </c>
      <c r="Q96" s="280">
        <f t="shared" si="78"/>
        <v>8.298</v>
      </c>
      <c r="R96" s="280">
        <f t="shared" si="78"/>
        <v>8.298</v>
      </c>
      <c r="S96" s="280"/>
      <c r="T96" s="280"/>
      <c r="U96" s="280"/>
      <c r="V96" s="280"/>
      <c r="W96" s="280"/>
      <c r="X96" s="274"/>
      <c r="Y96" s="274"/>
      <c r="Z96" s="288"/>
      <c r="AA96" s="274"/>
      <c r="AB96" s="288"/>
      <c r="AC96" s="274"/>
    </row>
    <row r="97" s="258" customFormat="1" ht="30" customHeight="1" spans="1:29">
      <c r="A97" s="273"/>
      <c r="B97" s="274" t="s">
        <v>2114</v>
      </c>
      <c r="C97" s="275" t="s">
        <v>1124</v>
      </c>
      <c r="D97" s="274" t="s">
        <v>194</v>
      </c>
      <c r="E97" s="274"/>
      <c r="F97" s="276">
        <f t="shared" si="74"/>
        <v>2057</v>
      </c>
      <c r="G97" s="195">
        <v>679</v>
      </c>
      <c r="H97" s="195">
        <v>689</v>
      </c>
      <c r="I97" s="195">
        <v>689</v>
      </c>
      <c r="J97" s="274" t="s">
        <v>2169</v>
      </c>
      <c r="K97" s="141">
        <v>206</v>
      </c>
      <c r="L97" s="141">
        <v>689</v>
      </c>
      <c r="M97" s="274">
        <v>2018</v>
      </c>
      <c r="N97" s="274">
        <v>2020</v>
      </c>
      <c r="O97" s="280">
        <f t="shared" si="76"/>
        <v>37.026</v>
      </c>
      <c r="P97" s="280">
        <f t="shared" ref="P97:R97" si="79">G97*0.018</f>
        <v>12.222</v>
      </c>
      <c r="Q97" s="280">
        <f t="shared" si="79"/>
        <v>12.402</v>
      </c>
      <c r="R97" s="280">
        <f t="shared" si="79"/>
        <v>12.402</v>
      </c>
      <c r="S97" s="280"/>
      <c r="T97" s="280"/>
      <c r="U97" s="280"/>
      <c r="V97" s="280"/>
      <c r="W97" s="280"/>
      <c r="X97" s="288"/>
      <c r="Y97" s="288"/>
      <c r="Z97" s="288"/>
      <c r="AA97" s="274"/>
      <c r="AB97" s="288"/>
      <c r="AC97" s="274"/>
    </row>
    <row r="98" s="258" customFormat="1" ht="30" customHeight="1" spans="1:29">
      <c r="A98" s="273"/>
      <c r="B98" s="274" t="s">
        <v>2116</v>
      </c>
      <c r="C98" s="275" t="s">
        <v>1124</v>
      </c>
      <c r="D98" s="274" t="s">
        <v>194</v>
      </c>
      <c r="E98" s="274"/>
      <c r="F98" s="276">
        <f t="shared" si="74"/>
        <v>2015</v>
      </c>
      <c r="G98" s="195">
        <v>661</v>
      </c>
      <c r="H98" s="195">
        <v>677</v>
      </c>
      <c r="I98" s="195">
        <v>677</v>
      </c>
      <c r="J98" s="274" t="s">
        <v>2170</v>
      </c>
      <c r="K98" s="141">
        <v>189</v>
      </c>
      <c r="L98" s="141">
        <v>677</v>
      </c>
      <c r="M98" s="274">
        <v>2018</v>
      </c>
      <c r="N98" s="274">
        <v>2020</v>
      </c>
      <c r="O98" s="280">
        <f t="shared" si="76"/>
        <v>36.27</v>
      </c>
      <c r="P98" s="280">
        <f t="shared" ref="P98:R98" si="80">G98*0.018</f>
        <v>11.898</v>
      </c>
      <c r="Q98" s="280">
        <f t="shared" si="80"/>
        <v>12.186</v>
      </c>
      <c r="R98" s="280">
        <f t="shared" si="80"/>
        <v>12.186</v>
      </c>
      <c r="S98" s="280"/>
      <c r="T98" s="280"/>
      <c r="U98" s="280"/>
      <c r="V98" s="280"/>
      <c r="W98" s="280"/>
      <c r="X98" s="288"/>
      <c r="Y98" s="288"/>
      <c r="Z98" s="288"/>
      <c r="AA98" s="274"/>
      <c r="AB98" s="288"/>
      <c r="AC98" s="274"/>
    </row>
    <row r="99" s="258" customFormat="1" ht="30" customHeight="1" spans="1:29">
      <c r="A99" s="273"/>
      <c r="B99" s="274" t="s">
        <v>2118</v>
      </c>
      <c r="C99" s="275" t="s">
        <v>1124</v>
      </c>
      <c r="D99" s="274" t="s">
        <v>194</v>
      </c>
      <c r="E99" s="274"/>
      <c r="F99" s="276">
        <f t="shared" si="74"/>
        <v>1254</v>
      </c>
      <c r="G99" s="195">
        <v>416</v>
      </c>
      <c r="H99" s="195">
        <v>419</v>
      </c>
      <c r="I99" s="195">
        <v>419</v>
      </c>
      <c r="J99" s="274" t="s">
        <v>2171</v>
      </c>
      <c r="K99" s="141">
        <v>119</v>
      </c>
      <c r="L99" s="141">
        <v>419</v>
      </c>
      <c r="M99" s="274">
        <v>2018</v>
      </c>
      <c r="N99" s="274">
        <v>2020</v>
      </c>
      <c r="O99" s="280">
        <f t="shared" si="76"/>
        <v>22.572</v>
      </c>
      <c r="P99" s="280">
        <f t="shared" ref="P99:R99" si="81">G99*0.018</f>
        <v>7.488</v>
      </c>
      <c r="Q99" s="280">
        <f t="shared" si="81"/>
        <v>7.542</v>
      </c>
      <c r="R99" s="280">
        <f t="shared" si="81"/>
        <v>7.542</v>
      </c>
      <c r="S99" s="280"/>
      <c r="T99" s="280"/>
      <c r="U99" s="280"/>
      <c r="V99" s="280"/>
      <c r="W99" s="280"/>
      <c r="X99" s="288"/>
      <c r="Y99" s="288"/>
      <c r="Z99" s="288"/>
      <c r="AA99" s="274"/>
      <c r="AB99" s="288"/>
      <c r="AC99" s="274"/>
    </row>
    <row r="100" s="258" customFormat="1" ht="30" customHeight="1" spans="1:29">
      <c r="A100" s="273"/>
      <c r="B100" s="274" t="s">
        <v>2124</v>
      </c>
      <c r="C100" s="275" t="s">
        <v>1124</v>
      </c>
      <c r="D100" s="274" t="s">
        <v>194</v>
      </c>
      <c r="E100" s="274"/>
      <c r="F100" s="276">
        <f t="shared" si="74"/>
        <v>1061</v>
      </c>
      <c r="G100" s="195">
        <v>353</v>
      </c>
      <c r="H100" s="195">
        <v>354</v>
      </c>
      <c r="I100" s="195">
        <v>354</v>
      </c>
      <c r="J100" s="274" t="s">
        <v>2172</v>
      </c>
      <c r="K100" s="141">
        <v>100</v>
      </c>
      <c r="L100" s="141">
        <v>354</v>
      </c>
      <c r="M100" s="274">
        <v>2018</v>
      </c>
      <c r="N100" s="274">
        <v>2020</v>
      </c>
      <c r="O100" s="280">
        <f t="shared" si="76"/>
        <v>19.098</v>
      </c>
      <c r="P100" s="280">
        <f t="shared" ref="P100:R100" si="82">G100*0.018</f>
        <v>6.354</v>
      </c>
      <c r="Q100" s="280">
        <f t="shared" si="82"/>
        <v>6.372</v>
      </c>
      <c r="R100" s="280">
        <f t="shared" si="82"/>
        <v>6.372</v>
      </c>
      <c r="S100" s="280"/>
      <c r="T100" s="280"/>
      <c r="U100" s="280"/>
      <c r="V100" s="280"/>
      <c r="W100" s="280"/>
      <c r="X100" s="288"/>
      <c r="Y100" s="288"/>
      <c r="Z100" s="288"/>
      <c r="AA100" s="274"/>
      <c r="AB100" s="288"/>
      <c r="AC100" s="274"/>
    </row>
    <row r="101" s="258" customFormat="1" ht="30" customHeight="1" spans="1:29">
      <c r="A101" s="273"/>
      <c r="B101" s="274" t="s">
        <v>2125</v>
      </c>
      <c r="C101" s="275" t="s">
        <v>1124</v>
      </c>
      <c r="D101" s="274" t="s">
        <v>194</v>
      </c>
      <c r="E101" s="274"/>
      <c r="F101" s="276">
        <f t="shared" si="74"/>
        <v>1891</v>
      </c>
      <c r="G101" s="195">
        <v>633</v>
      </c>
      <c r="H101" s="195">
        <v>629</v>
      </c>
      <c r="I101" s="195">
        <v>629</v>
      </c>
      <c r="J101" s="274" t="s">
        <v>2173</v>
      </c>
      <c r="K101" s="141">
        <v>190</v>
      </c>
      <c r="L101" s="141">
        <v>629</v>
      </c>
      <c r="M101" s="274">
        <v>2018</v>
      </c>
      <c r="N101" s="274">
        <v>2020</v>
      </c>
      <c r="O101" s="280">
        <f t="shared" si="76"/>
        <v>34.038</v>
      </c>
      <c r="P101" s="280">
        <f t="shared" ref="P101:R101" si="83">G101*0.018</f>
        <v>11.394</v>
      </c>
      <c r="Q101" s="280">
        <f t="shared" si="83"/>
        <v>11.322</v>
      </c>
      <c r="R101" s="280">
        <f t="shared" si="83"/>
        <v>11.322</v>
      </c>
      <c r="S101" s="280"/>
      <c r="T101" s="280"/>
      <c r="U101" s="280"/>
      <c r="V101" s="280"/>
      <c r="W101" s="280"/>
      <c r="X101" s="274"/>
      <c r="Y101" s="274"/>
      <c r="Z101" s="288"/>
      <c r="AA101" s="274"/>
      <c r="AB101" s="288"/>
      <c r="AC101" s="274"/>
    </row>
    <row r="102" ht="48" spans="1:29">
      <c r="A102" s="273">
        <v>23</v>
      </c>
      <c r="B102" s="277" t="s">
        <v>335</v>
      </c>
      <c r="C102" s="275" t="s">
        <v>1124</v>
      </c>
      <c r="D102" s="274" t="s">
        <v>194</v>
      </c>
      <c r="E102" s="274"/>
      <c r="F102" s="276">
        <f t="shared" si="74"/>
        <v>2277</v>
      </c>
      <c r="G102" s="276">
        <f t="shared" ref="G102:I102" si="84">SUM(G103:G109)</f>
        <v>759</v>
      </c>
      <c r="H102" s="276">
        <f t="shared" si="84"/>
        <v>759</v>
      </c>
      <c r="I102" s="276">
        <f t="shared" si="84"/>
        <v>759</v>
      </c>
      <c r="J102" s="274" t="s">
        <v>2174</v>
      </c>
      <c r="K102" s="280" t="s">
        <v>320</v>
      </c>
      <c r="L102" s="274">
        <f>SUM(L103:L109)</f>
        <v>2277</v>
      </c>
      <c r="M102" s="274">
        <v>2018</v>
      </c>
      <c r="N102" s="274">
        <v>2020</v>
      </c>
      <c r="O102" s="280">
        <f t="shared" si="76"/>
        <v>100.83</v>
      </c>
      <c r="P102" s="280">
        <v>30.46</v>
      </c>
      <c r="Q102" s="280">
        <v>33.51</v>
      </c>
      <c r="R102" s="280">
        <v>36.86</v>
      </c>
      <c r="S102" s="280">
        <f>SUM(P102:R102)</f>
        <v>100.83</v>
      </c>
      <c r="T102" s="280"/>
      <c r="U102" s="280"/>
      <c r="V102" s="280"/>
      <c r="W102" s="280"/>
      <c r="X102" s="288" t="s">
        <v>2108</v>
      </c>
      <c r="Y102" s="274" t="s">
        <v>2132</v>
      </c>
      <c r="Z102" s="288" t="s">
        <v>358</v>
      </c>
      <c r="AA102" s="274" t="s">
        <v>2175</v>
      </c>
      <c r="AB102" s="288" t="s">
        <v>2176</v>
      </c>
      <c r="AC102" s="274" t="s">
        <v>1073</v>
      </c>
    </row>
    <row r="103" ht="36" spans="1:29">
      <c r="A103" s="273"/>
      <c r="B103" s="274" t="s">
        <v>2123</v>
      </c>
      <c r="C103" s="275" t="s">
        <v>1124</v>
      </c>
      <c r="D103" s="274" t="s">
        <v>194</v>
      </c>
      <c r="E103" s="274"/>
      <c r="F103" s="276">
        <f t="shared" si="74"/>
        <v>813</v>
      </c>
      <c r="G103" s="276">
        <v>271</v>
      </c>
      <c r="H103" s="276">
        <v>271</v>
      </c>
      <c r="I103" s="276">
        <v>271</v>
      </c>
      <c r="J103" s="274" t="s">
        <v>2177</v>
      </c>
      <c r="K103" s="280" t="s">
        <v>320</v>
      </c>
      <c r="L103" s="276">
        <f t="shared" ref="L103:L109" si="85">SUM(G103:I103)</f>
        <v>813</v>
      </c>
      <c r="M103" s="274">
        <v>2018</v>
      </c>
      <c r="N103" s="274">
        <v>2020</v>
      </c>
      <c r="O103" s="280">
        <f t="shared" si="76"/>
        <v>34.85063914</v>
      </c>
      <c r="P103" s="280">
        <v>10.528894</v>
      </c>
      <c r="Q103" s="280">
        <f t="shared" ref="Q103:Q109" si="86">P103*1.1</f>
        <v>11.5817834</v>
      </c>
      <c r="R103" s="280">
        <f t="shared" ref="R103:R109" si="87">Q103*1.1</f>
        <v>12.73996174</v>
      </c>
      <c r="S103" s="280"/>
      <c r="T103" s="280"/>
      <c r="U103" s="280"/>
      <c r="V103" s="280"/>
      <c r="W103" s="280"/>
      <c r="X103" s="274"/>
      <c r="Y103" s="274"/>
      <c r="Z103" s="288"/>
      <c r="AA103" s="274"/>
      <c r="AB103" s="288"/>
      <c r="AC103" s="274"/>
    </row>
    <row r="104" ht="36" spans="1:29">
      <c r="A104" s="273"/>
      <c r="B104" s="274" t="s">
        <v>2112</v>
      </c>
      <c r="C104" s="275" t="s">
        <v>1124</v>
      </c>
      <c r="D104" s="274" t="s">
        <v>194</v>
      </c>
      <c r="E104" s="274"/>
      <c r="F104" s="276">
        <f t="shared" si="74"/>
        <v>285</v>
      </c>
      <c r="G104" s="276">
        <v>95</v>
      </c>
      <c r="H104" s="276">
        <v>95</v>
      </c>
      <c r="I104" s="276">
        <v>95</v>
      </c>
      <c r="J104" s="274" t="s">
        <v>2178</v>
      </c>
      <c r="K104" s="280" t="s">
        <v>320</v>
      </c>
      <c r="L104" s="276">
        <f t="shared" si="85"/>
        <v>285</v>
      </c>
      <c r="M104" s="274">
        <v>2018</v>
      </c>
      <c r="N104" s="274">
        <v>2020</v>
      </c>
      <c r="O104" s="280">
        <f t="shared" si="76"/>
        <v>11.64820114</v>
      </c>
      <c r="P104" s="280">
        <v>3.519094</v>
      </c>
      <c r="Q104" s="280">
        <f t="shared" si="86"/>
        <v>3.8710034</v>
      </c>
      <c r="R104" s="280">
        <f t="shared" si="87"/>
        <v>4.25810374</v>
      </c>
      <c r="S104" s="280"/>
      <c r="T104" s="280"/>
      <c r="U104" s="280"/>
      <c r="V104" s="280"/>
      <c r="W104" s="280"/>
      <c r="X104" s="274"/>
      <c r="Y104" s="274"/>
      <c r="Z104" s="288"/>
      <c r="AA104" s="274"/>
      <c r="AB104" s="288"/>
      <c r="AC104" s="274"/>
    </row>
    <row r="105" ht="36" spans="1:29">
      <c r="A105" s="273"/>
      <c r="B105" s="274" t="s">
        <v>2114</v>
      </c>
      <c r="C105" s="275" t="s">
        <v>1124</v>
      </c>
      <c r="D105" s="274" t="s">
        <v>194</v>
      </c>
      <c r="E105" s="274"/>
      <c r="F105" s="276">
        <f t="shared" si="74"/>
        <v>342</v>
      </c>
      <c r="G105" s="276">
        <v>114</v>
      </c>
      <c r="H105" s="276">
        <v>114</v>
      </c>
      <c r="I105" s="276">
        <v>114</v>
      </c>
      <c r="J105" s="274" t="s">
        <v>2179</v>
      </c>
      <c r="K105" s="280" t="s">
        <v>320</v>
      </c>
      <c r="L105" s="276">
        <f t="shared" si="85"/>
        <v>342</v>
      </c>
      <c r="M105" s="274">
        <v>2018</v>
      </c>
      <c r="N105" s="274">
        <v>2020</v>
      </c>
      <c r="O105" s="280">
        <f t="shared" si="76"/>
        <v>14.51335038</v>
      </c>
      <c r="P105" s="280">
        <v>4.384698</v>
      </c>
      <c r="Q105" s="280">
        <f t="shared" si="86"/>
        <v>4.8231678</v>
      </c>
      <c r="R105" s="280">
        <f t="shared" si="87"/>
        <v>5.30548458</v>
      </c>
      <c r="S105" s="280"/>
      <c r="T105" s="280"/>
      <c r="U105" s="280"/>
      <c r="V105" s="280"/>
      <c r="W105" s="280"/>
      <c r="X105" s="274"/>
      <c r="Y105" s="274"/>
      <c r="Z105" s="288"/>
      <c r="AA105" s="274"/>
      <c r="AB105" s="288"/>
      <c r="AC105" s="274"/>
    </row>
    <row r="106" ht="36" spans="1:29">
      <c r="A106" s="273"/>
      <c r="B106" s="274" t="s">
        <v>2116</v>
      </c>
      <c r="C106" s="275" t="s">
        <v>1124</v>
      </c>
      <c r="D106" s="274" t="s">
        <v>194</v>
      </c>
      <c r="E106" s="274"/>
      <c r="F106" s="276">
        <f t="shared" si="74"/>
        <v>228</v>
      </c>
      <c r="G106" s="276">
        <v>76</v>
      </c>
      <c r="H106" s="276">
        <v>76</v>
      </c>
      <c r="I106" s="276">
        <v>76</v>
      </c>
      <c r="J106" s="274" t="s">
        <v>2180</v>
      </c>
      <c r="K106" s="280" t="s">
        <v>320</v>
      </c>
      <c r="L106" s="276">
        <f t="shared" si="85"/>
        <v>228</v>
      </c>
      <c r="M106" s="274">
        <v>2018</v>
      </c>
      <c r="N106" s="274">
        <v>2020</v>
      </c>
      <c r="O106" s="280">
        <f t="shared" si="76"/>
        <v>10.66519403</v>
      </c>
      <c r="P106" s="280">
        <v>3.222113</v>
      </c>
      <c r="Q106" s="280">
        <f t="shared" si="86"/>
        <v>3.5443243</v>
      </c>
      <c r="R106" s="280">
        <f t="shared" si="87"/>
        <v>3.89875673</v>
      </c>
      <c r="S106" s="280"/>
      <c r="T106" s="280"/>
      <c r="U106" s="280"/>
      <c r="V106" s="280"/>
      <c r="W106" s="280"/>
      <c r="X106" s="274"/>
      <c r="Y106" s="274"/>
      <c r="Z106" s="288"/>
      <c r="AA106" s="274"/>
      <c r="AB106" s="288"/>
      <c r="AC106" s="274"/>
    </row>
    <row r="107" ht="36" spans="1:29">
      <c r="A107" s="273"/>
      <c r="B107" s="274" t="s">
        <v>2118</v>
      </c>
      <c r="C107" s="275" t="s">
        <v>1124</v>
      </c>
      <c r="D107" s="274" t="s">
        <v>194</v>
      </c>
      <c r="E107" s="274"/>
      <c r="F107" s="276">
        <f t="shared" si="74"/>
        <v>312</v>
      </c>
      <c r="G107" s="276">
        <v>104</v>
      </c>
      <c r="H107" s="276">
        <v>104</v>
      </c>
      <c r="I107" s="276">
        <v>104</v>
      </c>
      <c r="J107" s="274" t="s">
        <v>2181</v>
      </c>
      <c r="K107" s="280" t="s">
        <v>320</v>
      </c>
      <c r="L107" s="276">
        <f t="shared" si="85"/>
        <v>312</v>
      </c>
      <c r="M107" s="274">
        <v>2018</v>
      </c>
      <c r="N107" s="274">
        <v>2020</v>
      </c>
      <c r="O107" s="280">
        <f t="shared" si="76"/>
        <v>14.23544278</v>
      </c>
      <c r="P107" s="280">
        <v>4.300738</v>
      </c>
      <c r="Q107" s="280">
        <f t="shared" si="86"/>
        <v>4.7308118</v>
      </c>
      <c r="R107" s="280">
        <f t="shared" si="87"/>
        <v>5.20389298</v>
      </c>
      <c r="S107" s="280"/>
      <c r="T107" s="280"/>
      <c r="U107" s="280"/>
      <c r="V107" s="280"/>
      <c r="W107" s="280"/>
      <c r="X107" s="274"/>
      <c r="Y107" s="274"/>
      <c r="Z107" s="288"/>
      <c r="AA107" s="274"/>
      <c r="AB107" s="288"/>
      <c r="AC107" s="274"/>
    </row>
    <row r="108" ht="36" spans="1:29">
      <c r="A108" s="273"/>
      <c r="B108" s="274" t="s">
        <v>2124</v>
      </c>
      <c r="C108" s="275" t="s">
        <v>1124</v>
      </c>
      <c r="D108" s="274" t="s">
        <v>194</v>
      </c>
      <c r="E108" s="274"/>
      <c r="F108" s="276">
        <f t="shared" si="74"/>
        <v>18</v>
      </c>
      <c r="G108" s="276">
        <v>6</v>
      </c>
      <c r="H108" s="276">
        <v>6</v>
      </c>
      <c r="I108" s="276">
        <v>6</v>
      </c>
      <c r="J108" s="274" t="s">
        <v>2182</v>
      </c>
      <c r="K108" s="280" t="s">
        <v>320</v>
      </c>
      <c r="L108" s="276">
        <f t="shared" si="85"/>
        <v>18</v>
      </c>
      <c r="M108" s="274">
        <v>2018</v>
      </c>
      <c r="N108" s="274">
        <v>2020</v>
      </c>
      <c r="O108" s="280">
        <f t="shared" si="76"/>
        <v>0.51560201</v>
      </c>
      <c r="P108" s="280">
        <v>0.155771</v>
      </c>
      <c r="Q108" s="280">
        <f t="shared" si="86"/>
        <v>0.1713481</v>
      </c>
      <c r="R108" s="280">
        <f t="shared" si="87"/>
        <v>0.18848291</v>
      </c>
      <c r="S108" s="280"/>
      <c r="T108" s="280"/>
      <c r="U108" s="280"/>
      <c r="V108" s="280"/>
      <c r="W108" s="280"/>
      <c r="X108" s="274"/>
      <c r="Y108" s="274"/>
      <c r="Z108" s="288"/>
      <c r="AA108" s="274"/>
      <c r="AB108" s="288"/>
      <c r="AC108" s="274"/>
    </row>
    <row r="109" ht="36" spans="1:29">
      <c r="A109" s="273"/>
      <c r="B109" s="274" t="s">
        <v>2125</v>
      </c>
      <c r="C109" s="275" t="s">
        <v>1124</v>
      </c>
      <c r="D109" s="274" t="s">
        <v>194</v>
      </c>
      <c r="E109" s="274"/>
      <c r="F109" s="276">
        <f t="shared" si="74"/>
        <v>279</v>
      </c>
      <c r="G109" s="276">
        <v>93</v>
      </c>
      <c r="H109" s="276">
        <v>93</v>
      </c>
      <c r="I109" s="276">
        <v>93</v>
      </c>
      <c r="J109" s="274" t="s">
        <v>2183</v>
      </c>
      <c r="K109" s="280" t="s">
        <v>320</v>
      </c>
      <c r="L109" s="276">
        <f t="shared" si="85"/>
        <v>279</v>
      </c>
      <c r="M109" s="274">
        <v>2018</v>
      </c>
      <c r="N109" s="274">
        <v>2020</v>
      </c>
      <c r="O109" s="280">
        <f t="shared" si="76"/>
        <v>14.29768071</v>
      </c>
      <c r="P109" s="280">
        <v>4.319541</v>
      </c>
      <c r="Q109" s="280">
        <f t="shared" si="86"/>
        <v>4.7514951</v>
      </c>
      <c r="R109" s="280">
        <f t="shared" si="87"/>
        <v>5.22664461</v>
      </c>
      <c r="S109" s="280"/>
      <c r="T109" s="280"/>
      <c r="U109" s="280"/>
      <c r="V109" s="280"/>
      <c r="W109" s="280"/>
      <c r="X109" s="274"/>
      <c r="Y109" s="274"/>
      <c r="Z109" s="288"/>
      <c r="AA109" s="274"/>
      <c r="AB109" s="288"/>
      <c r="AC109" s="274"/>
    </row>
    <row r="110" ht="30" customHeight="1" spans="1:29">
      <c r="A110" s="273">
        <v>24</v>
      </c>
      <c r="B110" s="277" t="s">
        <v>355</v>
      </c>
      <c r="C110" s="275" t="s">
        <v>1124</v>
      </c>
      <c r="D110" s="274" t="s">
        <v>147</v>
      </c>
      <c r="E110" s="274"/>
      <c r="F110" s="276">
        <f t="shared" ref="F110:I110" si="88">SUM(F111:F117)</f>
        <v>36</v>
      </c>
      <c r="G110" s="276">
        <f t="shared" si="88"/>
        <v>36</v>
      </c>
      <c r="H110" s="276">
        <f t="shared" si="88"/>
        <v>36</v>
      </c>
      <c r="I110" s="276">
        <f t="shared" si="88"/>
        <v>36</v>
      </c>
      <c r="J110" s="274" t="s">
        <v>2184</v>
      </c>
      <c r="K110" s="280" t="s">
        <v>320</v>
      </c>
      <c r="L110" s="276">
        <f>SUM(L111:L117)</f>
        <v>36</v>
      </c>
      <c r="M110" s="274">
        <v>2018</v>
      </c>
      <c r="N110" s="274">
        <v>2020</v>
      </c>
      <c r="O110" s="280" t="s">
        <v>320</v>
      </c>
      <c r="P110" s="280" t="s">
        <v>320</v>
      </c>
      <c r="Q110" s="280" t="s">
        <v>320</v>
      </c>
      <c r="R110" s="280" t="s">
        <v>320</v>
      </c>
      <c r="S110" s="280" t="s">
        <v>320</v>
      </c>
      <c r="T110" s="280" t="s">
        <v>320</v>
      </c>
      <c r="U110" s="280" t="s">
        <v>320</v>
      </c>
      <c r="V110" s="280" t="s">
        <v>320</v>
      </c>
      <c r="W110" s="280" t="s">
        <v>320</v>
      </c>
      <c r="X110" s="288" t="s">
        <v>2108</v>
      </c>
      <c r="Y110" s="274" t="s">
        <v>2132</v>
      </c>
      <c r="Z110" s="288" t="s">
        <v>358</v>
      </c>
      <c r="AA110" s="274" t="s">
        <v>2175</v>
      </c>
      <c r="AB110" s="288" t="s">
        <v>2185</v>
      </c>
      <c r="AC110" s="274" t="s">
        <v>1073</v>
      </c>
    </row>
    <row r="111" ht="30" customHeight="1" spans="1:29">
      <c r="A111" s="273"/>
      <c r="B111" s="274" t="s">
        <v>2123</v>
      </c>
      <c r="C111" s="275" t="s">
        <v>1124</v>
      </c>
      <c r="D111" s="274" t="s">
        <v>147</v>
      </c>
      <c r="E111" s="274"/>
      <c r="F111" s="276">
        <v>6</v>
      </c>
      <c r="G111" s="276">
        <v>6</v>
      </c>
      <c r="H111" s="276">
        <v>6</v>
      </c>
      <c r="I111" s="276">
        <v>6</v>
      </c>
      <c r="J111" s="274" t="s">
        <v>2137</v>
      </c>
      <c r="K111" s="280" t="s">
        <v>320</v>
      </c>
      <c r="L111" s="276">
        <v>6</v>
      </c>
      <c r="M111" s="274">
        <v>2018</v>
      </c>
      <c r="N111" s="274">
        <v>2020</v>
      </c>
      <c r="O111" s="280" t="s">
        <v>320</v>
      </c>
      <c r="P111" s="280" t="s">
        <v>320</v>
      </c>
      <c r="Q111" s="280" t="s">
        <v>320</v>
      </c>
      <c r="R111" s="280" t="s">
        <v>320</v>
      </c>
      <c r="S111" s="280"/>
      <c r="T111" s="280"/>
      <c r="U111" s="280"/>
      <c r="V111" s="280"/>
      <c r="W111" s="280"/>
      <c r="X111" s="289"/>
      <c r="Y111" s="289"/>
      <c r="Z111" s="288"/>
      <c r="AA111" s="274"/>
      <c r="AB111" s="288"/>
      <c r="AC111" s="274"/>
    </row>
    <row r="112" ht="30" customHeight="1" spans="1:29">
      <c r="A112" s="273"/>
      <c r="B112" s="274" t="s">
        <v>2112</v>
      </c>
      <c r="C112" s="275" t="s">
        <v>1124</v>
      </c>
      <c r="D112" s="274" t="s">
        <v>147</v>
      </c>
      <c r="E112" s="274"/>
      <c r="F112" s="291">
        <v>4</v>
      </c>
      <c r="G112" s="291">
        <v>4</v>
      </c>
      <c r="H112" s="291">
        <v>4</v>
      </c>
      <c r="I112" s="291">
        <v>4</v>
      </c>
      <c r="J112" s="274" t="s">
        <v>2135</v>
      </c>
      <c r="K112" s="280" t="s">
        <v>320</v>
      </c>
      <c r="L112" s="291">
        <v>4</v>
      </c>
      <c r="M112" s="274">
        <v>2018</v>
      </c>
      <c r="N112" s="274">
        <v>2020</v>
      </c>
      <c r="O112" s="280" t="s">
        <v>320</v>
      </c>
      <c r="P112" s="280" t="s">
        <v>320</v>
      </c>
      <c r="Q112" s="280" t="s">
        <v>320</v>
      </c>
      <c r="R112" s="280" t="s">
        <v>320</v>
      </c>
      <c r="S112" s="280"/>
      <c r="T112" s="280"/>
      <c r="U112" s="280"/>
      <c r="V112" s="280"/>
      <c r="W112" s="280"/>
      <c r="X112" s="288"/>
      <c r="Y112" s="288"/>
      <c r="Z112" s="288"/>
      <c r="AA112" s="274"/>
      <c r="AB112" s="288"/>
      <c r="AC112" s="274"/>
    </row>
    <row r="113" ht="36" spans="1:29">
      <c r="A113" s="273"/>
      <c r="B113" s="274" t="s">
        <v>2114</v>
      </c>
      <c r="C113" s="275" t="s">
        <v>1124</v>
      </c>
      <c r="D113" s="274" t="s">
        <v>147</v>
      </c>
      <c r="E113" s="274"/>
      <c r="F113" s="276">
        <v>9</v>
      </c>
      <c r="G113" s="276">
        <v>9</v>
      </c>
      <c r="H113" s="276">
        <v>9</v>
      </c>
      <c r="I113" s="276">
        <v>9</v>
      </c>
      <c r="J113" s="274" t="s">
        <v>2139</v>
      </c>
      <c r="K113" s="280" t="s">
        <v>320</v>
      </c>
      <c r="L113" s="276">
        <v>9</v>
      </c>
      <c r="M113" s="274">
        <v>2018</v>
      </c>
      <c r="N113" s="274">
        <v>2020</v>
      </c>
      <c r="O113" s="280" t="s">
        <v>320</v>
      </c>
      <c r="P113" s="280" t="s">
        <v>320</v>
      </c>
      <c r="Q113" s="280" t="s">
        <v>320</v>
      </c>
      <c r="R113" s="280" t="s">
        <v>320</v>
      </c>
      <c r="S113" s="280"/>
      <c r="T113" s="280"/>
      <c r="U113" s="280"/>
      <c r="V113" s="280"/>
      <c r="W113" s="280"/>
      <c r="X113" s="289"/>
      <c r="Y113" s="289"/>
      <c r="Z113" s="288"/>
      <c r="AA113" s="274"/>
      <c r="AB113" s="274" t="s">
        <v>2186</v>
      </c>
      <c r="AC113" s="273"/>
    </row>
    <row r="114" ht="30" customHeight="1" spans="1:29">
      <c r="A114" s="273"/>
      <c r="B114" s="274" t="s">
        <v>2116</v>
      </c>
      <c r="C114" s="275" t="s">
        <v>1124</v>
      </c>
      <c r="D114" s="274" t="s">
        <v>147</v>
      </c>
      <c r="E114" s="274"/>
      <c r="F114" s="276">
        <v>2</v>
      </c>
      <c r="G114" s="276">
        <v>2</v>
      </c>
      <c r="H114" s="276">
        <v>2</v>
      </c>
      <c r="I114" s="276">
        <v>2</v>
      </c>
      <c r="J114" s="274" t="s">
        <v>2163</v>
      </c>
      <c r="K114" s="280" t="s">
        <v>320</v>
      </c>
      <c r="L114" s="276">
        <v>2</v>
      </c>
      <c r="M114" s="274">
        <v>2018</v>
      </c>
      <c r="N114" s="274">
        <v>2020</v>
      </c>
      <c r="O114" s="280" t="s">
        <v>320</v>
      </c>
      <c r="P114" s="280" t="s">
        <v>320</v>
      </c>
      <c r="Q114" s="280" t="s">
        <v>320</v>
      </c>
      <c r="R114" s="280" t="s">
        <v>320</v>
      </c>
      <c r="S114" s="280"/>
      <c r="T114" s="280"/>
      <c r="U114" s="280"/>
      <c r="V114" s="280"/>
      <c r="W114" s="280"/>
      <c r="X114" s="289"/>
      <c r="Y114" s="289"/>
      <c r="Z114" s="288"/>
      <c r="AA114" s="274"/>
      <c r="AB114" s="288"/>
      <c r="AC114" s="274"/>
    </row>
    <row r="115" ht="30" customHeight="1" spans="1:29">
      <c r="A115" s="273"/>
      <c r="B115" s="274" t="s">
        <v>2118</v>
      </c>
      <c r="C115" s="275" t="s">
        <v>1124</v>
      </c>
      <c r="D115" s="274" t="s">
        <v>147</v>
      </c>
      <c r="E115" s="274"/>
      <c r="F115" s="276">
        <v>9</v>
      </c>
      <c r="G115" s="276">
        <v>9</v>
      </c>
      <c r="H115" s="276">
        <v>9</v>
      </c>
      <c r="I115" s="276">
        <v>9</v>
      </c>
      <c r="J115" s="274" t="s">
        <v>2139</v>
      </c>
      <c r="K115" s="280" t="s">
        <v>320</v>
      </c>
      <c r="L115" s="276">
        <v>9</v>
      </c>
      <c r="M115" s="274">
        <v>2018</v>
      </c>
      <c r="N115" s="274">
        <v>2020</v>
      </c>
      <c r="O115" s="280" t="s">
        <v>320</v>
      </c>
      <c r="P115" s="280" t="s">
        <v>320</v>
      </c>
      <c r="Q115" s="280" t="s">
        <v>320</v>
      </c>
      <c r="R115" s="280" t="s">
        <v>320</v>
      </c>
      <c r="S115" s="280"/>
      <c r="T115" s="280"/>
      <c r="U115" s="280"/>
      <c r="V115" s="280"/>
      <c r="W115" s="280"/>
      <c r="X115" s="288"/>
      <c r="Y115" s="288"/>
      <c r="Z115" s="288"/>
      <c r="AA115" s="274"/>
      <c r="AB115" s="288"/>
      <c r="AC115" s="274"/>
    </row>
    <row r="116" ht="30" customHeight="1" spans="1:29">
      <c r="A116" s="273"/>
      <c r="B116" s="274" t="s">
        <v>2124</v>
      </c>
      <c r="C116" s="275" t="s">
        <v>1124</v>
      </c>
      <c r="D116" s="274" t="s">
        <v>147</v>
      </c>
      <c r="E116" s="274"/>
      <c r="F116" s="276">
        <v>2</v>
      </c>
      <c r="G116" s="276">
        <v>2</v>
      </c>
      <c r="H116" s="276">
        <v>2</v>
      </c>
      <c r="I116" s="276">
        <v>2</v>
      </c>
      <c r="J116" s="274" t="s">
        <v>2163</v>
      </c>
      <c r="K116" s="280" t="s">
        <v>320</v>
      </c>
      <c r="L116" s="276">
        <v>2</v>
      </c>
      <c r="M116" s="274">
        <v>2018</v>
      </c>
      <c r="N116" s="274">
        <v>2020</v>
      </c>
      <c r="O116" s="280" t="s">
        <v>320</v>
      </c>
      <c r="P116" s="280" t="s">
        <v>320</v>
      </c>
      <c r="Q116" s="280" t="s">
        <v>320</v>
      </c>
      <c r="R116" s="280" t="s">
        <v>320</v>
      </c>
      <c r="S116" s="280"/>
      <c r="T116" s="280"/>
      <c r="U116" s="280"/>
      <c r="V116" s="280"/>
      <c r="W116" s="280"/>
      <c r="X116" s="288"/>
      <c r="Y116" s="288"/>
      <c r="Z116" s="288"/>
      <c r="AA116" s="274"/>
      <c r="AB116" s="288"/>
      <c r="AC116" s="274"/>
    </row>
    <row r="117" ht="30" customHeight="1" spans="1:29">
      <c r="A117" s="273"/>
      <c r="B117" s="274" t="s">
        <v>2125</v>
      </c>
      <c r="C117" s="275" t="s">
        <v>1124</v>
      </c>
      <c r="D117" s="274" t="s">
        <v>147</v>
      </c>
      <c r="E117" s="274"/>
      <c r="F117" s="276">
        <v>4</v>
      </c>
      <c r="G117" s="276">
        <v>4</v>
      </c>
      <c r="H117" s="276">
        <v>4</v>
      </c>
      <c r="I117" s="276">
        <v>4</v>
      </c>
      <c r="J117" s="274" t="s">
        <v>2135</v>
      </c>
      <c r="K117" s="280" t="s">
        <v>320</v>
      </c>
      <c r="L117" s="276">
        <v>4</v>
      </c>
      <c r="M117" s="274">
        <v>2018</v>
      </c>
      <c r="N117" s="274">
        <v>2020</v>
      </c>
      <c r="O117" s="280" t="s">
        <v>320</v>
      </c>
      <c r="P117" s="280" t="s">
        <v>320</v>
      </c>
      <c r="Q117" s="280" t="s">
        <v>320</v>
      </c>
      <c r="R117" s="280" t="s">
        <v>320</v>
      </c>
      <c r="S117" s="280"/>
      <c r="T117" s="280"/>
      <c r="U117" s="280"/>
      <c r="V117" s="280"/>
      <c r="W117" s="280"/>
      <c r="X117" s="274"/>
      <c r="Y117" s="274"/>
      <c r="Z117" s="288"/>
      <c r="AA117" s="274"/>
      <c r="AB117" s="288"/>
      <c r="AC117" s="274"/>
    </row>
    <row r="118" ht="48" spans="1:29">
      <c r="A118" s="273">
        <v>25</v>
      </c>
      <c r="B118" s="277" t="s">
        <v>370</v>
      </c>
      <c r="C118" s="275" t="s">
        <v>1124</v>
      </c>
      <c r="D118" s="274" t="s">
        <v>194</v>
      </c>
      <c r="E118" s="274"/>
      <c r="F118" s="276">
        <f t="shared" ref="F118:F161" si="89">SUM(G118:I118)</f>
        <v>2082</v>
      </c>
      <c r="G118" s="276">
        <v>694</v>
      </c>
      <c r="H118" s="276">
        <v>694</v>
      </c>
      <c r="I118" s="276">
        <v>694</v>
      </c>
      <c r="J118" s="280" t="s">
        <v>2187</v>
      </c>
      <c r="K118" s="280" t="s">
        <v>320</v>
      </c>
      <c r="L118" s="276">
        <f>SUM(L119:L125)</f>
        <v>2082</v>
      </c>
      <c r="M118" s="274">
        <v>2018</v>
      </c>
      <c r="N118" s="274">
        <v>2020</v>
      </c>
      <c r="O118" s="280">
        <f t="shared" ref="O118:O126" si="90">SUM(P118:R118)</f>
        <v>33.27</v>
      </c>
      <c r="P118" s="280">
        <v>10.05</v>
      </c>
      <c r="Q118" s="280">
        <v>11.06</v>
      </c>
      <c r="R118" s="280">
        <v>12.16</v>
      </c>
      <c r="S118" s="280">
        <f>SUM(P118:R118)</f>
        <v>33.27</v>
      </c>
      <c r="T118" s="280"/>
      <c r="U118" s="280"/>
      <c r="V118" s="280"/>
      <c r="W118" s="280"/>
      <c r="X118" s="288" t="s">
        <v>2108</v>
      </c>
      <c r="Y118" s="274" t="s">
        <v>2132</v>
      </c>
      <c r="Z118" s="288" t="s">
        <v>358</v>
      </c>
      <c r="AA118" s="274" t="s">
        <v>2175</v>
      </c>
      <c r="AB118" s="288" t="s">
        <v>2176</v>
      </c>
      <c r="AC118" s="274" t="s">
        <v>1073</v>
      </c>
    </row>
    <row r="119" ht="36" spans="1:29">
      <c r="A119" s="273"/>
      <c r="B119" s="274" t="s">
        <v>2123</v>
      </c>
      <c r="C119" s="275" t="s">
        <v>1124</v>
      </c>
      <c r="D119" s="274" t="s">
        <v>194</v>
      </c>
      <c r="E119" s="274"/>
      <c r="F119" s="276">
        <f t="shared" si="89"/>
        <v>690</v>
      </c>
      <c r="G119" s="276">
        <v>230</v>
      </c>
      <c r="H119" s="276">
        <v>230</v>
      </c>
      <c r="I119" s="276">
        <v>230</v>
      </c>
      <c r="J119" s="274" t="s">
        <v>2188</v>
      </c>
      <c r="K119" s="280" t="s">
        <v>320</v>
      </c>
      <c r="L119" s="276">
        <f t="shared" ref="L119:L125" si="91">SUM(G119:I119)</f>
        <v>690</v>
      </c>
      <c r="M119" s="274">
        <v>2018</v>
      </c>
      <c r="N119" s="274">
        <v>2020</v>
      </c>
      <c r="O119" s="280">
        <f t="shared" si="90"/>
        <v>13.8813456</v>
      </c>
      <c r="P119" s="280">
        <v>4.19376</v>
      </c>
      <c r="Q119" s="280">
        <f t="shared" ref="Q119:Q125" si="92">P119*1.1</f>
        <v>4.613136</v>
      </c>
      <c r="R119" s="280">
        <f t="shared" ref="R119:R125" si="93">Q119*1.1</f>
        <v>5.0744496</v>
      </c>
      <c r="S119" s="280"/>
      <c r="T119" s="280"/>
      <c r="U119" s="280"/>
      <c r="V119" s="280"/>
      <c r="W119" s="280"/>
      <c r="X119" s="289"/>
      <c r="Y119" s="289"/>
      <c r="Z119" s="288"/>
      <c r="AA119" s="274"/>
      <c r="AB119" s="288"/>
      <c r="AC119" s="274"/>
    </row>
    <row r="120" ht="30" customHeight="1" spans="1:29">
      <c r="A120" s="273"/>
      <c r="B120" s="274" t="s">
        <v>2112</v>
      </c>
      <c r="C120" s="275" t="s">
        <v>1124</v>
      </c>
      <c r="D120" s="274" t="s">
        <v>194</v>
      </c>
      <c r="E120" s="274"/>
      <c r="F120" s="276">
        <f t="shared" si="89"/>
        <v>258</v>
      </c>
      <c r="G120" s="276">
        <v>86</v>
      </c>
      <c r="H120" s="276">
        <v>86</v>
      </c>
      <c r="I120" s="276">
        <v>86</v>
      </c>
      <c r="J120" s="274" t="s">
        <v>2189</v>
      </c>
      <c r="K120" s="280" t="s">
        <v>320</v>
      </c>
      <c r="L120" s="276">
        <f t="shared" si="91"/>
        <v>258</v>
      </c>
      <c r="M120" s="274">
        <v>2018</v>
      </c>
      <c r="N120" s="274">
        <v>2020</v>
      </c>
      <c r="O120" s="280">
        <f t="shared" si="90"/>
        <v>3.30651126</v>
      </c>
      <c r="P120" s="280">
        <v>0.998946</v>
      </c>
      <c r="Q120" s="280">
        <f t="shared" si="92"/>
        <v>1.0988406</v>
      </c>
      <c r="R120" s="280">
        <f t="shared" si="93"/>
        <v>1.20872466</v>
      </c>
      <c r="S120" s="280"/>
      <c r="T120" s="280"/>
      <c r="U120" s="280"/>
      <c r="V120" s="280"/>
      <c r="W120" s="280"/>
      <c r="X120" s="274"/>
      <c r="Y120" s="274"/>
      <c r="Z120" s="288"/>
      <c r="AA120" s="274"/>
      <c r="AB120" s="288"/>
      <c r="AC120" s="274"/>
    </row>
    <row r="121" ht="36" spans="1:29">
      <c r="A121" s="273"/>
      <c r="B121" s="274" t="s">
        <v>2114</v>
      </c>
      <c r="C121" s="275" t="s">
        <v>1124</v>
      </c>
      <c r="D121" s="274" t="s">
        <v>194</v>
      </c>
      <c r="E121" s="274"/>
      <c r="F121" s="276">
        <f t="shared" si="89"/>
        <v>330</v>
      </c>
      <c r="G121" s="276">
        <v>110</v>
      </c>
      <c r="H121" s="276">
        <v>110</v>
      </c>
      <c r="I121" s="276">
        <v>110</v>
      </c>
      <c r="J121" s="274" t="s">
        <v>2190</v>
      </c>
      <c r="K121" s="280" t="s">
        <v>320</v>
      </c>
      <c r="L121" s="276">
        <f t="shared" si="91"/>
        <v>330</v>
      </c>
      <c r="M121" s="274">
        <v>2018</v>
      </c>
      <c r="N121" s="274">
        <v>2020</v>
      </c>
      <c r="O121" s="280">
        <f t="shared" si="90"/>
        <v>5.0349734</v>
      </c>
      <c r="P121" s="280">
        <v>1.52114</v>
      </c>
      <c r="Q121" s="280">
        <f t="shared" si="92"/>
        <v>1.673254</v>
      </c>
      <c r="R121" s="280">
        <f t="shared" si="93"/>
        <v>1.8405794</v>
      </c>
      <c r="S121" s="280"/>
      <c r="T121" s="280"/>
      <c r="U121" s="280"/>
      <c r="V121" s="280"/>
      <c r="W121" s="280"/>
      <c r="X121" s="274"/>
      <c r="Y121" s="274"/>
      <c r="Z121" s="288"/>
      <c r="AA121" s="274"/>
      <c r="AB121" s="288"/>
      <c r="AC121" s="274"/>
    </row>
    <row r="122" ht="36" spans="1:29">
      <c r="A122" s="273"/>
      <c r="B122" s="274" t="s">
        <v>2116</v>
      </c>
      <c r="C122" s="275" t="s">
        <v>1124</v>
      </c>
      <c r="D122" s="274" t="s">
        <v>194</v>
      </c>
      <c r="E122" s="274"/>
      <c r="F122" s="276">
        <f t="shared" si="89"/>
        <v>228</v>
      </c>
      <c r="G122" s="276">
        <v>76</v>
      </c>
      <c r="H122" s="276">
        <v>76</v>
      </c>
      <c r="I122" s="276">
        <v>76</v>
      </c>
      <c r="J122" s="274" t="s">
        <v>2191</v>
      </c>
      <c r="K122" s="280" t="s">
        <v>320</v>
      </c>
      <c r="L122" s="276">
        <f t="shared" si="91"/>
        <v>228</v>
      </c>
      <c r="M122" s="274">
        <v>2018</v>
      </c>
      <c r="N122" s="274">
        <v>2020</v>
      </c>
      <c r="O122" s="280">
        <f t="shared" si="90"/>
        <v>3.41749887</v>
      </c>
      <c r="P122" s="280">
        <v>1.032477</v>
      </c>
      <c r="Q122" s="280">
        <f t="shared" si="92"/>
        <v>1.1357247</v>
      </c>
      <c r="R122" s="280">
        <f t="shared" si="93"/>
        <v>1.24929717</v>
      </c>
      <c r="S122" s="280"/>
      <c r="T122" s="280"/>
      <c r="U122" s="280"/>
      <c r="V122" s="280"/>
      <c r="W122" s="280"/>
      <c r="X122" s="288"/>
      <c r="Y122" s="288"/>
      <c r="Z122" s="288"/>
      <c r="AA122" s="274"/>
      <c r="AB122" s="288"/>
      <c r="AC122" s="274"/>
    </row>
    <row r="123" ht="36" spans="1:29">
      <c r="A123" s="273"/>
      <c r="B123" s="274" t="s">
        <v>2118</v>
      </c>
      <c r="C123" s="275" t="s">
        <v>1124</v>
      </c>
      <c r="D123" s="274" t="s">
        <v>194</v>
      </c>
      <c r="E123" s="274"/>
      <c r="F123" s="276">
        <f t="shared" si="89"/>
        <v>315</v>
      </c>
      <c r="G123" s="276">
        <v>105</v>
      </c>
      <c r="H123" s="276">
        <v>105</v>
      </c>
      <c r="I123" s="276">
        <v>105</v>
      </c>
      <c r="J123" s="274" t="s">
        <v>2192</v>
      </c>
      <c r="K123" s="280" t="s">
        <v>320</v>
      </c>
      <c r="L123" s="276">
        <f t="shared" si="91"/>
        <v>315</v>
      </c>
      <c r="M123" s="274">
        <v>2018</v>
      </c>
      <c r="N123" s="274">
        <v>2020</v>
      </c>
      <c r="O123" s="280">
        <f t="shared" si="90"/>
        <v>4.57212286</v>
      </c>
      <c r="P123" s="280">
        <v>1.381306</v>
      </c>
      <c r="Q123" s="280">
        <f t="shared" si="92"/>
        <v>1.5194366</v>
      </c>
      <c r="R123" s="280">
        <f t="shared" si="93"/>
        <v>1.67138026</v>
      </c>
      <c r="S123" s="280"/>
      <c r="T123" s="280"/>
      <c r="U123" s="280"/>
      <c r="V123" s="280"/>
      <c r="W123" s="280"/>
      <c r="X123" s="288"/>
      <c r="Y123" s="288"/>
      <c r="Z123" s="288"/>
      <c r="AA123" s="274"/>
      <c r="AB123" s="288"/>
      <c r="AC123" s="274"/>
    </row>
    <row r="124" ht="36" spans="1:29">
      <c r="A124" s="273"/>
      <c r="B124" s="274" t="s">
        <v>2124</v>
      </c>
      <c r="C124" s="275" t="s">
        <v>1124</v>
      </c>
      <c r="D124" s="274" t="s">
        <v>194</v>
      </c>
      <c r="E124" s="274"/>
      <c r="F124" s="276">
        <f t="shared" si="89"/>
        <v>15</v>
      </c>
      <c r="G124" s="276">
        <v>5</v>
      </c>
      <c r="H124" s="276">
        <v>5</v>
      </c>
      <c r="I124" s="276">
        <v>5</v>
      </c>
      <c r="J124" s="274" t="s">
        <v>2193</v>
      </c>
      <c r="K124" s="280" t="s">
        <v>320</v>
      </c>
      <c r="L124" s="276">
        <f t="shared" si="91"/>
        <v>15</v>
      </c>
      <c r="M124" s="274">
        <v>2018</v>
      </c>
      <c r="N124" s="274">
        <v>2020</v>
      </c>
      <c r="O124" s="280">
        <f t="shared" si="90"/>
        <v>0.15011512</v>
      </c>
      <c r="P124" s="280">
        <v>0.045352</v>
      </c>
      <c r="Q124" s="280">
        <f t="shared" si="92"/>
        <v>0.0498872</v>
      </c>
      <c r="R124" s="280">
        <f t="shared" si="93"/>
        <v>0.05487592</v>
      </c>
      <c r="S124" s="280"/>
      <c r="T124" s="280"/>
      <c r="U124" s="280"/>
      <c r="V124" s="280"/>
      <c r="W124" s="280"/>
      <c r="X124" s="288"/>
      <c r="Y124" s="288"/>
      <c r="Z124" s="288"/>
      <c r="AA124" s="274"/>
      <c r="AB124" s="288"/>
      <c r="AC124" s="274"/>
    </row>
    <row r="125" ht="36" spans="1:29">
      <c r="A125" s="273"/>
      <c r="B125" s="274" t="s">
        <v>2125</v>
      </c>
      <c r="C125" s="275" t="s">
        <v>1124</v>
      </c>
      <c r="D125" s="274" t="s">
        <v>194</v>
      </c>
      <c r="E125" s="274"/>
      <c r="F125" s="276">
        <f t="shared" si="89"/>
        <v>246</v>
      </c>
      <c r="G125" s="276">
        <v>82</v>
      </c>
      <c r="H125" s="276">
        <v>82</v>
      </c>
      <c r="I125" s="276">
        <v>82</v>
      </c>
      <c r="J125" s="274" t="s">
        <v>2194</v>
      </c>
      <c r="K125" s="280" t="s">
        <v>320</v>
      </c>
      <c r="L125" s="276">
        <f t="shared" si="91"/>
        <v>246</v>
      </c>
      <c r="M125" s="274">
        <v>2018</v>
      </c>
      <c r="N125" s="274">
        <v>2020</v>
      </c>
      <c r="O125" s="280">
        <f t="shared" si="90"/>
        <v>3.11227715</v>
      </c>
      <c r="P125" s="280">
        <v>0.940265</v>
      </c>
      <c r="Q125" s="280">
        <f t="shared" si="92"/>
        <v>1.0342915</v>
      </c>
      <c r="R125" s="280">
        <f t="shared" si="93"/>
        <v>1.13772065</v>
      </c>
      <c r="S125" s="280"/>
      <c r="T125" s="280"/>
      <c r="U125" s="280"/>
      <c r="V125" s="280"/>
      <c r="W125" s="280"/>
      <c r="X125" s="274"/>
      <c r="Y125" s="274"/>
      <c r="Z125" s="288"/>
      <c r="AA125" s="274"/>
      <c r="AB125" s="288"/>
      <c r="AC125" s="274"/>
    </row>
    <row r="126" ht="30" customHeight="1" spans="1:29">
      <c r="A126" s="273">
        <v>26</v>
      </c>
      <c r="B126" s="292" t="s">
        <v>819</v>
      </c>
      <c r="C126" s="275" t="s">
        <v>1124</v>
      </c>
      <c r="D126" s="274" t="s">
        <v>194</v>
      </c>
      <c r="E126" s="274"/>
      <c r="F126" s="276">
        <f t="shared" si="89"/>
        <v>6030</v>
      </c>
      <c r="G126" s="276">
        <f t="shared" ref="G126:I126" si="94">SUM(G127,G154,G162)</f>
        <v>1931</v>
      </c>
      <c r="H126" s="276">
        <f t="shared" si="94"/>
        <v>2108</v>
      </c>
      <c r="I126" s="276">
        <f t="shared" si="94"/>
        <v>1991</v>
      </c>
      <c r="J126" s="274" t="s">
        <v>320</v>
      </c>
      <c r="K126" s="274">
        <v>1351</v>
      </c>
      <c r="L126" s="274">
        <f t="shared" ref="L126:W126" si="95">SUM(L127,L154,L162)</f>
        <v>2682</v>
      </c>
      <c r="M126" s="274">
        <v>2018</v>
      </c>
      <c r="N126" s="274">
        <v>2020</v>
      </c>
      <c r="O126" s="280">
        <f t="shared" si="90"/>
        <v>201.7518</v>
      </c>
      <c r="P126" s="280">
        <f t="shared" si="95"/>
        <v>16.3902</v>
      </c>
      <c r="Q126" s="280">
        <f t="shared" si="95"/>
        <v>92.6808</v>
      </c>
      <c r="R126" s="280">
        <f t="shared" si="95"/>
        <v>92.6808</v>
      </c>
      <c r="S126" s="280">
        <f t="shared" si="95"/>
        <v>27.6</v>
      </c>
      <c r="T126" s="280">
        <f t="shared" si="95"/>
        <v>0</v>
      </c>
      <c r="U126" s="280">
        <f t="shared" si="95"/>
        <v>89.1018</v>
      </c>
      <c r="V126" s="280">
        <f t="shared" si="95"/>
        <v>85.05</v>
      </c>
      <c r="W126" s="280">
        <f t="shared" si="95"/>
        <v>0</v>
      </c>
      <c r="X126" s="274" t="s">
        <v>320</v>
      </c>
      <c r="Y126" s="274" t="s">
        <v>320</v>
      </c>
      <c r="Z126" s="274" t="s">
        <v>320</v>
      </c>
      <c r="AA126" s="274" t="s">
        <v>320</v>
      </c>
      <c r="AB126" s="274" t="s">
        <v>320</v>
      </c>
      <c r="AC126" s="274" t="s">
        <v>2106</v>
      </c>
    </row>
    <row r="127" ht="30" customHeight="1" spans="1:29">
      <c r="A127" s="273">
        <v>27</v>
      </c>
      <c r="B127" s="277" t="s">
        <v>239</v>
      </c>
      <c r="C127" s="275" t="s">
        <v>1124</v>
      </c>
      <c r="D127" s="274" t="s">
        <v>194</v>
      </c>
      <c r="E127" s="274"/>
      <c r="F127" s="276">
        <f t="shared" si="89"/>
        <v>3504</v>
      </c>
      <c r="G127" s="276">
        <f t="shared" ref="G127:I127" si="96">SUM(G128,G136,G144,G152)</f>
        <v>1185</v>
      </c>
      <c r="H127" s="276">
        <f t="shared" si="96"/>
        <v>1185</v>
      </c>
      <c r="I127" s="276">
        <f t="shared" si="96"/>
        <v>1134</v>
      </c>
      <c r="J127" s="274" t="s">
        <v>320</v>
      </c>
      <c r="K127" s="276">
        <f>SUM(K128,K136,K144,K152)</f>
        <v>1030</v>
      </c>
      <c r="L127" s="276">
        <f>SUM(L128,L136,L144,L152)</f>
        <v>1314</v>
      </c>
      <c r="M127" s="274">
        <v>2018</v>
      </c>
      <c r="N127" s="274">
        <v>2020</v>
      </c>
      <c r="O127" s="280" t="s">
        <v>320</v>
      </c>
      <c r="P127" s="280" t="s">
        <v>320</v>
      </c>
      <c r="Q127" s="280" t="s">
        <v>320</v>
      </c>
      <c r="R127" s="280" t="s">
        <v>320</v>
      </c>
      <c r="S127" s="280" t="s">
        <v>320</v>
      </c>
      <c r="T127" s="280" t="s">
        <v>320</v>
      </c>
      <c r="U127" s="280" t="s">
        <v>320</v>
      </c>
      <c r="V127" s="280" t="s">
        <v>320</v>
      </c>
      <c r="W127" s="280" t="s">
        <v>320</v>
      </c>
      <c r="X127" s="288" t="s">
        <v>2108</v>
      </c>
      <c r="Y127" s="274" t="s">
        <v>2132</v>
      </c>
      <c r="Z127" s="288" t="s">
        <v>195</v>
      </c>
      <c r="AA127" s="274" t="s">
        <v>2175</v>
      </c>
      <c r="AB127" s="280" t="s">
        <v>2195</v>
      </c>
      <c r="AC127" s="274" t="s">
        <v>1073</v>
      </c>
    </row>
    <row r="128" ht="30" customHeight="1" spans="1:29">
      <c r="A128" s="273">
        <v>28</v>
      </c>
      <c r="B128" s="277" t="s">
        <v>241</v>
      </c>
      <c r="C128" s="275" t="s">
        <v>1124</v>
      </c>
      <c r="D128" s="274" t="s">
        <v>194</v>
      </c>
      <c r="E128" s="274"/>
      <c r="F128" s="276">
        <f t="shared" si="89"/>
        <v>1744</v>
      </c>
      <c r="G128" s="276">
        <f t="shared" ref="G128:I128" si="97">SUM(G129:G135)</f>
        <v>588</v>
      </c>
      <c r="H128" s="276">
        <f t="shared" si="97"/>
        <v>588</v>
      </c>
      <c r="I128" s="276">
        <f t="shared" si="97"/>
        <v>568</v>
      </c>
      <c r="J128" s="274" t="s">
        <v>2196</v>
      </c>
      <c r="K128" s="276">
        <f>SUM(K129:K135)</f>
        <v>507</v>
      </c>
      <c r="L128" s="276">
        <f>SUM(L129:L135)</f>
        <v>628</v>
      </c>
      <c r="M128" s="274">
        <v>2018</v>
      </c>
      <c r="N128" s="274">
        <v>2020</v>
      </c>
      <c r="O128" s="280" t="s">
        <v>320</v>
      </c>
      <c r="P128" s="280" t="s">
        <v>320</v>
      </c>
      <c r="Q128" s="280" t="s">
        <v>320</v>
      </c>
      <c r="R128" s="280" t="s">
        <v>320</v>
      </c>
      <c r="S128" s="280" t="s">
        <v>320</v>
      </c>
      <c r="T128" s="280" t="s">
        <v>320</v>
      </c>
      <c r="U128" s="280" t="s">
        <v>320</v>
      </c>
      <c r="V128" s="280" t="s">
        <v>320</v>
      </c>
      <c r="W128" s="280" t="s">
        <v>320</v>
      </c>
      <c r="X128" s="288" t="s">
        <v>2108</v>
      </c>
      <c r="Y128" s="274" t="s">
        <v>2132</v>
      </c>
      <c r="Z128" s="280" t="s">
        <v>195</v>
      </c>
      <c r="AA128" s="274" t="s">
        <v>2175</v>
      </c>
      <c r="AB128" s="280" t="s">
        <v>2195</v>
      </c>
      <c r="AC128" s="274" t="s">
        <v>1073</v>
      </c>
    </row>
    <row r="129" s="258" customFormat="1" ht="30" customHeight="1" spans="1:29">
      <c r="A129" s="273"/>
      <c r="B129" s="274" t="s">
        <v>2123</v>
      </c>
      <c r="C129" s="275" t="s">
        <v>1124</v>
      </c>
      <c r="D129" s="274" t="s">
        <v>194</v>
      </c>
      <c r="E129" s="274"/>
      <c r="F129" s="276">
        <f t="shared" si="89"/>
        <v>567</v>
      </c>
      <c r="G129" s="276">
        <v>189</v>
      </c>
      <c r="H129" s="276">
        <v>189</v>
      </c>
      <c r="I129" s="276">
        <v>189</v>
      </c>
      <c r="J129" s="274" t="s">
        <v>2197</v>
      </c>
      <c r="K129" s="274">
        <v>135</v>
      </c>
      <c r="L129" s="274">
        <v>189</v>
      </c>
      <c r="M129" s="274">
        <v>2018</v>
      </c>
      <c r="N129" s="274">
        <v>2020</v>
      </c>
      <c r="O129" s="280" t="s">
        <v>320</v>
      </c>
      <c r="P129" s="280" t="s">
        <v>320</v>
      </c>
      <c r="Q129" s="280" t="s">
        <v>320</v>
      </c>
      <c r="R129" s="280" t="s">
        <v>320</v>
      </c>
      <c r="S129" s="280"/>
      <c r="T129" s="280"/>
      <c r="U129" s="280"/>
      <c r="V129" s="280"/>
      <c r="W129" s="280"/>
      <c r="X129" s="295"/>
      <c r="Y129" s="295"/>
      <c r="Z129" s="280"/>
      <c r="AA129" s="274"/>
      <c r="AB129" s="280"/>
      <c r="AC129" s="274"/>
    </row>
    <row r="130" s="258" customFormat="1" ht="30" customHeight="1" spans="1:29">
      <c r="A130" s="273"/>
      <c r="B130" s="274" t="s">
        <v>2112</v>
      </c>
      <c r="C130" s="275" t="s">
        <v>1124</v>
      </c>
      <c r="D130" s="274" t="s">
        <v>194</v>
      </c>
      <c r="E130" s="274"/>
      <c r="F130" s="276">
        <f t="shared" si="89"/>
        <v>156</v>
      </c>
      <c r="G130" s="276">
        <v>52</v>
      </c>
      <c r="H130" s="276">
        <v>52</v>
      </c>
      <c r="I130" s="276">
        <v>52</v>
      </c>
      <c r="J130" s="274" t="s">
        <v>2198</v>
      </c>
      <c r="K130" s="274">
        <v>39</v>
      </c>
      <c r="L130" s="274">
        <v>52</v>
      </c>
      <c r="M130" s="274">
        <v>2018</v>
      </c>
      <c r="N130" s="274">
        <v>2020</v>
      </c>
      <c r="O130" s="280" t="s">
        <v>320</v>
      </c>
      <c r="P130" s="280" t="s">
        <v>320</v>
      </c>
      <c r="Q130" s="280" t="s">
        <v>320</v>
      </c>
      <c r="R130" s="280" t="s">
        <v>320</v>
      </c>
      <c r="S130" s="280"/>
      <c r="T130" s="280"/>
      <c r="U130" s="280"/>
      <c r="V130" s="280"/>
      <c r="W130" s="280"/>
      <c r="X130" s="274"/>
      <c r="Y130" s="274"/>
      <c r="Z130" s="280"/>
      <c r="AA130" s="274"/>
      <c r="AB130" s="280"/>
      <c r="AC130" s="274"/>
    </row>
    <row r="131" s="258" customFormat="1" ht="30" customHeight="1" spans="1:29">
      <c r="A131" s="273"/>
      <c r="B131" s="274" t="s">
        <v>2114</v>
      </c>
      <c r="C131" s="275" t="s">
        <v>1124</v>
      </c>
      <c r="D131" s="274" t="s">
        <v>194</v>
      </c>
      <c r="E131" s="274"/>
      <c r="F131" s="276">
        <f t="shared" si="89"/>
        <v>249</v>
      </c>
      <c r="G131" s="276">
        <v>83</v>
      </c>
      <c r="H131" s="276">
        <v>83</v>
      </c>
      <c r="I131" s="276">
        <v>83</v>
      </c>
      <c r="J131" s="274" t="s">
        <v>2199</v>
      </c>
      <c r="K131" s="274">
        <v>83</v>
      </c>
      <c r="L131" s="274">
        <v>83</v>
      </c>
      <c r="M131" s="274">
        <v>2018</v>
      </c>
      <c r="N131" s="274">
        <v>2020</v>
      </c>
      <c r="O131" s="280" t="s">
        <v>320</v>
      </c>
      <c r="P131" s="280" t="s">
        <v>320</v>
      </c>
      <c r="Q131" s="280" t="s">
        <v>320</v>
      </c>
      <c r="R131" s="280" t="s">
        <v>320</v>
      </c>
      <c r="S131" s="280"/>
      <c r="T131" s="280"/>
      <c r="U131" s="280"/>
      <c r="V131" s="280"/>
      <c r="W131" s="280"/>
      <c r="X131" s="295"/>
      <c r="Y131" s="295"/>
      <c r="Z131" s="280"/>
      <c r="AA131" s="274"/>
      <c r="AB131" s="280"/>
      <c r="AC131" s="274"/>
    </row>
    <row r="132" s="258" customFormat="1" ht="30" customHeight="1" spans="1:29">
      <c r="A132" s="273"/>
      <c r="B132" s="274" t="s">
        <v>2116</v>
      </c>
      <c r="C132" s="275" t="s">
        <v>1124</v>
      </c>
      <c r="D132" s="274" t="s">
        <v>194</v>
      </c>
      <c r="E132" s="274"/>
      <c r="F132" s="276">
        <f t="shared" si="89"/>
        <v>369</v>
      </c>
      <c r="G132" s="276">
        <v>123</v>
      </c>
      <c r="H132" s="276">
        <v>123</v>
      </c>
      <c r="I132" s="276">
        <v>123</v>
      </c>
      <c r="J132" s="274" t="s">
        <v>2200</v>
      </c>
      <c r="K132" s="274">
        <v>123</v>
      </c>
      <c r="L132" s="274">
        <v>123</v>
      </c>
      <c r="M132" s="274">
        <v>2018</v>
      </c>
      <c r="N132" s="274">
        <v>2020</v>
      </c>
      <c r="O132" s="280" t="s">
        <v>320</v>
      </c>
      <c r="P132" s="280" t="s">
        <v>320</v>
      </c>
      <c r="Q132" s="280" t="s">
        <v>320</v>
      </c>
      <c r="R132" s="280" t="s">
        <v>320</v>
      </c>
      <c r="S132" s="280"/>
      <c r="T132" s="280"/>
      <c r="U132" s="280"/>
      <c r="V132" s="280"/>
      <c r="W132" s="280"/>
      <c r="X132" s="295"/>
      <c r="Y132" s="295"/>
      <c r="Z132" s="280"/>
      <c r="AA132" s="274"/>
      <c r="AB132" s="280"/>
      <c r="AC132" s="274"/>
    </row>
    <row r="133" s="258" customFormat="1" ht="30" customHeight="1" spans="1:29">
      <c r="A133" s="273"/>
      <c r="B133" s="274" t="s">
        <v>2118</v>
      </c>
      <c r="C133" s="275" t="s">
        <v>1124</v>
      </c>
      <c r="D133" s="274" t="s">
        <v>194</v>
      </c>
      <c r="E133" s="274"/>
      <c r="F133" s="276">
        <f t="shared" si="89"/>
        <v>123</v>
      </c>
      <c r="G133" s="276">
        <v>41</v>
      </c>
      <c r="H133" s="276">
        <v>41</v>
      </c>
      <c r="I133" s="276">
        <v>41</v>
      </c>
      <c r="J133" s="274" t="s">
        <v>2201</v>
      </c>
      <c r="K133" s="274">
        <v>37</v>
      </c>
      <c r="L133" s="274">
        <v>41</v>
      </c>
      <c r="M133" s="274">
        <v>2018</v>
      </c>
      <c r="N133" s="274">
        <v>2020</v>
      </c>
      <c r="O133" s="280" t="s">
        <v>320</v>
      </c>
      <c r="P133" s="280" t="s">
        <v>320</v>
      </c>
      <c r="Q133" s="280" t="s">
        <v>320</v>
      </c>
      <c r="R133" s="280" t="s">
        <v>320</v>
      </c>
      <c r="S133" s="280"/>
      <c r="T133" s="280"/>
      <c r="U133" s="280"/>
      <c r="V133" s="280"/>
      <c r="W133" s="280"/>
      <c r="X133" s="288"/>
      <c r="Y133" s="288"/>
      <c r="Z133" s="280"/>
      <c r="AA133" s="274"/>
      <c r="AB133" s="280"/>
      <c r="AC133" s="274"/>
    </row>
    <row r="134" s="258" customFormat="1" ht="30" customHeight="1" spans="1:29">
      <c r="A134" s="273"/>
      <c r="B134" s="274" t="s">
        <v>2124</v>
      </c>
      <c r="C134" s="275" t="s">
        <v>1124</v>
      </c>
      <c r="D134" s="274" t="s">
        <v>194</v>
      </c>
      <c r="E134" s="274"/>
      <c r="F134" s="276">
        <f t="shared" si="89"/>
        <v>210</v>
      </c>
      <c r="G134" s="276">
        <v>70</v>
      </c>
      <c r="H134" s="276">
        <v>70</v>
      </c>
      <c r="I134" s="276">
        <v>70</v>
      </c>
      <c r="J134" s="274" t="s">
        <v>2202</v>
      </c>
      <c r="K134" s="274">
        <v>20</v>
      </c>
      <c r="L134" s="274">
        <v>70</v>
      </c>
      <c r="M134" s="274">
        <v>2018</v>
      </c>
      <c r="N134" s="274">
        <v>2020</v>
      </c>
      <c r="O134" s="280" t="s">
        <v>320</v>
      </c>
      <c r="P134" s="280" t="s">
        <v>320</v>
      </c>
      <c r="Q134" s="280" t="s">
        <v>320</v>
      </c>
      <c r="R134" s="280" t="s">
        <v>320</v>
      </c>
      <c r="S134" s="280"/>
      <c r="T134" s="280"/>
      <c r="U134" s="280"/>
      <c r="V134" s="280"/>
      <c r="W134" s="280"/>
      <c r="X134" s="288"/>
      <c r="Y134" s="288"/>
      <c r="Z134" s="280"/>
      <c r="AA134" s="274"/>
      <c r="AB134" s="280"/>
      <c r="AC134" s="274"/>
    </row>
    <row r="135" s="258" customFormat="1" ht="30" customHeight="1" spans="1:29">
      <c r="A135" s="273"/>
      <c r="B135" s="274" t="s">
        <v>2125</v>
      </c>
      <c r="C135" s="275" t="s">
        <v>1124</v>
      </c>
      <c r="D135" s="274" t="s">
        <v>194</v>
      </c>
      <c r="E135" s="274"/>
      <c r="F135" s="276">
        <f t="shared" si="89"/>
        <v>70</v>
      </c>
      <c r="G135" s="276">
        <v>30</v>
      </c>
      <c r="H135" s="276">
        <v>30</v>
      </c>
      <c r="I135" s="276">
        <v>10</v>
      </c>
      <c r="J135" s="274" t="s">
        <v>2203</v>
      </c>
      <c r="K135" s="274">
        <v>70</v>
      </c>
      <c r="L135" s="274">
        <v>70</v>
      </c>
      <c r="M135" s="274">
        <v>2018</v>
      </c>
      <c r="N135" s="274">
        <v>2020</v>
      </c>
      <c r="O135" s="280" t="s">
        <v>320</v>
      </c>
      <c r="P135" s="280" t="s">
        <v>320</v>
      </c>
      <c r="Q135" s="280" t="s">
        <v>320</v>
      </c>
      <c r="R135" s="280" t="s">
        <v>320</v>
      </c>
      <c r="S135" s="280"/>
      <c r="T135" s="280"/>
      <c r="U135" s="280"/>
      <c r="V135" s="280"/>
      <c r="W135" s="280"/>
      <c r="X135" s="274"/>
      <c r="Y135" s="274"/>
      <c r="Z135" s="280"/>
      <c r="AA135" s="274"/>
      <c r="AB135" s="280"/>
      <c r="AC135" s="274"/>
    </row>
    <row r="136" ht="30" customHeight="1" spans="1:29">
      <c r="A136" s="273">
        <v>29</v>
      </c>
      <c r="B136" s="277" t="s">
        <v>264</v>
      </c>
      <c r="C136" s="275" t="s">
        <v>1124</v>
      </c>
      <c r="D136" s="274" t="s">
        <v>194</v>
      </c>
      <c r="E136" s="274"/>
      <c r="F136" s="276">
        <f t="shared" si="89"/>
        <v>443</v>
      </c>
      <c r="G136" s="276">
        <f t="shared" ref="G136:I136" si="98">SUM(G137:G143)</f>
        <v>151</v>
      </c>
      <c r="H136" s="276">
        <f t="shared" si="98"/>
        <v>151</v>
      </c>
      <c r="I136" s="276">
        <f t="shared" si="98"/>
        <v>141</v>
      </c>
      <c r="J136" s="274" t="s">
        <v>2204</v>
      </c>
      <c r="K136" s="274">
        <f>SUM(K137:K143)</f>
        <v>142</v>
      </c>
      <c r="L136" s="274">
        <f>SUM(L137:L143)</f>
        <v>181</v>
      </c>
      <c r="M136" s="274">
        <v>2018</v>
      </c>
      <c r="N136" s="274">
        <v>2020</v>
      </c>
      <c r="O136" s="280" t="s">
        <v>320</v>
      </c>
      <c r="P136" s="280" t="s">
        <v>320</v>
      </c>
      <c r="Q136" s="280" t="s">
        <v>320</v>
      </c>
      <c r="R136" s="280" t="s">
        <v>320</v>
      </c>
      <c r="S136" s="280" t="s">
        <v>320</v>
      </c>
      <c r="T136" s="280" t="s">
        <v>320</v>
      </c>
      <c r="U136" s="280" t="s">
        <v>320</v>
      </c>
      <c r="V136" s="280" t="s">
        <v>320</v>
      </c>
      <c r="W136" s="280" t="s">
        <v>320</v>
      </c>
      <c r="X136" s="288" t="s">
        <v>2108</v>
      </c>
      <c r="Y136" s="274" t="s">
        <v>2132</v>
      </c>
      <c r="Z136" s="280" t="s">
        <v>195</v>
      </c>
      <c r="AA136" s="274" t="s">
        <v>2175</v>
      </c>
      <c r="AB136" s="280" t="s">
        <v>2195</v>
      </c>
      <c r="AC136" s="274" t="s">
        <v>1073</v>
      </c>
    </row>
    <row r="137" s="258" customFormat="1" ht="30" customHeight="1" spans="1:29">
      <c r="A137" s="273"/>
      <c r="B137" s="274" t="s">
        <v>2123</v>
      </c>
      <c r="C137" s="275" t="s">
        <v>1124</v>
      </c>
      <c r="D137" s="274" t="s">
        <v>194</v>
      </c>
      <c r="E137" s="274"/>
      <c r="F137" s="276">
        <f t="shared" si="89"/>
        <v>135</v>
      </c>
      <c r="G137" s="276">
        <v>45</v>
      </c>
      <c r="H137" s="276">
        <v>45</v>
      </c>
      <c r="I137" s="276">
        <v>45</v>
      </c>
      <c r="J137" s="274" t="s">
        <v>2205</v>
      </c>
      <c r="K137" s="274">
        <v>25</v>
      </c>
      <c r="L137" s="274">
        <v>45</v>
      </c>
      <c r="M137" s="274">
        <v>2018</v>
      </c>
      <c r="N137" s="274">
        <v>2020</v>
      </c>
      <c r="O137" s="280" t="s">
        <v>320</v>
      </c>
      <c r="P137" s="280" t="s">
        <v>320</v>
      </c>
      <c r="Q137" s="280" t="s">
        <v>320</v>
      </c>
      <c r="R137" s="280" t="s">
        <v>320</v>
      </c>
      <c r="S137" s="280"/>
      <c r="T137" s="280"/>
      <c r="U137" s="280"/>
      <c r="V137" s="280"/>
      <c r="W137" s="280"/>
      <c r="X137" s="295"/>
      <c r="Y137" s="295"/>
      <c r="Z137" s="280"/>
      <c r="AA137" s="274"/>
      <c r="AB137" s="280"/>
      <c r="AC137" s="274"/>
    </row>
    <row r="138" s="258" customFormat="1" ht="30" customHeight="1" spans="1:29">
      <c r="A138" s="273"/>
      <c r="B138" s="274" t="s">
        <v>2112</v>
      </c>
      <c r="C138" s="275" t="s">
        <v>1124</v>
      </c>
      <c r="D138" s="274" t="s">
        <v>194</v>
      </c>
      <c r="E138" s="274"/>
      <c r="F138" s="276">
        <f t="shared" si="89"/>
        <v>57</v>
      </c>
      <c r="G138" s="276">
        <v>19</v>
      </c>
      <c r="H138" s="276">
        <v>19</v>
      </c>
      <c r="I138" s="276">
        <v>19</v>
      </c>
      <c r="J138" s="274" t="s">
        <v>2206</v>
      </c>
      <c r="K138" s="274">
        <v>16</v>
      </c>
      <c r="L138" s="274">
        <v>19</v>
      </c>
      <c r="M138" s="274">
        <v>2018</v>
      </c>
      <c r="N138" s="274">
        <v>2020</v>
      </c>
      <c r="O138" s="280" t="s">
        <v>320</v>
      </c>
      <c r="P138" s="280" t="s">
        <v>320</v>
      </c>
      <c r="Q138" s="280" t="s">
        <v>320</v>
      </c>
      <c r="R138" s="280" t="s">
        <v>320</v>
      </c>
      <c r="S138" s="280"/>
      <c r="T138" s="280"/>
      <c r="U138" s="280"/>
      <c r="V138" s="280"/>
      <c r="W138" s="280"/>
      <c r="X138" s="274"/>
      <c r="Y138" s="274"/>
      <c r="Z138" s="280"/>
      <c r="AA138" s="274"/>
      <c r="AB138" s="280"/>
      <c r="AC138" s="274"/>
    </row>
    <row r="139" s="258" customFormat="1" ht="30" customHeight="1" spans="1:29">
      <c r="A139" s="273"/>
      <c r="B139" s="274" t="s">
        <v>2114</v>
      </c>
      <c r="C139" s="275" t="s">
        <v>1124</v>
      </c>
      <c r="D139" s="274" t="s">
        <v>194</v>
      </c>
      <c r="E139" s="274"/>
      <c r="F139" s="276">
        <f t="shared" si="89"/>
        <v>21</v>
      </c>
      <c r="G139" s="276">
        <v>7</v>
      </c>
      <c r="H139" s="276">
        <v>7</v>
      </c>
      <c r="I139" s="276">
        <v>7</v>
      </c>
      <c r="J139" s="274" t="s">
        <v>2138</v>
      </c>
      <c r="K139" s="274">
        <v>6</v>
      </c>
      <c r="L139" s="274">
        <v>7</v>
      </c>
      <c r="M139" s="274">
        <v>2018</v>
      </c>
      <c r="N139" s="274">
        <v>2020</v>
      </c>
      <c r="O139" s="280" t="s">
        <v>320</v>
      </c>
      <c r="P139" s="280" t="s">
        <v>320</v>
      </c>
      <c r="Q139" s="280" t="s">
        <v>320</v>
      </c>
      <c r="R139" s="280" t="s">
        <v>320</v>
      </c>
      <c r="S139" s="280"/>
      <c r="T139" s="280"/>
      <c r="U139" s="280"/>
      <c r="V139" s="280"/>
      <c r="W139" s="280"/>
      <c r="X139" s="295"/>
      <c r="Y139" s="295"/>
      <c r="Z139" s="280"/>
      <c r="AA139" s="274"/>
      <c r="AB139" s="280"/>
      <c r="AC139" s="274"/>
    </row>
    <row r="140" s="258" customFormat="1" ht="30" customHeight="1" spans="1:29">
      <c r="A140" s="273"/>
      <c r="B140" s="274" t="s">
        <v>2116</v>
      </c>
      <c r="C140" s="275" t="s">
        <v>1124</v>
      </c>
      <c r="D140" s="274" t="s">
        <v>194</v>
      </c>
      <c r="E140" s="274"/>
      <c r="F140" s="276">
        <f t="shared" si="89"/>
        <v>96</v>
      </c>
      <c r="G140" s="276">
        <v>32</v>
      </c>
      <c r="H140" s="276">
        <v>32</v>
      </c>
      <c r="I140" s="276">
        <v>32</v>
      </c>
      <c r="J140" s="274" t="s">
        <v>2207</v>
      </c>
      <c r="K140" s="274">
        <v>32</v>
      </c>
      <c r="L140" s="274">
        <v>32</v>
      </c>
      <c r="M140" s="274">
        <v>2018</v>
      </c>
      <c r="N140" s="274">
        <v>2020</v>
      </c>
      <c r="O140" s="280" t="s">
        <v>320</v>
      </c>
      <c r="P140" s="280" t="s">
        <v>320</v>
      </c>
      <c r="Q140" s="280" t="s">
        <v>320</v>
      </c>
      <c r="R140" s="280" t="s">
        <v>320</v>
      </c>
      <c r="S140" s="280"/>
      <c r="T140" s="280"/>
      <c r="U140" s="280"/>
      <c r="V140" s="280"/>
      <c r="W140" s="280"/>
      <c r="X140" s="295"/>
      <c r="Y140" s="295"/>
      <c r="Z140" s="280"/>
      <c r="AA140" s="274"/>
      <c r="AB140" s="280"/>
      <c r="AC140" s="274"/>
    </row>
    <row r="141" s="258" customFormat="1" ht="30" customHeight="1" spans="1:29">
      <c r="A141" s="273"/>
      <c r="B141" s="274" t="s">
        <v>2118</v>
      </c>
      <c r="C141" s="275" t="s">
        <v>1124</v>
      </c>
      <c r="D141" s="274" t="s">
        <v>194</v>
      </c>
      <c r="E141" s="274"/>
      <c r="F141" s="276">
        <f t="shared" si="89"/>
        <v>21</v>
      </c>
      <c r="G141" s="276">
        <v>7</v>
      </c>
      <c r="H141" s="276">
        <v>7</v>
      </c>
      <c r="I141" s="276">
        <v>7</v>
      </c>
      <c r="J141" s="274" t="s">
        <v>2138</v>
      </c>
      <c r="K141" s="274">
        <v>7</v>
      </c>
      <c r="L141" s="274">
        <v>7</v>
      </c>
      <c r="M141" s="274">
        <v>2018</v>
      </c>
      <c r="N141" s="274">
        <v>2020</v>
      </c>
      <c r="O141" s="280" t="s">
        <v>320</v>
      </c>
      <c r="P141" s="280" t="s">
        <v>320</v>
      </c>
      <c r="Q141" s="280" t="s">
        <v>320</v>
      </c>
      <c r="R141" s="280" t="s">
        <v>320</v>
      </c>
      <c r="S141" s="280"/>
      <c r="T141" s="280"/>
      <c r="U141" s="280"/>
      <c r="V141" s="280"/>
      <c r="W141" s="280"/>
      <c r="X141" s="288"/>
      <c r="Y141" s="288"/>
      <c r="Z141" s="280"/>
      <c r="AA141" s="274"/>
      <c r="AB141" s="280"/>
      <c r="AC141" s="274"/>
    </row>
    <row r="142" s="258" customFormat="1" ht="30" customHeight="1" spans="1:29">
      <c r="A142" s="273"/>
      <c r="B142" s="274" t="s">
        <v>2124</v>
      </c>
      <c r="C142" s="275" t="s">
        <v>1124</v>
      </c>
      <c r="D142" s="274" t="s">
        <v>194</v>
      </c>
      <c r="E142" s="274"/>
      <c r="F142" s="276">
        <f t="shared" si="89"/>
        <v>63</v>
      </c>
      <c r="G142" s="276">
        <v>21</v>
      </c>
      <c r="H142" s="276">
        <v>21</v>
      </c>
      <c r="I142" s="276">
        <v>21</v>
      </c>
      <c r="J142" s="274" t="s">
        <v>2208</v>
      </c>
      <c r="K142" s="274">
        <v>6</v>
      </c>
      <c r="L142" s="274">
        <v>21</v>
      </c>
      <c r="M142" s="274">
        <v>2018</v>
      </c>
      <c r="N142" s="274">
        <v>2020</v>
      </c>
      <c r="O142" s="280" t="s">
        <v>320</v>
      </c>
      <c r="P142" s="280" t="s">
        <v>320</v>
      </c>
      <c r="Q142" s="280" t="s">
        <v>320</v>
      </c>
      <c r="R142" s="280" t="s">
        <v>320</v>
      </c>
      <c r="S142" s="280"/>
      <c r="T142" s="280"/>
      <c r="U142" s="280"/>
      <c r="V142" s="280"/>
      <c r="W142" s="280"/>
      <c r="X142" s="288"/>
      <c r="Y142" s="288"/>
      <c r="Z142" s="280"/>
      <c r="AA142" s="274"/>
      <c r="AB142" s="280"/>
      <c r="AC142" s="274"/>
    </row>
    <row r="143" s="258" customFormat="1" ht="30" customHeight="1" spans="1:29">
      <c r="A143" s="273"/>
      <c r="B143" s="274" t="s">
        <v>2125</v>
      </c>
      <c r="C143" s="275" t="s">
        <v>1124</v>
      </c>
      <c r="D143" s="274" t="s">
        <v>194</v>
      </c>
      <c r="E143" s="274"/>
      <c r="F143" s="276">
        <f t="shared" si="89"/>
        <v>50</v>
      </c>
      <c r="G143" s="276">
        <v>20</v>
      </c>
      <c r="H143" s="276">
        <v>20</v>
      </c>
      <c r="I143" s="276">
        <v>10</v>
      </c>
      <c r="J143" s="274" t="s">
        <v>2209</v>
      </c>
      <c r="K143" s="274">
        <v>50</v>
      </c>
      <c r="L143" s="274">
        <v>50</v>
      </c>
      <c r="M143" s="274">
        <v>2018</v>
      </c>
      <c r="N143" s="274">
        <v>2020</v>
      </c>
      <c r="O143" s="280" t="s">
        <v>320</v>
      </c>
      <c r="P143" s="280" t="s">
        <v>320</v>
      </c>
      <c r="Q143" s="280" t="s">
        <v>320</v>
      </c>
      <c r="R143" s="280" t="s">
        <v>320</v>
      </c>
      <c r="S143" s="280"/>
      <c r="T143" s="280"/>
      <c r="U143" s="280"/>
      <c r="V143" s="280"/>
      <c r="W143" s="280"/>
      <c r="X143" s="274"/>
      <c r="Y143" s="274"/>
      <c r="Z143" s="280"/>
      <c r="AA143" s="274"/>
      <c r="AB143" s="280"/>
      <c r="AC143" s="274"/>
    </row>
    <row r="144" ht="30" customHeight="1" spans="1:29">
      <c r="A144" s="273">
        <v>30</v>
      </c>
      <c r="B144" s="277" t="s">
        <v>265</v>
      </c>
      <c r="C144" s="275" t="s">
        <v>1124</v>
      </c>
      <c r="D144" s="274" t="s">
        <v>194</v>
      </c>
      <c r="E144" s="274"/>
      <c r="F144" s="276">
        <f t="shared" si="89"/>
        <v>1314</v>
      </c>
      <c r="G144" s="276">
        <f t="shared" ref="G144:I144" si="99">SUM(G145:G151)</f>
        <v>445</v>
      </c>
      <c r="H144" s="276">
        <f t="shared" si="99"/>
        <v>445</v>
      </c>
      <c r="I144" s="276">
        <f t="shared" si="99"/>
        <v>424</v>
      </c>
      <c r="J144" s="274" t="s">
        <v>2210</v>
      </c>
      <c r="K144" s="274">
        <f>SUM(K145:K151)</f>
        <v>380</v>
      </c>
      <c r="L144" s="274">
        <f>SUM(L145:L151)</f>
        <v>504</v>
      </c>
      <c r="M144" s="274">
        <v>2018</v>
      </c>
      <c r="N144" s="274">
        <v>2020</v>
      </c>
      <c r="O144" s="280" t="s">
        <v>320</v>
      </c>
      <c r="P144" s="280" t="s">
        <v>320</v>
      </c>
      <c r="Q144" s="280" t="s">
        <v>320</v>
      </c>
      <c r="R144" s="280" t="s">
        <v>320</v>
      </c>
      <c r="S144" s="280" t="s">
        <v>320</v>
      </c>
      <c r="T144" s="280" t="s">
        <v>320</v>
      </c>
      <c r="U144" s="280" t="s">
        <v>320</v>
      </c>
      <c r="V144" s="280" t="s">
        <v>320</v>
      </c>
      <c r="W144" s="280" t="s">
        <v>320</v>
      </c>
      <c r="X144" s="288" t="s">
        <v>2108</v>
      </c>
      <c r="Y144" s="274" t="s">
        <v>2132</v>
      </c>
      <c r="Z144" s="280" t="s">
        <v>195</v>
      </c>
      <c r="AA144" s="274" t="s">
        <v>2175</v>
      </c>
      <c r="AB144" s="280" t="s">
        <v>2195</v>
      </c>
      <c r="AC144" s="274" t="s">
        <v>1073</v>
      </c>
    </row>
    <row r="145" s="258" customFormat="1" ht="30" customHeight="1" spans="1:29">
      <c r="A145" s="273"/>
      <c r="B145" s="274" t="s">
        <v>2123</v>
      </c>
      <c r="C145" s="275" t="s">
        <v>1124</v>
      </c>
      <c r="D145" s="274" t="s">
        <v>194</v>
      </c>
      <c r="E145" s="274"/>
      <c r="F145" s="276">
        <f t="shared" si="89"/>
        <v>393</v>
      </c>
      <c r="G145" s="276">
        <v>131</v>
      </c>
      <c r="H145" s="276">
        <v>131</v>
      </c>
      <c r="I145" s="276">
        <v>131</v>
      </c>
      <c r="J145" s="274" t="s">
        <v>2211</v>
      </c>
      <c r="K145" s="274">
        <v>60</v>
      </c>
      <c r="L145" s="274">
        <v>131</v>
      </c>
      <c r="M145" s="274">
        <v>2018</v>
      </c>
      <c r="N145" s="274">
        <v>2020</v>
      </c>
      <c r="O145" s="280" t="s">
        <v>320</v>
      </c>
      <c r="P145" s="280" t="s">
        <v>320</v>
      </c>
      <c r="Q145" s="280" t="s">
        <v>320</v>
      </c>
      <c r="R145" s="280" t="s">
        <v>320</v>
      </c>
      <c r="S145" s="280"/>
      <c r="T145" s="280"/>
      <c r="U145" s="280"/>
      <c r="V145" s="280"/>
      <c r="W145" s="280"/>
      <c r="X145" s="295"/>
      <c r="Y145" s="295"/>
      <c r="Z145" s="280"/>
      <c r="AA145" s="274"/>
      <c r="AB145" s="280"/>
      <c r="AC145" s="274"/>
    </row>
    <row r="146" s="258" customFormat="1" ht="30" customHeight="1" spans="1:29">
      <c r="A146" s="273"/>
      <c r="B146" s="274" t="s">
        <v>2112</v>
      </c>
      <c r="C146" s="275" t="s">
        <v>1124</v>
      </c>
      <c r="D146" s="274" t="s">
        <v>194</v>
      </c>
      <c r="E146" s="274"/>
      <c r="F146" s="276">
        <f t="shared" si="89"/>
        <v>252</v>
      </c>
      <c r="G146" s="276">
        <v>84</v>
      </c>
      <c r="H146" s="276">
        <v>84</v>
      </c>
      <c r="I146" s="276">
        <v>84</v>
      </c>
      <c r="J146" s="274" t="s">
        <v>2212</v>
      </c>
      <c r="K146" s="274">
        <v>60</v>
      </c>
      <c r="L146" s="274">
        <v>84</v>
      </c>
      <c r="M146" s="274">
        <v>2018</v>
      </c>
      <c r="N146" s="274">
        <v>2020</v>
      </c>
      <c r="O146" s="280" t="s">
        <v>320</v>
      </c>
      <c r="P146" s="280" t="s">
        <v>320</v>
      </c>
      <c r="Q146" s="280" t="s">
        <v>320</v>
      </c>
      <c r="R146" s="280" t="s">
        <v>320</v>
      </c>
      <c r="S146" s="280"/>
      <c r="T146" s="280"/>
      <c r="U146" s="280"/>
      <c r="V146" s="280"/>
      <c r="W146" s="280"/>
      <c r="X146" s="274"/>
      <c r="Y146" s="274"/>
      <c r="Z146" s="280"/>
      <c r="AA146" s="274"/>
      <c r="AB146" s="280"/>
      <c r="AC146" s="274"/>
    </row>
    <row r="147" s="258" customFormat="1" ht="30" customHeight="1" spans="1:29">
      <c r="A147" s="273"/>
      <c r="B147" s="274" t="s">
        <v>2114</v>
      </c>
      <c r="C147" s="275" t="s">
        <v>1124</v>
      </c>
      <c r="D147" s="274" t="s">
        <v>194</v>
      </c>
      <c r="E147" s="274"/>
      <c r="F147" s="276">
        <f t="shared" si="89"/>
        <v>132</v>
      </c>
      <c r="G147" s="276">
        <v>44</v>
      </c>
      <c r="H147" s="276">
        <v>44</v>
      </c>
      <c r="I147" s="276">
        <v>44</v>
      </c>
      <c r="J147" s="274" t="s">
        <v>2213</v>
      </c>
      <c r="K147" s="274">
        <v>42</v>
      </c>
      <c r="L147" s="274">
        <v>44</v>
      </c>
      <c r="M147" s="274">
        <v>2018</v>
      </c>
      <c r="N147" s="274">
        <v>2020</v>
      </c>
      <c r="O147" s="280" t="s">
        <v>320</v>
      </c>
      <c r="P147" s="280" t="s">
        <v>320</v>
      </c>
      <c r="Q147" s="280" t="s">
        <v>320</v>
      </c>
      <c r="R147" s="280" t="s">
        <v>320</v>
      </c>
      <c r="S147" s="280"/>
      <c r="T147" s="280"/>
      <c r="U147" s="280"/>
      <c r="V147" s="280"/>
      <c r="W147" s="280"/>
      <c r="X147" s="295"/>
      <c r="Y147" s="295"/>
      <c r="Z147" s="280"/>
      <c r="AA147" s="274"/>
      <c r="AB147" s="280"/>
      <c r="AC147" s="274"/>
    </row>
    <row r="148" s="258" customFormat="1" ht="30" customHeight="1" spans="1:29">
      <c r="A148" s="273"/>
      <c r="B148" s="274" t="s">
        <v>2116</v>
      </c>
      <c r="C148" s="275" t="s">
        <v>1124</v>
      </c>
      <c r="D148" s="274" t="s">
        <v>194</v>
      </c>
      <c r="E148" s="274"/>
      <c r="F148" s="276">
        <f t="shared" si="89"/>
        <v>258</v>
      </c>
      <c r="G148" s="276">
        <v>86</v>
      </c>
      <c r="H148" s="276">
        <v>86</v>
      </c>
      <c r="I148" s="276">
        <v>86</v>
      </c>
      <c r="J148" s="274" t="s">
        <v>2214</v>
      </c>
      <c r="K148" s="274">
        <v>86</v>
      </c>
      <c r="L148" s="274">
        <v>86</v>
      </c>
      <c r="M148" s="274">
        <v>2018</v>
      </c>
      <c r="N148" s="274">
        <v>2020</v>
      </c>
      <c r="O148" s="280" t="s">
        <v>320</v>
      </c>
      <c r="P148" s="280" t="s">
        <v>320</v>
      </c>
      <c r="Q148" s="280" t="s">
        <v>320</v>
      </c>
      <c r="R148" s="280" t="s">
        <v>320</v>
      </c>
      <c r="S148" s="280"/>
      <c r="T148" s="280"/>
      <c r="U148" s="280"/>
      <c r="V148" s="280"/>
      <c r="W148" s="280"/>
      <c r="X148" s="295"/>
      <c r="Y148" s="295"/>
      <c r="Z148" s="280"/>
      <c r="AA148" s="274"/>
      <c r="AB148" s="280"/>
      <c r="AC148" s="274"/>
    </row>
    <row r="149" s="258" customFormat="1" ht="30" customHeight="1" spans="1:29">
      <c r="A149" s="273"/>
      <c r="B149" s="274" t="s">
        <v>2118</v>
      </c>
      <c r="C149" s="275" t="s">
        <v>1124</v>
      </c>
      <c r="D149" s="274" t="s">
        <v>194</v>
      </c>
      <c r="E149" s="274"/>
      <c r="F149" s="276">
        <f t="shared" si="89"/>
        <v>84</v>
      </c>
      <c r="G149" s="276">
        <v>28</v>
      </c>
      <c r="H149" s="276">
        <v>28</v>
      </c>
      <c r="I149" s="276">
        <v>28</v>
      </c>
      <c r="J149" s="274" t="s">
        <v>2215</v>
      </c>
      <c r="K149" s="274">
        <v>23</v>
      </c>
      <c r="L149" s="274">
        <v>28</v>
      </c>
      <c r="M149" s="274">
        <v>2018</v>
      </c>
      <c r="N149" s="274">
        <v>2020</v>
      </c>
      <c r="O149" s="280" t="s">
        <v>320</v>
      </c>
      <c r="P149" s="280" t="s">
        <v>320</v>
      </c>
      <c r="Q149" s="280" t="s">
        <v>320</v>
      </c>
      <c r="R149" s="280" t="s">
        <v>320</v>
      </c>
      <c r="S149" s="280"/>
      <c r="T149" s="280"/>
      <c r="U149" s="280"/>
      <c r="V149" s="280"/>
      <c r="W149" s="280"/>
      <c r="X149" s="288"/>
      <c r="Y149" s="288"/>
      <c r="Z149" s="280"/>
      <c r="AA149" s="274"/>
      <c r="AB149" s="280"/>
      <c r="AC149" s="274"/>
    </row>
    <row r="150" s="258" customFormat="1" ht="30" customHeight="1" spans="1:29">
      <c r="A150" s="273"/>
      <c r="B150" s="274" t="s">
        <v>2124</v>
      </c>
      <c r="C150" s="275" t="s">
        <v>1124</v>
      </c>
      <c r="D150" s="274" t="s">
        <v>194</v>
      </c>
      <c r="E150" s="274"/>
      <c r="F150" s="276">
        <f t="shared" si="89"/>
        <v>96</v>
      </c>
      <c r="G150" s="276">
        <v>32</v>
      </c>
      <c r="H150" s="276">
        <v>32</v>
      </c>
      <c r="I150" s="276">
        <v>32</v>
      </c>
      <c r="J150" s="274" t="s">
        <v>2207</v>
      </c>
      <c r="K150" s="274">
        <v>10</v>
      </c>
      <c r="L150" s="274">
        <v>32</v>
      </c>
      <c r="M150" s="274">
        <v>2018</v>
      </c>
      <c r="N150" s="274">
        <v>2020</v>
      </c>
      <c r="O150" s="280" t="s">
        <v>320</v>
      </c>
      <c r="P150" s="280" t="s">
        <v>320</v>
      </c>
      <c r="Q150" s="280" t="s">
        <v>320</v>
      </c>
      <c r="R150" s="280" t="s">
        <v>320</v>
      </c>
      <c r="S150" s="280"/>
      <c r="T150" s="280"/>
      <c r="U150" s="280"/>
      <c r="V150" s="280"/>
      <c r="W150" s="280"/>
      <c r="X150" s="288"/>
      <c r="Y150" s="288"/>
      <c r="Z150" s="280"/>
      <c r="AA150" s="274"/>
      <c r="AB150" s="280"/>
      <c r="AC150" s="274"/>
    </row>
    <row r="151" s="258" customFormat="1" ht="30" customHeight="1" spans="1:29">
      <c r="A151" s="273"/>
      <c r="B151" s="274" t="s">
        <v>2125</v>
      </c>
      <c r="C151" s="275" t="s">
        <v>1124</v>
      </c>
      <c r="D151" s="274" t="s">
        <v>194</v>
      </c>
      <c r="E151" s="274"/>
      <c r="F151" s="276">
        <f t="shared" si="89"/>
        <v>99</v>
      </c>
      <c r="G151" s="276">
        <v>40</v>
      </c>
      <c r="H151" s="276">
        <v>40</v>
      </c>
      <c r="I151" s="276">
        <v>19</v>
      </c>
      <c r="J151" s="274" t="s">
        <v>2216</v>
      </c>
      <c r="K151" s="274">
        <v>99</v>
      </c>
      <c r="L151" s="274">
        <v>99</v>
      </c>
      <c r="M151" s="274">
        <v>2018</v>
      </c>
      <c r="N151" s="274">
        <v>2020</v>
      </c>
      <c r="O151" s="280" t="s">
        <v>320</v>
      </c>
      <c r="P151" s="280" t="s">
        <v>320</v>
      </c>
      <c r="Q151" s="280" t="s">
        <v>320</v>
      </c>
      <c r="R151" s="280" t="s">
        <v>320</v>
      </c>
      <c r="S151" s="280"/>
      <c r="T151" s="280"/>
      <c r="U151" s="280"/>
      <c r="V151" s="280"/>
      <c r="W151" s="280"/>
      <c r="X151" s="274"/>
      <c r="Y151" s="274"/>
      <c r="Z151" s="280"/>
      <c r="AA151" s="274"/>
      <c r="AB151" s="280"/>
      <c r="AC151" s="274"/>
    </row>
    <row r="152" ht="30" customHeight="1" spans="1:29">
      <c r="A152" s="273">
        <v>31</v>
      </c>
      <c r="B152" s="277" t="s">
        <v>266</v>
      </c>
      <c r="C152" s="275" t="s">
        <v>1124</v>
      </c>
      <c r="D152" s="274" t="s">
        <v>194</v>
      </c>
      <c r="E152" s="274"/>
      <c r="F152" s="276">
        <f t="shared" si="89"/>
        <v>3</v>
      </c>
      <c r="G152" s="276">
        <f t="shared" ref="G152:I152" si="100">SUM(G153)</f>
        <v>1</v>
      </c>
      <c r="H152" s="276">
        <f t="shared" si="100"/>
        <v>1</v>
      </c>
      <c r="I152" s="276">
        <f t="shared" si="100"/>
        <v>1</v>
      </c>
      <c r="J152" s="274" t="s">
        <v>320</v>
      </c>
      <c r="K152" s="276">
        <f>SUM(K153)</f>
        <v>1</v>
      </c>
      <c r="L152" s="276">
        <f>SUM(L153)</f>
        <v>1</v>
      </c>
      <c r="M152" s="274">
        <v>2018</v>
      </c>
      <c r="N152" s="274">
        <v>2020</v>
      </c>
      <c r="O152" s="280" t="s">
        <v>320</v>
      </c>
      <c r="P152" s="280" t="s">
        <v>320</v>
      </c>
      <c r="Q152" s="280" t="s">
        <v>320</v>
      </c>
      <c r="R152" s="280" t="s">
        <v>320</v>
      </c>
      <c r="S152" s="280" t="s">
        <v>320</v>
      </c>
      <c r="T152" s="280" t="s">
        <v>320</v>
      </c>
      <c r="U152" s="280" t="s">
        <v>320</v>
      </c>
      <c r="V152" s="280" t="s">
        <v>320</v>
      </c>
      <c r="W152" s="280" t="s">
        <v>320</v>
      </c>
      <c r="X152" s="274" t="s">
        <v>320</v>
      </c>
      <c r="Y152" s="274" t="s">
        <v>320</v>
      </c>
      <c r="Z152" s="274" t="s">
        <v>320</v>
      </c>
      <c r="AA152" s="274" t="s">
        <v>320</v>
      </c>
      <c r="AB152" s="274" t="s">
        <v>2217</v>
      </c>
      <c r="AC152" s="274" t="s">
        <v>1073</v>
      </c>
    </row>
    <row r="153" ht="30" customHeight="1" spans="1:29">
      <c r="A153" s="273"/>
      <c r="B153" s="274" t="s">
        <v>2112</v>
      </c>
      <c r="C153" s="275" t="s">
        <v>1124</v>
      </c>
      <c r="D153" s="274" t="s">
        <v>194</v>
      </c>
      <c r="E153" s="274"/>
      <c r="F153" s="276">
        <f t="shared" si="89"/>
        <v>3</v>
      </c>
      <c r="G153" s="276">
        <v>1</v>
      </c>
      <c r="H153" s="276">
        <v>1</v>
      </c>
      <c r="I153" s="276">
        <v>1</v>
      </c>
      <c r="J153" s="274" t="s">
        <v>2136</v>
      </c>
      <c r="K153" s="274">
        <v>1</v>
      </c>
      <c r="L153" s="274">
        <v>1</v>
      </c>
      <c r="M153" s="274">
        <v>2018</v>
      </c>
      <c r="N153" s="274">
        <v>2020</v>
      </c>
      <c r="O153" s="280" t="s">
        <v>320</v>
      </c>
      <c r="P153" s="280" t="s">
        <v>320</v>
      </c>
      <c r="Q153" s="280" t="s">
        <v>320</v>
      </c>
      <c r="R153" s="280" t="s">
        <v>320</v>
      </c>
      <c r="S153" s="280"/>
      <c r="T153" s="280"/>
      <c r="U153" s="280"/>
      <c r="V153" s="280"/>
      <c r="W153" s="280"/>
      <c r="X153" s="274"/>
      <c r="Y153" s="274"/>
      <c r="Z153" s="280"/>
      <c r="AA153" s="274"/>
      <c r="AB153" s="280"/>
      <c r="AC153" s="274"/>
    </row>
    <row r="154" ht="36" spans="1:29">
      <c r="A154" s="273">
        <v>32</v>
      </c>
      <c r="B154" s="277" t="s">
        <v>267</v>
      </c>
      <c r="C154" s="275" t="s">
        <v>1124</v>
      </c>
      <c r="D154" s="274" t="s">
        <v>194</v>
      </c>
      <c r="E154" s="274"/>
      <c r="F154" s="276">
        <f t="shared" si="89"/>
        <v>1968</v>
      </c>
      <c r="G154" s="276">
        <f t="shared" ref="G154:I154" si="101">SUM(G155:G161)</f>
        <v>654</v>
      </c>
      <c r="H154" s="276">
        <f t="shared" si="101"/>
        <v>690</v>
      </c>
      <c r="I154" s="276">
        <f t="shared" si="101"/>
        <v>624</v>
      </c>
      <c r="J154" s="274" t="s">
        <v>2218</v>
      </c>
      <c r="K154" s="274">
        <f>SUM(K155:K161)</f>
        <v>830</v>
      </c>
      <c r="L154" s="274">
        <f>SUM(L155:L161)</f>
        <v>1164</v>
      </c>
      <c r="M154" s="274">
        <v>2018</v>
      </c>
      <c r="N154" s="274">
        <v>2020</v>
      </c>
      <c r="O154" s="280" t="s">
        <v>320</v>
      </c>
      <c r="P154" s="280" t="s">
        <v>320</v>
      </c>
      <c r="Q154" s="280" t="s">
        <v>320</v>
      </c>
      <c r="R154" s="280" t="s">
        <v>320</v>
      </c>
      <c r="S154" s="280" t="s">
        <v>320</v>
      </c>
      <c r="T154" s="280" t="s">
        <v>320</v>
      </c>
      <c r="U154" s="280" t="s">
        <v>320</v>
      </c>
      <c r="V154" s="280" t="s">
        <v>320</v>
      </c>
      <c r="W154" s="280" t="s">
        <v>320</v>
      </c>
      <c r="X154" s="288" t="s">
        <v>2108</v>
      </c>
      <c r="Y154" s="274" t="s">
        <v>2132</v>
      </c>
      <c r="Z154" s="280" t="s">
        <v>195</v>
      </c>
      <c r="AA154" s="274" t="s">
        <v>2175</v>
      </c>
      <c r="AB154" s="280" t="s">
        <v>2219</v>
      </c>
      <c r="AC154" s="280" t="s">
        <v>1073</v>
      </c>
    </row>
    <row r="155" ht="30" customHeight="1" spans="1:29">
      <c r="A155" s="273"/>
      <c r="B155" s="274" t="s">
        <v>2123</v>
      </c>
      <c r="C155" s="275" t="s">
        <v>1124</v>
      </c>
      <c r="D155" s="274" t="s">
        <v>194</v>
      </c>
      <c r="E155" s="274"/>
      <c r="F155" s="276">
        <f t="shared" si="89"/>
        <v>372</v>
      </c>
      <c r="G155" s="276">
        <v>100</v>
      </c>
      <c r="H155" s="276">
        <v>136</v>
      </c>
      <c r="I155" s="276">
        <v>136</v>
      </c>
      <c r="J155" s="274" t="s">
        <v>2220</v>
      </c>
      <c r="K155" s="276">
        <v>155</v>
      </c>
      <c r="L155" s="276">
        <v>372</v>
      </c>
      <c r="M155" s="274">
        <v>2018</v>
      </c>
      <c r="N155" s="274">
        <v>2020</v>
      </c>
      <c r="O155" s="280" t="s">
        <v>320</v>
      </c>
      <c r="P155" s="280" t="s">
        <v>320</v>
      </c>
      <c r="Q155" s="280" t="s">
        <v>320</v>
      </c>
      <c r="R155" s="280" t="s">
        <v>320</v>
      </c>
      <c r="S155" s="280"/>
      <c r="T155" s="280"/>
      <c r="U155" s="280"/>
      <c r="V155" s="280"/>
      <c r="W155" s="280"/>
      <c r="X155" s="295"/>
      <c r="Y155" s="295"/>
      <c r="Z155" s="280"/>
      <c r="AA155" s="274"/>
      <c r="AB155" s="273"/>
      <c r="AC155" s="274"/>
    </row>
    <row r="156" ht="30" customHeight="1" spans="1:29">
      <c r="A156" s="273"/>
      <c r="B156" s="274" t="s">
        <v>2112</v>
      </c>
      <c r="C156" s="275" t="s">
        <v>1124</v>
      </c>
      <c r="D156" s="274" t="s">
        <v>194</v>
      </c>
      <c r="E156" s="274"/>
      <c r="F156" s="276">
        <f t="shared" si="89"/>
        <v>157</v>
      </c>
      <c r="G156" s="276">
        <v>52</v>
      </c>
      <c r="H156" s="276">
        <v>52</v>
      </c>
      <c r="I156" s="276">
        <v>53</v>
      </c>
      <c r="J156" s="274" t="s">
        <v>2221</v>
      </c>
      <c r="K156" s="276">
        <v>118</v>
      </c>
      <c r="L156" s="276">
        <v>157</v>
      </c>
      <c r="M156" s="274">
        <v>2018</v>
      </c>
      <c r="N156" s="274">
        <v>2020</v>
      </c>
      <c r="O156" s="280" t="s">
        <v>320</v>
      </c>
      <c r="P156" s="280" t="s">
        <v>320</v>
      </c>
      <c r="Q156" s="280" t="s">
        <v>320</v>
      </c>
      <c r="R156" s="280" t="s">
        <v>320</v>
      </c>
      <c r="S156" s="280"/>
      <c r="T156" s="280"/>
      <c r="U156" s="280"/>
      <c r="V156" s="280"/>
      <c r="W156" s="280"/>
      <c r="X156" s="288"/>
      <c r="Y156" s="288"/>
      <c r="Z156" s="280"/>
      <c r="AA156" s="274"/>
      <c r="AB156" s="296"/>
      <c r="AC156" s="274"/>
    </row>
    <row r="157" ht="30" customHeight="1" spans="1:29">
      <c r="A157" s="273"/>
      <c r="B157" s="274" t="s">
        <v>2114</v>
      </c>
      <c r="C157" s="275" t="s">
        <v>1124</v>
      </c>
      <c r="D157" s="274" t="s">
        <v>194</v>
      </c>
      <c r="E157" s="274"/>
      <c r="F157" s="276">
        <f t="shared" si="89"/>
        <v>342</v>
      </c>
      <c r="G157" s="276">
        <v>114</v>
      </c>
      <c r="H157" s="276">
        <v>114</v>
      </c>
      <c r="I157" s="276">
        <v>114</v>
      </c>
      <c r="J157" s="274" t="s">
        <v>2222</v>
      </c>
      <c r="K157" s="276">
        <v>114</v>
      </c>
      <c r="L157" s="276">
        <v>114</v>
      </c>
      <c r="M157" s="274">
        <v>2018</v>
      </c>
      <c r="N157" s="274">
        <v>2020</v>
      </c>
      <c r="O157" s="280" t="s">
        <v>320</v>
      </c>
      <c r="P157" s="280" t="s">
        <v>320</v>
      </c>
      <c r="Q157" s="280" t="s">
        <v>320</v>
      </c>
      <c r="R157" s="280" t="s">
        <v>320</v>
      </c>
      <c r="S157" s="280"/>
      <c r="T157" s="280"/>
      <c r="U157" s="280"/>
      <c r="V157" s="280"/>
      <c r="W157" s="280"/>
      <c r="X157" s="295"/>
      <c r="Y157" s="295"/>
      <c r="Z157" s="280"/>
      <c r="AA157" s="274"/>
      <c r="AB157" s="280"/>
      <c r="AC157" s="274"/>
    </row>
    <row r="158" ht="30" customHeight="1" spans="1:29">
      <c r="A158" s="273"/>
      <c r="B158" s="274" t="s">
        <v>2116</v>
      </c>
      <c r="C158" s="275" t="s">
        <v>1124</v>
      </c>
      <c r="D158" s="274" t="s">
        <v>194</v>
      </c>
      <c r="E158" s="274"/>
      <c r="F158" s="276">
        <f t="shared" si="89"/>
        <v>270</v>
      </c>
      <c r="G158" s="276">
        <v>90</v>
      </c>
      <c r="H158" s="276">
        <v>90</v>
      </c>
      <c r="I158" s="276">
        <v>90</v>
      </c>
      <c r="J158" s="274" t="s">
        <v>2223</v>
      </c>
      <c r="K158" s="276">
        <v>90</v>
      </c>
      <c r="L158" s="276">
        <v>90</v>
      </c>
      <c r="M158" s="274">
        <v>2018</v>
      </c>
      <c r="N158" s="274">
        <v>2020</v>
      </c>
      <c r="O158" s="280" t="s">
        <v>320</v>
      </c>
      <c r="P158" s="280" t="s">
        <v>320</v>
      </c>
      <c r="Q158" s="280" t="s">
        <v>320</v>
      </c>
      <c r="R158" s="280" t="s">
        <v>320</v>
      </c>
      <c r="S158" s="280"/>
      <c r="T158" s="280"/>
      <c r="U158" s="280"/>
      <c r="V158" s="280"/>
      <c r="W158" s="280"/>
      <c r="X158" s="295"/>
      <c r="Y158" s="295"/>
      <c r="Z158" s="280"/>
      <c r="AA158" s="274"/>
      <c r="AB158" s="280"/>
      <c r="AC158" s="274"/>
    </row>
    <row r="159" ht="30" customHeight="1" spans="1:29">
      <c r="A159" s="273"/>
      <c r="B159" s="274" t="s">
        <v>2118</v>
      </c>
      <c r="C159" s="275" t="s">
        <v>1124</v>
      </c>
      <c r="D159" s="274" t="s">
        <v>194</v>
      </c>
      <c r="E159" s="274"/>
      <c r="F159" s="276">
        <f t="shared" si="89"/>
        <v>204</v>
      </c>
      <c r="G159" s="276">
        <v>68</v>
      </c>
      <c r="H159" s="276">
        <v>68</v>
      </c>
      <c r="I159" s="276">
        <v>68</v>
      </c>
      <c r="J159" s="274" t="s">
        <v>2224</v>
      </c>
      <c r="K159" s="276">
        <v>68</v>
      </c>
      <c r="L159" s="276">
        <v>68</v>
      </c>
      <c r="M159" s="274">
        <v>2018</v>
      </c>
      <c r="N159" s="274">
        <v>2020</v>
      </c>
      <c r="O159" s="280" t="s">
        <v>320</v>
      </c>
      <c r="P159" s="280" t="s">
        <v>320</v>
      </c>
      <c r="Q159" s="280" t="s">
        <v>320</v>
      </c>
      <c r="R159" s="280" t="s">
        <v>320</v>
      </c>
      <c r="S159" s="280"/>
      <c r="T159" s="280"/>
      <c r="U159" s="280"/>
      <c r="V159" s="280"/>
      <c r="W159" s="280"/>
      <c r="X159" s="288"/>
      <c r="Y159" s="288"/>
      <c r="Z159" s="280"/>
      <c r="AA159" s="274"/>
      <c r="AB159" s="280"/>
      <c r="AC159" s="274"/>
    </row>
    <row r="160" ht="30" customHeight="1" spans="1:29">
      <c r="A160" s="273"/>
      <c r="B160" s="274" t="s">
        <v>2124</v>
      </c>
      <c r="C160" s="275" t="s">
        <v>1124</v>
      </c>
      <c r="D160" s="274" t="s">
        <v>194</v>
      </c>
      <c r="E160" s="274"/>
      <c r="F160" s="276">
        <f t="shared" si="89"/>
        <v>390</v>
      </c>
      <c r="G160" s="276">
        <v>130</v>
      </c>
      <c r="H160" s="276">
        <v>130</v>
      </c>
      <c r="I160" s="276">
        <v>130</v>
      </c>
      <c r="J160" s="274" t="s">
        <v>2225</v>
      </c>
      <c r="K160" s="276">
        <v>130</v>
      </c>
      <c r="L160" s="276">
        <v>130</v>
      </c>
      <c r="M160" s="274">
        <v>2018</v>
      </c>
      <c r="N160" s="274">
        <v>2020</v>
      </c>
      <c r="O160" s="280" t="s">
        <v>320</v>
      </c>
      <c r="P160" s="280" t="s">
        <v>320</v>
      </c>
      <c r="Q160" s="280" t="s">
        <v>320</v>
      </c>
      <c r="R160" s="280" t="s">
        <v>320</v>
      </c>
      <c r="S160" s="280"/>
      <c r="T160" s="280"/>
      <c r="U160" s="280"/>
      <c r="V160" s="280"/>
      <c r="W160" s="280"/>
      <c r="X160" s="288"/>
      <c r="Y160" s="288"/>
      <c r="Z160" s="280"/>
      <c r="AA160" s="274"/>
      <c r="AB160" s="280"/>
      <c r="AC160" s="274"/>
    </row>
    <row r="161" ht="30" customHeight="1" spans="1:29">
      <c r="A161" s="273"/>
      <c r="B161" s="274" t="s">
        <v>2125</v>
      </c>
      <c r="C161" s="275" t="s">
        <v>1124</v>
      </c>
      <c r="D161" s="274" t="s">
        <v>194</v>
      </c>
      <c r="E161" s="274"/>
      <c r="F161" s="276">
        <f t="shared" si="89"/>
        <v>233</v>
      </c>
      <c r="G161" s="276">
        <v>100</v>
      </c>
      <c r="H161" s="276">
        <v>100</v>
      </c>
      <c r="I161" s="276">
        <v>33</v>
      </c>
      <c r="J161" s="274" t="s">
        <v>2226</v>
      </c>
      <c r="K161" s="276">
        <v>155</v>
      </c>
      <c r="L161" s="276">
        <v>233</v>
      </c>
      <c r="M161" s="274">
        <v>2018</v>
      </c>
      <c r="N161" s="274">
        <v>2020</v>
      </c>
      <c r="O161" s="280" t="s">
        <v>320</v>
      </c>
      <c r="P161" s="280" t="s">
        <v>320</v>
      </c>
      <c r="Q161" s="280" t="s">
        <v>320</v>
      </c>
      <c r="R161" s="280" t="s">
        <v>320</v>
      </c>
      <c r="S161" s="280"/>
      <c r="T161" s="280"/>
      <c r="U161" s="280"/>
      <c r="V161" s="280"/>
      <c r="W161" s="280"/>
      <c r="X161" s="288"/>
      <c r="Y161" s="288"/>
      <c r="Z161" s="280"/>
      <c r="AA161" s="274"/>
      <c r="AB161" s="280"/>
      <c r="AC161" s="274"/>
    </row>
    <row r="162" ht="30" customHeight="1" spans="1:29">
      <c r="A162" s="273">
        <v>33</v>
      </c>
      <c r="B162" s="277" t="s">
        <v>268</v>
      </c>
      <c r="C162" s="275" t="s">
        <v>1124</v>
      </c>
      <c r="D162" s="274" t="s">
        <v>147</v>
      </c>
      <c r="E162" s="274"/>
      <c r="F162" s="276">
        <f t="shared" ref="F162:I162" si="102">SUM(F163,F165,F172,F180,F188,F195,F203,F211,F219,F226,F230,F237)</f>
        <v>233</v>
      </c>
      <c r="G162" s="276">
        <f t="shared" si="102"/>
        <v>92</v>
      </c>
      <c r="H162" s="276">
        <f t="shared" si="102"/>
        <v>233</v>
      </c>
      <c r="I162" s="276">
        <f t="shared" si="102"/>
        <v>233</v>
      </c>
      <c r="J162" s="274" t="s">
        <v>320</v>
      </c>
      <c r="K162" s="276">
        <f t="shared" ref="K162:W162" si="103">SUM(K163,K165,K172,K180,K188,K195,K203,K211,K219,K226,K230,K237)</f>
        <v>204</v>
      </c>
      <c r="L162" s="276">
        <f t="shared" si="103"/>
        <v>204</v>
      </c>
      <c r="M162" s="274">
        <v>2018</v>
      </c>
      <c r="N162" s="274">
        <v>2020</v>
      </c>
      <c r="O162" s="280">
        <f t="shared" ref="O162:O225" si="104">SUM(P162:R162)</f>
        <v>201.7518</v>
      </c>
      <c r="P162" s="280">
        <f t="shared" si="103"/>
        <v>16.3902</v>
      </c>
      <c r="Q162" s="280">
        <f t="shared" si="103"/>
        <v>92.6808</v>
      </c>
      <c r="R162" s="280">
        <f t="shared" si="103"/>
        <v>92.6808</v>
      </c>
      <c r="S162" s="280">
        <f t="shared" si="103"/>
        <v>27.6</v>
      </c>
      <c r="T162" s="280">
        <f t="shared" si="103"/>
        <v>0</v>
      </c>
      <c r="U162" s="280">
        <f t="shared" si="103"/>
        <v>89.1018</v>
      </c>
      <c r="V162" s="280">
        <f t="shared" si="103"/>
        <v>85.05</v>
      </c>
      <c r="W162" s="280">
        <f t="shared" si="103"/>
        <v>0</v>
      </c>
      <c r="X162" s="274" t="s">
        <v>320</v>
      </c>
      <c r="Y162" s="274" t="s">
        <v>320</v>
      </c>
      <c r="Z162" s="274" t="s">
        <v>320</v>
      </c>
      <c r="AA162" s="274" t="s">
        <v>320</v>
      </c>
      <c r="AB162" s="274" t="s">
        <v>320</v>
      </c>
      <c r="AC162" s="274" t="s">
        <v>320</v>
      </c>
    </row>
    <row r="163" ht="36" spans="1:29">
      <c r="A163" s="273">
        <v>34</v>
      </c>
      <c r="B163" s="277" t="s">
        <v>269</v>
      </c>
      <c r="C163" s="275" t="s">
        <v>1124</v>
      </c>
      <c r="D163" s="274" t="s">
        <v>147</v>
      </c>
      <c r="E163" s="274"/>
      <c r="F163" s="276">
        <f t="shared" ref="F163:I163" si="105">SUM(F164)</f>
        <v>5</v>
      </c>
      <c r="G163" s="276">
        <f t="shared" si="105"/>
        <v>5</v>
      </c>
      <c r="H163" s="276">
        <f t="shared" si="105"/>
        <v>5</v>
      </c>
      <c r="I163" s="276">
        <f t="shared" si="105"/>
        <v>5</v>
      </c>
      <c r="J163" s="274" t="s">
        <v>2227</v>
      </c>
      <c r="K163" s="274">
        <v>0</v>
      </c>
      <c r="L163" s="274">
        <v>0</v>
      </c>
      <c r="M163" s="274">
        <v>2018</v>
      </c>
      <c r="N163" s="274">
        <v>2020</v>
      </c>
      <c r="O163" s="280">
        <f t="shared" si="104"/>
        <v>9</v>
      </c>
      <c r="P163" s="280">
        <f t="shared" ref="P163:R163" si="106">SUM(P164)</f>
        <v>3</v>
      </c>
      <c r="Q163" s="280">
        <f t="shared" si="106"/>
        <v>3</v>
      </c>
      <c r="R163" s="280">
        <f t="shared" si="106"/>
        <v>3</v>
      </c>
      <c r="S163" s="280">
        <f>SUM(P163:R163)</f>
        <v>9</v>
      </c>
      <c r="T163" s="280"/>
      <c r="U163" s="280"/>
      <c r="V163" s="280"/>
      <c r="W163" s="280"/>
      <c r="X163" s="288" t="s">
        <v>2108</v>
      </c>
      <c r="Y163" s="274" t="s">
        <v>2109</v>
      </c>
      <c r="Z163" s="280" t="s">
        <v>201</v>
      </c>
      <c r="AA163" s="274" t="s">
        <v>2228</v>
      </c>
      <c r="AB163" s="280" t="s">
        <v>2229</v>
      </c>
      <c r="AC163" s="274" t="s">
        <v>1073</v>
      </c>
    </row>
    <row r="164" ht="30" customHeight="1" spans="1:29">
      <c r="A164" s="273"/>
      <c r="B164" s="274" t="s">
        <v>2123</v>
      </c>
      <c r="C164" s="275" t="s">
        <v>1124</v>
      </c>
      <c r="D164" s="274" t="s">
        <v>147</v>
      </c>
      <c r="E164" s="274"/>
      <c r="F164" s="276">
        <v>5</v>
      </c>
      <c r="G164" s="276">
        <v>5</v>
      </c>
      <c r="H164" s="276">
        <v>5</v>
      </c>
      <c r="I164" s="276">
        <v>5</v>
      </c>
      <c r="J164" s="274" t="s">
        <v>2155</v>
      </c>
      <c r="K164" s="274">
        <v>0</v>
      </c>
      <c r="L164" s="274">
        <v>0</v>
      </c>
      <c r="M164" s="274">
        <v>2018</v>
      </c>
      <c r="N164" s="274">
        <v>2020</v>
      </c>
      <c r="O164" s="280">
        <f t="shared" si="104"/>
        <v>9</v>
      </c>
      <c r="P164" s="280">
        <f t="shared" ref="P164:R164" si="107">SUM(G164*0.6)</f>
        <v>3</v>
      </c>
      <c r="Q164" s="280">
        <f t="shared" si="107"/>
        <v>3</v>
      </c>
      <c r="R164" s="280">
        <f t="shared" si="107"/>
        <v>3</v>
      </c>
      <c r="S164" s="280"/>
      <c r="T164" s="280"/>
      <c r="U164" s="280"/>
      <c r="V164" s="280"/>
      <c r="W164" s="280"/>
      <c r="X164" s="295"/>
      <c r="Y164" s="295"/>
      <c r="Z164" s="280"/>
      <c r="AA164" s="274"/>
      <c r="AB164" s="274"/>
      <c r="AC164" s="275"/>
    </row>
    <row r="165" ht="36" spans="1:29">
      <c r="A165" s="273">
        <v>35</v>
      </c>
      <c r="B165" s="277" t="s">
        <v>270</v>
      </c>
      <c r="C165" s="275" t="s">
        <v>52</v>
      </c>
      <c r="D165" s="274" t="s">
        <v>147</v>
      </c>
      <c r="E165" s="274"/>
      <c r="F165" s="276">
        <f t="shared" ref="F165:I165" si="108">SUM(F166:F171)</f>
        <v>26</v>
      </c>
      <c r="G165" s="276">
        <f t="shared" si="108"/>
        <v>0</v>
      </c>
      <c r="H165" s="276">
        <f t="shared" si="108"/>
        <v>26</v>
      </c>
      <c r="I165" s="276">
        <f t="shared" si="108"/>
        <v>26</v>
      </c>
      <c r="J165" s="274" t="s">
        <v>2230</v>
      </c>
      <c r="K165" s="274">
        <f t="shared" ref="K165:R165" si="109">SUM(K166:K171)</f>
        <v>26</v>
      </c>
      <c r="L165" s="274">
        <f t="shared" si="109"/>
        <v>26</v>
      </c>
      <c r="M165" s="274">
        <v>2019</v>
      </c>
      <c r="N165" s="274">
        <v>2020</v>
      </c>
      <c r="O165" s="280">
        <f t="shared" si="104"/>
        <v>7.8</v>
      </c>
      <c r="P165" s="280">
        <f t="shared" si="109"/>
        <v>0</v>
      </c>
      <c r="Q165" s="280">
        <f t="shared" si="109"/>
        <v>3.9</v>
      </c>
      <c r="R165" s="280">
        <f t="shared" si="109"/>
        <v>3.9</v>
      </c>
      <c r="S165" s="280">
        <f>O165</f>
        <v>7.8</v>
      </c>
      <c r="T165" s="280"/>
      <c r="U165" s="280"/>
      <c r="V165" s="280"/>
      <c r="W165" s="280"/>
      <c r="X165" s="288" t="s">
        <v>2108</v>
      </c>
      <c r="Y165" s="274" t="s">
        <v>2231</v>
      </c>
      <c r="Z165" s="280" t="s">
        <v>271</v>
      </c>
      <c r="AA165" s="274" t="s">
        <v>2232</v>
      </c>
      <c r="AB165" s="280" t="s">
        <v>2229</v>
      </c>
      <c r="AC165" s="274" t="s">
        <v>2233</v>
      </c>
    </row>
    <row r="166" s="258" customFormat="1" ht="30" customHeight="1" spans="1:29">
      <c r="A166" s="273"/>
      <c r="B166" s="274" t="s">
        <v>2123</v>
      </c>
      <c r="C166" s="275" t="s">
        <v>52</v>
      </c>
      <c r="D166" s="274" t="s">
        <v>147</v>
      </c>
      <c r="E166" s="274"/>
      <c r="F166" s="276">
        <v>7</v>
      </c>
      <c r="G166" s="276">
        <v>0</v>
      </c>
      <c r="H166" s="276">
        <v>7</v>
      </c>
      <c r="I166" s="276">
        <v>7</v>
      </c>
      <c r="J166" s="274" t="s">
        <v>2138</v>
      </c>
      <c r="K166" s="274">
        <v>7</v>
      </c>
      <c r="L166" s="274">
        <v>7</v>
      </c>
      <c r="M166" s="274">
        <v>2019</v>
      </c>
      <c r="N166" s="274">
        <v>2020</v>
      </c>
      <c r="O166" s="280">
        <f t="shared" si="104"/>
        <v>2.1</v>
      </c>
      <c r="P166" s="280">
        <f t="shared" ref="P166:P171" si="110">SUM(G166*0.1)</f>
        <v>0</v>
      </c>
      <c r="Q166" s="280">
        <f t="shared" ref="Q166:Q171" si="111">H166*0.15</f>
        <v>1.05</v>
      </c>
      <c r="R166" s="280">
        <f t="shared" ref="R166:R171" si="112">I166*0.15</f>
        <v>1.05</v>
      </c>
      <c r="S166" s="280">
        <f t="shared" ref="S166:S171" si="113">O166</f>
        <v>2.1</v>
      </c>
      <c r="T166" s="280"/>
      <c r="U166" s="280"/>
      <c r="V166" s="280"/>
      <c r="W166" s="280"/>
      <c r="X166" s="274"/>
      <c r="Y166" s="274"/>
      <c r="Z166" s="274"/>
      <c r="AA166" s="274"/>
      <c r="AB166" s="274"/>
      <c r="AC166" s="274"/>
    </row>
    <row r="167" s="258" customFormat="1" ht="30" customHeight="1" spans="1:29">
      <c r="A167" s="293"/>
      <c r="B167" s="274" t="s">
        <v>2112</v>
      </c>
      <c r="C167" s="275" t="s">
        <v>52</v>
      </c>
      <c r="D167" s="274" t="s">
        <v>147</v>
      </c>
      <c r="E167" s="274"/>
      <c r="F167" s="276">
        <v>4</v>
      </c>
      <c r="G167" s="276">
        <v>0</v>
      </c>
      <c r="H167" s="276">
        <v>4</v>
      </c>
      <c r="I167" s="276">
        <v>4</v>
      </c>
      <c r="J167" s="274" t="s">
        <v>2135</v>
      </c>
      <c r="K167" s="274">
        <v>4</v>
      </c>
      <c r="L167" s="274">
        <v>4</v>
      </c>
      <c r="M167" s="274">
        <v>2019</v>
      </c>
      <c r="N167" s="274">
        <v>2020</v>
      </c>
      <c r="O167" s="280">
        <f t="shared" si="104"/>
        <v>1.2</v>
      </c>
      <c r="P167" s="280">
        <f t="shared" si="110"/>
        <v>0</v>
      </c>
      <c r="Q167" s="280">
        <f t="shared" si="111"/>
        <v>0.6</v>
      </c>
      <c r="R167" s="280">
        <f t="shared" si="112"/>
        <v>0.6</v>
      </c>
      <c r="S167" s="280">
        <f t="shared" si="113"/>
        <v>1.2</v>
      </c>
      <c r="T167" s="280"/>
      <c r="U167" s="280"/>
      <c r="V167" s="280"/>
      <c r="W167" s="280"/>
      <c r="X167" s="274"/>
      <c r="Y167" s="274"/>
      <c r="Z167" s="274"/>
      <c r="AA167" s="274"/>
      <c r="AB167" s="274"/>
      <c r="AC167" s="274"/>
    </row>
    <row r="168" s="258" customFormat="1" ht="30" customHeight="1" spans="1:29">
      <c r="A168" s="293"/>
      <c r="B168" s="274" t="s">
        <v>2114</v>
      </c>
      <c r="C168" s="275" t="s">
        <v>52</v>
      </c>
      <c r="D168" s="274" t="s">
        <v>147</v>
      </c>
      <c r="E168" s="274"/>
      <c r="F168" s="276">
        <v>5</v>
      </c>
      <c r="G168" s="276">
        <v>0</v>
      </c>
      <c r="H168" s="276">
        <v>5</v>
      </c>
      <c r="I168" s="276">
        <v>5</v>
      </c>
      <c r="J168" s="274" t="s">
        <v>2155</v>
      </c>
      <c r="K168" s="274">
        <v>5</v>
      </c>
      <c r="L168" s="274">
        <v>5</v>
      </c>
      <c r="M168" s="274">
        <v>2019</v>
      </c>
      <c r="N168" s="274">
        <v>2020</v>
      </c>
      <c r="O168" s="280">
        <f t="shared" si="104"/>
        <v>1.5</v>
      </c>
      <c r="P168" s="280">
        <f t="shared" si="110"/>
        <v>0</v>
      </c>
      <c r="Q168" s="280">
        <f t="shared" si="111"/>
        <v>0.75</v>
      </c>
      <c r="R168" s="280">
        <f t="shared" si="112"/>
        <v>0.75</v>
      </c>
      <c r="S168" s="280">
        <f t="shared" si="113"/>
        <v>1.5</v>
      </c>
      <c r="T168" s="280"/>
      <c r="U168" s="280"/>
      <c r="V168" s="280"/>
      <c r="W168" s="280"/>
      <c r="X168" s="274"/>
      <c r="Y168" s="274"/>
      <c r="Z168" s="274"/>
      <c r="AA168" s="274"/>
      <c r="AB168" s="274"/>
      <c r="AC168" s="274"/>
    </row>
    <row r="169" s="258" customFormat="1" ht="30" customHeight="1" spans="1:29">
      <c r="A169" s="293"/>
      <c r="B169" s="274" t="s">
        <v>2116</v>
      </c>
      <c r="C169" s="275" t="s">
        <v>52</v>
      </c>
      <c r="D169" s="274" t="s">
        <v>147</v>
      </c>
      <c r="E169" s="274"/>
      <c r="F169" s="276">
        <v>2</v>
      </c>
      <c r="G169" s="276">
        <v>0</v>
      </c>
      <c r="H169" s="276">
        <v>2</v>
      </c>
      <c r="I169" s="276">
        <v>2</v>
      </c>
      <c r="J169" s="274" t="s">
        <v>2163</v>
      </c>
      <c r="K169" s="274">
        <v>2</v>
      </c>
      <c r="L169" s="274">
        <v>2</v>
      </c>
      <c r="M169" s="274">
        <v>2019</v>
      </c>
      <c r="N169" s="274">
        <v>2020</v>
      </c>
      <c r="O169" s="280">
        <f t="shared" si="104"/>
        <v>0.6</v>
      </c>
      <c r="P169" s="280">
        <f t="shared" si="110"/>
        <v>0</v>
      </c>
      <c r="Q169" s="280">
        <f t="shared" si="111"/>
        <v>0.3</v>
      </c>
      <c r="R169" s="280">
        <f t="shared" si="112"/>
        <v>0.3</v>
      </c>
      <c r="S169" s="280">
        <f t="shared" si="113"/>
        <v>0.6</v>
      </c>
      <c r="T169" s="280"/>
      <c r="U169" s="280"/>
      <c r="V169" s="280"/>
      <c r="W169" s="280"/>
      <c r="X169" s="274"/>
      <c r="Y169" s="274"/>
      <c r="Z169" s="274"/>
      <c r="AA169" s="274"/>
      <c r="AB169" s="274"/>
      <c r="AC169" s="274"/>
    </row>
    <row r="170" s="258" customFormat="1" ht="30" customHeight="1" spans="1:29">
      <c r="A170" s="293"/>
      <c r="B170" s="274" t="s">
        <v>2118</v>
      </c>
      <c r="C170" s="275" t="s">
        <v>52</v>
      </c>
      <c r="D170" s="274" t="s">
        <v>147</v>
      </c>
      <c r="E170" s="274"/>
      <c r="F170" s="276">
        <v>1</v>
      </c>
      <c r="G170" s="276">
        <v>0</v>
      </c>
      <c r="H170" s="276">
        <v>1</v>
      </c>
      <c r="I170" s="276">
        <v>1</v>
      </c>
      <c r="J170" s="274" t="s">
        <v>2136</v>
      </c>
      <c r="K170" s="274">
        <v>1</v>
      </c>
      <c r="L170" s="274">
        <v>1</v>
      </c>
      <c r="M170" s="274">
        <v>2019</v>
      </c>
      <c r="N170" s="274">
        <v>2020</v>
      </c>
      <c r="O170" s="280">
        <f t="shared" si="104"/>
        <v>0.3</v>
      </c>
      <c r="P170" s="280">
        <f t="shared" si="110"/>
        <v>0</v>
      </c>
      <c r="Q170" s="280">
        <f t="shared" si="111"/>
        <v>0.15</v>
      </c>
      <c r="R170" s="280">
        <f t="shared" si="112"/>
        <v>0.15</v>
      </c>
      <c r="S170" s="280">
        <f t="shared" si="113"/>
        <v>0.3</v>
      </c>
      <c r="T170" s="280"/>
      <c r="U170" s="280"/>
      <c r="V170" s="280"/>
      <c r="W170" s="280"/>
      <c r="X170" s="274"/>
      <c r="Y170" s="274"/>
      <c r="Z170" s="274"/>
      <c r="AA170" s="274"/>
      <c r="AB170" s="274"/>
      <c r="AC170" s="274"/>
    </row>
    <row r="171" s="258" customFormat="1" ht="30" customHeight="1" spans="1:29">
      <c r="A171" s="293"/>
      <c r="B171" s="274" t="s">
        <v>2125</v>
      </c>
      <c r="C171" s="275" t="s">
        <v>52</v>
      </c>
      <c r="D171" s="274" t="s">
        <v>147</v>
      </c>
      <c r="E171" s="274"/>
      <c r="F171" s="276">
        <v>7</v>
      </c>
      <c r="G171" s="276">
        <v>0</v>
      </c>
      <c r="H171" s="276">
        <v>7</v>
      </c>
      <c r="I171" s="276">
        <v>7</v>
      </c>
      <c r="J171" s="274" t="s">
        <v>2138</v>
      </c>
      <c r="K171" s="274">
        <v>7</v>
      </c>
      <c r="L171" s="274">
        <v>7</v>
      </c>
      <c r="M171" s="274">
        <v>2019</v>
      </c>
      <c r="N171" s="274">
        <v>2020</v>
      </c>
      <c r="O171" s="280">
        <f t="shared" si="104"/>
        <v>2.1</v>
      </c>
      <c r="P171" s="280">
        <f t="shared" si="110"/>
        <v>0</v>
      </c>
      <c r="Q171" s="280">
        <f t="shared" si="111"/>
        <v>1.05</v>
      </c>
      <c r="R171" s="280">
        <f t="shared" si="112"/>
        <v>1.05</v>
      </c>
      <c r="S171" s="280">
        <f t="shared" si="113"/>
        <v>2.1</v>
      </c>
      <c r="T171" s="280"/>
      <c r="U171" s="280"/>
      <c r="V171" s="280"/>
      <c r="W171" s="280"/>
      <c r="X171" s="274"/>
      <c r="Y171" s="274"/>
      <c r="Z171" s="274"/>
      <c r="AA171" s="274"/>
      <c r="AB171" s="274"/>
      <c r="AC171" s="274"/>
    </row>
    <row r="172" ht="36" spans="1:29">
      <c r="A172" s="273">
        <v>36</v>
      </c>
      <c r="B172" s="277" t="s">
        <v>272</v>
      </c>
      <c r="C172" s="275" t="s">
        <v>52</v>
      </c>
      <c r="D172" s="274" t="s">
        <v>147</v>
      </c>
      <c r="E172" s="274"/>
      <c r="F172" s="276">
        <f t="shared" ref="F172:I172" si="114">SUM(F173:F179)</f>
        <v>106</v>
      </c>
      <c r="G172" s="276">
        <f t="shared" si="114"/>
        <v>0</v>
      </c>
      <c r="H172" s="276">
        <f t="shared" si="114"/>
        <v>106</v>
      </c>
      <c r="I172" s="276">
        <f t="shared" si="114"/>
        <v>106</v>
      </c>
      <c r="J172" s="274" t="s">
        <v>2234</v>
      </c>
      <c r="K172" s="274">
        <f t="shared" ref="K172:R172" si="115">SUM(K173:K179)</f>
        <v>106</v>
      </c>
      <c r="L172" s="274">
        <f t="shared" si="115"/>
        <v>106</v>
      </c>
      <c r="M172" s="274">
        <v>2019</v>
      </c>
      <c r="N172" s="274">
        <v>2020</v>
      </c>
      <c r="O172" s="280">
        <f t="shared" si="104"/>
        <v>76.32</v>
      </c>
      <c r="P172" s="280">
        <f t="shared" si="115"/>
        <v>0</v>
      </c>
      <c r="Q172" s="280">
        <f t="shared" si="115"/>
        <v>38.16</v>
      </c>
      <c r="R172" s="280">
        <f t="shared" si="115"/>
        <v>38.16</v>
      </c>
      <c r="S172" s="280"/>
      <c r="T172" s="280"/>
      <c r="U172" s="280">
        <f>SUM(P172:R172)</f>
        <v>76.32</v>
      </c>
      <c r="V172" s="280"/>
      <c r="W172" s="280"/>
      <c r="X172" s="288" t="s">
        <v>2108</v>
      </c>
      <c r="Y172" s="274" t="s">
        <v>2231</v>
      </c>
      <c r="Z172" s="274" t="s">
        <v>273</v>
      </c>
      <c r="AA172" s="274" t="s">
        <v>2235</v>
      </c>
      <c r="AB172" s="280" t="s">
        <v>2229</v>
      </c>
      <c r="AC172" s="274" t="s">
        <v>2233</v>
      </c>
    </row>
    <row r="173" ht="30" customHeight="1" spans="1:29">
      <c r="A173" s="273"/>
      <c r="B173" s="274" t="s">
        <v>2123</v>
      </c>
      <c r="C173" s="275" t="s">
        <v>52</v>
      </c>
      <c r="D173" s="274" t="s">
        <v>147</v>
      </c>
      <c r="E173" s="274"/>
      <c r="F173" s="276">
        <v>42</v>
      </c>
      <c r="G173" s="276">
        <v>0</v>
      </c>
      <c r="H173" s="276">
        <v>42</v>
      </c>
      <c r="I173" s="276">
        <v>42</v>
      </c>
      <c r="J173" s="274" t="s">
        <v>2236</v>
      </c>
      <c r="K173" s="274">
        <v>42</v>
      </c>
      <c r="L173" s="274">
        <v>42</v>
      </c>
      <c r="M173" s="274">
        <v>2019</v>
      </c>
      <c r="N173" s="274">
        <v>2020</v>
      </c>
      <c r="O173" s="280">
        <f t="shared" si="104"/>
        <v>30.24</v>
      </c>
      <c r="P173" s="280">
        <f t="shared" ref="P173:P179" si="116">SUM(G173*0.24)</f>
        <v>0</v>
      </c>
      <c r="Q173" s="280">
        <f t="shared" ref="Q173:Q179" si="117">H173*0.36</f>
        <v>15.12</v>
      </c>
      <c r="R173" s="280">
        <f t="shared" ref="R173:R179" si="118">I173*0.36</f>
        <v>15.12</v>
      </c>
      <c r="S173" s="280"/>
      <c r="T173" s="280"/>
      <c r="U173" s="280"/>
      <c r="V173" s="280"/>
      <c r="W173" s="280"/>
      <c r="X173" s="295"/>
      <c r="Y173" s="295"/>
      <c r="Z173" s="274"/>
      <c r="AA173" s="274"/>
      <c r="AB173" s="288"/>
      <c r="AC173" s="274"/>
    </row>
    <row r="174" ht="30" customHeight="1" spans="1:29">
      <c r="A174" s="293"/>
      <c r="B174" s="274" t="s">
        <v>2112</v>
      </c>
      <c r="C174" s="275" t="s">
        <v>52</v>
      </c>
      <c r="D174" s="274" t="s">
        <v>147</v>
      </c>
      <c r="E174" s="274"/>
      <c r="F174" s="294">
        <v>12</v>
      </c>
      <c r="G174" s="276">
        <v>0</v>
      </c>
      <c r="H174" s="294">
        <v>12</v>
      </c>
      <c r="I174" s="294">
        <v>12</v>
      </c>
      <c r="J174" s="274" t="s">
        <v>2237</v>
      </c>
      <c r="K174" s="275">
        <v>12</v>
      </c>
      <c r="L174" s="275">
        <v>12</v>
      </c>
      <c r="M174" s="274">
        <v>2019</v>
      </c>
      <c r="N174" s="274">
        <v>2020</v>
      </c>
      <c r="O174" s="280">
        <f t="shared" si="104"/>
        <v>8.64</v>
      </c>
      <c r="P174" s="280">
        <f t="shared" si="116"/>
        <v>0</v>
      </c>
      <c r="Q174" s="280">
        <f t="shared" si="117"/>
        <v>4.32</v>
      </c>
      <c r="R174" s="280">
        <f t="shared" si="118"/>
        <v>4.32</v>
      </c>
      <c r="S174" s="280"/>
      <c r="T174" s="280"/>
      <c r="U174" s="280"/>
      <c r="V174" s="280"/>
      <c r="W174" s="280"/>
      <c r="X174" s="274"/>
      <c r="Y174" s="274"/>
      <c r="Z174" s="274"/>
      <c r="AA174" s="274"/>
      <c r="AB174" s="288"/>
      <c r="AC174" s="274"/>
    </row>
    <row r="175" ht="30" customHeight="1" spans="1:29">
      <c r="A175" s="293"/>
      <c r="B175" s="274" t="s">
        <v>2114</v>
      </c>
      <c r="C175" s="275" t="s">
        <v>52</v>
      </c>
      <c r="D175" s="274" t="s">
        <v>147</v>
      </c>
      <c r="E175" s="274"/>
      <c r="F175" s="294">
        <v>15</v>
      </c>
      <c r="G175" s="276">
        <v>0</v>
      </c>
      <c r="H175" s="294">
        <v>15</v>
      </c>
      <c r="I175" s="294">
        <v>15</v>
      </c>
      <c r="J175" s="274" t="s">
        <v>2238</v>
      </c>
      <c r="K175" s="275">
        <v>15</v>
      </c>
      <c r="L175" s="275">
        <v>15</v>
      </c>
      <c r="M175" s="274">
        <v>2019</v>
      </c>
      <c r="N175" s="274">
        <v>2020</v>
      </c>
      <c r="O175" s="280">
        <f t="shared" si="104"/>
        <v>10.8</v>
      </c>
      <c r="P175" s="280">
        <f t="shared" si="116"/>
        <v>0</v>
      </c>
      <c r="Q175" s="280">
        <f t="shared" si="117"/>
        <v>5.4</v>
      </c>
      <c r="R175" s="280">
        <f t="shared" si="118"/>
        <v>5.4</v>
      </c>
      <c r="S175" s="280"/>
      <c r="T175" s="280"/>
      <c r="U175" s="280"/>
      <c r="V175" s="280"/>
      <c r="W175" s="280"/>
      <c r="X175" s="295"/>
      <c r="Y175" s="295"/>
      <c r="Z175" s="274"/>
      <c r="AA175" s="274"/>
      <c r="AB175" s="288"/>
      <c r="AC175" s="274"/>
    </row>
    <row r="176" ht="30" customHeight="1" spans="1:29">
      <c r="A176" s="293"/>
      <c r="B176" s="274" t="s">
        <v>2116</v>
      </c>
      <c r="C176" s="275" t="s">
        <v>52</v>
      </c>
      <c r="D176" s="274" t="s">
        <v>147</v>
      </c>
      <c r="E176" s="274"/>
      <c r="F176" s="294">
        <v>18</v>
      </c>
      <c r="G176" s="276">
        <v>0</v>
      </c>
      <c r="H176" s="294">
        <v>18</v>
      </c>
      <c r="I176" s="294">
        <v>18</v>
      </c>
      <c r="J176" s="274" t="s">
        <v>2149</v>
      </c>
      <c r="K176" s="275">
        <v>18</v>
      </c>
      <c r="L176" s="275">
        <v>18</v>
      </c>
      <c r="M176" s="274">
        <v>2019</v>
      </c>
      <c r="N176" s="274">
        <v>2020</v>
      </c>
      <c r="O176" s="280">
        <f t="shared" si="104"/>
        <v>12.96</v>
      </c>
      <c r="P176" s="280">
        <f t="shared" si="116"/>
        <v>0</v>
      </c>
      <c r="Q176" s="280">
        <f t="shared" si="117"/>
        <v>6.48</v>
      </c>
      <c r="R176" s="280">
        <f t="shared" si="118"/>
        <v>6.48</v>
      </c>
      <c r="S176" s="280"/>
      <c r="T176" s="280"/>
      <c r="U176" s="280"/>
      <c r="V176" s="280"/>
      <c r="W176" s="280"/>
      <c r="X176" s="295"/>
      <c r="Y176" s="295"/>
      <c r="Z176" s="274"/>
      <c r="AA176" s="274"/>
      <c r="AB176" s="288"/>
      <c r="AC176" s="274"/>
    </row>
    <row r="177" ht="30" customHeight="1" spans="1:29">
      <c r="A177" s="293"/>
      <c r="B177" s="274" t="s">
        <v>2118</v>
      </c>
      <c r="C177" s="275" t="s">
        <v>52</v>
      </c>
      <c r="D177" s="274" t="s">
        <v>147</v>
      </c>
      <c r="E177" s="274"/>
      <c r="F177" s="294">
        <v>5</v>
      </c>
      <c r="G177" s="276">
        <v>0</v>
      </c>
      <c r="H177" s="294">
        <v>5</v>
      </c>
      <c r="I177" s="294">
        <v>5</v>
      </c>
      <c r="J177" s="274" t="s">
        <v>2155</v>
      </c>
      <c r="K177" s="275">
        <v>5</v>
      </c>
      <c r="L177" s="275">
        <v>5</v>
      </c>
      <c r="M177" s="274">
        <v>2019</v>
      </c>
      <c r="N177" s="274">
        <v>2020</v>
      </c>
      <c r="O177" s="280">
        <f t="shared" si="104"/>
        <v>3.6</v>
      </c>
      <c r="P177" s="280">
        <f t="shared" si="116"/>
        <v>0</v>
      </c>
      <c r="Q177" s="280">
        <f t="shared" si="117"/>
        <v>1.8</v>
      </c>
      <c r="R177" s="280">
        <f t="shared" si="118"/>
        <v>1.8</v>
      </c>
      <c r="S177" s="280"/>
      <c r="T177" s="280"/>
      <c r="U177" s="280"/>
      <c r="V177" s="280"/>
      <c r="W177" s="280"/>
      <c r="X177" s="288"/>
      <c r="Y177" s="288"/>
      <c r="Z177" s="274"/>
      <c r="AA177" s="274"/>
      <c r="AB177" s="288"/>
      <c r="AC177" s="274"/>
    </row>
    <row r="178" ht="30" customHeight="1" spans="1:29">
      <c r="A178" s="293"/>
      <c r="B178" s="274" t="s">
        <v>2124</v>
      </c>
      <c r="C178" s="275" t="s">
        <v>52</v>
      </c>
      <c r="D178" s="274" t="s">
        <v>147</v>
      </c>
      <c r="E178" s="274"/>
      <c r="F178" s="294">
        <v>1</v>
      </c>
      <c r="G178" s="276">
        <v>0</v>
      </c>
      <c r="H178" s="294">
        <v>1</v>
      </c>
      <c r="I178" s="294">
        <v>1</v>
      </c>
      <c r="J178" s="274" t="s">
        <v>2136</v>
      </c>
      <c r="K178" s="275">
        <v>1</v>
      </c>
      <c r="L178" s="275">
        <v>1</v>
      </c>
      <c r="M178" s="274">
        <v>2019</v>
      </c>
      <c r="N178" s="274">
        <v>2020</v>
      </c>
      <c r="O178" s="280">
        <f t="shared" si="104"/>
        <v>0.72</v>
      </c>
      <c r="P178" s="280">
        <f t="shared" si="116"/>
        <v>0</v>
      </c>
      <c r="Q178" s="280">
        <f t="shared" si="117"/>
        <v>0.36</v>
      </c>
      <c r="R178" s="280">
        <f t="shared" si="118"/>
        <v>0.36</v>
      </c>
      <c r="S178" s="280"/>
      <c r="T178" s="280"/>
      <c r="U178" s="280"/>
      <c r="V178" s="280"/>
      <c r="W178" s="280"/>
      <c r="X178" s="288"/>
      <c r="Y178" s="288"/>
      <c r="Z178" s="274"/>
      <c r="AA178" s="274"/>
      <c r="AB178" s="288"/>
      <c r="AC178" s="274"/>
    </row>
    <row r="179" ht="30" customHeight="1" spans="1:29">
      <c r="A179" s="293"/>
      <c r="B179" s="274" t="s">
        <v>2125</v>
      </c>
      <c r="C179" s="275" t="s">
        <v>52</v>
      </c>
      <c r="D179" s="274" t="s">
        <v>147</v>
      </c>
      <c r="E179" s="274"/>
      <c r="F179" s="294">
        <v>13</v>
      </c>
      <c r="G179" s="276">
        <v>0</v>
      </c>
      <c r="H179" s="294">
        <v>13</v>
      </c>
      <c r="I179" s="294">
        <v>13</v>
      </c>
      <c r="J179" s="274" t="s">
        <v>2239</v>
      </c>
      <c r="K179" s="275">
        <v>13</v>
      </c>
      <c r="L179" s="275">
        <v>13</v>
      </c>
      <c r="M179" s="274">
        <v>2019</v>
      </c>
      <c r="N179" s="274">
        <v>2020</v>
      </c>
      <c r="O179" s="280">
        <f t="shared" si="104"/>
        <v>9.36</v>
      </c>
      <c r="P179" s="280">
        <f t="shared" si="116"/>
        <v>0</v>
      </c>
      <c r="Q179" s="280">
        <f t="shared" si="117"/>
        <v>4.68</v>
      </c>
      <c r="R179" s="280">
        <f t="shared" si="118"/>
        <v>4.68</v>
      </c>
      <c r="S179" s="280"/>
      <c r="T179" s="280"/>
      <c r="U179" s="280"/>
      <c r="V179" s="280"/>
      <c r="W179" s="280"/>
      <c r="X179" s="274"/>
      <c r="Y179" s="274"/>
      <c r="Z179" s="274"/>
      <c r="AA179" s="274"/>
      <c r="AB179" s="288"/>
      <c r="AC179" s="274"/>
    </row>
    <row r="180" ht="36" spans="1:29">
      <c r="A180" s="273">
        <v>37</v>
      </c>
      <c r="B180" s="277" t="s">
        <v>274</v>
      </c>
      <c r="C180" s="275" t="s">
        <v>52</v>
      </c>
      <c r="D180" s="274" t="s">
        <v>147</v>
      </c>
      <c r="E180" s="274"/>
      <c r="F180" s="276">
        <f t="shared" ref="F180:I180" si="119">SUM(F181:F187)</f>
        <v>9</v>
      </c>
      <c r="G180" s="276">
        <f t="shared" si="119"/>
        <v>0</v>
      </c>
      <c r="H180" s="276">
        <f t="shared" si="119"/>
        <v>9</v>
      </c>
      <c r="I180" s="276">
        <f t="shared" si="119"/>
        <v>9</v>
      </c>
      <c r="J180" s="274" t="s">
        <v>2240</v>
      </c>
      <c r="K180" s="274">
        <f t="shared" ref="K180:R180" si="120">SUM(K181:K187)</f>
        <v>9</v>
      </c>
      <c r="L180" s="274">
        <f t="shared" si="120"/>
        <v>9</v>
      </c>
      <c r="M180" s="274">
        <v>2019</v>
      </c>
      <c r="N180" s="274">
        <v>2020</v>
      </c>
      <c r="O180" s="280">
        <f t="shared" si="104"/>
        <v>9.72</v>
      </c>
      <c r="P180" s="280">
        <f t="shared" si="120"/>
        <v>0</v>
      </c>
      <c r="Q180" s="280">
        <f t="shared" si="120"/>
        <v>4.86</v>
      </c>
      <c r="R180" s="280">
        <f t="shared" si="120"/>
        <v>4.86</v>
      </c>
      <c r="S180" s="280"/>
      <c r="T180" s="280"/>
      <c r="U180" s="280">
        <f>SUM(P180:R180)</f>
        <v>9.72</v>
      </c>
      <c r="V180" s="280"/>
      <c r="W180" s="280"/>
      <c r="X180" s="288" t="s">
        <v>2108</v>
      </c>
      <c r="Y180" s="274" t="s">
        <v>2231</v>
      </c>
      <c r="Z180" s="280" t="s">
        <v>275</v>
      </c>
      <c r="AA180" s="274" t="s">
        <v>2241</v>
      </c>
      <c r="AB180" s="280" t="s">
        <v>2229</v>
      </c>
      <c r="AC180" s="274" t="s">
        <v>2233</v>
      </c>
    </row>
    <row r="181" s="258" customFormat="1" ht="30" customHeight="1" spans="1:29">
      <c r="A181" s="273"/>
      <c r="B181" s="274" t="s">
        <v>2123</v>
      </c>
      <c r="C181" s="275" t="s">
        <v>52</v>
      </c>
      <c r="D181" s="274" t="s">
        <v>147</v>
      </c>
      <c r="E181" s="274"/>
      <c r="F181" s="276">
        <v>1</v>
      </c>
      <c r="G181" s="276">
        <v>0</v>
      </c>
      <c r="H181" s="276">
        <v>1</v>
      </c>
      <c r="I181" s="276">
        <v>1</v>
      </c>
      <c r="J181" s="274" t="s">
        <v>2136</v>
      </c>
      <c r="K181" s="274">
        <v>1</v>
      </c>
      <c r="L181" s="274">
        <v>1</v>
      </c>
      <c r="M181" s="274">
        <v>2019</v>
      </c>
      <c r="N181" s="274">
        <v>2020</v>
      </c>
      <c r="O181" s="280">
        <f t="shared" si="104"/>
        <v>1.08</v>
      </c>
      <c r="P181" s="280">
        <f t="shared" ref="P181:P187" si="121">SUM(G181*0.36)</f>
        <v>0</v>
      </c>
      <c r="Q181" s="280">
        <f t="shared" ref="Q181:Q187" si="122">H181*0.54</f>
        <v>0.54</v>
      </c>
      <c r="R181" s="280">
        <f t="shared" ref="R181:R187" si="123">I181*0.54</f>
        <v>0.54</v>
      </c>
      <c r="S181" s="280"/>
      <c r="T181" s="280"/>
      <c r="U181" s="280"/>
      <c r="V181" s="280"/>
      <c r="W181" s="280"/>
      <c r="X181" s="289"/>
      <c r="Y181" s="289"/>
      <c r="Z181" s="280"/>
      <c r="AA181" s="274"/>
      <c r="AB181" s="288"/>
      <c r="AC181" s="274"/>
    </row>
    <row r="182" s="258" customFormat="1" ht="30" customHeight="1" spans="1:29">
      <c r="A182" s="273"/>
      <c r="B182" s="274" t="s">
        <v>2112</v>
      </c>
      <c r="C182" s="275" t="s">
        <v>52</v>
      </c>
      <c r="D182" s="274" t="s">
        <v>147</v>
      </c>
      <c r="E182" s="274"/>
      <c r="F182" s="294">
        <v>1</v>
      </c>
      <c r="G182" s="276">
        <v>0</v>
      </c>
      <c r="H182" s="294">
        <v>1</v>
      </c>
      <c r="I182" s="294">
        <v>1</v>
      </c>
      <c r="J182" s="274" t="s">
        <v>2136</v>
      </c>
      <c r="K182" s="275">
        <v>1</v>
      </c>
      <c r="L182" s="275">
        <v>1</v>
      </c>
      <c r="M182" s="274">
        <v>2019</v>
      </c>
      <c r="N182" s="274">
        <v>2020</v>
      </c>
      <c r="O182" s="280">
        <f t="shared" si="104"/>
        <v>1.08</v>
      </c>
      <c r="P182" s="280">
        <f t="shared" si="121"/>
        <v>0</v>
      </c>
      <c r="Q182" s="280">
        <f t="shared" si="122"/>
        <v>0.54</v>
      </c>
      <c r="R182" s="280">
        <f t="shared" si="123"/>
        <v>0.54</v>
      </c>
      <c r="S182" s="280"/>
      <c r="T182" s="280"/>
      <c r="U182" s="280"/>
      <c r="V182" s="280"/>
      <c r="W182" s="280"/>
      <c r="X182" s="274"/>
      <c r="Y182" s="274"/>
      <c r="Z182" s="280"/>
      <c r="AA182" s="274"/>
      <c r="AB182" s="288"/>
      <c r="AC182" s="274"/>
    </row>
    <row r="183" s="258" customFormat="1" ht="30" customHeight="1" spans="1:29">
      <c r="A183" s="273"/>
      <c r="B183" s="274" t="s">
        <v>2114</v>
      </c>
      <c r="C183" s="275" t="s">
        <v>52</v>
      </c>
      <c r="D183" s="274" t="s">
        <v>147</v>
      </c>
      <c r="E183" s="274"/>
      <c r="F183" s="294">
        <v>3</v>
      </c>
      <c r="G183" s="276">
        <v>0</v>
      </c>
      <c r="H183" s="294">
        <v>3</v>
      </c>
      <c r="I183" s="294">
        <v>3</v>
      </c>
      <c r="J183" s="274" t="s">
        <v>2145</v>
      </c>
      <c r="K183" s="275">
        <v>3</v>
      </c>
      <c r="L183" s="275">
        <v>3</v>
      </c>
      <c r="M183" s="274">
        <v>2019</v>
      </c>
      <c r="N183" s="274">
        <v>2020</v>
      </c>
      <c r="O183" s="280">
        <f t="shared" si="104"/>
        <v>3.24</v>
      </c>
      <c r="P183" s="280">
        <f t="shared" si="121"/>
        <v>0</v>
      </c>
      <c r="Q183" s="280">
        <f t="shared" si="122"/>
        <v>1.62</v>
      </c>
      <c r="R183" s="280">
        <f t="shared" si="123"/>
        <v>1.62</v>
      </c>
      <c r="S183" s="280"/>
      <c r="T183" s="280"/>
      <c r="U183" s="280"/>
      <c r="V183" s="280"/>
      <c r="W183" s="280"/>
      <c r="X183" s="280"/>
      <c r="Y183" s="280"/>
      <c r="Z183" s="280"/>
      <c r="AA183" s="274"/>
      <c r="AB183" s="288"/>
      <c r="AC183" s="274"/>
    </row>
    <row r="184" s="258" customFormat="1" ht="30" customHeight="1" spans="1:29">
      <c r="A184" s="273"/>
      <c r="B184" s="274" t="s">
        <v>2116</v>
      </c>
      <c r="C184" s="275" t="s">
        <v>52</v>
      </c>
      <c r="D184" s="274" t="s">
        <v>147</v>
      </c>
      <c r="E184" s="274"/>
      <c r="F184" s="294">
        <v>1</v>
      </c>
      <c r="G184" s="276">
        <v>0</v>
      </c>
      <c r="H184" s="294">
        <v>1</v>
      </c>
      <c r="I184" s="294">
        <v>1</v>
      </c>
      <c r="J184" s="274" t="s">
        <v>2136</v>
      </c>
      <c r="K184" s="275">
        <v>1</v>
      </c>
      <c r="L184" s="275">
        <v>1</v>
      </c>
      <c r="M184" s="274">
        <v>2019</v>
      </c>
      <c r="N184" s="274">
        <v>2020</v>
      </c>
      <c r="O184" s="280">
        <f t="shared" si="104"/>
        <v>1.08</v>
      </c>
      <c r="P184" s="280">
        <f t="shared" si="121"/>
        <v>0</v>
      </c>
      <c r="Q184" s="280">
        <f t="shared" si="122"/>
        <v>0.54</v>
      </c>
      <c r="R184" s="280">
        <f t="shared" si="123"/>
        <v>0.54</v>
      </c>
      <c r="S184" s="280"/>
      <c r="T184" s="280"/>
      <c r="U184" s="280"/>
      <c r="V184" s="280"/>
      <c r="W184" s="280"/>
      <c r="X184" s="280"/>
      <c r="Y184" s="280"/>
      <c r="Z184" s="280"/>
      <c r="AA184" s="274"/>
      <c r="AB184" s="288"/>
      <c r="AC184" s="274"/>
    </row>
    <row r="185" s="258" customFormat="1" ht="30" customHeight="1" spans="1:29">
      <c r="A185" s="273"/>
      <c r="B185" s="274" t="s">
        <v>2118</v>
      </c>
      <c r="C185" s="275" t="s">
        <v>52</v>
      </c>
      <c r="D185" s="274" t="s">
        <v>147</v>
      </c>
      <c r="E185" s="274"/>
      <c r="F185" s="294">
        <v>1</v>
      </c>
      <c r="G185" s="276">
        <v>0</v>
      </c>
      <c r="H185" s="294">
        <v>1</v>
      </c>
      <c r="I185" s="294">
        <v>1</v>
      </c>
      <c r="J185" s="274" t="s">
        <v>2136</v>
      </c>
      <c r="K185" s="275">
        <v>1</v>
      </c>
      <c r="L185" s="275">
        <v>1</v>
      </c>
      <c r="M185" s="274">
        <v>2019</v>
      </c>
      <c r="N185" s="274">
        <v>2020</v>
      </c>
      <c r="O185" s="280">
        <f t="shared" si="104"/>
        <v>1.08</v>
      </c>
      <c r="P185" s="280">
        <f t="shared" si="121"/>
        <v>0</v>
      </c>
      <c r="Q185" s="280">
        <f t="shared" si="122"/>
        <v>0.54</v>
      </c>
      <c r="R185" s="280">
        <f t="shared" si="123"/>
        <v>0.54</v>
      </c>
      <c r="S185" s="280"/>
      <c r="T185" s="280"/>
      <c r="U185" s="280"/>
      <c r="V185" s="280"/>
      <c r="W185" s="280"/>
      <c r="X185" s="288"/>
      <c r="Y185" s="288"/>
      <c r="Z185" s="280"/>
      <c r="AA185" s="274"/>
      <c r="AB185" s="288"/>
      <c r="AC185" s="274"/>
    </row>
    <row r="186" s="258" customFormat="1" ht="30" customHeight="1" spans="1:29">
      <c r="A186" s="273"/>
      <c r="B186" s="274" t="s">
        <v>2124</v>
      </c>
      <c r="C186" s="275" t="s">
        <v>52</v>
      </c>
      <c r="D186" s="274" t="s">
        <v>147</v>
      </c>
      <c r="E186" s="274"/>
      <c r="F186" s="294">
        <v>1</v>
      </c>
      <c r="G186" s="276">
        <v>0</v>
      </c>
      <c r="H186" s="294">
        <v>1</v>
      </c>
      <c r="I186" s="294">
        <v>1</v>
      </c>
      <c r="J186" s="274" t="s">
        <v>2136</v>
      </c>
      <c r="K186" s="275">
        <v>1</v>
      </c>
      <c r="L186" s="275">
        <v>1</v>
      </c>
      <c r="M186" s="274">
        <v>2019</v>
      </c>
      <c r="N186" s="274">
        <v>2020</v>
      </c>
      <c r="O186" s="280">
        <f t="shared" si="104"/>
        <v>1.08</v>
      </c>
      <c r="P186" s="280">
        <f t="shared" si="121"/>
        <v>0</v>
      </c>
      <c r="Q186" s="280">
        <f t="shared" si="122"/>
        <v>0.54</v>
      </c>
      <c r="R186" s="280">
        <f t="shared" si="123"/>
        <v>0.54</v>
      </c>
      <c r="S186" s="280"/>
      <c r="T186" s="280"/>
      <c r="U186" s="280"/>
      <c r="V186" s="280"/>
      <c r="W186" s="280"/>
      <c r="X186" s="288"/>
      <c r="Y186" s="288"/>
      <c r="Z186" s="280"/>
      <c r="AA186" s="274"/>
      <c r="AB186" s="288"/>
      <c r="AC186" s="274"/>
    </row>
    <row r="187" s="258" customFormat="1" ht="30" customHeight="1" spans="1:29">
      <c r="A187" s="273"/>
      <c r="B187" s="274" t="s">
        <v>2125</v>
      </c>
      <c r="C187" s="275" t="s">
        <v>52</v>
      </c>
      <c r="D187" s="274" t="s">
        <v>147</v>
      </c>
      <c r="E187" s="274"/>
      <c r="F187" s="294">
        <v>1</v>
      </c>
      <c r="G187" s="276">
        <v>0</v>
      </c>
      <c r="H187" s="294">
        <v>1</v>
      </c>
      <c r="I187" s="294">
        <v>1</v>
      </c>
      <c r="J187" s="274" t="s">
        <v>2136</v>
      </c>
      <c r="K187" s="275">
        <v>1</v>
      </c>
      <c r="L187" s="275">
        <v>1</v>
      </c>
      <c r="M187" s="274">
        <v>2019</v>
      </c>
      <c r="N187" s="274">
        <v>2020</v>
      </c>
      <c r="O187" s="280">
        <f t="shared" si="104"/>
        <v>1.08</v>
      </c>
      <c r="P187" s="280">
        <f t="shared" si="121"/>
        <v>0</v>
      </c>
      <c r="Q187" s="280">
        <f t="shared" si="122"/>
        <v>0.54</v>
      </c>
      <c r="R187" s="280">
        <f t="shared" si="123"/>
        <v>0.54</v>
      </c>
      <c r="S187" s="280"/>
      <c r="T187" s="280"/>
      <c r="U187" s="280"/>
      <c r="V187" s="280"/>
      <c r="W187" s="280"/>
      <c r="X187" s="274"/>
      <c r="Y187" s="274"/>
      <c r="Z187" s="280"/>
      <c r="AA187" s="274"/>
      <c r="AB187" s="288"/>
      <c r="AC187" s="274"/>
    </row>
    <row r="188" ht="30" customHeight="1" spans="1:29">
      <c r="A188" s="273">
        <v>38</v>
      </c>
      <c r="B188" s="277" t="s">
        <v>276</v>
      </c>
      <c r="C188" s="275" t="s">
        <v>52</v>
      </c>
      <c r="D188" s="274" t="s">
        <v>147</v>
      </c>
      <c r="E188" s="274"/>
      <c r="F188" s="276">
        <f t="shared" ref="F188:I188" si="124">SUM(F189:F194)</f>
        <v>24</v>
      </c>
      <c r="G188" s="276">
        <f t="shared" si="124"/>
        <v>24</v>
      </c>
      <c r="H188" s="276">
        <f t="shared" si="124"/>
        <v>24</v>
      </c>
      <c r="I188" s="276">
        <f t="shared" si="124"/>
        <v>24</v>
      </c>
      <c r="J188" s="274" t="s">
        <v>2242</v>
      </c>
      <c r="K188" s="274">
        <v>0</v>
      </c>
      <c r="L188" s="274">
        <v>0</v>
      </c>
      <c r="M188" s="274">
        <v>2018</v>
      </c>
      <c r="N188" s="274">
        <v>2020</v>
      </c>
      <c r="O188" s="280">
        <f t="shared" si="104"/>
        <v>10.8</v>
      </c>
      <c r="P188" s="280">
        <f t="shared" ref="P188:R188" si="125">SUM(P189:P194)</f>
        <v>3.6</v>
      </c>
      <c r="Q188" s="280">
        <f t="shared" si="125"/>
        <v>3.6</v>
      </c>
      <c r="R188" s="280">
        <f t="shared" si="125"/>
        <v>3.6</v>
      </c>
      <c r="S188" s="280">
        <f>SUM(P188:R188)</f>
        <v>10.8</v>
      </c>
      <c r="T188" s="280"/>
      <c r="U188" s="280"/>
      <c r="V188" s="280"/>
      <c r="W188" s="280"/>
      <c r="X188" s="288" t="s">
        <v>2108</v>
      </c>
      <c r="Y188" s="274" t="s">
        <v>2109</v>
      </c>
      <c r="Z188" s="280" t="s">
        <v>277</v>
      </c>
      <c r="AA188" s="274" t="s">
        <v>2232</v>
      </c>
      <c r="AB188" s="280" t="s">
        <v>2243</v>
      </c>
      <c r="AC188" s="274" t="s">
        <v>1073</v>
      </c>
    </row>
    <row r="189" s="258" customFormat="1" ht="30" customHeight="1" spans="1:29">
      <c r="A189" s="273"/>
      <c r="B189" s="274" t="s">
        <v>2123</v>
      </c>
      <c r="C189" s="275" t="s">
        <v>52</v>
      </c>
      <c r="D189" s="274" t="s">
        <v>147</v>
      </c>
      <c r="E189" s="274"/>
      <c r="F189" s="276">
        <v>4</v>
      </c>
      <c r="G189" s="276">
        <v>4</v>
      </c>
      <c r="H189" s="276">
        <v>4</v>
      </c>
      <c r="I189" s="276">
        <v>4</v>
      </c>
      <c r="J189" s="274" t="s">
        <v>2135</v>
      </c>
      <c r="K189" s="274">
        <v>0</v>
      </c>
      <c r="L189" s="274">
        <v>0</v>
      </c>
      <c r="M189" s="274">
        <v>2018</v>
      </c>
      <c r="N189" s="274">
        <v>2020</v>
      </c>
      <c r="O189" s="280">
        <f t="shared" si="104"/>
        <v>1.8</v>
      </c>
      <c r="P189" s="280">
        <f t="shared" ref="P189:R189" si="126">SUM(G189*0.15)</f>
        <v>0.6</v>
      </c>
      <c r="Q189" s="280">
        <f t="shared" si="126"/>
        <v>0.6</v>
      </c>
      <c r="R189" s="280">
        <f t="shared" si="126"/>
        <v>0.6</v>
      </c>
      <c r="S189" s="280"/>
      <c r="T189" s="280"/>
      <c r="U189" s="280"/>
      <c r="V189" s="280"/>
      <c r="W189" s="280"/>
      <c r="X189" s="289"/>
      <c r="Y189" s="289"/>
      <c r="Z189" s="280"/>
      <c r="AA189" s="274"/>
      <c r="AB189" s="288"/>
      <c r="AC189" s="274"/>
    </row>
    <row r="190" s="258" customFormat="1" ht="30" customHeight="1" spans="1:29">
      <c r="A190" s="273"/>
      <c r="B190" s="274" t="s">
        <v>2112</v>
      </c>
      <c r="C190" s="275" t="s">
        <v>52</v>
      </c>
      <c r="D190" s="274" t="s">
        <v>147</v>
      </c>
      <c r="E190" s="274"/>
      <c r="F190" s="276">
        <v>2</v>
      </c>
      <c r="G190" s="276">
        <v>2</v>
      </c>
      <c r="H190" s="276">
        <v>2</v>
      </c>
      <c r="I190" s="276">
        <v>2</v>
      </c>
      <c r="J190" s="274" t="s">
        <v>2163</v>
      </c>
      <c r="K190" s="274">
        <v>0</v>
      </c>
      <c r="L190" s="274">
        <v>0</v>
      </c>
      <c r="M190" s="274">
        <v>2018</v>
      </c>
      <c r="N190" s="274">
        <v>2020</v>
      </c>
      <c r="O190" s="280">
        <f t="shared" si="104"/>
        <v>0.9</v>
      </c>
      <c r="P190" s="280">
        <f t="shared" ref="P190:R190" si="127">SUM(G190*0.15)</f>
        <v>0.3</v>
      </c>
      <c r="Q190" s="280">
        <f t="shared" si="127"/>
        <v>0.3</v>
      </c>
      <c r="R190" s="280">
        <f t="shared" si="127"/>
        <v>0.3</v>
      </c>
      <c r="S190" s="280"/>
      <c r="T190" s="280"/>
      <c r="U190" s="280"/>
      <c r="V190" s="280"/>
      <c r="W190" s="280"/>
      <c r="X190" s="274"/>
      <c r="Y190" s="274"/>
      <c r="Z190" s="280"/>
      <c r="AA190" s="274"/>
      <c r="AB190" s="288"/>
      <c r="AC190" s="274"/>
    </row>
    <row r="191" s="258" customFormat="1" ht="30" customHeight="1" spans="1:29">
      <c r="A191" s="273"/>
      <c r="B191" s="274" t="s">
        <v>2114</v>
      </c>
      <c r="C191" s="275" t="s">
        <v>52</v>
      </c>
      <c r="D191" s="274" t="s">
        <v>147</v>
      </c>
      <c r="E191" s="274"/>
      <c r="F191" s="276">
        <v>2</v>
      </c>
      <c r="G191" s="276">
        <v>2</v>
      </c>
      <c r="H191" s="276">
        <v>2</v>
      </c>
      <c r="I191" s="276">
        <v>2</v>
      </c>
      <c r="J191" s="274" t="s">
        <v>2163</v>
      </c>
      <c r="K191" s="274">
        <v>0</v>
      </c>
      <c r="L191" s="274">
        <v>0</v>
      </c>
      <c r="M191" s="274">
        <v>2018</v>
      </c>
      <c r="N191" s="274">
        <v>2020</v>
      </c>
      <c r="O191" s="280">
        <f t="shared" si="104"/>
        <v>0.9</v>
      </c>
      <c r="P191" s="280">
        <f t="shared" ref="P191:R191" si="128">SUM(G191*0.15)</f>
        <v>0.3</v>
      </c>
      <c r="Q191" s="280">
        <f t="shared" si="128"/>
        <v>0.3</v>
      </c>
      <c r="R191" s="280">
        <f t="shared" si="128"/>
        <v>0.3</v>
      </c>
      <c r="S191" s="280"/>
      <c r="T191" s="280"/>
      <c r="U191" s="280"/>
      <c r="V191" s="280"/>
      <c r="W191" s="280"/>
      <c r="X191" s="289"/>
      <c r="Y191" s="289"/>
      <c r="Z191" s="280"/>
      <c r="AA191" s="274"/>
      <c r="AB191" s="288"/>
      <c r="AC191" s="274"/>
    </row>
    <row r="192" s="258" customFormat="1" ht="30" customHeight="1" spans="1:29">
      <c r="A192" s="273"/>
      <c r="B192" s="274" t="s">
        <v>2116</v>
      </c>
      <c r="C192" s="275" t="s">
        <v>52</v>
      </c>
      <c r="D192" s="274" t="s">
        <v>147</v>
      </c>
      <c r="E192" s="274"/>
      <c r="F192" s="276">
        <v>8</v>
      </c>
      <c r="G192" s="276">
        <v>8</v>
      </c>
      <c r="H192" s="276">
        <v>8</v>
      </c>
      <c r="I192" s="276">
        <v>8</v>
      </c>
      <c r="J192" s="274" t="s">
        <v>2146</v>
      </c>
      <c r="K192" s="274">
        <v>0</v>
      </c>
      <c r="L192" s="274">
        <v>0</v>
      </c>
      <c r="M192" s="274">
        <v>2018</v>
      </c>
      <c r="N192" s="274">
        <v>2020</v>
      </c>
      <c r="O192" s="280">
        <f t="shared" si="104"/>
        <v>3.6</v>
      </c>
      <c r="P192" s="280">
        <f t="shared" ref="P192:R192" si="129">SUM(G192*0.15)</f>
        <v>1.2</v>
      </c>
      <c r="Q192" s="280">
        <f t="shared" si="129"/>
        <v>1.2</v>
      </c>
      <c r="R192" s="280">
        <f t="shared" si="129"/>
        <v>1.2</v>
      </c>
      <c r="S192" s="280"/>
      <c r="T192" s="280"/>
      <c r="U192" s="280"/>
      <c r="V192" s="280"/>
      <c r="W192" s="280"/>
      <c r="X192" s="289"/>
      <c r="Y192" s="289"/>
      <c r="Z192" s="280"/>
      <c r="AA192" s="274"/>
      <c r="AB192" s="288"/>
      <c r="AC192" s="274"/>
    </row>
    <row r="193" s="258" customFormat="1" ht="30" customHeight="1" spans="1:29">
      <c r="A193" s="273"/>
      <c r="B193" s="274" t="s">
        <v>2118</v>
      </c>
      <c r="C193" s="275" t="s">
        <v>52</v>
      </c>
      <c r="D193" s="274" t="s">
        <v>147</v>
      </c>
      <c r="E193" s="274"/>
      <c r="F193" s="276">
        <v>4</v>
      </c>
      <c r="G193" s="276">
        <v>4</v>
      </c>
      <c r="H193" s="276">
        <v>4</v>
      </c>
      <c r="I193" s="276">
        <v>4</v>
      </c>
      <c r="J193" s="274" t="s">
        <v>2135</v>
      </c>
      <c r="K193" s="274">
        <v>0</v>
      </c>
      <c r="L193" s="274">
        <v>0</v>
      </c>
      <c r="M193" s="274">
        <v>2018</v>
      </c>
      <c r="N193" s="274">
        <v>2020</v>
      </c>
      <c r="O193" s="280">
        <f t="shared" si="104"/>
        <v>1.8</v>
      </c>
      <c r="P193" s="280">
        <f t="shared" ref="P193:R193" si="130">SUM(G193*0.15)</f>
        <v>0.6</v>
      </c>
      <c r="Q193" s="280">
        <f t="shared" si="130"/>
        <v>0.6</v>
      </c>
      <c r="R193" s="280">
        <f t="shared" si="130"/>
        <v>0.6</v>
      </c>
      <c r="S193" s="280"/>
      <c r="T193" s="280"/>
      <c r="U193" s="280"/>
      <c r="V193" s="280"/>
      <c r="W193" s="280"/>
      <c r="X193" s="288"/>
      <c r="Y193" s="288"/>
      <c r="Z193" s="280"/>
      <c r="AA193" s="274"/>
      <c r="AB193" s="288"/>
      <c r="AC193" s="274"/>
    </row>
    <row r="194" s="258" customFormat="1" ht="30" customHeight="1" spans="1:29">
      <c r="A194" s="273"/>
      <c r="B194" s="274" t="s">
        <v>2125</v>
      </c>
      <c r="C194" s="275" t="s">
        <v>52</v>
      </c>
      <c r="D194" s="274" t="s">
        <v>147</v>
      </c>
      <c r="E194" s="274"/>
      <c r="F194" s="276">
        <v>4</v>
      </c>
      <c r="G194" s="276">
        <v>4</v>
      </c>
      <c r="H194" s="276">
        <v>4</v>
      </c>
      <c r="I194" s="276">
        <v>4</v>
      </c>
      <c r="J194" s="274" t="s">
        <v>2135</v>
      </c>
      <c r="K194" s="274">
        <v>0</v>
      </c>
      <c r="L194" s="274">
        <v>0</v>
      </c>
      <c r="M194" s="274">
        <v>2018</v>
      </c>
      <c r="N194" s="274">
        <v>2020</v>
      </c>
      <c r="O194" s="280">
        <f t="shared" si="104"/>
        <v>1.8</v>
      </c>
      <c r="P194" s="280">
        <f t="shared" ref="P194:R194" si="131">SUM(G194*0.15)</f>
        <v>0.6</v>
      </c>
      <c r="Q194" s="280">
        <f t="shared" si="131"/>
        <v>0.6</v>
      </c>
      <c r="R194" s="280">
        <f t="shared" si="131"/>
        <v>0.6</v>
      </c>
      <c r="S194" s="280"/>
      <c r="T194" s="280"/>
      <c r="U194" s="280"/>
      <c r="V194" s="280"/>
      <c r="W194" s="280"/>
      <c r="X194" s="274"/>
      <c r="Y194" s="274"/>
      <c r="Z194" s="280"/>
      <c r="AA194" s="274"/>
      <c r="AB194" s="288"/>
      <c r="AC194" s="274"/>
    </row>
    <row r="195" ht="144" spans="1:29">
      <c r="A195" s="273">
        <v>39</v>
      </c>
      <c r="B195" s="277" t="s">
        <v>2244</v>
      </c>
      <c r="C195" s="275" t="s">
        <v>52</v>
      </c>
      <c r="D195" s="274" t="s">
        <v>147</v>
      </c>
      <c r="E195" s="274"/>
      <c r="F195" s="276">
        <f t="shared" ref="F195:I195" si="132">SUM(F196:F202)</f>
        <v>10</v>
      </c>
      <c r="G195" s="276">
        <f t="shared" si="132"/>
        <v>10</v>
      </c>
      <c r="H195" s="276">
        <f t="shared" si="132"/>
        <v>10</v>
      </c>
      <c r="I195" s="276">
        <f t="shared" si="132"/>
        <v>10</v>
      </c>
      <c r="J195" s="274" t="s">
        <v>2245</v>
      </c>
      <c r="K195" s="274">
        <f t="shared" ref="K195:R195" si="133">SUM(K196:K202)</f>
        <v>10</v>
      </c>
      <c r="L195" s="274">
        <f t="shared" si="133"/>
        <v>10</v>
      </c>
      <c r="M195" s="274">
        <v>2018</v>
      </c>
      <c r="N195" s="274">
        <v>2020</v>
      </c>
      <c r="O195" s="280">
        <f t="shared" si="104"/>
        <v>13.986</v>
      </c>
      <c r="P195" s="280">
        <f t="shared" si="133"/>
        <v>1.554</v>
      </c>
      <c r="Q195" s="280">
        <f t="shared" si="133"/>
        <v>6.216</v>
      </c>
      <c r="R195" s="280">
        <f t="shared" si="133"/>
        <v>6.216</v>
      </c>
      <c r="S195" s="280"/>
      <c r="T195" s="280"/>
      <c r="U195" s="280">
        <f>(G195*18*27)/10000</f>
        <v>0.486</v>
      </c>
      <c r="V195" s="280">
        <f>(G195*500*27)/10000</f>
        <v>13.5</v>
      </c>
      <c r="W195" s="280"/>
      <c r="X195" s="288" t="s">
        <v>2108</v>
      </c>
      <c r="Y195" s="274" t="s">
        <v>2132</v>
      </c>
      <c r="Z195" s="280" t="s">
        <v>1298</v>
      </c>
      <c r="AA195" s="274" t="s">
        <v>2246</v>
      </c>
      <c r="AB195" s="280" t="s">
        <v>2247</v>
      </c>
      <c r="AC195" s="274" t="s">
        <v>1073</v>
      </c>
    </row>
    <row r="196" s="258" customFormat="1" ht="30" customHeight="1" spans="1:29">
      <c r="A196" s="273"/>
      <c r="B196" s="274" t="s">
        <v>2123</v>
      </c>
      <c r="C196" s="275" t="s">
        <v>52</v>
      </c>
      <c r="D196" s="274" t="s">
        <v>147</v>
      </c>
      <c r="E196" s="274"/>
      <c r="F196" s="276">
        <v>2</v>
      </c>
      <c r="G196" s="276">
        <v>2</v>
      </c>
      <c r="H196" s="276">
        <v>2</v>
      </c>
      <c r="I196" s="276">
        <v>2</v>
      </c>
      <c r="J196" s="274" t="s">
        <v>2163</v>
      </c>
      <c r="K196" s="274">
        <v>2</v>
      </c>
      <c r="L196" s="274">
        <v>2</v>
      </c>
      <c r="M196" s="274">
        <v>2018</v>
      </c>
      <c r="N196" s="274">
        <v>2020</v>
      </c>
      <c r="O196" s="280">
        <f t="shared" si="104"/>
        <v>2.7972</v>
      </c>
      <c r="P196" s="280">
        <f t="shared" ref="P196:P202" si="134">G196*0.0518*3</f>
        <v>0.3108</v>
      </c>
      <c r="Q196" s="280">
        <f t="shared" ref="Q196:Q202" si="135">H196*0.0518*12</f>
        <v>1.2432</v>
      </c>
      <c r="R196" s="280">
        <f t="shared" ref="R196:R202" si="136">I196*0.0518*12</f>
        <v>1.2432</v>
      </c>
      <c r="S196" s="280"/>
      <c r="T196" s="280"/>
      <c r="U196" s="280"/>
      <c r="V196" s="280"/>
      <c r="W196" s="280"/>
      <c r="X196" s="274"/>
      <c r="Y196" s="274"/>
      <c r="Z196" s="274"/>
      <c r="AA196" s="274"/>
      <c r="AB196" s="274"/>
      <c r="AC196" s="274"/>
    </row>
    <row r="197" s="258" customFormat="1" ht="30" customHeight="1" spans="1:29">
      <c r="A197" s="293"/>
      <c r="B197" s="274" t="s">
        <v>2112</v>
      </c>
      <c r="C197" s="275" t="s">
        <v>52</v>
      </c>
      <c r="D197" s="274" t="s">
        <v>147</v>
      </c>
      <c r="E197" s="274"/>
      <c r="F197" s="276">
        <v>1</v>
      </c>
      <c r="G197" s="276">
        <v>1</v>
      </c>
      <c r="H197" s="276">
        <v>1</v>
      </c>
      <c r="I197" s="276">
        <v>1</v>
      </c>
      <c r="J197" s="274" t="s">
        <v>2136</v>
      </c>
      <c r="K197" s="274">
        <v>1</v>
      </c>
      <c r="L197" s="274">
        <v>1</v>
      </c>
      <c r="M197" s="274">
        <v>2018</v>
      </c>
      <c r="N197" s="274">
        <v>2020</v>
      </c>
      <c r="O197" s="280">
        <f t="shared" si="104"/>
        <v>1.3986</v>
      </c>
      <c r="P197" s="280">
        <f t="shared" si="134"/>
        <v>0.1554</v>
      </c>
      <c r="Q197" s="280">
        <f t="shared" si="135"/>
        <v>0.6216</v>
      </c>
      <c r="R197" s="280">
        <f t="shared" si="136"/>
        <v>0.6216</v>
      </c>
      <c r="S197" s="280"/>
      <c r="T197" s="280"/>
      <c r="U197" s="280"/>
      <c r="V197" s="280"/>
      <c r="W197" s="280"/>
      <c r="X197" s="274"/>
      <c r="Y197" s="274"/>
      <c r="Z197" s="274"/>
      <c r="AA197" s="274"/>
      <c r="AB197" s="274"/>
      <c r="AC197" s="274"/>
    </row>
    <row r="198" s="258" customFormat="1" ht="30" customHeight="1" spans="1:29">
      <c r="A198" s="293"/>
      <c r="B198" s="274" t="s">
        <v>2114</v>
      </c>
      <c r="C198" s="275" t="s">
        <v>52</v>
      </c>
      <c r="D198" s="274" t="s">
        <v>147</v>
      </c>
      <c r="E198" s="274"/>
      <c r="F198" s="276">
        <v>2</v>
      </c>
      <c r="G198" s="276">
        <v>2</v>
      </c>
      <c r="H198" s="276">
        <v>2</v>
      </c>
      <c r="I198" s="276">
        <v>2</v>
      </c>
      <c r="J198" s="274" t="s">
        <v>2163</v>
      </c>
      <c r="K198" s="274">
        <v>2</v>
      </c>
      <c r="L198" s="274">
        <v>2</v>
      </c>
      <c r="M198" s="274">
        <v>2018</v>
      </c>
      <c r="N198" s="274">
        <v>2020</v>
      </c>
      <c r="O198" s="280">
        <f t="shared" si="104"/>
        <v>2.7972</v>
      </c>
      <c r="P198" s="280">
        <f t="shared" si="134"/>
        <v>0.3108</v>
      </c>
      <c r="Q198" s="280">
        <f t="shared" si="135"/>
        <v>1.2432</v>
      </c>
      <c r="R198" s="280">
        <f t="shared" si="136"/>
        <v>1.2432</v>
      </c>
      <c r="S198" s="280"/>
      <c r="T198" s="280"/>
      <c r="U198" s="280"/>
      <c r="V198" s="280"/>
      <c r="W198" s="280"/>
      <c r="X198" s="274"/>
      <c r="Y198" s="274"/>
      <c r="Z198" s="274"/>
      <c r="AA198" s="274"/>
      <c r="AB198" s="274"/>
      <c r="AC198" s="274"/>
    </row>
    <row r="199" s="258" customFormat="1" ht="30" customHeight="1" spans="1:29">
      <c r="A199" s="293"/>
      <c r="B199" s="274" t="s">
        <v>2116</v>
      </c>
      <c r="C199" s="275" t="s">
        <v>52</v>
      </c>
      <c r="D199" s="274" t="s">
        <v>147</v>
      </c>
      <c r="E199" s="274"/>
      <c r="F199" s="276">
        <v>2</v>
      </c>
      <c r="G199" s="276">
        <v>2</v>
      </c>
      <c r="H199" s="276">
        <v>2</v>
      </c>
      <c r="I199" s="276">
        <v>2</v>
      </c>
      <c r="J199" s="274" t="s">
        <v>2163</v>
      </c>
      <c r="K199" s="274">
        <v>2</v>
      </c>
      <c r="L199" s="274">
        <v>2</v>
      </c>
      <c r="M199" s="274">
        <v>2018</v>
      </c>
      <c r="N199" s="274">
        <v>2020</v>
      </c>
      <c r="O199" s="280">
        <f t="shared" si="104"/>
        <v>2.7972</v>
      </c>
      <c r="P199" s="280">
        <f t="shared" si="134"/>
        <v>0.3108</v>
      </c>
      <c r="Q199" s="280">
        <f t="shared" si="135"/>
        <v>1.2432</v>
      </c>
      <c r="R199" s="280">
        <f t="shared" si="136"/>
        <v>1.2432</v>
      </c>
      <c r="S199" s="280"/>
      <c r="T199" s="280"/>
      <c r="U199" s="280"/>
      <c r="V199" s="280"/>
      <c r="W199" s="280"/>
      <c r="X199" s="274"/>
      <c r="Y199" s="274"/>
      <c r="Z199" s="274"/>
      <c r="AA199" s="274"/>
      <c r="AB199" s="274"/>
      <c r="AC199" s="274"/>
    </row>
    <row r="200" s="258" customFormat="1" ht="30" customHeight="1" spans="1:29">
      <c r="A200" s="293"/>
      <c r="B200" s="274" t="s">
        <v>2118</v>
      </c>
      <c r="C200" s="275" t="s">
        <v>52</v>
      </c>
      <c r="D200" s="274" t="s">
        <v>147</v>
      </c>
      <c r="E200" s="274"/>
      <c r="F200" s="276">
        <v>1</v>
      </c>
      <c r="G200" s="276">
        <v>1</v>
      </c>
      <c r="H200" s="276">
        <v>1</v>
      </c>
      <c r="I200" s="276">
        <v>1</v>
      </c>
      <c r="J200" s="274" t="s">
        <v>2136</v>
      </c>
      <c r="K200" s="274">
        <v>1</v>
      </c>
      <c r="L200" s="274">
        <v>1</v>
      </c>
      <c r="M200" s="274">
        <v>2018</v>
      </c>
      <c r="N200" s="274">
        <v>2020</v>
      </c>
      <c r="O200" s="280">
        <f t="shared" si="104"/>
        <v>1.3986</v>
      </c>
      <c r="P200" s="280">
        <f t="shared" si="134"/>
        <v>0.1554</v>
      </c>
      <c r="Q200" s="280">
        <f t="shared" si="135"/>
        <v>0.6216</v>
      </c>
      <c r="R200" s="280">
        <f t="shared" si="136"/>
        <v>0.6216</v>
      </c>
      <c r="S200" s="280"/>
      <c r="T200" s="280"/>
      <c r="U200" s="280"/>
      <c r="V200" s="280"/>
      <c r="W200" s="280"/>
      <c r="X200" s="274"/>
      <c r="Y200" s="274"/>
      <c r="Z200" s="274"/>
      <c r="AA200" s="274"/>
      <c r="AB200" s="274"/>
      <c r="AC200" s="274"/>
    </row>
    <row r="201" s="258" customFormat="1" ht="30" customHeight="1" spans="1:29">
      <c r="A201" s="293"/>
      <c r="B201" s="274" t="s">
        <v>2124</v>
      </c>
      <c r="C201" s="275" t="s">
        <v>52</v>
      </c>
      <c r="D201" s="274" t="s">
        <v>147</v>
      </c>
      <c r="E201" s="274"/>
      <c r="F201" s="276">
        <v>1</v>
      </c>
      <c r="G201" s="276">
        <v>1</v>
      </c>
      <c r="H201" s="276">
        <v>1</v>
      </c>
      <c r="I201" s="276">
        <v>1</v>
      </c>
      <c r="J201" s="274" t="s">
        <v>2136</v>
      </c>
      <c r="K201" s="274">
        <v>1</v>
      </c>
      <c r="L201" s="274">
        <v>1</v>
      </c>
      <c r="M201" s="274">
        <v>2018</v>
      </c>
      <c r="N201" s="274">
        <v>2020</v>
      </c>
      <c r="O201" s="280">
        <f t="shared" si="104"/>
        <v>1.3986</v>
      </c>
      <c r="P201" s="280">
        <f t="shared" si="134"/>
        <v>0.1554</v>
      </c>
      <c r="Q201" s="280">
        <f t="shared" si="135"/>
        <v>0.6216</v>
      </c>
      <c r="R201" s="280">
        <f t="shared" si="136"/>
        <v>0.6216</v>
      </c>
      <c r="S201" s="280"/>
      <c r="T201" s="280"/>
      <c r="U201" s="280"/>
      <c r="V201" s="280"/>
      <c r="W201" s="280"/>
      <c r="X201" s="274"/>
      <c r="Y201" s="274"/>
      <c r="Z201" s="274"/>
      <c r="AA201" s="274"/>
      <c r="AB201" s="274"/>
      <c r="AC201" s="274"/>
    </row>
    <row r="202" s="258" customFormat="1" ht="30" customHeight="1" spans="1:29">
      <c r="A202" s="293"/>
      <c r="B202" s="274" t="s">
        <v>2125</v>
      </c>
      <c r="C202" s="275" t="s">
        <v>52</v>
      </c>
      <c r="D202" s="274" t="s">
        <v>147</v>
      </c>
      <c r="E202" s="274"/>
      <c r="F202" s="276">
        <v>1</v>
      </c>
      <c r="G202" s="276">
        <v>1</v>
      </c>
      <c r="H202" s="276">
        <v>1</v>
      </c>
      <c r="I202" s="276">
        <v>1</v>
      </c>
      <c r="J202" s="274" t="s">
        <v>2136</v>
      </c>
      <c r="K202" s="274">
        <v>1</v>
      </c>
      <c r="L202" s="274">
        <v>1</v>
      </c>
      <c r="M202" s="274">
        <v>2018</v>
      </c>
      <c r="N202" s="274">
        <v>2020</v>
      </c>
      <c r="O202" s="280">
        <f t="shared" si="104"/>
        <v>1.3986</v>
      </c>
      <c r="P202" s="280">
        <f t="shared" si="134"/>
        <v>0.1554</v>
      </c>
      <c r="Q202" s="280">
        <f t="shared" si="135"/>
        <v>0.6216</v>
      </c>
      <c r="R202" s="280">
        <f t="shared" si="136"/>
        <v>0.6216</v>
      </c>
      <c r="S202" s="280"/>
      <c r="T202" s="280"/>
      <c r="U202" s="280"/>
      <c r="V202" s="280"/>
      <c r="W202" s="280"/>
      <c r="X202" s="274"/>
      <c r="Y202" s="274"/>
      <c r="Z202" s="274"/>
      <c r="AA202" s="274"/>
      <c r="AB202" s="274"/>
      <c r="AC202" s="274"/>
    </row>
    <row r="203" ht="144" spans="1:29">
      <c r="A203" s="273">
        <v>40</v>
      </c>
      <c r="B203" s="277" t="s">
        <v>2248</v>
      </c>
      <c r="C203" s="275" t="s">
        <v>52</v>
      </c>
      <c r="D203" s="274" t="s">
        <v>147</v>
      </c>
      <c r="E203" s="274"/>
      <c r="F203" s="276">
        <f t="shared" ref="F203:I203" si="137">SUM(F204:F210)</f>
        <v>23</v>
      </c>
      <c r="G203" s="276">
        <f t="shared" si="137"/>
        <v>23</v>
      </c>
      <c r="H203" s="276">
        <f t="shared" si="137"/>
        <v>23</v>
      </c>
      <c r="I203" s="276">
        <f t="shared" si="137"/>
        <v>23</v>
      </c>
      <c r="J203" s="274" t="s">
        <v>2249</v>
      </c>
      <c r="K203" s="274">
        <f t="shared" ref="K203:R203" si="138">SUM(K204:K210)</f>
        <v>23</v>
      </c>
      <c r="L203" s="274">
        <f t="shared" si="138"/>
        <v>23</v>
      </c>
      <c r="M203" s="274">
        <v>2018</v>
      </c>
      <c r="N203" s="274">
        <v>2020</v>
      </c>
      <c r="O203" s="280">
        <f t="shared" si="104"/>
        <v>32.1678</v>
      </c>
      <c r="P203" s="280">
        <f t="shared" si="138"/>
        <v>3.5742</v>
      </c>
      <c r="Q203" s="280">
        <f t="shared" si="138"/>
        <v>14.2968</v>
      </c>
      <c r="R203" s="280">
        <f t="shared" si="138"/>
        <v>14.2968</v>
      </c>
      <c r="S203" s="280"/>
      <c r="T203" s="280"/>
      <c r="U203" s="280">
        <f>(G203*18*27)/10000</f>
        <v>1.1178</v>
      </c>
      <c r="V203" s="280">
        <f>(G203*500*27)/10000</f>
        <v>31.05</v>
      </c>
      <c r="W203" s="280"/>
      <c r="X203" s="288" t="s">
        <v>2108</v>
      </c>
      <c r="Y203" s="274" t="s">
        <v>2132</v>
      </c>
      <c r="Z203" s="280" t="s">
        <v>1298</v>
      </c>
      <c r="AA203" s="274" t="s">
        <v>2250</v>
      </c>
      <c r="AB203" s="280" t="s">
        <v>2247</v>
      </c>
      <c r="AC203" s="274" t="s">
        <v>1073</v>
      </c>
    </row>
    <row r="204" ht="30" customHeight="1" spans="1:41">
      <c r="A204" s="273"/>
      <c r="B204" s="274" t="s">
        <v>2123</v>
      </c>
      <c r="C204" s="275" t="s">
        <v>52</v>
      </c>
      <c r="D204" s="274" t="s">
        <v>147</v>
      </c>
      <c r="E204" s="274"/>
      <c r="F204" s="276">
        <v>2</v>
      </c>
      <c r="G204" s="276">
        <v>2</v>
      </c>
      <c r="H204" s="276">
        <v>2</v>
      </c>
      <c r="I204" s="276">
        <v>2</v>
      </c>
      <c r="J204" s="274" t="s">
        <v>2163</v>
      </c>
      <c r="K204" s="274">
        <v>2</v>
      </c>
      <c r="L204" s="274">
        <v>2</v>
      </c>
      <c r="M204" s="274">
        <v>2018</v>
      </c>
      <c r="N204" s="274">
        <v>2020</v>
      </c>
      <c r="O204" s="280">
        <f t="shared" si="104"/>
        <v>2.7972</v>
      </c>
      <c r="P204" s="280">
        <f t="shared" ref="P204:P210" si="139">G204*0.0518*3</f>
        <v>0.3108</v>
      </c>
      <c r="Q204" s="280">
        <f t="shared" ref="Q204:Q210" si="140">H204*0.0518*12</f>
        <v>1.2432</v>
      </c>
      <c r="R204" s="280">
        <f t="shared" ref="R204:R210" si="141">I204*0.0518*12</f>
        <v>1.2432</v>
      </c>
      <c r="S204" s="280"/>
      <c r="T204" s="280"/>
      <c r="U204" s="280"/>
      <c r="V204" s="280"/>
      <c r="W204" s="280"/>
      <c r="X204" s="295"/>
      <c r="Y204" s="295"/>
      <c r="Z204" s="274"/>
      <c r="AA204" s="274"/>
      <c r="AB204" s="288"/>
      <c r="AC204" s="274"/>
      <c r="AD204" s="297"/>
      <c r="AE204" s="298"/>
      <c r="AF204" s="298"/>
      <c r="AG204" s="298"/>
      <c r="AH204" s="297"/>
      <c r="AI204" s="298"/>
      <c r="AJ204" s="298"/>
      <c r="AK204" s="298"/>
      <c r="AL204" s="298"/>
      <c r="AM204" s="298"/>
      <c r="AN204" s="298"/>
      <c r="AO204" s="298"/>
    </row>
    <row r="205" ht="30" customHeight="1" spans="1:41">
      <c r="A205" s="293"/>
      <c r="B205" s="274" t="s">
        <v>2112</v>
      </c>
      <c r="C205" s="275" t="s">
        <v>52</v>
      </c>
      <c r="D205" s="274" t="s">
        <v>147</v>
      </c>
      <c r="E205" s="274"/>
      <c r="F205" s="294">
        <v>3</v>
      </c>
      <c r="G205" s="294">
        <v>3</v>
      </c>
      <c r="H205" s="294">
        <v>3</v>
      </c>
      <c r="I205" s="294">
        <v>3</v>
      </c>
      <c r="J205" s="274" t="s">
        <v>2145</v>
      </c>
      <c r="K205" s="275">
        <v>3</v>
      </c>
      <c r="L205" s="275">
        <v>3</v>
      </c>
      <c r="M205" s="274">
        <v>2018</v>
      </c>
      <c r="N205" s="274">
        <v>2020</v>
      </c>
      <c r="O205" s="280">
        <f t="shared" si="104"/>
        <v>4.1958</v>
      </c>
      <c r="P205" s="280">
        <f t="shared" si="139"/>
        <v>0.4662</v>
      </c>
      <c r="Q205" s="280">
        <f t="shared" si="140"/>
        <v>1.8648</v>
      </c>
      <c r="R205" s="280">
        <f t="shared" si="141"/>
        <v>1.8648</v>
      </c>
      <c r="S205" s="280"/>
      <c r="T205" s="280"/>
      <c r="U205" s="280"/>
      <c r="V205" s="280"/>
      <c r="W205" s="280"/>
      <c r="X205" s="274"/>
      <c r="Y205" s="274"/>
      <c r="Z205" s="274"/>
      <c r="AA205" s="274"/>
      <c r="AB205" s="288"/>
      <c r="AC205" s="274"/>
      <c r="AD205" s="258"/>
      <c r="AE205" s="298"/>
      <c r="AF205" s="299"/>
      <c r="AG205" s="299"/>
      <c r="AH205" s="297"/>
      <c r="AI205" s="298"/>
      <c r="AJ205" s="299"/>
      <c r="AK205" s="299"/>
      <c r="AL205" s="299"/>
      <c r="AM205" s="299"/>
      <c r="AN205" s="299"/>
      <c r="AO205" s="299"/>
    </row>
    <row r="206" ht="30" customHeight="1" spans="1:41">
      <c r="A206" s="293"/>
      <c r="B206" s="274" t="s">
        <v>2114</v>
      </c>
      <c r="C206" s="275" t="s">
        <v>52</v>
      </c>
      <c r="D206" s="274" t="s">
        <v>147</v>
      </c>
      <c r="E206" s="274"/>
      <c r="F206" s="294">
        <v>3</v>
      </c>
      <c r="G206" s="294">
        <v>3</v>
      </c>
      <c r="H206" s="294">
        <v>3</v>
      </c>
      <c r="I206" s="294">
        <v>3</v>
      </c>
      <c r="J206" s="274" t="s">
        <v>2145</v>
      </c>
      <c r="K206" s="275">
        <v>3</v>
      </c>
      <c r="L206" s="275">
        <v>3</v>
      </c>
      <c r="M206" s="274">
        <v>2018</v>
      </c>
      <c r="N206" s="274">
        <v>2020</v>
      </c>
      <c r="O206" s="280">
        <f t="shared" si="104"/>
        <v>4.1958</v>
      </c>
      <c r="P206" s="280">
        <f t="shared" si="139"/>
        <v>0.4662</v>
      </c>
      <c r="Q206" s="280">
        <f t="shared" si="140"/>
        <v>1.8648</v>
      </c>
      <c r="R206" s="280">
        <f t="shared" si="141"/>
        <v>1.8648</v>
      </c>
      <c r="S206" s="280"/>
      <c r="T206" s="280"/>
      <c r="U206" s="280"/>
      <c r="V206" s="280"/>
      <c r="W206" s="280"/>
      <c r="X206" s="295"/>
      <c r="Y206" s="295"/>
      <c r="Z206" s="274"/>
      <c r="AA206" s="274"/>
      <c r="AB206" s="288"/>
      <c r="AC206" s="274"/>
      <c r="AD206" s="258"/>
      <c r="AE206" s="298"/>
      <c r="AF206" s="299"/>
      <c r="AG206" s="299"/>
      <c r="AH206" s="297"/>
      <c r="AI206" s="298"/>
      <c r="AJ206" s="299"/>
      <c r="AK206" s="299"/>
      <c r="AL206" s="299"/>
      <c r="AO206" s="299"/>
    </row>
    <row r="207" ht="30" customHeight="1" spans="1:40">
      <c r="A207" s="293"/>
      <c r="B207" s="274" t="s">
        <v>2116</v>
      </c>
      <c r="C207" s="275" t="s">
        <v>52</v>
      </c>
      <c r="D207" s="274" t="s">
        <v>147</v>
      </c>
      <c r="E207" s="274"/>
      <c r="F207" s="294">
        <v>3</v>
      </c>
      <c r="G207" s="294">
        <v>3</v>
      </c>
      <c r="H207" s="294">
        <v>3</v>
      </c>
      <c r="I207" s="294">
        <v>3</v>
      </c>
      <c r="J207" s="274" t="s">
        <v>2145</v>
      </c>
      <c r="K207" s="275">
        <v>3</v>
      </c>
      <c r="L207" s="275">
        <v>3</v>
      </c>
      <c r="M207" s="274">
        <v>2018</v>
      </c>
      <c r="N207" s="274">
        <v>2020</v>
      </c>
      <c r="O207" s="280">
        <f t="shared" si="104"/>
        <v>4.1958</v>
      </c>
      <c r="P207" s="280">
        <f t="shared" si="139"/>
        <v>0.4662</v>
      </c>
      <c r="Q207" s="280">
        <f t="shared" si="140"/>
        <v>1.8648</v>
      </c>
      <c r="R207" s="280">
        <f t="shared" si="141"/>
        <v>1.8648</v>
      </c>
      <c r="S207" s="280"/>
      <c r="T207" s="280"/>
      <c r="U207" s="280"/>
      <c r="V207" s="280"/>
      <c r="W207" s="280"/>
      <c r="X207" s="295"/>
      <c r="Y207" s="295"/>
      <c r="Z207" s="274"/>
      <c r="AA207" s="274"/>
      <c r="AB207" s="288"/>
      <c r="AC207" s="274"/>
      <c r="AD207" s="258"/>
      <c r="AE207" s="298"/>
      <c r="AF207" s="299"/>
      <c r="AG207" s="299"/>
      <c r="AH207" s="297"/>
      <c r="AI207" s="298"/>
      <c r="AJ207" s="299"/>
      <c r="AK207" s="299"/>
      <c r="AL207" s="299"/>
      <c r="AM207" s="299"/>
      <c r="AN207" s="299"/>
    </row>
    <row r="208" ht="30" customHeight="1" spans="1:40">
      <c r="A208" s="293"/>
      <c r="B208" s="274" t="s">
        <v>2118</v>
      </c>
      <c r="C208" s="275" t="s">
        <v>52</v>
      </c>
      <c r="D208" s="274" t="s">
        <v>147</v>
      </c>
      <c r="E208" s="274"/>
      <c r="F208" s="294">
        <v>4</v>
      </c>
      <c r="G208" s="294">
        <v>4</v>
      </c>
      <c r="H208" s="294">
        <v>4</v>
      </c>
      <c r="I208" s="294">
        <v>4</v>
      </c>
      <c r="J208" s="274" t="s">
        <v>2135</v>
      </c>
      <c r="K208" s="275">
        <v>4</v>
      </c>
      <c r="L208" s="275">
        <v>4</v>
      </c>
      <c r="M208" s="274">
        <v>2018</v>
      </c>
      <c r="N208" s="274">
        <v>2020</v>
      </c>
      <c r="O208" s="280">
        <f t="shared" si="104"/>
        <v>5.5944</v>
      </c>
      <c r="P208" s="280">
        <f t="shared" si="139"/>
        <v>0.6216</v>
      </c>
      <c r="Q208" s="280">
        <f t="shared" si="140"/>
        <v>2.4864</v>
      </c>
      <c r="R208" s="280">
        <f t="shared" si="141"/>
        <v>2.4864</v>
      </c>
      <c r="S208" s="280"/>
      <c r="T208" s="280"/>
      <c r="U208" s="280"/>
      <c r="V208" s="280"/>
      <c r="W208" s="280"/>
      <c r="X208" s="288"/>
      <c r="Y208" s="288"/>
      <c r="Z208" s="274"/>
      <c r="AA208" s="274"/>
      <c r="AB208" s="288"/>
      <c r="AC208" s="274"/>
      <c r="AD208" s="258"/>
      <c r="AE208" s="298"/>
      <c r="AF208" s="299"/>
      <c r="AG208" s="299"/>
      <c r="AH208" s="297"/>
      <c r="AI208" s="298"/>
      <c r="AJ208" s="299"/>
      <c r="AK208" s="299"/>
      <c r="AL208" s="299"/>
      <c r="AN208" s="299"/>
    </row>
    <row r="209" ht="30" customHeight="1" spans="1:41">
      <c r="A209" s="293"/>
      <c r="B209" s="274" t="s">
        <v>2124</v>
      </c>
      <c r="C209" s="275" t="s">
        <v>52</v>
      </c>
      <c r="D209" s="274" t="s">
        <v>147</v>
      </c>
      <c r="E209" s="274"/>
      <c r="F209" s="294">
        <v>4</v>
      </c>
      <c r="G209" s="294">
        <v>4</v>
      </c>
      <c r="H209" s="294">
        <v>4</v>
      </c>
      <c r="I209" s="294">
        <v>4</v>
      </c>
      <c r="J209" s="274" t="s">
        <v>2135</v>
      </c>
      <c r="K209" s="275">
        <v>4</v>
      </c>
      <c r="L209" s="275">
        <v>4</v>
      </c>
      <c r="M209" s="274">
        <v>2018</v>
      </c>
      <c r="N209" s="274">
        <v>2020</v>
      </c>
      <c r="O209" s="280">
        <f t="shared" si="104"/>
        <v>5.5944</v>
      </c>
      <c r="P209" s="280">
        <f t="shared" si="139"/>
        <v>0.6216</v>
      </c>
      <c r="Q209" s="280">
        <f t="shared" si="140"/>
        <v>2.4864</v>
      </c>
      <c r="R209" s="280">
        <f t="shared" si="141"/>
        <v>2.4864</v>
      </c>
      <c r="S209" s="280"/>
      <c r="T209" s="280"/>
      <c r="U209" s="280"/>
      <c r="V209" s="280"/>
      <c r="W209" s="280"/>
      <c r="X209" s="288"/>
      <c r="Y209" s="288"/>
      <c r="Z209" s="274"/>
      <c r="AA209" s="274"/>
      <c r="AB209" s="288"/>
      <c r="AC209" s="274"/>
      <c r="AD209" s="258"/>
      <c r="AE209" s="258"/>
      <c r="AF209" s="299"/>
      <c r="AG209" s="299"/>
      <c r="AH209" s="258"/>
      <c r="AI209" s="298"/>
      <c r="AJ209" s="299"/>
      <c r="AK209" s="299"/>
      <c r="AN209" s="299"/>
      <c r="AO209" s="299"/>
    </row>
    <row r="210" ht="30" customHeight="1" spans="1:41">
      <c r="A210" s="293"/>
      <c r="B210" s="274" t="s">
        <v>2125</v>
      </c>
      <c r="C210" s="275" t="s">
        <v>52</v>
      </c>
      <c r="D210" s="274" t="s">
        <v>147</v>
      </c>
      <c r="E210" s="274"/>
      <c r="F210" s="294">
        <v>4</v>
      </c>
      <c r="G210" s="294">
        <v>4</v>
      </c>
      <c r="H210" s="294">
        <v>4</v>
      </c>
      <c r="I210" s="294">
        <v>4</v>
      </c>
      <c r="J210" s="274" t="s">
        <v>2135</v>
      </c>
      <c r="K210" s="275">
        <v>4</v>
      </c>
      <c r="L210" s="275">
        <v>4</v>
      </c>
      <c r="M210" s="274">
        <v>2018</v>
      </c>
      <c r="N210" s="274">
        <v>2020</v>
      </c>
      <c r="O210" s="280">
        <f t="shared" si="104"/>
        <v>5.5944</v>
      </c>
      <c r="P210" s="280">
        <f t="shared" si="139"/>
        <v>0.6216</v>
      </c>
      <c r="Q210" s="280">
        <f t="shared" si="140"/>
        <v>2.4864</v>
      </c>
      <c r="R210" s="280">
        <f t="shared" si="141"/>
        <v>2.4864</v>
      </c>
      <c r="S210" s="280"/>
      <c r="T210" s="280"/>
      <c r="U210" s="280"/>
      <c r="V210" s="280"/>
      <c r="W210" s="280"/>
      <c r="X210" s="274"/>
      <c r="Y210" s="274"/>
      <c r="Z210" s="274"/>
      <c r="AA210" s="274"/>
      <c r="AB210" s="288"/>
      <c r="AC210" s="274"/>
      <c r="AD210" s="258"/>
      <c r="AE210" s="298"/>
      <c r="AF210" s="299"/>
      <c r="AG210" s="299"/>
      <c r="AH210" s="297"/>
      <c r="AI210" s="298"/>
      <c r="AJ210" s="299"/>
      <c r="AK210" s="299"/>
      <c r="AL210" s="299"/>
      <c r="AN210" s="299"/>
      <c r="AO210" s="299"/>
    </row>
    <row r="211" ht="156" spans="1:29">
      <c r="A211" s="273">
        <v>41</v>
      </c>
      <c r="B211" s="277" t="s">
        <v>1106</v>
      </c>
      <c r="C211" s="275" t="s">
        <v>52</v>
      </c>
      <c r="D211" s="274" t="s">
        <v>147</v>
      </c>
      <c r="E211" s="274"/>
      <c r="F211" s="276">
        <f t="shared" ref="F211:I211" si="142">SUM(F212:F218)</f>
        <v>9</v>
      </c>
      <c r="G211" s="276">
        <f t="shared" si="142"/>
        <v>9</v>
      </c>
      <c r="H211" s="276">
        <f t="shared" si="142"/>
        <v>9</v>
      </c>
      <c r="I211" s="276">
        <f t="shared" si="142"/>
        <v>9</v>
      </c>
      <c r="J211" s="274" t="s">
        <v>2251</v>
      </c>
      <c r="K211" s="274">
        <f t="shared" ref="K211:R211" si="143">SUM(K212:K218)</f>
        <v>9</v>
      </c>
      <c r="L211" s="274">
        <f t="shared" si="143"/>
        <v>9</v>
      </c>
      <c r="M211" s="274">
        <v>2018</v>
      </c>
      <c r="N211" s="274">
        <v>2020</v>
      </c>
      <c r="O211" s="280">
        <f t="shared" si="104"/>
        <v>12.5874</v>
      </c>
      <c r="P211" s="280">
        <f t="shared" si="143"/>
        <v>1.3986</v>
      </c>
      <c r="Q211" s="280">
        <f t="shared" si="143"/>
        <v>5.5944</v>
      </c>
      <c r="R211" s="280">
        <f t="shared" si="143"/>
        <v>5.5944</v>
      </c>
      <c r="S211" s="280"/>
      <c r="T211" s="280"/>
      <c r="U211" s="280">
        <f>(G211*18*27)/10000</f>
        <v>0.4374</v>
      </c>
      <c r="V211" s="280">
        <f>(G211*500*27)/10000</f>
        <v>12.15</v>
      </c>
      <c r="W211" s="280"/>
      <c r="X211" s="288" t="s">
        <v>2108</v>
      </c>
      <c r="Y211" s="274" t="s">
        <v>2132</v>
      </c>
      <c r="Z211" s="280" t="s">
        <v>1298</v>
      </c>
      <c r="AA211" s="274" t="s">
        <v>2252</v>
      </c>
      <c r="AB211" s="280" t="s">
        <v>2247</v>
      </c>
      <c r="AC211" s="274" t="s">
        <v>1073</v>
      </c>
    </row>
    <row r="212" s="258" customFormat="1" ht="30" customHeight="1" spans="1:29">
      <c r="A212" s="273"/>
      <c r="B212" s="274" t="s">
        <v>2123</v>
      </c>
      <c r="C212" s="275" t="s">
        <v>52</v>
      </c>
      <c r="D212" s="274" t="s">
        <v>147</v>
      </c>
      <c r="E212" s="274"/>
      <c r="F212" s="276">
        <v>1</v>
      </c>
      <c r="G212" s="276">
        <v>1</v>
      </c>
      <c r="H212" s="276">
        <v>1</v>
      </c>
      <c r="I212" s="276">
        <v>1</v>
      </c>
      <c r="J212" s="274" t="s">
        <v>2136</v>
      </c>
      <c r="K212" s="274">
        <v>1</v>
      </c>
      <c r="L212" s="274">
        <v>1</v>
      </c>
      <c r="M212" s="274">
        <v>2018</v>
      </c>
      <c r="N212" s="274">
        <v>2020</v>
      </c>
      <c r="O212" s="280">
        <f t="shared" si="104"/>
        <v>1.3986</v>
      </c>
      <c r="P212" s="280">
        <f t="shared" ref="P212:P218" si="144">G212*0.0518*3</f>
        <v>0.1554</v>
      </c>
      <c r="Q212" s="280">
        <f t="shared" ref="Q212:Q218" si="145">H212*0.0518*12</f>
        <v>0.6216</v>
      </c>
      <c r="R212" s="280">
        <f t="shared" ref="R212:R218" si="146">I212*0.0518*12</f>
        <v>0.6216</v>
      </c>
      <c r="S212" s="280"/>
      <c r="T212" s="280"/>
      <c r="U212" s="280"/>
      <c r="V212" s="280"/>
      <c r="W212" s="280"/>
      <c r="X212" s="289"/>
      <c r="Y212" s="289"/>
      <c r="Z212" s="280"/>
      <c r="AA212" s="274"/>
      <c r="AB212" s="288"/>
      <c r="AC212" s="274"/>
    </row>
    <row r="213" s="258" customFormat="1" ht="30" customHeight="1" spans="1:29">
      <c r="A213" s="273"/>
      <c r="B213" s="274" t="s">
        <v>2112</v>
      </c>
      <c r="C213" s="275" t="s">
        <v>52</v>
      </c>
      <c r="D213" s="274" t="s">
        <v>147</v>
      </c>
      <c r="E213" s="274"/>
      <c r="F213" s="294">
        <v>1</v>
      </c>
      <c r="G213" s="294">
        <v>1</v>
      </c>
      <c r="H213" s="294">
        <v>1</v>
      </c>
      <c r="I213" s="294">
        <v>1</v>
      </c>
      <c r="J213" s="274" t="s">
        <v>2136</v>
      </c>
      <c r="K213" s="275">
        <v>1</v>
      </c>
      <c r="L213" s="275">
        <v>1</v>
      </c>
      <c r="M213" s="274">
        <v>2018</v>
      </c>
      <c r="N213" s="274">
        <v>2020</v>
      </c>
      <c r="O213" s="280">
        <f t="shared" si="104"/>
        <v>1.3986</v>
      </c>
      <c r="P213" s="280">
        <f t="shared" si="144"/>
        <v>0.1554</v>
      </c>
      <c r="Q213" s="280">
        <f t="shared" si="145"/>
        <v>0.6216</v>
      </c>
      <c r="R213" s="280">
        <f t="shared" si="146"/>
        <v>0.6216</v>
      </c>
      <c r="S213" s="280"/>
      <c r="T213" s="280"/>
      <c r="U213" s="280"/>
      <c r="V213" s="280"/>
      <c r="W213" s="280"/>
      <c r="X213" s="274"/>
      <c r="Y213" s="274"/>
      <c r="Z213" s="280"/>
      <c r="AA213" s="274"/>
      <c r="AB213" s="288"/>
      <c r="AC213" s="274"/>
    </row>
    <row r="214" s="258" customFormat="1" ht="30" customHeight="1" spans="1:29">
      <c r="A214" s="273"/>
      <c r="B214" s="274" t="s">
        <v>2114</v>
      </c>
      <c r="C214" s="275" t="s">
        <v>52</v>
      </c>
      <c r="D214" s="274" t="s">
        <v>147</v>
      </c>
      <c r="E214" s="274"/>
      <c r="F214" s="294">
        <v>2</v>
      </c>
      <c r="G214" s="294">
        <v>2</v>
      </c>
      <c r="H214" s="294">
        <v>2</v>
      </c>
      <c r="I214" s="294">
        <v>2</v>
      </c>
      <c r="J214" s="274" t="s">
        <v>2163</v>
      </c>
      <c r="K214" s="275">
        <v>2</v>
      </c>
      <c r="L214" s="275">
        <v>2</v>
      </c>
      <c r="M214" s="274">
        <v>2018</v>
      </c>
      <c r="N214" s="274">
        <v>2020</v>
      </c>
      <c r="O214" s="280">
        <f t="shared" si="104"/>
        <v>2.7972</v>
      </c>
      <c r="P214" s="280">
        <f t="shared" si="144"/>
        <v>0.3108</v>
      </c>
      <c r="Q214" s="280">
        <f t="shared" si="145"/>
        <v>1.2432</v>
      </c>
      <c r="R214" s="280">
        <f t="shared" si="146"/>
        <v>1.2432</v>
      </c>
      <c r="S214" s="280"/>
      <c r="T214" s="280"/>
      <c r="U214" s="280"/>
      <c r="V214" s="280"/>
      <c r="W214" s="280"/>
      <c r="X214" s="280"/>
      <c r="Y214" s="280"/>
      <c r="Z214" s="280"/>
      <c r="AA214" s="274"/>
      <c r="AB214" s="288"/>
      <c r="AC214" s="274"/>
    </row>
    <row r="215" s="258" customFormat="1" ht="30" customHeight="1" spans="1:29">
      <c r="A215" s="273"/>
      <c r="B215" s="274" t="s">
        <v>2116</v>
      </c>
      <c r="C215" s="275" t="s">
        <v>52</v>
      </c>
      <c r="D215" s="274" t="s">
        <v>147</v>
      </c>
      <c r="E215" s="274"/>
      <c r="F215" s="294">
        <v>1</v>
      </c>
      <c r="G215" s="294">
        <v>1</v>
      </c>
      <c r="H215" s="294">
        <v>1</v>
      </c>
      <c r="I215" s="294">
        <v>1</v>
      </c>
      <c r="J215" s="274" t="s">
        <v>2136</v>
      </c>
      <c r="K215" s="275">
        <v>1</v>
      </c>
      <c r="L215" s="275">
        <v>1</v>
      </c>
      <c r="M215" s="274">
        <v>2018</v>
      </c>
      <c r="N215" s="274">
        <v>2020</v>
      </c>
      <c r="O215" s="280">
        <f t="shared" si="104"/>
        <v>1.3986</v>
      </c>
      <c r="P215" s="280">
        <f t="shared" si="144"/>
        <v>0.1554</v>
      </c>
      <c r="Q215" s="280">
        <f t="shared" si="145"/>
        <v>0.6216</v>
      </c>
      <c r="R215" s="280">
        <f t="shared" si="146"/>
        <v>0.6216</v>
      </c>
      <c r="S215" s="280"/>
      <c r="T215" s="280"/>
      <c r="U215" s="280"/>
      <c r="V215" s="280"/>
      <c r="W215" s="280"/>
      <c r="X215" s="280"/>
      <c r="Y215" s="280"/>
      <c r="Z215" s="280"/>
      <c r="AA215" s="274"/>
      <c r="AB215" s="288"/>
      <c r="AC215" s="274"/>
    </row>
    <row r="216" s="258" customFormat="1" ht="30" customHeight="1" spans="1:29">
      <c r="A216" s="273"/>
      <c r="B216" s="274" t="s">
        <v>2118</v>
      </c>
      <c r="C216" s="275" t="s">
        <v>52</v>
      </c>
      <c r="D216" s="274" t="s">
        <v>147</v>
      </c>
      <c r="E216" s="274"/>
      <c r="F216" s="294">
        <v>2</v>
      </c>
      <c r="G216" s="294">
        <v>2</v>
      </c>
      <c r="H216" s="294">
        <v>2</v>
      </c>
      <c r="I216" s="294">
        <v>2</v>
      </c>
      <c r="J216" s="274" t="s">
        <v>2163</v>
      </c>
      <c r="K216" s="275">
        <v>2</v>
      </c>
      <c r="L216" s="275">
        <v>2</v>
      </c>
      <c r="M216" s="274">
        <v>2018</v>
      </c>
      <c r="N216" s="274">
        <v>2020</v>
      </c>
      <c r="O216" s="280">
        <f t="shared" si="104"/>
        <v>2.7972</v>
      </c>
      <c r="P216" s="280">
        <f t="shared" si="144"/>
        <v>0.3108</v>
      </c>
      <c r="Q216" s="280">
        <f t="shared" si="145"/>
        <v>1.2432</v>
      </c>
      <c r="R216" s="280">
        <f t="shared" si="146"/>
        <v>1.2432</v>
      </c>
      <c r="S216" s="280"/>
      <c r="T216" s="280"/>
      <c r="U216" s="280"/>
      <c r="V216" s="280"/>
      <c r="W216" s="280"/>
      <c r="X216" s="288"/>
      <c r="Y216" s="288"/>
      <c r="Z216" s="280"/>
      <c r="AA216" s="274"/>
      <c r="AB216" s="288"/>
      <c r="AC216" s="274"/>
    </row>
    <row r="217" s="258" customFormat="1" ht="30" customHeight="1" spans="1:29">
      <c r="A217" s="273"/>
      <c r="B217" s="274" t="s">
        <v>2124</v>
      </c>
      <c r="C217" s="275" t="s">
        <v>52</v>
      </c>
      <c r="D217" s="274" t="s">
        <v>147</v>
      </c>
      <c r="E217" s="274"/>
      <c r="F217" s="294">
        <v>1</v>
      </c>
      <c r="G217" s="294">
        <v>1</v>
      </c>
      <c r="H217" s="294">
        <v>1</v>
      </c>
      <c r="I217" s="294">
        <v>1</v>
      </c>
      <c r="J217" s="274" t="s">
        <v>2136</v>
      </c>
      <c r="K217" s="275">
        <v>1</v>
      </c>
      <c r="L217" s="275">
        <v>1</v>
      </c>
      <c r="M217" s="274">
        <v>2018</v>
      </c>
      <c r="N217" s="274">
        <v>2020</v>
      </c>
      <c r="O217" s="280">
        <f t="shared" si="104"/>
        <v>1.3986</v>
      </c>
      <c r="P217" s="280">
        <f t="shared" si="144"/>
        <v>0.1554</v>
      </c>
      <c r="Q217" s="280">
        <f t="shared" si="145"/>
        <v>0.6216</v>
      </c>
      <c r="R217" s="280">
        <f t="shared" si="146"/>
        <v>0.6216</v>
      </c>
      <c r="S217" s="280"/>
      <c r="T217" s="280"/>
      <c r="U217" s="280"/>
      <c r="V217" s="280"/>
      <c r="W217" s="280"/>
      <c r="X217" s="288"/>
      <c r="Y217" s="288"/>
      <c r="Z217" s="280"/>
      <c r="AA217" s="274"/>
      <c r="AB217" s="288"/>
      <c r="AC217" s="274"/>
    </row>
    <row r="218" s="258" customFormat="1" ht="30" customHeight="1" spans="1:29">
      <c r="A218" s="273"/>
      <c r="B218" s="274" t="s">
        <v>2125</v>
      </c>
      <c r="C218" s="275" t="s">
        <v>52</v>
      </c>
      <c r="D218" s="274" t="s">
        <v>147</v>
      </c>
      <c r="E218" s="274"/>
      <c r="F218" s="294">
        <v>1</v>
      </c>
      <c r="G218" s="294">
        <v>1</v>
      </c>
      <c r="H218" s="294">
        <v>1</v>
      </c>
      <c r="I218" s="294">
        <v>1</v>
      </c>
      <c r="J218" s="274" t="s">
        <v>2136</v>
      </c>
      <c r="K218" s="275">
        <v>1</v>
      </c>
      <c r="L218" s="275">
        <v>1</v>
      </c>
      <c r="M218" s="274">
        <v>2018</v>
      </c>
      <c r="N218" s="274">
        <v>2020</v>
      </c>
      <c r="O218" s="280">
        <f t="shared" si="104"/>
        <v>1.3986</v>
      </c>
      <c r="P218" s="280">
        <f t="shared" si="144"/>
        <v>0.1554</v>
      </c>
      <c r="Q218" s="280">
        <f t="shared" si="145"/>
        <v>0.6216</v>
      </c>
      <c r="R218" s="280">
        <f t="shared" si="146"/>
        <v>0.6216</v>
      </c>
      <c r="S218" s="280"/>
      <c r="T218" s="280"/>
      <c r="U218" s="280"/>
      <c r="V218" s="280"/>
      <c r="W218" s="280"/>
      <c r="X218" s="274"/>
      <c r="Y218" s="274"/>
      <c r="Z218" s="280"/>
      <c r="AA218" s="274"/>
      <c r="AB218" s="288"/>
      <c r="AC218" s="274"/>
    </row>
    <row r="219" ht="144" spans="1:29">
      <c r="A219" s="273">
        <v>42</v>
      </c>
      <c r="B219" s="277" t="s">
        <v>2253</v>
      </c>
      <c r="C219" s="275" t="s">
        <v>52</v>
      </c>
      <c r="D219" s="274" t="s">
        <v>147</v>
      </c>
      <c r="E219" s="274"/>
      <c r="F219" s="276">
        <f t="shared" ref="F219:I219" si="147">SUM(F220:F225)</f>
        <v>6</v>
      </c>
      <c r="G219" s="276">
        <f t="shared" si="147"/>
        <v>6</v>
      </c>
      <c r="H219" s="276">
        <f t="shared" si="147"/>
        <v>6</v>
      </c>
      <c r="I219" s="276">
        <f t="shared" si="147"/>
        <v>6</v>
      </c>
      <c r="J219" s="274" t="s">
        <v>2254</v>
      </c>
      <c r="K219" s="276">
        <f t="shared" ref="K219:R219" si="148">SUM(K220:K225)</f>
        <v>6</v>
      </c>
      <c r="L219" s="276">
        <f t="shared" si="148"/>
        <v>6</v>
      </c>
      <c r="M219" s="274">
        <v>2018</v>
      </c>
      <c r="N219" s="274">
        <v>2020</v>
      </c>
      <c r="O219" s="280">
        <f t="shared" si="104"/>
        <v>8.3916</v>
      </c>
      <c r="P219" s="280">
        <f t="shared" si="148"/>
        <v>0.9324</v>
      </c>
      <c r="Q219" s="280">
        <f t="shared" si="148"/>
        <v>3.7296</v>
      </c>
      <c r="R219" s="280">
        <f t="shared" si="148"/>
        <v>3.7296</v>
      </c>
      <c r="S219" s="280"/>
      <c r="T219" s="280"/>
      <c r="U219" s="280">
        <f>(G219*18*27)/10000</f>
        <v>0.2916</v>
      </c>
      <c r="V219" s="280">
        <f>(G219*500*27)/10000</f>
        <v>8.1</v>
      </c>
      <c r="W219" s="280"/>
      <c r="X219" s="288" t="s">
        <v>2108</v>
      </c>
      <c r="Y219" s="274" t="s">
        <v>2132</v>
      </c>
      <c r="Z219" s="280" t="s">
        <v>1298</v>
      </c>
      <c r="AA219" s="274" t="s">
        <v>2255</v>
      </c>
      <c r="AB219" s="280" t="s">
        <v>2247</v>
      </c>
      <c r="AC219" s="274" t="s">
        <v>1073</v>
      </c>
    </row>
    <row r="220" s="258" customFormat="1" ht="30" customHeight="1" spans="1:29">
      <c r="A220" s="273"/>
      <c r="B220" s="274" t="s">
        <v>2123</v>
      </c>
      <c r="C220" s="275" t="s">
        <v>52</v>
      </c>
      <c r="D220" s="274" t="s">
        <v>147</v>
      </c>
      <c r="E220" s="274"/>
      <c r="F220" s="276">
        <v>1</v>
      </c>
      <c r="G220" s="276">
        <v>1</v>
      </c>
      <c r="H220" s="276">
        <v>1</v>
      </c>
      <c r="I220" s="276">
        <v>1</v>
      </c>
      <c r="J220" s="274" t="s">
        <v>2136</v>
      </c>
      <c r="K220" s="274">
        <v>1</v>
      </c>
      <c r="L220" s="274">
        <v>1</v>
      </c>
      <c r="M220" s="274">
        <v>2018</v>
      </c>
      <c r="N220" s="274">
        <v>2020</v>
      </c>
      <c r="O220" s="280">
        <f t="shared" si="104"/>
        <v>1.3986</v>
      </c>
      <c r="P220" s="280">
        <f t="shared" ref="P220:P225" si="149">(1*1500+1*54)/10000</f>
        <v>0.1554</v>
      </c>
      <c r="Q220" s="280">
        <f t="shared" ref="Q220:Q225" si="150">(1*6000+1*216)/10000</f>
        <v>0.6216</v>
      </c>
      <c r="R220" s="280">
        <f t="shared" ref="R220:R225" si="151">(1*6000+1*216)/10000</f>
        <v>0.6216</v>
      </c>
      <c r="S220" s="280"/>
      <c r="T220" s="280"/>
      <c r="U220" s="280"/>
      <c r="V220" s="280"/>
      <c r="W220" s="280"/>
      <c r="X220" s="289"/>
      <c r="Y220" s="289"/>
      <c r="Z220" s="280"/>
      <c r="AA220" s="274"/>
      <c r="AB220" s="288"/>
      <c r="AC220" s="274"/>
    </row>
    <row r="221" s="258" customFormat="1" ht="30" customHeight="1" spans="1:29">
      <c r="A221" s="273"/>
      <c r="B221" s="274" t="s">
        <v>2112</v>
      </c>
      <c r="C221" s="275" t="s">
        <v>52</v>
      </c>
      <c r="D221" s="274" t="s">
        <v>147</v>
      </c>
      <c r="E221" s="274"/>
      <c r="F221" s="294">
        <v>1</v>
      </c>
      <c r="G221" s="294">
        <v>1</v>
      </c>
      <c r="H221" s="294">
        <v>1</v>
      </c>
      <c r="I221" s="294">
        <v>1</v>
      </c>
      <c r="J221" s="274" t="s">
        <v>2136</v>
      </c>
      <c r="K221" s="275">
        <v>1</v>
      </c>
      <c r="L221" s="275">
        <v>1</v>
      </c>
      <c r="M221" s="274">
        <v>2018</v>
      </c>
      <c r="N221" s="274">
        <v>2020</v>
      </c>
      <c r="O221" s="280">
        <f t="shared" si="104"/>
        <v>1.3986</v>
      </c>
      <c r="P221" s="280">
        <f t="shared" si="149"/>
        <v>0.1554</v>
      </c>
      <c r="Q221" s="280">
        <f t="shared" si="150"/>
        <v>0.6216</v>
      </c>
      <c r="R221" s="280">
        <f t="shared" si="151"/>
        <v>0.6216</v>
      </c>
      <c r="S221" s="280"/>
      <c r="T221" s="280"/>
      <c r="U221" s="280"/>
      <c r="V221" s="280"/>
      <c r="W221" s="280"/>
      <c r="X221" s="274"/>
      <c r="Y221" s="274"/>
      <c r="Z221" s="280"/>
      <c r="AA221" s="274"/>
      <c r="AB221" s="288"/>
      <c r="AC221" s="274"/>
    </row>
    <row r="222" s="258" customFormat="1" ht="30" customHeight="1" spans="1:29">
      <c r="A222" s="273"/>
      <c r="B222" s="274" t="s">
        <v>2114</v>
      </c>
      <c r="C222" s="275" t="s">
        <v>52</v>
      </c>
      <c r="D222" s="274" t="s">
        <v>147</v>
      </c>
      <c r="E222" s="274"/>
      <c r="F222" s="294">
        <v>1</v>
      </c>
      <c r="G222" s="294">
        <v>1</v>
      </c>
      <c r="H222" s="294">
        <v>1</v>
      </c>
      <c r="I222" s="294">
        <v>1</v>
      </c>
      <c r="J222" s="274" t="s">
        <v>2136</v>
      </c>
      <c r="K222" s="275">
        <v>1</v>
      </c>
      <c r="L222" s="275">
        <v>1</v>
      </c>
      <c r="M222" s="274">
        <v>2018</v>
      </c>
      <c r="N222" s="274">
        <v>2020</v>
      </c>
      <c r="O222" s="280">
        <f t="shared" si="104"/>
        <v>1.3986</v>
      </c>
      <c r="P222" s="280">
        <f t="shared" si="149"/>
        <v>0.1554</v>
      </c>
      <c r="Q222" s="280">
        <f t="shared" si="150"/>
        <v>0.6216</v>
      </c>
      <c r="R222" s="280">
        <f t="shared" si="151"/>
        <v>0.6216</v>
      </c>
      <c r="S222" s="280"/>
      <c r="T222" s="280"/>
      <c r="U222" s="280"/>
      <c r="V222" s="280"/>
      <c r="W222" s="280"/>
      <c r="X222" s="280"/>
      <c r="Y222" s="280"/>
      <c r="Z222" s="280"/>
      <c r="AA222" s="274"/>
      <c r="AB222" s="288"/>
      <c r="AC222" s="274"/>
    </row>
    <row r="223" s="258" customFormat="1" ht="30" customHeight="1" spans="1:29">
      <c r="A223" s="273"/>
      <c r="B223" s="274" t="s">
        <v>2116</v>
      </c>
      <c r="C223" s="275" t="s">
        <v>52</v>
      </c>
      <c r="D223" s="274" t="s">
        <v>147</v>
      </c>
      <c r="E223" s="274"/>
      <c r="F223" s="294">
        <v>1</v>
      </c>
      <c r="G223" s="294">
        <v>1</v>
      </c>
      <c r="H223" s="294">
        <v>1</v>
      </c>
      <c r="I223" s="294">
        <v>1</v>
      </c>
      <c r="J223" s="274" t="s">
        <v>2136</v>
      </c>
      <c r="K223" s="275">
        <v>1</v>
      </c>
      <c r="L223" s="275">
        <v>1</v>
      </c>
      <c r="M223" s="274">
        <v>2018</v>
      </c>
      <c r="N223" s="274">
        <v>2020</v>
      </c>
      <c r="O223" s="280">
        <f t="shared" si="104"/>
        <v>1.3986</v>
      </c>
      <c r="P223" s="280">
        <f t="shared" si="149"/>
        <v>0.1554</v>
      </c>
      <c r="Q223" s="280">
        <f t="shared" si="150"/>
        <v>0.6216</v>
      </c>
      <c r="R223" s="280">
        <f t="shared" si="151"/>
        <v>0.6216</v>
      </c>
      <c r="S223" s="280"/>
      <c r="T223" s="280"/>
      <c r="U223" s="280"/>
      <c r="V223" s="280"/>
      <c r="W223" s="280"/>
      <c r="X223" s="280"/>
      <c r="Y223" s="280"/>
      <c r="Z223" s="280"/>
      <c r="AA223" s="274"/>
      <c r="AB223" s="288"/>
      <c r="AC223" s="274"/>
    </row>
    <row r="224" s="258" customFormat="1" ht="30" customHeight="1" spans="1:29">
      <c r="A224" s="273"/>
      <c r="B224" s="274" t="s">
        <v>2118</v>
      </c>
      <c r="C224" s="275" t="s">
        <v>52</v>
      </c>
      <c r="D224" s="274" t="s">
        <v>147</v>
      </c>
      <c r="E224" s="274"/>
      <c r="F224" s="294">
        <v>1</v>
      </c>
      <c r="G224" s="294">
        <v>1</v>
      </c>
      <c r="H224" s="294">
        <v>1</v>
      </c>
      <c r="I224" s="294">
        <v>1</v>
      </c>
      <c r="J224" s="274" t="s">
        <v>2136</v>
      </c>
      <c r="K224" s="275">
        <v>1</v>
      </c>
      <c r="L224" s="275">
        <v>1</v>
      </c>
      <c r="M224" s="274">
        <v>2018</v>
      </c>
      <c r="N224" s="274">
        <v>2020</v>
      </c>
      <c r="O224" s="280">
        <f t="shared" si="104"/>
        <v>1.3986</v>
      </c>
      <c r="P224" s="280">
        <f t="shared" si="149"/>
        <v>0.1554</v>
      </c>
      <c r="Q224" s="280">
        <f t="shared" si="150"/>
        <v>0.6216</v>
      </c>
      <c r="R224" s="280">
        <f t="shared" si="151"/>
        <v>0.6216</v>
      </c>
      <c r="S224" s="280"/>
      <c r="T224" s="280"/>
      <c r="U224" s="280"/>
      <c r="V224" s="280"/>
      <c r="W224" s="280"/>
      <c r="X224" s="288"/>
      <c r="Y224" s="288"/>
      <c r="Z224" s="280"/>
      <c r="AA224" s="274"/>
      <c r="AB224" s="288"/>
      <c r="AC224" s="274"/>
    </row>
    <row r="225" s="258" customFormat="1" ht="30" customHeight="1" spans="1:29">
      <c r="A225" s="273"/>
      <c r="B225" s="274" t="s">
        <v>2125</v>
      </c>
      <c r="C225" s="275" t="s">
        <v>52</v>
      </c>
      <c r="D225" s="274" t="s">
        <v>147</v>
      </c>
      <c r="E225" s="274"/>
      <c r="F225" s="294">
        <v>1</v>
      </c>
      <c r="G225" s="294">
        <v>1</v>
      </c>
      <c r="H225" s="294">
        <v>1</v>
      </c>
      <c r="I225" s="294">
        <v>1</v>
      </c>
      <c r="J225" s="274" t="s">
        <v>2136</v>
      </c>
      <c r="K225" s="275">
        <v>1</v>
      </c>
      <c r="L225" s="275">
        <v>1</v>
      </c>
      <c r="M225" s="274">
        <v>2018</v>
      </c>
      <c r="N225" s="274">
        <v>2020</v>
      </c>
      <c r="O225" s="280">
        <f t="shared" si="104"/>
        <v>1.3986</v>
      </c>
      <c r="P225" s="280">
        <f t="shared" si="149"/>
        <v>0.1554</v>
      </c>
      <c r="Q225" s="280">
        <f t="shared" si="150"/>
        <v>0.6216</v>
      </c>
      <c r="R225" s="280">
        <f t="shared" si="151"/>
        <v>0.6216</v>
      </c>
      <c r="S225" s="280"/>
      <c r="T225" s="280"/>
      <c r="U225" s="280"/>
      <c r="V225" s="280"/>
      <c r="W225" s="280"/>
      <c r="X225" s="274"/>
      <c r="Y225" s="274"/>
      <c r="Z225" s="280"/>
      <c r="AA225" s="274"/>
      <c r="AB225" s="288"/>
      <c r="AC225" s="274"/>
    </row>
    <row r="226" ht="156" spans="1:29">
      <c r="A226" s="273">
        <v>43</v>
      </c>
      <c r="B226" s="277" t="s">
        <v>2256</v>
      </c>
      <c r="C226" s="275" t="s">
        <v>52</v>
      </c>
      <c r="D226" s="274" t="s">
        <v>147</v>
      </c>
      <c r="E226" s="274"/>
      <c r="F226" s="276">
        <f t="shared" ref="F226:I226" si="152">SUM(F227:F229)</f>
        <v>3</v>
      </c>
      <c r="G226" s="276">
        <f t="shared" si="152"/>
        <v>3</v>
      </c>
      <c r="H226" s="276">
        <f t="shared" si="152"/>
        <v>3</v>
      </c>
      <c r="I226" s="276">
        <f t="shared" si="152"/>
        <v>3</v>
      </c>
      <c r="J226" s="274" t="s">
        <v>2257</v>
      </c>
      <c r="K226" s="276">
        <f t="shared" ref="K226:R226" si="153">SUM(K227:K229)</f>
        <v>3</v>
      </c>
      <c r="L226" s="276">
        <f t="shared" si="153"/>
        <v>3</v>
      </c>
      <c r="M226" s="274">
        <v>2018</v>
      </c>
      <c r="N226" s="274">
        <v>2020</v>
      </c>
      <c r="O226" s="280">
        <f t="shared" ref="O226:O244" si="154">SUM(P226:R226)</f>
        <v>4.1958</v>
      </c>
      <c r="P226" s="280">
        <f t="shared" si="153"/>
        <v>0.4662</v>
      </c>
      <c r="Q226" s="280">
        <f t="shared" si="153"/>
        <v>1.8648</v>
      </c>
      <c r="R226" s="280">
        <f t="shared" si="153"/>
        <v>1.8648</v>
      </c>
      <c r="S226" s="280"/>
      <c r="T226" s="280"/>
      <c r="U226" s="280">
        <f>(G226*18*27)/10000</f>
        <v>0.1458</v>
      </c>
      <c r="V226" s="280">
        <f>(G226*500*27)/10000</f>
        <v>4.05</v>
      </c>
      <c r="W226" s="280"/>
      <c r="X226" s="288" t="s">
        <v>2108</v>
      </c>
      <c r="Y226" s="274" t="s">
        <v>2132</v>
      </c>
      <c r="Z226" s="280" t="s">
        <v>1298</v>
      </c>
      <c r="AA226" s="274" t="s">
        <v>2258</v>
      </c>
      <c r="AB226" s="280" t="s">
        <v>2247</v>
      </c>
      <c r="AC226" s="274" t="s">
        <v>1073</v>
      </c>
    </row>
    <row r="227" s="258" customFormat="1" ht="30" customHeight="1" spans="1:29">
      <c r="A227" s="273"/>
      <c r="B227" s="274" t="s">
        <v>2123</v>
      </c>
      <c r="C227" s="275" t="s">
        <v>52</v>
      </c>
      <c r="D227" s="274" t="s">
        <v>147</v>
      </c>
      <c r="E227" s="274"/>
      <c r="F227" s="276">
        <v>1</v>
      </c>
      <c r="G227" s="276">
        <v>1</v>
      </c>
      <c r="H227" s="276">
        <v>1</v>
      </c>
      <c r="I227" s="276">
        <v>1</v>
      </c>
      <c r="J227" s="274" t="s">
        <v>2136</v>
      </c>
      <c r="K227" s="274">
        <v>1</v>
      </c>
      <c r="L227" s="274">
        <v>1</v>
      </c>
      <c r="M227" s="274">
        <v>2018</v>
      </c>
      <c r="N227" s="274">
        <v>2020</v>
      </c>
      <c r="O227" s="280">
        <f t="shared" si="154"/>
        <v>1.3986</v>
      </c>
      <c r="P227" s="280">
        <f t="shared" ref="P227:P229" si="155">(1*1500+1*54)/10000</f>
        <v>0.1554</v>
      </c>
      <c r="Q227" s="280">
        <f t="shared" ref="Q227:Q229" si="156">(1*6000+1*216)/10000</f>
        <v>0.6216</v>
      </c>
      <c r="R227" s="280">
        <f t="shared" ref="R227:R229" si="157">(1*6000+1*216)/10000</f>
        <v>0.6216</v>
      </c>
      <c r="S227" s="280"/>
      <c r="T227" s="280"/>
      <c r="U227" s="280"/>
      <c r="V227" s="280"/>
      <c r="W227" s="280"/>
      <c r="X227" s="289"/>
      <c r="Y227" s="289"/>
      <c r="Z227" s="280"/>
      <c r="AA227" s="274"/>
      <c r="AB227" s="288"/>
      <c r="AC227" s="274"/>
    </row>
    <row r="228" s="258" customFormat="1" ht="30" customHeight="1" spans="1:29">
      <c r="A228" s="273"/>
      <c r="B228" s="274" t="s">
        <v>2112</v>
      </c>
      <c r="C228" s="275" t="s">
        <v>52</v>
      </c>
      <c r="D228" s="274" t="s">
        <v>147</v>
      </c>
      <c r="E228" s="274"/>
      <c r="F228" s="294">
        <v>1</v>
      </c>
      <c r="G228" s="294">
        <v>1</v>
      </c>
      <c r="H228" s="294">
        <v>1</v>
      </c>
      <c r="I228" s="294">
        <v>1</v>
      </c>
      <c r="J228" s="274" t="s">
        <v>2136</v>
      </c>
      <c r="K228" s="275">
        <v>1</v>
      </c>
      <c r="L228" s="275">
        <v>1</v>
      </c>
      <c r="M228" s="274">
        <v>2018</v>
      </c>
      <c r="N228" s="274">
        <v>2020</v>
      </c>
      <c r="O228" s="280">
        <f t="shared" si="154"/>
        <v>1.3986</v>
      </c>
      <c r="P228" s="280">
        <f t="shared" si="155"/>
        <v>0.1554</v>
      </c>
      <c r="Q228" s="280">
        <f t="shared" si="156"/>
        <v>0.6216</v>
      </c>
      <c r="R228" s="280">
        <f t="shared" si="157"/>
        <v>0.6216</v>
      </c>
      <c r="S228" s="280"/>
      <c r="T228" s="280"/>
      <c r="U228" s="280"/>
      <c r="V228" s="280"/>
      <c r="W228" s="280"/>
      <c r="X228" s="274"/>
      <c r="Y228" s="274"/>
      <c r="Z228" s="280"/>
      <c r="AA228" s="274"/>
      <c r="AB228" s="288"/>
      <c r="AC228" s="274"/>
    </row>
    <row r="229" s="258" customFormat="1" ht="30" customHeight="1" spans="1:29">
      <c r="A229" s="273"/>
      <c r="B229" s="274" t="s">
        <v>2116</v>
      </c>
      <c r="C229" s="275" t="s">
        <v>52</v>
      </c>
      <c r="D229" s="274" t="s">
        <v>147</v>
      </c>
      <c r="E229" s="274"/>
      <c r="F229" s="294">
        <v>1</v>
      </c>
      <c r="G229" s="294">
        <v>1</v>
      </c>
      <c r="H229" s="294">
        <v>1</v>
      </c>
      <c r="I229" s="294">
        <v>1</v>
      </c>
      <c r="J229" s="274" t="s">
        <v>2136</v>
      </c>
      <c r="K229" s="275">
        <v>1</v>
      </c>
      <c r="L229" s="275">
        <v>1</v>
      </c>
      <c r="M229" s="274">
        <v>2018</v>
      </c>
      <c r="N229" s="274">
        <v>2020</v>
      </c>
      <c r="O229" s="280">
        <f t="shared" si="154"/>
        <v>1.3986</v>
      </c>
      <c r="P229" s="280">
        <f t="shared" si="155"/>
        <v>0.1554</v>
      </c>
      <c r="Q229" s="280">
        <f t="shared" si="156"/>
        <v>0.6216</v>
      </c>
      <c r="R229" s="280">
        <f t="shared" si="157"/>
        <v>0.6216</v>
      </c>
      <c r="S229" s="280"/>
      <c r="T229" s="280"/>
      <c r="U229" s="280"/>
      <c r="V229" s="280"/>
      <c r="W229" s="280"/>
      <c r="X229" s="280"/>
      <c r="Y229" s="280"/>
      <c r="Z229" s="280"/>
      <c r="AA229" s="274"/>
      <c r="AB229" s="288"/>
      <c r="AC229" s="274"/>
    </row>
    <row r="230" ht="144" spans="1:29">
      <c r="A230" s="273">
        <v>44</v>
      </c>
      <c r="B230" s="277" t="s">
        <v>2259</v>
      </c>
      <c r="C230" s="275" t="s">
        <v>52</v>
      </c>
      <c r="D230" s="274" t="s">
        <v>147</v>
      </c>
      <c r="E230" s="274"/>
      <c r="F230" s="276">
        <f t="shared" ref="F230:I230" si="158">SUM(F231:F236)</f>
        <v>6</v>
      </c>
      <c r="G230" s="276">
        <f t="shared" si="158"/>
        <v>6</v>
      </c>
      <c r="H230" s="276">
        <f t="shared" si="158"/>
        <v>6</v>
      </c>
      <c r="I230" s="276">
        <f t="shared" si="158"/>
        <v>6</v>
      </c>
      <c r="J230" s="274" t="s">
        <v>2260</v>
      </c>
      <c r="K230" s="276">
        <f t="shared" ref="K230:R230" si="159">SUM(K231:K236)</f>
        <v>6</v>
      </c>
      <c r="L230" s="276">
        <f t="shared" si="159"/>
        <v>6</v>
      </c>
      <c r="M230" s="274">
        <v>2018</v>
      </c>
      <c r="N230" s="274">
        <v>2020</v>
      </c>
      <c r="O230" s="280">
        <f t="shared" si="154"/>
        <v>8.3916</v>
      </c>
      <c r="P230" s="280">
        <f t="shared" si="159"/>
        <v>0.9324</v>
      </c>
      <c r="Q230" s="280">
        <f t="shared" si="159"/>
        <v>3.7296</v>
      </c>
      <c r="R230" s="280">
        <f t="shared" si="159"/>
        <v>3.7296</v>
      </c>
      <c r="S230" s="280"/>
      <c r="T230" s="280"/>
      <c r="U230" s="280">
        <f>(G230*18*27)/10000</f>
        <v>0.2916</v>
      </c>
      <c r="V230" s="280">
        <f>(G230*500*27)/10000</f>
        <v>8.1</v>
      </c>
      <c r="W230" s="280"/>
      <c r="X230" s="288" t="s">
        <v>2108</v>
      </c>
      <c r="Y230" s="274" t="s">
        <v>2132</v>
      </c>
      <c r="Z230" s="280" t="s">
        <v>1298</v>
      </c>
      <c r="AA230" s="274" t="s">
        <v>2261</v>
      </c>
      <c r="AB230" s="280" t="s">
        <v>2247</v>
      </c>
      <c r="AC230" s="274" t="s">
        <v>1073</v>
      </c>
    </row>
    <row r="231" s="258" customFormat="1" ht="30" customHeight="1" spans="1:29">
      <c r="A231" s="273"/>
      <c r="B231" s="274" t="s">
        <v>2123</v>
      </c>
      <c r="C231" s="275" t="s">
        <v>52</v>
      </c>
      <c r="D231" s="274" t="s">
        <v>147</v>
      </c>
      <c r="E231" s="274"/>
      <c r="F231" s="276">
        <v>1</v>
      </c>
      <c r="G231" s="276">
        <v>1</v>
      </c>
      <c r="H231" s="276">
        <v>1</v>
      </c>
      <c r="I231" s="276">
        <v>1</v>
      </c>
      <c r="J231" s="274" t="s">
        <v>2136</v>
      </c>
      <c r="K231" s="274">
        <v>1</v>
      </c>
      <c r="L231" s="274">
        <v>1</v>
      </c>
      <c r="M231" s="274">
        <v>2018</v>
      </c>
      <c r="N231" s="274">
        <v>2020</v>
      </c>
      <c r="O231" s="280">
        <f t="shared" si="154"/>
        <v>1.3986</v>
      </c>
      <c r="P231" s="280">
        <f t="shared" ref="P231:P236" si="160">(1*1500+1*54)/10000</f>
        <v>0.1554</v>
      </c>
      <c r="Q231" s="280">
        <f t="shared" ref="Q231:Q236" si="161">(1*6000+1*216)/10000</f>
        <v>0.6216</v>
      </c>
      <c r="R231" s="280">
        <f t="shared" ref="R231:R236" si="162">(1*6000+1*216)/10000</f>
        <v>0.6216</v>
      </c>
      <c r="S231" s="280"/>
      <c r="T231" s="280"/>
      <c r="U231" s="280"/>
      <c r="V231" s="280"/>
      <c r="W231" s="280"/>
      <c r="X231" s="289"/>
      <c r="Y231" s="289"/>
      <c r="Z231" s="280"/>
      <c r="AA231" s="274"/>
      <c r="AB231" s="288"/>
      <c r="AC231" s="274"/>
    </row>
    <row r="232" s="258" customFormat="1" ht="30" customHeight="1" spans="1:29">
      <c r="A232" s="273"/>
      <c r="B232" s="274" t="s">
        <v>2112</v>
      </c>
      <c r="C232" s="275" t="s">
        <v>52</v>
      </c>
      <c r="D232" s="274" t="s">
        <v>147</v>
      </c>
      <c r="E232" s="274"/>
      <c r="F232" s="294">
        <v>1</v>
      </c>
      <c r="G232" s="294">
        <v>1</v>
      </c>
      <c r="H232" s="294">
        <v>1</v>
      </c>
      <c r="I232" s="294">
        <v>1</v>
      </c>
      <c r="J232" s="274" t="s">
        <v>2136</v>
      </c>
      <c r="K232" s="275">
        <v>1</v>
      </c>
      <c r="L232" s="275">
        <v>1</v>
      </c>
      <c r="M232" s="274">
        <v>2018</v>
      </c>
      <c r="N232" s="274">
        <v>2020</v>
      </c>
      <c r="O232" s="280">
        <f t="shared" si="154"/>
        <v>1.3986</v>
      </c>
      <c r="P232" s="280">
        <f t="shared" si="160"/>
        <v>0.1554</v>
      </c>
      <c r="Q232" s="280">
        <f t="shared" si="161"/>
        <v>0.6216</v>
      </c>
      <c r="R232" s="280">
        <f t="shared" si="162"/>
        <v>0.6216</v>
      </c>
      <c r="S232" s="280"/>
      <c r="T232" s="280"/>
      <c r="U232" s="280"/>
      <c r="V232" s="280"/>
      <c r="W232" s="280"/>
      <c r="X232" s="274"/>
      <c r="Y232" s="274"/>
      <c r="Z232" s="280"/>
      <c r="AA232" s="274"/>
      <c r="AB232" s="288"/>
      <c r="AC232" s="274"/>
    </row>
    <row r="233" s="258" customFormat="1" ht="30" customHeight="1" spans="1:29">
      <c r="A233" s="273"/>
      <c r="B233" s="274" t="s">
        <v>2116</v>
      </c>
      <c r="C233" s="275" t="s">
        <v>52</v>
      </c>
      <c r="D233" s="274" t="s">
        <v>147</v>
      </c>
      <c r="E233" s="274"/>
      <c r="F233" s="294">
        <v>1</v>
      </c>
      <c r="G233" s="294">
        <v>1</v>
      </c>
      <c r="H233" s="294">
        <v>1</v>
      </c>
      <c r="I233" s="294">
        <v>1</v>
      </c>
      <c r="J233" s="274" t="s">
        <v>2136</v>
      </c>
      <c r="K233" s="275">
        <v>1</v>
      </c>
      <c r="L233" s="275">
        <v>1</v>
      </c>
      <c r="M233" s="274">
        <v>2018</v>
      </c>
      <c r="N233" s="274">
        <v>2020</v>
      </c>
      <c r="O233" s="280">
        <f t="shared" si="154"/>
        <v>1.3986</v>
      </c>
      <c r="P233" s="280">
        <f t="shared" si="160"/>
        <v>0.1554</v>
      </c>
      <c r="Q233" s="280">
        <f t="shared" si="161"/>
        <v>0.6216</v>
      </c>
      <c r="R233" s="280">
        <f t="shared" si="162"/>
        <v>0.6216</v>
      </c>
      <c r="S233" s="280"/>
      <c r="T233" s="280"/>
      <c r="U233" s="280"/>
      <c r="V233" s="280"/>
      <c r="W233" s="280"/>
      <c r="X233" s="280"/>
      <c r="Y233" s="280"/>
      <c r="Z233" s="280"/>
      <c r="AA233" s="274"/>
      <c r="AB233" s="288"/>
      <c r="AC233" s="274"/>
    </row>
    <row r="234" s="258" customFormat="1" ht="30" customHeight="1" spans="1:29">
      <c r="A234" s="273"/>
      <c r="B234" s="274" t="s">
        <v>2118</v>
      </c>
      <c r="C234" s="275" t="s">
        <v>52</v>
      </c>
      <c r="D234" s="274" t="s">
        <v>147</v>
      </c>
      <c r="E234" s="274"/>
      <c r="F234" s="294">
        <v>1</v>
      </c>
      <c r="G234" s="294">
        <v>1</v>
      </c>
      <c r="H234" s="294">
        <v>1</v>
      </c>
      <c r="I234" s="294">
        <v>1</v>
      </c>
      <c r="J234" s="274" t="s">
        <v>2136</v>
      </c>
      <c r="K234" s="275">
        <v>1</v>
      </c>
      <c r="L234" s="275">
        <v>1</v>
      </c>
      <c r="M234" s="274">
        <v>2018</v>
      </c>
      <c r="N234" s="274">
        <v>2020</v>
      </c>
      <c r="O234" s="280">
        <f t="shared" si="154"/>
        <v>1.3986</v>
      </c>
      <c r="P234" s="280">
        <f t="shared" si="160"/>
        <v>0.1554</v>
      </c>
      <c r="Q234" s="280">
        <f t="shared" si="161"/>
        <v>0.6216</v>
      </c>
      <c r="R234" s="280">
        <f t="shared" si="162"/>
        <v>0.6216</v>
      </c>
      <c r="S234" s="280"/>
      <c r="T234" s="280"/>
      <c r="U234" s="280"/>
      <c r="V234" s="280"/>
      <c r="W234" s="280"/>
      <c r="X234" s="288"/>
      <c r="Y234" s="288"/>
      <c r="Z234" s="280"/>
      <c r="AA234" s="274"/>
      <c r="AB234" s="288"/>
      <c r="AC234" s="274"/>
    </row>
    <row r="235" s="258" customFormat="1" ht="30" customHeight="1" spans="1:29">
      <c r="A235" s="273"/>
      <c r="B235" s="274" t="s">
        <v>2124</v>
      </c>
      <c r="C235" s="275" t="s">
        <v>52</v>
      </c>
      <c r="D235" s="274" t="s">
        <v>147</v>
      </c>
      <c r="E235" s="274"/>
      <c r="F235" s="294">
        <v>1</v>
      </c>
      <c r="G235" s="294">
        <v>1</v>
      </c>
      <c r="H235" s="294">
        <v>1</v>
      </c>
      <c r="I235" s="294">
        <v>1</v>
      </c>
      <c r="J235" s="274" t="s">
        <v>2136</v>
      </c>
      <c r="K235" s="275">
        <v>1</v>
      </c>
      <c r="L235" s="275">
        <v>1</v>
      </c>
      <c r="M235" s="274">
        <v>2018</v>
      </c>
      <c r="N235" s="274">
        <v>2020</v>
      </c>
      <c r="O235" s="280">
        <f t="shared" si="154"/>
        <v>1.3986</v>
      </c>
      <c r="P235" s="280">
        <f t="shared" si="160"/>
        <v>0.1554</v>
      </c>
      <c r="Q235" s="280">
        <f t="shared" si="161"/>
        <v>0.6216</v>
      </c>
      <c r="R235" s="280">
        <f t="shared" si="162"/>
        <v>0.6216</v>
      </c>
      <c r="S235" s="280"/>
      <c r="T235" s="280"/>
      <c r="U235" s="280"/>
      <c r="V235" s="280"/>
      <c r="W235" s="280"/>
      <c r="X235" s="288"/>
      <c r="Y235" s="288"/>
      <c r="Z235" s="280"/>
      <c r="AA235" s="274"/>
      <c r="AB235" s="288"/>
      <c r="AC235" s="274"/>
    </row>
    <row r="236" s="258" customFormat="1" ht="30" customHeight="1" spans="1:29">
      <c r="A236" s="273"/>
      <c r="B236" s="274" t="s">
        <v>2125</v>
      </c>
      <c r="C236" s="275" t="s">
        <v>52</v>
      </c>
      <c r="D236" s="274" t="s">
        <v>147</v>
      </c>
      <c r="E236" s="274"/>
      <c r="F236" s="294">
        <v>1</v>
      </c>
      <c r="G236" s="294">
        <v>1</v>
      </c>
      <c r="H236" s="294">
        <v>1</v>
      </c>
      <c r="I236" s="294">
        <v>1</v>
      </c>
      <c r="J236" s="274" t="s">
        <v>2136</v>
      </c>
      <c r="K236" s="275">
        <v>1</v>
      </c>
      <c r="L236" s="275">
        <v>1</v>
      </c>
      <c r="M236" s="274">
        <v>2018</v>
      </c>
      <c r="N236" s="274">
        <v>2020</v>
      </c>
      <c r="O236" s="280">
        <f t="shared" si="154"/>
        <v>1.3986</v>
      </c>
      <c r="P236" s="280">
        <f t="shared" si="160"/>
        <v>0.1554</v>
      </c>
      <c r="Q236" s="280">
        <f t="shared" si="161"/>
        <v>0.6216</v>
      </c>
      <c r="R236" s="280">
        <f t="shared" si="162"/>
        <v>0.6216</v>
      </c>
      <c r="S236" s="280"/>
      <c r="T236" s="280"/>
      <c r="U236" s="280"/>
      <c r="V236" s="280"/>
      <c r="W236" s="280"/>
      <c r="X236" s="274"/>
      <c r="Y236" s="274"/>
      <c r="Z236" s="280"/>
      <c r="AA236" s="274"/>
      <c r="AB236" s="288"/>
      <c r="AC236" s="274"/>
    </row>
    <row r="237" ht="144" spans="1:29">
      <c r="A237" s="273">
        <v>45</v>
      </c>
      <c r="B237" s="277" t="s">
        <v>1111</v>
      </c>
      <c r="C237" s="275" t="s">
        <v>52</v>
      </c>
      <c r="D237" s="274" t="s">
        <v>147</v>
      </c>
      <c r="E237" s="274"/>
      <c r="F237" s="276">
        <f t="shared" ref="F237:I237" si="163">SUM(F238:F242)</f>
        <v>6</v>
      </c>
      <c r="G237" s="276">
        <f t="shared" si="163"/>
        <v>6</v>
      </c>
      <c r="H237" s="276">
        <f t="shared" si="163"/>
        <v>6</v>
      </c>
      <c r="I237" s="276">
        <f t="shared" si="163"/>
        <v>6</v>
      </c>
      <c r="J237" s="274" t="s">
        <v>2262</v>
      </c>
      <c r="K237" s="276">
        <f t="shared" ref="K237:R237" si="164">SUM(K238:K242)</f>
        <v>6</v>
      </c>
      <c r="L237" s="276">
        <f t="shared" si="164"/>
        <v>6</v>
      </c>
      <c r="M237" s="274">
        <v>2018</v>
      </c>
      <c r="N237" s="274">
        <v>2020</v>
      </c>
      <c r="O237" s="280">
        <f t="shared" si="154"/>
        <v>8.3916</v>
      </c>
      <c r="P237" s="280">
        <f t="shared" si="164"/>
        <v>0.9324</v>
      </c>
      <c r="Q237" s="280">
        <f t="shared" si="164"/>
        <v>3.7296</v>
      </c>
      <c r="R237" s="280">
        <f t="shared" si="164"/>
        <v>3.7296</v>
      </c>
      <c r="S237" s="280"/>
      <c r="T237" s="280"/>
      <c r="U237" s="280">
        <f>(G237*18*27)/10000</f>
        <v>0.2916</v>
      </c>
      <c r="V237" s="280">
        <f>(G237*500*27)/10000</f>
        <v>8.1</v>
      </c>
      <c r="W237" s="280"/>
      <c r="X237" s="288" t="s">
        <v>2108</v>
      </c>
      <c r="Y237" s="274" t="s">
        <v>2132</v>
      </c>
      <c r="Z237" s="280" t="s">
        <v>1298</v>
      </c>
      <c r="AA237" s="274" t="s">
        <v>2263</v>
      </c>
      <c r="AB237" s="280" t="s">
        <v>2247</v>
      </c>
      <c r="AC237" s="274" t="s">
        <v>1073</v>
      </c>
    </row>
    <row r="238" s="258" customFormat="1" ht="30" customHeight="1" spans="1:29">
      <c r="A238" s="273"/>
      <c r="B238" s="274" t="s">
        <v>2123</v>
      </c>
      <c r="C238" s="275" t="s">
        <v>52</v>
      </c>
      <c r="D238" s="274" t="s">
        <v>147</v>
      </c>
      <c r="E238" s="274"/>
      <c r="F238" s="276">
        <v>1</v>
      </c>
      <c r="G238" s="276">
        <v>1</v>
      </c>
      <c r="H238" s="276">
        <v>1</v>
      </c>
      <c r="I238" s="276">
        <v>1</v>
      </c>
      <c r="J238" s="274" t="s">
        <v>2136</v>
      </c>
      <c r="K238" s="274">
        <v>1</v>
      </c>
      <c r="L238" s="274">
        <v>1</v>
      </c>
      <c r="M238" s="274">
        <v>2018</v>
      </c>
      <c r="N238" s="274">
        <v>2020</v>
      </c>
      <c r="O238" s="280">
        <f t="shared" si="154"/>
        <v>1.3986</v>
      </c>
      <c r="P238" s="280">
        <f t="shared" ref="P238:P240" si="165">(1*1500+1*54)/10000</f>
        <v>0.1554</v>
      </c>
      <c r="Q238" s="280">
        <f t="shared" ref="Q238:Q240" si="166">(1*6000+1*216)/10000</f>
        <v>0.6216</v>
      </c>
      <c r="R238" s="280">
        <f t="shared" ref="R238:R240" si="167">(1*6000+1*216)/10000</f>
        <v>0.6216</v>
      </c>
      <c r="S238" s="280"/>
      <c r="T238" s="280"/>
      <c r="U238" s="280"/>
      <c r="V238" s="280"/>
      <c r="W238" s="280"/>
      <c r="X238" s="289"/>
      <c r="Y238" s="289"/>
      <c r="Z238" s="280"/>
      <c r="AA238" s="274"/>
      <c r="AB238" s="288"/>
      <c r="AC238" s="274"/>
    </row>
    <row r="239" s="258" customFormat="1" ht="30" customHeight="1" spans="1:29">
      <c r="A239" s="273"/>
      <c r="B239" s="274" t="s">
        <v>2112</v>
      </c>
      <c r="C239" s="275" t="s">
        <v>52</v>
      </c>
      <c r="D239" s="274" t="s">
        <v>147</v>
      </c>
      <c r="E239" s="274"/>
      <c r="F239" s="294">
        <v>1</v>
      </c>
      <c r="G239" s="294">
        <v>1</v>
      </c>
      <c r="H239" s="294">
        <v>1</v>
      </c>
      <c r="I239" s="294">
        <v>1</v>
      </c>
      <c r="J239" s="274" t="s">
        <v>2136</v>
      </c>
      <c r="K239" s="275">
        <v>1</v>
      </c>
      <c r="L239" s="275">
        <v>1</v>
      </c>
      <c r="M239" s="274">
        <v>2018</v>
      </c>
      <c r="N239" s="274">
        <v>2020</v>
      </c>
      <c r="O239" s="280">
        <f t="shared" si="154"/>
        <v>1.3986</v>
      </c>
      <c r="P239" s="280">
        <f t="shared" si="165"/>
        <v>0.1554</v>
      </c>
      <c r="Q239" s="280">
        <f t="shared" si="166"/>
        <v>0.6216</v>
      </c>
      <c r="R239" s="280">
        <f t="shared" si="167"/>
        <v>0.6216</v>
      </c>
      <c r="S239" s="280"/>
      <c r="T239" s="280"/>
      <c r="U239" s="280"/>
      <c r="V239" s="280"/>
      <c r="W239" s="280"/>
      <c r="X239" s="274"/>
      <c r="Y239" s="274"/>
      <c r="Z239" s="280"/>
      <c r="AA239" s="274"/>
      <c r="AB239" s="288"/>
      <c r="AC239" s="274"/>
    </row>
    <row r="240" s="258" customFormat="1" ht="30" customHeight="1" spans="1:29">
      <c r="A240" s="273"/>
      <c r="B240" s="274" t="s">
        <v>2114</v>
      </c>
      <c r="C240" s="275" t="s">
        <v>52</v>
      </c>
      <c r="D240" s="274" t="s">
        <v>147</v>
      </c>
      <c r="E240" s="274"/>
      <c r="F240" s="294">
        <v>1</v>
      </c>
      <c r="G240" s="294">
        <v>1</v>
      </c>
      <c r="H240" s="294">
        <v>1</v>
      </c>
      <c r="I240" s="294">
        <v>1</v>
      </c>
      <c r="J240" s="274" t="s">
        <v>2136</v>
      </c>
      <c r="K240" s="275">
        <v>1</v>
      </c>
      <c r="L240" s="275">
        <v>1</v>
      </c>
      <c r="M240" s="274">
        <v>2018</v>
      </c>
      <c r="N240" s="274">
        <v>2020</v>
      </c>
      <c r="O240" s="280">
        <f t="shared" si="154"/>
        <v>1.3986</v>
      </c>
      <c r="P240" s="280">
        <f t="shared" si="165"/>
        <v>0.1554</v>
      </c>
      <c r="Q240" s="280">
        <f t="shared" si="166"/>
        <v>0.6216</v>
      </c>
      <c r="R240" s="280">
        <f t="shared" si="167"/>
        <v>0.6216</v>
      </c>
      <c r="S240" s="280"/>
      <c r="T240" s="280"/>
      <c r="U240" s="280"/>
      <c r="V240" s="280"/>
      <c r="W240" s="280"/>
      <c r="X240" s="280"/>
      <c r="Y240" s="280"/>
      <c r="Z240" s="280"/>
      <c r="AA240" s="274"/>
      <c r="AB240" s="288"/>
      <c r="AC240" s="274"/>
    </row>
    <row r="241" s="258" customFormat="1" ht="30" customHeight="1" spans="1:29">
      <c r="A241" s="273"/>
      <c r="B241" s="274" t="s">
        <v>2124</v>
      </c>
      <c r="C241" s="275" t="s">
        <v>52</v>
      </c>
      <c r="D241" s="274" t="s">
        <v>147</v>
      </c>
      <c r="E241" s="274"/>
      <c r="F241" s="294">
        <v>2</v>
      </c>
      <c r="G241" s="294">
        <v>2</v>
      </c>
      <c r="H241" s="294">
        <v>2</v>
      </c>
      <c r="I241" s="294">
        <v>2</v>
      </c>
      <c r="J241" s="274" t="s">
        <v>2163</v>
      </c>
      <c r="K241" s="275">
        <v>2</v>
      </c>
      <c r="L241" s="275">
        <v>2</v>
      </c>
      <c r="M241" s="274">
        <v>2018</v>
      </c>
      <c r="N241" s="274">
        <v>2020</v>
      </c>
      <c r="O241" s="280">
        <f t="shared" si="154"/>
        <v>2.7972</v>
      </c>
      <c r="P241" s="280">
        <f>(2*1500+2*54)/10000</f>
        <v>0.3108</v>
      </c>
      <c r="Q241" s="280">
        <f>(2*6000+2*216)/10000</f>
        <v>1.2432</v>
      </c>
      <c r="R241" s="280">
        <f>(2*6000+2*216)/10000</f>
        <v>1.2432</v>
      </c>
      <c r="S241" s="280"/>
      <c r="T241" s="280"/>
      <c r="U241" s="280"/>
      <c r="V241" s="280"/>
      <c r="W241" s="280"/>
      <c r="X241" s="288"/>
      <c r="Y241" s="288"/>
      <c r="Z241" s="280"/>
      <c r="AA241" s="274"/>
      <c r="AB241" s="288"/>
      <c r="AC241" s="274"/>
    </row>
    <row r="242" s="258" customFormat="1" ht="30" customHeight="1" spans="1:29">
      <c r="A242" s="273"/>
      <c r="B242" s="274" t="s">
        <v>2125</v>
      </c>
      <c r="C242" s="275" t="s">
        <v>52</v>
      </c>
      <c r="D242" s="274" t="s">
        <v>147</v>
      </c>
      <c r="E242" s="274"/>
      <c r="F242" s="294">
        <v>1</v>
      </c>
      <c r="G242" s="294">
        <v>1</v>
      </c>
      <c r="H242" s="294">
        <v>1</v>
      </c>
      <c r="I242" s="294">
        <v>1</v>
      </c>
      <c r="J242" s="274" t="s">
        <v>2136</v>
      </c>
      <c r="K242" s="275">
        <v>1</v>
      </c>
      <c r="L242" s="275">
        <v>1</v>
      </c>
      <c r="M242" s="274">
        <v>2018</v>
      </c>
      <c r="N242" s="274">
        <v>2020</v>
      </c>
      <c r="O242" s="280">
        <f t="shared" si="154"/>
        <v>1.3986</v>
      </c>
      <c r="P242" s="280">
        <f>(1*1500+1*54)/10000</f>
        <v>0.1554</v>
      </c>
      <c r="Q242" s="280">
        <f>(1*6000+1*216)/10000</f>
        <v>0.6216</v>
      </c>
      <c r="R242" s="280">
        <f>(1*6000+1*216)/10000</f>
        <v>0.6216</v>
      </c>
      <c r="S242" s="280"/>
      <c r="T242" s="280"/>
      <c r="U242" s="280"/>
      <c r="V242" s="280"/>
      <c r="W242" s="280"/>
      <c r="X242" s="274"/>
      <c r="Y242" s="274"/>
      <c r="Z242" s="280"/>
      <c r="AA242" s="274"/>
      <c r="AB242" s="288"/>
      <c r="AC242" s="274"/>
    </row>
    <row r="243" ht="30" customHeight="1" spans="1:29">
      <c r="A243" s="273">
        <v>46</v>
      </c>
      <c r="B243" s="277" t="s">
        <v>857</v>
      </c>
      <c r="C243" s="275" t="s">
        <v>320</v>
      </c>
      <c r="D243" s="274" t="s">
        <v>320</v>
      </c>
      <c r="E243" s="274"/>
      <c r="F243" s="276" t="s">
        <v>320</v>
      </c>
      <c r="G243" s="276" t="s">
        <v>320</v>
      </c>
      <c r="H243" s="276" t="s">
        <v>320</v>
      </c>
      <c r="I243" s="276" t="s">
        <v>320</v>
      </c>
      <c r="J243" s="280" t="s">
        <v>320</v>
      </c>
      <c r="K243" s="274">
        <v>1351</v>
      </c>
      <c r="L243" s="274">
        <v>4888</v>
      </c>
      <c r="M243" s="274">
        <v>2018</v>
      </c>
      <c r="N243" s="274">
        <v>2020</v>
      </c>
      <c r="O243" s="280">
        <f t="shared" si="154"/>
        <v>1941.754702</v>
      </c>
      <c r="P243" s="280">
        <f t="shared" ref="P243:W243" si="168">SUM(P244,P288,P324,P330,P338,P346)</f>
        <v>288.91</v>
      </c>
      <c r="Q243" s="280">
        <f t="shared" si="168"/>
        <v>1566.668234</v>
      </c>
      <c r="R243" s="280">
        <f t="shared" si="168"/>
        <v>86.176468</v>
      </c>
      <c r="S243" s="280">
        <f t="shared" si="168"/>
        <v>0</v>
      </c>
      <c r="T243" s="280">
        <f t="shared" si="168"/>
        <v>1841.754702</v>
      </c>
      <c r="U243" s="280">
        <f t="shared" si="168"/>
        <v>0</v>
      </c>
      <c r="V243" s="280">
        <f t="shared" si="168"/>
        <v>100</v>
      </c>
      <c r="W243" s="280">
        <f t="shared" si="168"/>
        <v>0</v>
      </c>
      <c r="X243" s="280" t="s">
        <v>320</v>
      </c>
      <c r="Y243" s="280" t="s">
        <v>320</v>
      </c>
      <c r="Z243" s="280" t="s">
        <v>320</v>
      </c>
      <c r="AA243" s="280" t="s">
        <v>320</v>
      </c>
      <c r="AB243" s="280" t="s">
        <v>320</v>
      </c>
      <c r="AC243" s="274" t="s">
        <v>2106</v>
      </c>
    </row>
    <row r="244" ht="30" customHeight="1" spans="1:29">
      <c r="A244" s="273">
        <v>47</v>
      </c>
      <c r="B244" s="277" t="s">
        <v>42</v>
      </c>
      <c r="C244" s="280" t="s">
        <v>1124</v>
      </c>
      <c r="D244" s="280" t="s">
        <v>45</v>
      </c>
      <c r="E244" s="280"/>
      <c r="F244" s="276">
        <f t="shared" ref="F244:F260" si="169">SUM(G244:I244)</f>
        <v>14002.5</v>
      </c>
      <c r="G244" s="276">
        <f t="shared" ref="G244:I244" si="170">SUM(G245,G285)</f>
        <v>8545</v>
      </c>
      <c r="H244" s="276">
        <f t="shared" si="170"/>
        <v>2710.5</v>
      </c>
      <c r="I244" s="276">
        <f t="shared" si="170"/>
        <v>2747</v>
      </c>
      <c r="J244" s="280" t="s">
        <v>320</v>
      </c>
      <c r="K244" s="274">
        <v>1351</v>
      </c>
      <c r="L244" s="274">
        <v>4888</v>
      </c>
      <c r="M244" s="274">
        <v>2018</v>
      </c>
      <c r="N244" s="274">
        <v>2020</v>
      </c>
      <c r="O244" s="280">
        <f t="shared" si="154"/>
        <v>50.1</v>
      </c>
      <c r="P244" s="280">
        <f t="shared" ref="P244:W244" si="171">SUM(P245,P285)</f>
        <v>0</v>
      </c>
      <c r="Q244" s="280">
        <f t="shared" si="171"/>
        <v>50.1</v>
      </c>
      <c r="R244" s="280">
        <f t="shared" si="171"/>
        <v>0</v>
      </c>
      <c r="S244" s="280">
        <f t="shared" si="171"/>
        <v>0</v>
      </c>
      <c r="T244" s="280">
        <f t="shared" si="171"/>
        <v>50.1</v>
      </c>
      <c r="U244" s="280">
        <f t="shared" si="171"/>
        <v>0</v>
      </c>
      <c r="V244" s="280">
        <f t="shared" si="171"/>
        <v>0</v>
      </c>
      <c r="W244" s="280">
        <f t="shared" si="171"/>
        <v>0</v>
      </c>
      <c r="X244" s="288" t="s">
        <v>2108</v>
      </c>
      <c r="Y244" s="274" t="s">
        <v>2120</v>
      </c>
      <c r="Z244" s="274" t="s">
        <v>43</v>
      </c>
      <c r="AA244" s="280" t="s">
        <v>320</v>
      </c>
      <c r="AB244" s="280" t="s">
        <v>320</v>
      </c>
      <c r="AC244" s="274" t="s">
        <v>320</v>
      </c>
    </row>
    <row r="245" ht="30" customHeight="1" spans="1:29">
      <c r="A245" s="273">
        <v>48</v>
      </c>
      <c r="B245" s="277" t="s">
        <v>1114</v>
      </c>
      <c r="C245" s="280" t="s">
        <v>1124</v>
      </c>
      <c r="D245" s="280" t="s">
        <v>45</v>
      </c>
      <c r="E245" s="280"/>
      <c r="F245" s="276">
        <f t="shared" si="169"/>
        <v>13702.5</v>
      </c>
      <c r="G245" s="276">
        <f t="shared" ref="G245:I245" si="172">SUM(G246,G250,G256,G258,G260,G262,G264,G266,G268,G270,G272,G275,G277,G279,G281,G283)</f>
        <v>8545</v>
      </c>
      <c r="H245" s="276">
        <f t="shared" si="172"/>
        <v>2410.5</v>
      </c>
      <c r="I245" s="276">
        <f t="shared" si="172"/>
        <v>2747</v>
      </c>
      <c r="J245" s="280" t="s">
        <v>320</v>
      </c>
      <c r="K245" s="276">
        <v>1351</v>
      </c>
      <c r="L245" s="276">
        <v>4888</v>
      </c>
      <c r="M245" s="274">
        <v>2018</v>
      </c>
      <c r="N245" s="274">
        <v>2020</v>
      </c>
      <c r="O245" s="280" t="s">
        <v>320</v>
      </c>
      <c r="P245" s="280" t="s">
        <v>320</v>
      </c>
      <c r="Q245" s="280" t="s">
        <v>320</v>
      </c>
      <c r="R245" s="280" t="s">
        <v>320</v>
      </c>
      <c r="S245" s="280"/>
      <c r="T245" s="280"/>
      <c r="U245" s="280"/>
      <c r="V245" s="280"/>
      <c r="W245" s="280"/>
      <c r="X245" s="288" t="s">
        <v>2108</v>
      </c>
      <c r="Y245" s="274" t="s">
        <v>2120</v>
      </c>
      <c r="Z245" s="274" t="s">
        <v>43</v>
      </c>
      <c r="AA245" s="274" t="s">
        <v>2264</v>
      </c>
      <c r="AB245" s="274" t="s">
        <v>2265</v>
      </c>
      <c r="AC245" s="274" t="s">
        <v>320</v>
      </c>
    </row>
    <row r="246" ht="36" spans="1:29">
      <c r="A246" s="273">
        <v>49</v>
      </c>
      <c r="B246" s="277" t="s">
        <v>2266</v>
      </c>
      <c r="C246" s="275" t="s">
        <v>1124</v>
      </c>
      <c r="D246" s="274" t="s">
        <v>45</v>
      </c>
      <c r="E246" s="274"/>
      <c r="F246" s="276">
        <f t="shared" si="169"/>
        <v>7950</v>
      </c>
      <c r="G246" s="276">
        <f t="shared" ref="G246:I246" si="173">SUM(G247:G249)</f>
        <v>5950</v>
      </c>
      <c r="H246" s="276">
        <f t="shared" si="173"/>
        <v>1000</v>
      </c>
      <c r="I246" s="276">
        <f t="shared" si="173"/>
        <v>1000</v>
      </c>
      <c r="J246" s="274" t="s">
        <v>2267</v>
      </c>
      <c r="K246" s="276">
        <f>SUM(K247:K249)</f>
        <v>382</v>
      </c>
      <c r="L246" s="276">
        <f>SUM(L247:L249)</f>
        <v>1372</v>
      </c>
      <c r="M246" s="274">
        <v>2018</v>
      </c>
      <c r="N246" s="274">
        <v>2020</v>
      </c>
      <c r="O246" s="280" t="s">
        <v>320</v>
      </c>
      <c r="P246" s="280" t="s">
        <v>320</v>
      </c>
      <c r="Q246" s="280" t="s">
        <v>320</v>
      </c>
      <c r="R246" s="280" t="s">
        <v>320</v>
      </c>
      <c r="S246" s="280"/>
      <c r="T246" s="280"/>
      <c r="U246" s="280"/>
      <c r="V246" s="280"/>
      <c r="W246" s="280"/>
      <c r="X246" s="288" t="s">
        <v>2108</v>
      </c>
      <c r="Y246" s="274" t="s">
        <v>2120</v>
      </c>
      <c r="Z246" s="274" t="s">
        <v>43</v>
      </c>
      <c r="AA246" s="274" t="s">
        <v>2264</v>
      </c>
      <c r="AB246" s="274" t="s">
        <v>2265</v>
      </c>
      <c r="AC246" s="274" t="s">
        <v>1073</v>
      </c>
    </row>
    <row r="247" s="258" customFormat="1" ht="30" customHeight="1" spans="1:29">
      <c r="A247" s="273"/>
      <c r="B247" s="274" t="s">
        <v>2123</v>
      </c>
      <c r="C247" s="279" t="s">
        <v>1124</v>
      </c>
      <c r="D247" s="280" t="s">
        <v>45</v>
      </c>
      <c r="E247" s="280"/>
      <c r="F247" s="276">
        <f t="shared" si="169"/>
        <v>2046</v>
      </c>
      <c r="G247" s="276">
        <v>2046</v>
      </c>
      <c r="H247" s="276">
        <v>0</v>
      </c>
      <c r="I247" s="276">
        <v>0</v>
      </c>
      <c r="J247" s="280" t="s">
        <v>320</v>
      </c>
      <c r="K247" s="276">
        <v>174</v>
      </c>
      <c r="L247" s="276">
        <v>680</v>
      </c>
      <c r="M247" s="274">
        <v>2018</v>
      </c>
      <c r="N247" s="274">
        <v>2018</v>
      </c>
      <c r="O247" s="280" t="s">
        <v>320</v>
      </c>
      <c r="P247" s="280" t="s">
        <v>320</v>
      </c>
      <c r="Q247" s="280" t="s">
        <v>320</v>
      </c>
      <c r="R247" s="280" t="s">
        <v>320</v>
      </c>
      <c r="S247" s="280"/>
      <c r="T247" s="280"/>
      <c r="U247" s="280"/>
      <c r="V247" s="280"/>
      <c r="W247" s="280"/>
      <c r="X247" s="289"/>
      <c r="Y247" s="289"/>
      <c r="Z247" s="280"/>
      <c r="AA247" s="274"/>
      <c r="AB247" s="288"/>
      <c r="AC247" s="274"/>
    </row>
    <row r="248" s="258" customFormat="1" ht="30" customHeight="1" spans="1:29">
      <c r="A248" s="273"/>
      <c r="B248" s="274" t="s">
        <v>2116</v>
      </c>
      <c r="C248" s="279" t="s">
        <v>1124</v>
      </c>
      <c r="D248" s="274" t="s">
        <v>45</v>
      </c>
      <c r="E248" s="274"/>
      <c r="F248" s="276">
        <f t="shared" si="169"/>
        <v>1904</v>
      </c>
      <c r="G248" s="276">
        <v>1904</v>
      </c>
      <c r="H248" s="276">
        <v>0</v>
      </c>
      <c r="I248" s="276">
        <v>0</v>
      </c>
      <c r="J248" s="280" t="s">
        <v>320</v>
      </c>
      <c r="K248" s="274">
        <v>18</v>
      </c>
      <c r="L248" s="274">
        <v>64</v>
      </c>
      <c r="M248" s="274">
        <v>2018</v>
      </c>
      <c r="N248" s="274">
        <v>2018</v>
      </c>
      <c r="O248" s="280" t="s">
        <v>320</v>
      </c>
      <c r="P248" s="280" t="s">
        <v>320</v>
      </c>
      <c r="Q248" s="280" t="s">
        <v>320</v>
      </c>
      <c r="R248" s="280" t="s">
        <v>320</v>
      </c>
      <c r="S248" s="280"/>
      <c r="T248" s="280"/>
      <c r="U248" s="280"/>
      <c r="V248" s="280"/>
      <c r="W248" s="280"/>
      <c r="X248" s="288"/>
      <c r="Y248" s="288"/>
      <c r="Z248" s="280"/>
      <c r="AA248" s="274"/>
      <c r="AB248" s="288"/>
      <c r="AC248" s="274"/>
    </row>
    <row r="249" s="258" customFormat="1" ht="30" customHeight="1" spans="1:29">
      <c r="A249" s="273"/>
      <c r="B249" s="274" t="s">
        <v>2125</v>
      </c>
      <c r="C249" s="279" t="s">
        <v>1124</v>
      </c>
      <c r="D249" s="274" t="s">
        <v>45</v>
      </c>
      <c r="E249" s="274"/>
      <c r="F249" s="276">
        <f t="shared" si="169"/>
        <v>4000</v>
      </c>
      <c r="G249" s="276">
        <v>2000</v>
      </c>
      <c r="H249" s="276">
        <v>1000</v>
      </c>
      <c r="I249" s="276">
        <v>1000</v>
      </c>
      <c r="J249" s="280" t="s">
        <v>320</v>
      </c>
      <c r="K249" s="274">
        <v>190</v>
      </c>
      <c r="L249" s="274">
        <v>628</v>
      </c>
      <c r="M249" s="274">
        <v>2018</v>
      </c>
      <c r="N249" s="274">
        <v>2020</v>
      </c>
      <c r="O249" s="280" t="s">
        <v>320</v>
      </c>
      <c r="P249" s="280" t="s">
        <v>320</v>
      </c>
      <c r="Q249" s="280" t="s">
        <v>320</v>
      </c>
      <c r="R249" s="280" t="s">
        <v>320</v>
      </c>
      <c r="S249" s="280"/>
      <c r="T249" s="280"/>
      <c r="U249" s="280"/>
      <c r="V249" s="280"/>
      <c r="W249" s="280"/>
      <c r="X249" s="274"/>
      <c r="Y249" s="274"/>
      <c r="Z249" s="280"/>
      <c r="AA249" s="274"/>
      <c r="AB249" s="288"/>
      <c r="AC249" s="274"/>
    </row>
    <row r="250" ht="36" spans="1:29">
      <c r="A250" s="273">
        <v>50</v>
      </c>
      <c r="B250" s="277" t="s">
        <v>2268</v>
      </c>
      <c r="C250" s="275" t="s">
        <v>1124</v>
      </c>
      <c r="D250" s="274" t="s">
        <v>45</v>
      </c>
      <c r="E250" s="274"/>
      <c r="F250" s="276">
        <f t="shared" si="169"/>
        <v>4218</v>
      </c>
      <c r="G250" s="276">
        <f t="shared" ref="G250:I250" si="174">SUM(G251:G255)</f>
        <v>2210</v>
      </c>
      <c r="H250" s="276">
        <f t="shared" si="174"/>
        <v>1008</v>
      </c>
      <c r="I250" s="276">
        <f t="shared" si="174"/>
        <v>1000</v>
      </c>
      <c r="J250" s="274" t="s">
        <v>2269</v>
      </c>
      <c r="K250" s="274">
        <f>SUM(K251:K255)</f>
        <v>281</v>
      </c>
      <c r="L250" s="274">
        <f>SUM(L251:L255)</f>
        <v>1053</v>
      </c>
      <c r="M250" s="274">
        <v>2018</v>
      </c>
      <c r="N250" s="274">
        <v>2020</v>
      </c>
      <c r="O250" s="280" t="s">
        <v>320</v>
      </c>
      <c r="P250" s="280" t="s">
        <v>320</v>
      </c>
      <c r="Q250" s="280" t="s">
        <v>320</v>
      </c>
      <c r="R250" s="280" t="s">
        <v>320</v>
      </c>
      <c r="S250" s="280"/>
      <c r="T250" s="280"/>
      <c r="U250" s="280"/>
      <c r="V250" s="280"/>
      <c r="W250" s="280"/>
      <c r="X250" s="288" t="s">
        <v>2108</v>
      </c>
      <c r="Y250" s="274" t="s">
        <v>2120</v>
      </c>
      <c r="Z250" s="274" t="s">
        <v>43</v>
      </c>
      <c r="AA250" s="274" t="s">
        <v>2264</v>
      </c>
      <c r="AB250" s="274" t="s">
        <v>2265</v>
      </c>
      <c r="AC250" s="274" t="s">
        <v>1073</v>
      </c>
    </row>
    <row r="251" s="258" customFormat="1" ht="30" customHeight="1" spans="1:29">
      <c r="A251" s="273"/>
      <c r="B251" s="274" t="s">
        <v>2123</v>
      </c>
      <c r="C251" s="279" t="s">
        <v>1124</v>
      </c>
      <c r="D251" s="280" t="s">
        <v>45</v>
      </c>
      <c r="E251" s="280"/>
      <c r="F251" s="276">
        <f t="shared" si="169"/>
        <v>42</v>
      </c>
      <c r="G251" s="276">
        <v>42</v>
      </c>
      <c r="H251" s="276">
        <v>0</v>
      </c>
      <c r="I251" s="276">
        <v>0</v>
      </c>
      <c r="J251" s="280" t="s">
        <v>320</v>
      </c>
      <c r="K251" s="274">
        <v>8</v>
      </c>
      <c r="L251" s="274">
        <v>31</v>
      </c>
      <c r="M251" s="274">
        <v>2018</v>
      </c>
      <c r="N251" s="274">
        <v>2018</v>
      </c>
      <c r="O251" s="280" t="s">
        <v>320</v>
      </c>
      <c r="P251" s="280" t="s">
        <v>320</v>
      </c>
      <c r="Q251" s="280" t="s">
        <v>320</v>
      </c>
      <c r="R251" s="280" t="s">
        <v>320</v>
      </c>
      <c r="S251" s="280"/>
      <c r="T251" s="280"/>
      <c r="U251" s="280"/>
      <c r="V251" s="280"/>
      <c r="W251" s="280"/>
      <c r="X251" s="274"/>
      <c r="Y251" s="274"/>
      <c r="Z251" s="280"/>
      <c r="AA251" s="274"/>
      <c r="AB251" s="288"/>
      <c r="AC251" s="274"/>
    </row>
    <row r="252" s="258" customFormat="1" ht="72" spans="1:29">
      <c r="A252" s="273"/>
      <c r="B252" s="274" t="s">
        <v>2270</v>
      </c>
      <c r="C252" s="275" t="s">
        <v>1124</v>
      </c>
      <c r="D252" s="274" t="s">
        <v>45</v>
      </c>
      <c r="E252" s="274"/>
      <c r="F252" s="276">
        <f t="shared" si="169"/>
        <v>473</v>
      </c>
      <c r="G252" s="276">
        <v>473</v>
      </c>
      <c r="H252" s="276">
        <v>0</v>
      </c>
      <c r="I252" s="276">
        <v>0</v>
      </c>
      <c r="J252" s="274" t="s">
        <v>2271</v>
      </c>
      <c r="K252" s="274">
        <v>72</v>
      </c>
      <c r="L252" s="274">
        <v>362</v>
      </c>
      <c r="M252" s="274">
        <v>2018</v>
      </c>
      <c r="N252" s="274">
        <v>2018</v>
      </c>
      <c r="O252" s="280" t="s">
        <v>320</v>
      </c>
      <c r="P252" s="280" t="s">
        <v>320</v>
      </c>
      <c r="Q252" s="280" t="s">
        <v>320</v>
      </c>
      <c r="R252" s="280" t="s">
        <v>320</v>
      </c>
      <c r="S252" s="280"/>
      <c r="T252" s="280"/>
      <c r="U252" s="280"/>
      <c r="V252" s="280"/>
      <c r="W252" s="280"/>
      <c r="X252" s="274"/>
      <c r="Y252" s="274"/>
      <c r="Z252" s="288"/>
      <c r="AA252" s="274"/>
      <c r="AB252" s="288"/>
      <c r="AC252" s="274"/>
    </row>
    <row r="253" s="258" customFormat="1" ht="30" customHeight="1" spans="1:29">
      <c r="A253" s="273"/>
      <c r="B253" s="274" t="s">
        <v>2114</v>
      </c>
      <c r="C253" s="279" t="s">
        <v>1124</v>
      </c>
      <c r="D253" s="274" t="s">
        <v>45</v>
      </c>
      <c r="E253" s="274"/>
      <c r="F253" s="276">
        <f t="shared" si="169"/>
        <v>16</v>
      </c>
      <c r="G253" s="276">
        <v>8</v>
      </c>
      <c r="H253" s="276">
        <v>8</v>
      </c>
      <c r="I253" s="276">
        <v>0</v>
      </c>
      <c r="J253" s="280" t="s">
        <v>320</v>
      </c>
      <c r="K253" s="274">
        <v>4</v>
      </c>
      <c r="L253" s="274">
        <v>16</v>
      </c>
      <c r="M253" s="274">
        <v>2018</v>
      </c>
      <c r="N253" s="274">
        <v>2019</v>
      </c>
      <c r="O253" s="280" t="s">
        <v>320</v>
      </c>
      <c r="P253" s="280" t="s">
        <v>320</v>
      </c>
      <c r="Q253" s="280" t="s">
        <v>320</v>
      </c>
      <c r="R253" s="280" t="s">
        <v>320</v>
      </c>
      <c r="S253" s="280"/>
      <c r="T253" s="280"/>
      <c r="U253" s="280"/>
      <c r="V253" s="280"/>
      <c r="W253" s="280"/>
      <c r="X253" s="288"/>
      <c r="Y253" s="288"/>
      <c r="Z253" s="280"/>
      <c r="AA253" s="274"/>
      <c r="AB253" s="288"/>
      <c r="AC253" s="274"/>
    </row>
    <row r="254" s="258" customFormat="1" ht="30" customHeight="1" spans="1:29">
      <c r="A254" s="273"/>
      <c r="B254" s="274" t="s">
        <v>2116</v>
      </c>
      <c r="C254" s="279" t="s">
        <v>1124</v>
      </c>
      <c r="D254" s="274" t="s">
        <v>45</v>
      </c>
      <c r="E254" s="274"/>
      <c r="F254" s="276">
        <f t="shared" si="169"/>
        <v>187</v>
      </c>
      <c r="G254" s="276">
        <v>187</v>
      </c>
      <c r="H254" s="276">
        <v>0</v>
      </c>
      <c r="I254" s="276">
        <v>0</v>
      </c>
      <c r="J254" s="280" t="s">
        <v>320</v>
      </c>
      <c r="K254" s="274">
        <v>7</v>
      </c>
      <c r="L254" s="274">
        <v>16</v>
      </c>
      <c r="M254" s="274">
        <v>2018</v>
      </c>
      <c r="N254" s="274">
        <v>2018</v>
      </c>
      <c r="O254" s="280" t="s">
        <v>320</v>
      </c>
      <c r="P254" s="280" t="s">
        <v>320</v>
      </c>
      <c r="Q254" s="280" t="s">
        <v>320</v>
      </c>
      <c r="R254" s="280" t="s">
        <v>320</v>
      </c>
      <c r="S254" s="280"/>
      <c r="T254" s="280"/>
      <c r="U254" s="280"/>
      <c r="V254" s="280"/>
      <c r="W254" s="280"/>
      <c r="X254" s="288"/>
      <c r="Y254" s="288"/>
      <c r="Z254" s="280"/>
      <c r="AA254" s="274"/>
      <c r="AB254" s="288"/>
      <c r="AC254" s="274"/>
    </row>
    <row r="255" s="258" customFormat="1" ht="30" customHeight="1" spans="1:29">
      <c r="A255" s="273"/>
      <c r="B255" s="274" t="s">
        <v>2125</v>
      </c>
      <c r="C255" s="279" t="s">
        <v>1124</v>
      </c>
      <c r="D255" s="274" t="s">
        <v>45</v>
      </c>
      <c r="E255" s="274"/>
      <c r="F255" s="276">
        <f t="shared" si="169"/>
        <v>3500</v>
      </c>
      <c r="G255" s="276">
        <v>1500</v>
      </c>
      <c r="H255" s="276">
        <v>1000</v>
      </c>
      <c r="I255" s="276">
        <v>1000</v>
      </c>
      <c r="J255" s="280" t="s">
        <v>320</v>
      </c>
      <c r="K255" s="274">
        <v>190</v>
      </c>
      <c r="L255" s="274">
        <v>628</v>
      </c>
      <c r="M255" s="274">
        <v>2018</v>
      </c>
      <c r="N255" s="274">
        <v>2020</v>
      </c>
      <c r="O255" s="280" t="s">
        <v>320</v>
      </c>
      <c r="P255" s="280" t="s">
        <v>320</v>
      </c>
      <c r="Q255" s="280" t="s">
        <v>320</v>
      </c>
      <c r="R255" s="280" t="s">
        <v>320</v>
      </c>
      <c r="S255" s="280"/>
      <c r="T255" s="280"/>
      <c r="U255" s="280"/>
      <c r="V255" s="280"/>
      <c r="W255" s="280"/>
      <c r="X255" s="274"/>
      <c r="Y255" s="274"/>
      <c r="Z255" s="280"/>
      <c r="AA255" s="274"/>
      <c r="AB255" s="288"/>
      <c r="AC255" s="274"/>
    </row>
    <row r="256" ht="30" customHeight="1" spans="1:29">
      <c r="A256" s="273">
        <v>51</v>
      </c>
      <c r="B256" s="277" t="s">
        <v>2272</v>
      </c>
      <c r="C256" s="275" t="s">
        <v>1124</v>
      </c>
      <c r="D256" s="274" t="s">
        <v>45</v>
      </c>
      <c r="E256" s="274"/>
      <c r="F256" s="276">
        <f t="shared" si="169"/>
        <v>45</v>
      </c>
      <c r="G256" s="276">
        <f t="shared" ref="G256:I256" si="175">SUM(G257)</f>
        <v>45</v>
      </c>
      <c r="H256" s="276">
        <f t="shared" si="175"/>
        <v>0</v>
      </c>
      <c r="I256" s="276">
        <f t="shared" si="175"/>
        <v>0</v>
      </c>
      <c r="J256" s="274" t="s">
        <v>2273</v>
      </c>
      <c r="K256" s="274">
        <f>SUM(K257)</f>
        <v>3</v>
      </c>
      <c r="L256" s="274">
        <f>SUM(L257)</f>
        <v>8</v>
      </c>
      <c r="M256" s="274">
        <v>2018</v>
      </c>
      <c r="N256" s="274">
        <v>2018</v>
      </c>
      <c r="O256" s="280" t="s">
        <v>320</v>
      </c>
      <c r="P256" s="280" t="s">
        <v>320</v>
      </c>
      <c r="Q256" s="280" t="s">
        <v>320</v>
      </c>
      <c r="R256" s="280" t="s">
        <v>320</v>
      </c>
      <c r="S256" s="280"/>
      <c r="T256" s="280"/>
      <c r="U256" s="280"/>
      <c r="V256" s="280"/>
      <c r="W256" s="280"/>
      <c r="X256" s="288" t="s">
        <v>2108</v>
      </c>
      <c r="Y256" s="274" t="s">
        <v>2120</v>
      </c>
      <c r="Z256" s="274" t="s">
        <v>43</v>
      </c>
      <c r="AA256" s="274" t="s">
        <v>2264</v>
      </c>
      <c r="AB256" s="274" t="s">
        <v>2265</v>
      </c>
      <c r="AC256" s="274" t="s">
        <v>1073</v>
      </c>
    </row>
    <row r="257" ht="30" customHeight="1" spans="1:29">
      <c r="A257" s="273"/>
      <c r="B257" s="274" t="s">
        <v>2123</v>
      </c>
      <c r="C257" s="279" t="s">
        <v>1124</v>
      </c>
      <c r="D257" s="280" t="s">
        <v>45</v>
      </c>
      <c r="E257" s="280"/>
      <c r="F257" s="276">
        <f t="shared" si="169"/>
        <v>45</v>
      </c>
      <c r="G257" s="276">
        <v>45</v>
      </c>
      <c r="H257" s="276">
        <v>0</v>
      </c>
      <c r="I257" s="276">
        <v>0</v>
      </c>
      <c r="J257" s="280" t="s">
        <v>320</v>
      </c>
      <c r="K257" s="276">
        <v>3</v>
      </c>
      <c r="L257" s="276">
        <v>8</v>
      </c>
      <c r="M257" s="274">
        <v>2018</v>
      </c>
      <c r="N257" s="274">
        <v>2018</v>
      </c>
      <c r="O257" s="280" t="s">
        <v>320</v>
      </c>
      <c r="P257" s="280" t="s">
        <v>320</v>
      </c>
      <c r="Q257" s="280" t="s">
        <v>320</v>
      </c>
      <c r="R257" s="280" t="s">
        <v>320</v>
      </c>
      <c r="S257" s="280"/>
      <c r="T257" s="280"/>
      <c r="U257" s="280"/>
      <c r="V257" s="280"/>
      <c r="W257" s="280"/>
      <c r="X257" s="288"/>
      <c r="Y257" s="288"/>
      <c r="Z257" s="280"/>
      <c r="AA257" s="274"/>
      <c r="AB257" s="288"/>
      <c r="AC257" s="274"/>
    </row>
    <row r="258" ht="30" customHeight="1" spans="1:29">
      <c r="A258" s="273">
        <v>52</v>
      </c>
      <c r="B258" s="277" t="s">
        <v>2274</v>
      </c>
      <c r="C258" s="275" t="s">
        <v>1124</v>
      </c>
      <c r="D258" s="274" t="s">
        <v>45</v>
      </c>
      <c r="E258" s="274"/>
      <c r="F258" s="276">
        <f t="shared" si="169"/>
        <v>43</v>
      </c>
      <c r="G258" s="276">
        <f t="shared" ref="G258:I258" si="176">SUM(G259)</f>
        <v>43</v>
      </c>
      <c r="H258" s="276">
        <f t="shared" si="176"/>
        <v>0</v>
      </c>
      <c r="I258" s="276">
        <f t="shared" si="176"/>
        <v>0</v>
      </c>
      <c r="J258" s="274" t="s">
        <v>2275</v>
      </c>
      <c r="K258" s="274">
        <f>SUM(K259)</f>
        <v>9</v>
      </c>
      <c r="L258" s="274">
        <f>SUM(L259)</f>
        <v>38</v>
      </c>
      <c r="M258" s="274">
        <v>2018</v>
      </c>
      <c r="N258" s="274">
        <v>2018</v>
      </c>
      <c r="O258" s="280" t="s">
        <v>320</v>
      </c>
      <c r="P258" s="280" t="s">
        <v>320</v>
      </c>
      <c r="Q258" s="280" t="s">
        <v>320</v>
      </c>
      <c r="R258" s="280" t="s">
        <v>320</v>
      </c>
      <c r="S258" s="280"/>
      <c r="T258" s="280"/>
      <c r="U258" s="280"/>
      <c r="V258" s="280"/>
      <c r="W258" s="280"/>
      <c r="X258" s="288" t="s">
        <v>2108</v>
      </c>
      <c r="Y258" s="274" t="s">
        <v>2120</v>
      </c>
      <c r="Z258" s="274" t="s">
        <v>43</v>
      </c>
      <c r="AA258" s="274" t="s">
        <v>2264</v>
      </c>
      <c r="AB258" s="274" t="s">
        <v>2265</v>
      </c>
      <c r="AC258" s="274" t="s">
        <v>1073</v>
      </c>
    </row>
    <row r="259" ht="30" customHeight="1" spans="1:29">
      <c r="A259" s="273"/>
      <c r="B259" s="274" t="s">
        <v>2123</v>
      </c>
      <c r="C259" s="279" t="s">
        <v>1124</v>
      </c>
      <c r="D259" s="280" t="s">
        <v>45</v>
      </c>
      <c r="E259" s="280"/>
      <c r="F259" s="276">
        <f t="shared" si="169"/>
        <v>43</v>
      </c>
      <c r="G259" s="276">
        <v>43</v>
      </c>
      <c r="H259" s="276">
        <v>0</v>
      </c>
      <c r="I259" s="276">
        <v>0</v>
      </c>
      <c r="J259" s="280" t="s">
        <v>320</v>
      </c>
      <c r="K259" s="276">
        <v>9</v>
      </c>
      <c r="L259" s="276">
        <v>38</v>
      </c>
      <c r="M259" s="274">
        <v>2018</v>
      </c>
      <c r="N259" s="274">
        <v>2018</v>
      </c>
      <c r="O259" s="280" t="s">
        <v>320</v>
      </c>
      <c r="P259" s="280" t="s">
        <v>320</v>
      </c>
      <c r="Q259" s="280" t="s">
        <v>320</v>
      </c>
      <c r="R259" s="280" t="s">
        <v>320</v>
      </c>
      <c r="S259" s="280"/>
      <c r="T259" s="280"/>
      <c r="U259" s="280"/>
      <c r="V259" s="280"/>
      <c r="W259" s="280"/>
      <c r="X259" s="288"/>
      <c r="Y259" s="288"/>
      <c r="Z259" s="280"/>
      <c r="AA259" s="274"/>
      <c r="AB259" s="288"/>
      <c r="AC259" s="274"/>
    </row>
    <row r="260" ht="30" customHeight="1" spans="1:29">
      <c r="A260" s="273">
        <v>53</v>
      </c>
      <c r="B260" s="278" t="s">
        <v>2276</v>
      </c>
      <c r="C260" s="300" t="s">
        <v>1124</v>
      </c>
      <c r="D260" s="274" t="s">
        <v>45</v>
      </c>
      <c r="E260" s="274"/>
      <c r="F260" s="276">
        <f t="shared" si="169"/>
        <v>201</v>
      </c>
      <c r="G260" s="276">
        <f t="shared" ref="G260:I260" si="177">SUM(G261:G261)</f>
        <v>67</v>
      </c>
      <c r="H260" s="276">
        <f t="shared" si="177"/>
        <v>67</v>
      </c>
      <c r="I260" s="276">
        <f t="shared" si="177"/>
        <v>67</v>
      </c>
      <c r="J260" s="274" t="s">
        <v>2277</v>
      </c>
      <c r="K260" s="276">
        <f>SUM(K261:K261)</f>
        <v>57</v>
      </c>
      <c r="L260" s="276">
        <f>SUM(L261:L261)</f>
        <v>205</v>
      </c>
      <c r="M260" s="276">
        <v>2018</v>
      </c>
      <c r="N260" s="276">
        <v>2020</v>
      </c>
      <c r="O260" s="280" t="s">
        <v>320</v>
      </c>
      <c r="P260" s="280" t="s">
        <v>320</v>
      </c>
      <c r="Q260" s="280" t="s">
        <v>320</v>
      </c>
      <c r="R260" s="280" t="s">
        <v>320</v>
      </c>
      <c r="S260" s="280"/>
      <c r="T260" s="280"/>
      <c r="U260" s="280"/>
      <c r="V260" s="280"/>
      <c r="W260" s="280"/>
      <c r="X260" s="288" t="s">
        <v>2108</v>
      </c>
      <c r="Y260" s="274" t="s">
        <v>2120</v>
      </c>
      <c r="Z260" s="274" t="s">
        <v>43</v>
      </c>
      <c r="AA260" s="274" t="s">
        <v>2264</v>
      </c>
      <c r="AB260" s="274" t="s">
        <v>2265</v>
      </c>
      <c r="AC260" s="274" t="s">
        <v>1073</v>
      </c>
    </row>
    <row r="261" ht="30" customHeight="1" spans="1:29">
      <c r="A261" s="273"/>
      <c r="B261" s="274" t="s">
        <v>2123</v>
      </c>
      <c r="C261" s="275" t="s">
        <v>1124</v>
      </c>
      <c r="D261" s="274" t="s">
        <v>45</v>
      </c>
      <c r="E261" s="274"/>
      <c r="F261" s="276">
        <v>201</v>
      </c>
      <c r="G261" s="276">
        <v>67</v>
      </c>
      <c r="H261" s="276">
        <v>67</v>
      </c>
      <c r="I261" s="276">
        <v>67</v>
      </c>
      <c r="J261" s="280" t="s">
        <v>320</v>
      </c>
      <c r="K261" s="274">
        <v>57</v>
      </c>
      <c r="L261" s="274">
        <v>205</v>
      </c>
      <c r="M261" s="274">
        <v>2018</v>
      </c>
      <c r="N261" s="274">
        <v>2020</v>
      </c>
      <c r="O261" s="280" t="s">
        <v>320</v>
      </c>
      <c r="P261" s="280" t="s">
        <v>320</v>
      </c>
      <c r="Q261" s="280" t="s">
        <v>320</v>
      </c>
      <c r="R261" s="280" t="s">
        <v>320</v>
      </c>
      <c r="S261" s="280"/>
      <c r="T261" s="280"/>
      <c r="U261" s="280"/>
      <c r="V261" s="280"/>
      <c r="W261" s="280"/>
      <c r="X261" s="288"/>
      <c r="Y261" s="288"/>
      <c r="Z261" s="280"/>
      <c r="AA261" s="274"/>
      <c r="AB261" s="288"/>
      <c r="AC261" s="274"/>
    </row>
    <row r="262" ht="30" customHeight="1" spans="1:29">
      <c r="A262" s="273">
        <v>54</v>
      </c>
      <c r="B262" s="278" t="s">
        <v>2278</v>
      </c>
      <c r="C262" s="300" t="s">
        <v>1124</v>
      </c>
      <c r="D262" s="274" t="s">
        <v>45</v>
      </c>
      <c r="E262" s="274"/>
      <c r="F262" s="276">
        <f t="shared" ref="F262:F273" si="178">SUM(G262:I262)</f>
        <v>27</v>
      </c>
      <c r="G262" s="276">
        <f t="shared" ref="G262:I262" si="179">SUM(G263)</f>
        <v>27</v>
      </c>
      <c r="H262" s="276">
        <f t="shared" si="179"/>
        <v>0</v>
      </c>
      <c r="I262" s="276">
        <f t="shared" si="179"/>
        <v>0</v>
      </c>
      <c r="J262" s="274" t="s">
        <v>2279</v>
      </c>
      <c r="K262" s="274">
        <v>2</v>
      </c>
      <c r="L262" s="274">
        <v>7</v>
      </c>
      <c r="M262" s="274">
        <v>2018</v>
      </c>
      <c r="N262" s="274">
        <v>2018</v>
      </c>
      <c r="O262" s="280" t="s">
        <v>320</v>
      </c>
      <c r="P262" s="280" t="s">
        <v>320</v>
      </c>
      <c r="Q262" s="280" t="s">
        <v>320</v>
      </c>
      <c r="R262" s="280" t="s">
        <v>320</v>
      </c>
      <c r="S262" s="280"/>
      <c r="T262" s="280"/>
      <c r="U262" s="280"/>
      <c r="V262" s="280"/>
      <c r="W262" s="280"/>
      <c r="X262" s="288" t="s">
        <v>2108</v>
      </c>
      <c r="Y262" s="274" t="s">
        <v>2120</v>
      </c>
      <c r="Z262" s="274" t="s">
        <v>43</v>
      </c>
      <c r="AA262" s="274" t="s">
        <v>2264</v>
      </c>
      <c r="AB262" s="274" t="s">
        <v>2265</v>
      </c>
      <c r="AC262" s="274" t="s">
        <v>1073</v>
      </c>
    </row>
    <row r="263" ht="30" customHeight="1" spans="1:29">
      <c r="A263" s="273"/>
      <c r="B263" s="274" t="s">
        <v>2123</v>
      </c>
      <c r="C263" s="275" t="s">
        <v>1124</v>
      </c>
      <c r="D263" s="274" t="s">
        <v>45</v>
      </c>
      <c r="E263" s="274"/>
      <c r="F263" s="276">
        <f t="shared" si="178"/>
        <v>27</v>
      </c>
      <c r="G263" s="276">
        <v>27</v>
      </c>
      <c r="H263" s="276">
        <v>0</v>
      </c>
      <c r="I263" s="276">
        <v>0</v>
      </c>
      <c r="J263" s="280" t="s">
        <v>320</v>
      </c>
      <c r="K263" s="274">
        <v>2</v>
      </c>
      <c r="L263" s="274">
        <v>7</v>
      </c>
      <c r="M263" s="274">
        <v>2018</v>
      </c>
      <c r="N263" s="274">
        <v>2018</v>
      </c>
      <c r="O263" s="280" t="s">
        <v>320</v>
      </c>
      <c r="P263" s="280" t="s">
        <v>320</v>
      </c>
      <c r="Q263" s="280" t="s">
        <v>320</v>
      </c>
      <c r="R263" s="280" t="s">
        <v>320</v>
      </c>
      <c r="S263" s="280"/>
      <c r="T263" s="280"/>
      <c r="U263" s="280"/>
      <c r="V263" s="280"/>
      <c r="W263" s="280"/>
      <c r="X263" s="288"/>
      <c r="Y263" s="288"/>
      <c r="Z263" s="280"/>
      <c r="AA263" s="274"/>
      <c r="AB263" s="288"/>
      <c r="AC263" s="274"/>
    </row>
    <row r="264" ht="30" customHeight="1" spans="1:29">
      <c r="A264" s="273">
        <v>55</v>
      </c>
      <c r="B264" s="278" t="s">
        <v>2280</v>
      </c>
      <c r="C264" s="300" t="s">
        <v>1124</v>
      </c>
      <c r="D264" s="274" t="s">
        <v>45</v>
      </c>
      <c r="E264" s="274"/>
      <c r="F264" s="276">
        <f t="shared" si="178"/>
        <v>10</v>
      </c>
      <c r="G264" s="276">
        <f t="shared" ref="G264:I264" si="180">SUM(G265)</f>
        <v>10</v>
      </c>
      <c r="H264" s="276">
        <f t="shared" si="180"/>
        <v>0</v>
      </c>
      <c r="I264" s="276">
        <f t="shared" si="180"/>
        <v>0</v>
      </c>
      <c r="J264" s="274" t="s">
        <v>2281</v>
      </c>
      <c r="K264" s="276">
        <f t="shared" ref="K264:K268" si="181">SUM(K265)</f>
        <v>1</v>
      </c>
      <c r="L264" s="276">
        <f t="shared" ref="L264:L268" si="182">SUM(L265)</f>
        <v>5</v>
      </c>
      <c r="M264" s="274">
        <v>2018</v>
      </c>
      <c r="N264" s="274">
        <v>2018</v>
      </c>
      <c r="O264" s="280" t="s">
        <v>320</v>
      </c>
      <c r="P264" s="280" t="s">
        <v>320</v>
      </c>
      <c r="Q264" s="280" t="s">
        <v>320</v>
      </c>
      <c r="R264" s="280" t="s">
        <v>320</v>
      </c>
      <c r="S264" s="280"/>
      <c r="T264" s="280"/>
      <c r="U264" s="280"/>
      <c r="V264" s="280"/>
      <c r="W264" s="280"/>
      <c r="X264" s="288" t="s">
        <v>2108</v>
      </c>
      <c r="Y264" s="274" t="s">
        <v>2120</v>
      </c>
      <c r="Z264" s="274" t="s">
        <v>43</v>
      </c>
      <c r="AA264" s="274" t="s">
        <v>2264</v>
      </c>
      <c r="AB264" s="274" t="s">
        <v>2265</v>
      </c>
      <c r="AC264" s="274" t="s">
        <v>1073</v>
      </c>
    </row>
    <row r="265" ht="30" customHeight="1" spans="1:29">
      <c r="A265" s="273"/>
      <c r="B265" s="274" t="s">
        <v>2123</v>
      </c>
      <c r="C265" s="275" t="s">
        <v>1124</v>
      </c>
      <c r="D265" s="274" t="s">
        <v>45</v>
      </c>
      <c r="E265" s="274"/>
      <c r="F265" s="276">
        <f t="shared" si="178"/>
        <v>10</v>
      </c>
      <c r="G265" s="276">
        <v>10</v>
      </c>
      <c r="H265" s="276">
        <v>0</v>
      </c>
      <c r="I265" s="276">
        <v>0</v>
      </c>
      <c r="J265" s="280" t="s">
        <v>320</v>
      </c>
      <c r="K265" s="274">
        <v>1</v>
      </c>
      <c r="L265" s="274">
        <v>5</v>
      </c>
      <c r="M265" s="274">
        <v>2018</v>
      </c>
      <c r="N265" s="274">
        <v>2018</v>
      </c>
      <c r="O265" s="280" t="s">
        <v>320</v>
      </c>
      <c r="P265" s="280" t="s">
        <v>320</v>
      </c>
      <c r="Q265" s="280" t="s">
        <v>320</v>
      </c>
      <c r="R265" s="280" t="s">
        <v>320</v>
      </c>
      <c r="S265" s="280"/>
      <c r="T265" s="280"/>
      <c r="U265" s="280"/>
      <c r="V265" s="280"/>
      <c r="W265" s="280"/>
      <c r="X265" s="288"/>
      <c r="Y265" s="288"/>
      <c r="Z265" s="280"/>
      <c r="AA265" s="274"/>
      <c r="AB265" s="288"/>
      <c r="AC265" s="274"/>
    </row>
    <row r="266" ht="30" customHeight="1" spans="1:29">
      <c r="A266" s="273">
        <v>56</v>
      </c>
      <c r="B266" s="278" t="s">
        <v>2282</v>
      </c>
      <c r="C266" s="300" t="s">
        <v>1124</v>
      </c>
      <c r="D266" s="274" t="s">
        <v>45</v>
      </c>
      <c r="E266" s="274"/>
      <c r="F266" s="276">
        <f t="shared" si="178"/>
        <v>10</v>
      </c>
      <c r="G266" s="276">
        <f t="shared" ref="G266:I266" si="183">SUM(G267)</f>
        <v>10</v>
      </c>
      <c r="H266" s="276">
        <f t="shared" si="183"/>
        <v>0</v>
      </c>
      <c r="I266" s="276">
        <f t="shared" si="183"/>
        <v>0</v>
      </c>
      <c r="J266" s="274" t="s">
        <v>2281</v>
      </c>
      <c r="K266" s="276">
        <f t="shared" si="181"/>
        <v>1</v>
      </c>
      <c r="L266" s="276">
        <f t="shared" si="182"/>
        <v>2</v>
      </c>
      <c r="M266" s="274">
        <v>2018</v>
      </c>
      <c r="N266" s="274">
        <v>2018</v>
      </c>
      <c r="O266" s="280" t="s">
        <v>320</v>
      </c>
      <c r="P266" s="280" t="s">
        <v>320</v>
      </c>
      <c r="Q266" s="280" t="s">
        <v>320</v>
      </c>
      <c r="R266" s="280" t="s">
        <v>320</v>
      </c>
      <c r="S266" s="280"/>
      <c r="T266" s="280"/>
      <c r="U266" s="280"/>
      <c r="V266" s="280"/>
      <c r="W266" s="280"/>
      <c r="X266" s="288" t="s">
        <v>2108</v>
      </c>
      <c r="Y266" s="274" t="s">
        <v>2120</v>
      </c>
      <c r="Z266" s="274" t="s">
        <v>43</v>
      </c>
      <c r="AA266" s="274" t="s">
        <v>2264</v>
      </c>
      <c r="AB266" s="274" t="s">
        <v>2265</v>
      </c>
      <c r="AC266" s="274" t="s">
        <v>1073</v>
      </c>
    </row>
    <row r="267" ht="30" customHeight="1" spans="1:29">
      <c r="A267" s="273"/>
      <c r="B267" s="274" t="s">
        <v>2123</v>
      </c>
      <c r="C267" s="275" t="s">
        <v>1124</v>
      </c>
      <c r="D267" s="274" t="s">
        <v>45</v>
      </c>
      <c r="E267" s="274"/>
      <c r="F267" s="276">
        <f t="shared" si="178"/>
        <v>10</v>
      </c>
      <c r="G267" s="276">
        <v>10</v>
      </c>
      <c r="H267" s="276">
        <v>0</v>
      </c>
      <c r="I267" s="276">
        <v>0</v>
      </c>
      <c r="J267" s="280" t="s">
        <v>320</v>
      </c>
      <c r="K267" s="274">
        <v>1</v>
      </c>
      <c r="L267" s="274">
        <v>2</v>
      </c>
      <c r="M267" s="274">
        <v>2018</v>
      </c>
      <c r="N267" s="274">
        <v>2018</v>
      </c>
      <c r="O267" s="280" t="s">
        <v>320</v>
      </c>
      <c r="P267" s="280" t="s">
        <v>320</v>
      </c>
      <c r="Q267" s="280" t="s">
        <v>320</v>
      </c>
      <c r="R267" s="280" t="s">
        <v>320</v>
      </c>
      <c r="S267" s="280"/>
      <c r="T267" s="280"/>
      <c r="U267" s="280"/>
      <c r="V267" s="280"/>
      <c r="W267" s="280"/>
      <c r="X267" s="288"/>
      <c r="Y267" s="288"/>
      <c r="Z267" s="280"/>
      <c r="AA267" s="274"/>
      <c r="AB267" s="288"/>
      <c r="AC267" s="274"/>
    </row>
    <row r="268" ht="30" customHeight="1" spans="1:29">
      <c r="A268" s="273">
        <v>57</v>
      </c>
      <c r="B268" s="278" t="s">
        <v>2283</v>
      </c>
      <c r="C268" s="300" t="s">
        <v>1124</v>
      </c>
      <c r="D268" s="274" t="s">
        <v>45</v>
      </c>
      <c r="E268" s="274"/>
      <c r="F268" s="276">
        <f t="shared" si="178"/>
        <v>4</v>
      </c>
      <c r="G268" s="276">
        <f t="shared" ref="G268:I268" si="184">SUM(G269)</f>
        <v>4</v>
      </c>
      <c r="H268" s="276">
        <f t="shared" si="184"/>
        <v>0</v>
      </c>
      <c r="I268" s="276">
        <f t="shared" si="184"/>
        <v>0</v>
      </c>
      <c r="J268" s="274" t="s">
        <v>2284</v>
      </c>
      <c r="K268" s="276">
        <f t="shared" si="181"/>
        <v>2</v>
      </c>
      <c r="L268" s="276">
        <f t="shared" si="182"/>
        <v>10</v>
      </c>
      <c r="M268" s="274">
        <v>2018</v>
      </c>
      <c r="N268" s="274">
        <v>2018</v>
      </c>
      <c r="O268" s="280" t="s">
        <v>320</v>
      </c>
      <c r="P268" s="280" t="s">
        <v>320</v>
      </c>
      <c r="Q268" s="280" t="s">
        <v>320</v>
      </c>
      <c r="R268" s="280" t="s">
        <v>320</v>
      </c>
      <c r="S268" s="280"/>
      <c r="T268" s="280"/>
      <c r="U268" s="280"/>
      <c r="V268" s="280"/>
      <c r="W268" s="280"/>
      <c r="X268" s="288" t="s">
        <v>2108</v>
      </c>
      <c r="Y268" s="274" t="s">
        <v>2120</v>
      </c>
      <c r="Z268" s="274" t="s">
        <v>43</v>
      </c>
      <c r="AA268" s="274" t="s">
        <v>2264</v>
      </c>
      <c r="AB268" s="274" t="s">
        <v>2265</v>
      </c>
      <c r="AC268" s="274" t="s">
        <v>1073</v>
      </c>
    </row>
    <row r="269" ht="30" customHeight="1" spans="1:29">
      <c r="A269" s="273"/>
      <c r="B269" s="274" t="s">
        <v>2123</v>
      </c>
      <c r="C269" s="275" t="s">
        <v>1124</v>
      </c>
      <c r="D269" s="274" t="s">
        <v>45</v>
      </c>
      <c r="E269" s="274"/>
      <c r="F269" s="276">
        <f t="shared" si="178"/>
        <v>4</v>
      </c>
      <c r="G269" s="276">
        <v>4</v>
      </c>
      <c r="H269" s="276">
        <v>0</v>
      </c>
      <c r="I269" s="276">
        <v>0</v>
      </c>
      <c r="J269" s="280" t="s">
        <v>320</v>
      </c>
      <c r="K269" s="274">
        <v>2</v>
      </c>
      <c r="L269" s="274">
        <v>10</v>
      </c>
      <c r="M269" s="274">
        <v>2018</v>
      </c>
      <c r="N269" s="274">
        <v>2018</v>
      </c>
      <c r="O269" s="280" t="s">
        <v>320</v>
      </c>
      <c r="P269" s="280" t="s">
        <v>320</v>
      </c>
      <c r="Q269" s="280" t="s">
        <v>320</v>
      </c>
      <c r="R269" s="280" t="s">
        <v>320</v>
      </c>
      <c r="S269" s="280"/>
      <c r="T269" s="280"/>
      <c r="U269" s="280"/>
      <c r="V269" s="280"/>
      <c r="W269" s="280"/>
      <c r="X269" s="288"/>
      <c r="Y269" s="288"/>
      <c r="Z269" s="280"/>
      <c r="AA269" s="274"/>
      <c r="AB269" s="288"/>
      <c r="AC269" s="274"/>
    </row>
    <row r="270" ht="30" customHeight="1" spans="1:29">
      <c r="A270" s="273">
        <v>58</v>
      </c>
      <c r="B270" s="278" t="s">
        <v>2285</v>
      </c>
      <c r="C270" s="300" t="s">
        <v>1124</v>
      </c>
      <c r="D270" s="274" t="s">
        <v>45</v>
      </c>
      <c r="E270" s="274"/>
      <c r="F270" s="276">
        <f t="shared" si="178"/>
        <v>65</v>
      </c>
      <c r="G270" s="276">
        <f t="shared" ref="G270:I270" si="185">SUM(G271)</f>
        <v>21</v>
      </c>
      <c r="H270" s="276">
        <f t="shared" si="185"/>
        <v>22</v>
      </c>
      <c r="I270" s="276">
        <f t="shared" si="185"/>
        <v>22</v>
      </c>
      <c r="J270" s="274" t="s">
        <v>2286</v>
      </c>
      <c r="K270" s="276">
        <f>SUM(K271)</f>
        <v>18</v>
      </c>
      <c r="L270" s="276">
        <f>SUM(L271)</f>
        <v>72</v>
      </c>
      <c r="M270" s="276">
        <v>2018</v>
      </c>
      <c r="N270" s="276">
        <v>2020</v>
      </c>
      <c r="O270" s="280" t="s">
        <v>320</v>
      </c>
      <c r="P270" s="280" t="s">
        <v>320</v>
      </c>
      <c r="Q270" s="280" t="s">
        <v>320</v>
      </c>
      <c r="R270" s="280" t="s">
        <v>320</v>
      </c>
      <c r="S270" s="280"/>
      <c r="T270" s="280"/>
      <c r="U270" s="280"/>
      <c r="V270" s="280"/>
      <c r="W270" s="280"/>
      <c r="X270" s="288" t="s">
        <v>2108</v>
      </c>
      <c r="Y270" s="274" t="s">
        <v>2120</v>
      </c>
      <c r="Z270" s="274" t="s">
        <v>43</v>
      </c>
      <c r="AA270" s="274" t="s">
        <v>2264</v>
      </c>
      <c r="AB270" s="274" t="s">
        <v>2265</v>
      </c>
      <c r="AC270" s="274" t="s">
        <v>1073</v>
      </c>
    </row>
    <row r="271" ht="30" customHeight="1" spans="1:29">
      <c r="A271" s="273"/>
      <c r="B271" s="274" t="s">
        <v>2123</v>
      </c>
      <c r="C271" s="275" t="s">
        <v>1124</v>
      </c>
      <c r="D271" s="274" t="s">
        <v>45</v>
      </c>
      <c r="E271" s="274"/>
      <c r="F271" s="276">
        <f t="shared" si="178"/>
        <v>65</v>
      </c>
      <c r="G271" s="276">
        <v>21</v>
      </c>
      <c r="H271" s="276">
        <v>22</v>
      </c>
      <c r="I271" s="276">
        <v>22</v>
      </c>
      <c r="J271" s="280" t="s">
        <v>320</v>
      </c>
      <c r="K271" s="274">
        <v>18</v>
      </c>
      <c r="L271" s="274">
        <v>72</v>
      </c>
      <c r="M271" s="274">
        <v>2018</v>
      </c>
      <c r="N271" s="274">
        <v>2020</v>
      </c>
      <c r="O271" s="280" t="s">
        <v>320</v>
      </c>
      <c r="P271" s="280" t="s">
        <v>320</v>
      </c>
      <c r="Q271" s="280" t="s">
        <v>320</v>
      </c>
      <c r="R271" s="280" t="s">
        <v>320</v>
      </c>
      <c r="S271" s="280"/>
      <c r="T271" s="280"/>
      <c r="U271" s="280"/>
      <c r="V271" s="280"/>
      <c r="W271" s="280"/>
      <c r="X271" s="288"/>
      <c r="Y271" s="288"/>
      <c r="Z271" s="280"/>
      <c r="AA271" s="274"/>
      <c r="AB271" s="288"/>
      <c r="AC271" s="274"/>
    </row>
    <row r="272" ht="30" customHeight="1" spans="1:29">
      <c r="A272" s="273">
        <v>59</v>
      </c>
      <c r="B272" s="278" t="s">
        <v>2287</v>
      </c>
      <c r="C272" s="300" t="s">
        <v>1124</v>
      </c>
      <c r="D272" s="274" t="s">
        <v>45</v>
      </c>
      <c r="E272" s="274"/>
      <c r="F272" s="276">
        <f t="shared" si="178"/>
        <v>676.5</v>
      </c>
      <c r="G272" s="276">
        <f t="shared" ref="G272:I272" si="186">SUM(G273:G274)</f>
        <v>0</v>
      </c>
      <c r="H272" s="276">
        <f t="shared" si="186"/>
        <v>226.5</v>
      </c>
      <c r="I272" s="276">
        <f t="shared" si="186"/>
        <v>450</v>
      </c>
      <c r="J272" s="274" t="s">
        <v>2288</v>
      </c>
      <c r="K272" s="276">
        <f>SUM(K273:K274)</f>
        <v>167</v>
      </c>
      <c r="L272" s="276">
        <f>SUM(L273:L274)</f>
        <v>632</v>
      </c>
      <c r="M272" s="276">
        <v>2019</v>
      </c>
      <c r="N272" s="276">
        <v>2020</v>
      </c>
      <c r="O272" s="280" t="s">
        <v>320</v>
      </c>
      <c r="P272" s="280" t="s">
        <v>320</v>
      </c>
      <c r="Q272" s="280" t="s">
        <v>320</v>
      </c>
      <c r="R272" s="280" t="s">
        <v>320</v>
      </c>
      <c r="S272" s="280"/>
      <c r="T272" s="280"/>
      <c r="U272" s="280"/>
      <c r="V272" s="280"/>
      <c r="W272" s="280"/>
      <c r="X272" s="288" t="s">
        <v>2108</v>
      </c>
      <c r="Y272" s="274" t="s">
        <v>2120</v>
      </c>
      <c r="Z272" s="274" t="s">
        <v>43</v>
      </c>
      <c r="AA272" s="274" t="s">
        <v>2264</v>
      </c>
      <c r="AB272" s="274" t="s">
        <v>2265</v>
      </c>
      <c r="AC272" s="274" t="s">
        <v>1073</v>
      </c>
    </row>
    <row r="273" ht="30" customHeight="1" spans="1:29">
      <c r="A273" s="273"/>
      <c r="B273" s="274" t="s">
        <v>2123</v>
      </c>
      <c r="C273" s="275" t="s">
        <v>1124</v>
      </c>
      <c r="D273" s="274" t="s">
        <v>45</v>
      </c>
      <c r="E273" s="274"/>
      <c r="F273" s="276">
        <f t="shared" si="178"/>
        <v>450</v>
      </c>
      <c r="G273" s="276">
        <v>0</v>
      </c>
      <c r="H273" s="276">
        <v>0</v>
      </c>
      <c r="I273" s="276">
        <v>450</v>
      </c>
      <c r="J273" s="280" t="s">
        <v>320</v>
      </c>
      <c r="K273" s="274">
        <v>112</v>
      </c>
      <c r="L273" s="274">
        <v>401</v>
      </c>
      <c r="M273" s="274">
        <v>2020</v>
      </c>
      <c r="N273" s="274">
        <v>2020</v>
      </c>
      <c r="O273" s="280" t="s">
        <v>320</v>
      </c>
      <c r="P273" s="280" t="s">
        <v>320</v>
      </c>
      <c r="Q273" s="280" t="s">
        <v>320</v>
      </c>
      <c r="R273" s="280" t="s">
        <v>320</v>
      </c>
      <c r="S273" s="280"/>
      <c r="T273" s="280"/>
      <c r="U273" s="280"/>
      <c r="V273" s="280"/>
      <c r="W273" s="280"/>
      <c r="X273" s="288"/>
      <c r="Y273" s="288"/>
      <c r="Z273" s="280"/>
      <c r="AA273" s="274"/>
      <c r="AB273" s="288"/>
      <c r="AC273" s="274"/>
    </row>
    <row r="274" ht="60" spans="1:29">
      <c r="A274" s="273"/>
      <c r="B274" s="274" t="s">
        <v>2270</v>
      </c>
      <c r="C274" s="275" t="s">
        <v>1124</v>
      </c>
      <c r="D274" s="274" t="s">
        <v>45</v>
      </c>
      <c r="E274" s="274"/>
      <c r="F274" s="276">
        <f>SUM(H274:I274)</f>
        <v>226.5</v>
      </c>
      <c r="G274" s="291">
        <v>0</v>
      </c>
      <c r="H274" s="276">
        <v>226.5</v>
      </c>
      <c r="I274" s="276">
        <v>0</v>
      </c>
      <c r="J274" s="274" t="s">
        <v>2289</v>
      </c>
      <c r="K274" s="274">
        <v>55</v>
      </c>
      <c r="L274" s="274">
        <v>231</v>
      </c>
      <c r="M274" s="274">
        <v>2019</v>
      </c>
      <c r="N274" s="274">
        <v>2019</v>
      </c>
      <c r="O274" s="280" t="s">
        <v>320</v>
      </c>
      <c r="P274" s="280" t="s">
        <v>320</v>
      </c>
      <c r="Q274" s="280" t="s">
        <v>320</v>
      </c>
      <c r="R274" s="280" t="s">
        <v>320</v>
      </c>
      <c r="S274" s="280"/>
      <c r="T274" s="280"/>
      <c r="U274" s="280"/>
      <c r="V274" s="280"/>
      <c r="W274" s="280"/>
      <c r="X274" s="274"/>
      <c r="Y274" s="274"/>
      <c r="Z274" s="288"/>
      <c r="AA274" s="274"/>
      <c r="AB274" s="288"/>
      <c r="AC274" s="274"/>
    </row>
    <row r="275" ht="30" customHeight="1" spans="1:29">
      <c r="A275" s="273">
        <v>60</v>
      </c>
      <c r="B275" s="278" t="s">
        <v>2290</v>
      </c>
      <c r="C275" s="300" t="s">
        <v>1124</v>
      </c>
      <c r="D275" s="274" t="s">
        <v>45</v>
      </c>
      <c r="E275" s="274"/>
      <c r="F275" s="276">
        <f t="shared" ref="F275:F287" si="187">SUM(G275:I275)</f>
        <v>120</v>
      </c>
      <c r="G275" s="276">
        <f t="shared" ref="G275:I275" si="188">SUM(G276)</f>
        <v>0</v>
      </c>
      <c r="H275" s="276">
        <f t="shared" si="188"/>
        <v>0</v>
      </c>
      <c r="I275" s="276">
        <f t="shared" si="188"/>
        <v>120</v>
      </c>
      <c r="J275" s="274" t="s">
        <v>2291</v>
      </c>
      <c r="K275" s="276">
        <f t="shared" ref="K275:K279" si="189">SUM(K276)</f>
        <v>33</v>
      </c>
      <c r="L275" s="276">
        <f t="shared" ref="L275:L279" si="190">SUM(L276)</f>
        <v>130</v>
      </c>
      <c r="M275" s="276">
        <v>2020</v>
      </c>
      <c r="N275" s="276">
        <v>2020</v>
      </c>
      <c r="O275" s="280" t="s">
        <v>320</v>
      </c>
      <c r="P275" s="280" t="s">
        <v>320</v>
      </c>
      <c r="Q275" s="280" t="s">
        <v>320</v>
      </c>
      <c r="R275" s="280" t="s">
        <v>320</v>
      </c>
      <c r="S275" s="280"/>
      <c r="T275" s="280"/>
      <c r="U275" s="280"/>
      <c r="V275" s="280"/>
      <c r="W275" s="280"/>
      <c r="X275" s="288" t="s">
        <v>2108</v>
      </c>
      <c r="Y275" s="274" t="s">
        <v>2120</v>
      </c>
      <c r="Z275" s="274" t="s">
        <v>43</v>
      </c>
      <c r="AA275" s="274" t="s">
        <v>2264</v>
      </c>
      <c r="AB275" s="274" t="s">
        <v>2265</v>
      </c>
      <c r="AC275" s="274" t="s">
        <v>1073</v>
      </c>
    </row>
    <row r="276" ht="30" customHeight="1" spans="1:29">
      <c r="A276" s="273"/>
      <c r="B276" s="274" t="s">
        <v>2123</v>
      </c>
      <c r="C276" s="275" t="s">
        <v>1124</v>
      </c>
      <c r="D276" s="274" t="s">
        <v>45</v>
      </c>
      <c r="E276" s="274"/>
      <c r="F276" s="276">
        <f t="shared" si="187"/>
        <v>120</v>
      </c>
      <c r="G276" s="276">
        <v>0</v>
      </c>
      <c r="H276" s="276">
        <v>0</v>
      </c>
      <c r="I276" s="276">
        <v>120</v>
      </c>
      <c r="J276" s="280" t="s">
        <v>320</v>
      </c>
      <c r="K276" s="274">
        <v>33</v>
      </c>
      <c r="L276" s="274">
        <v>130</v>
      </c>
      <c r="M276" s="274">
        <v>2020</v>
      </c>
      <c r="N276" s="274">
        <v>2020</v>
      </c>
      <c r="O276" s="280" t="s">
        <v>320</v>
      </c>
      <c r="P276" s="280" t="s">
        <v>320</v>
      </c>
      <c r="Q276" s="280" t="s">
        <v>320</v>
      </c>
      <c r="R276" s="280" t="s">
        <v>320</v>
      </c>
      <c r="S276" s="280"/>
      <c r="T276" s="280"/>
      <c r="U276" s="280"/>
      <c r="V276" s="280"/>
      <c r="W276" s="280"/>
      <c r="X276" s="288"/>
      <c r="Y276" s="288"/>
      <c r="Z276" s="280"/>
      <c r="AA276" s="274"/>
      <c r="AB276" s="288"/>
      <c r="AC276" s="274"/>
    </row>
    <row r="277" ht="30" customHeight="1" spans="1:29">
      <c r="A277" s="273">
        <v>61</v>
      </c>
      <c r="B277" s="278" t="s">
        <v>2292</v>
      </c>
      <c r="C277" s="300" t="s">
        <v>1124</v>
      </c>
      <c r="D277" s="274" t="s">
        <v>45</v>
      </c>
      <c r="E277" s="274"/>
      <c r="F277" s="276">
        <f t="shared" si="187"/>
        <v>3</v>
      </c>
      <c r="G277" s="276">
        <f t="shared" ref="G277:I277" si="191">SUM(G278)</f>
        <v>3</v>
      </c>
      <c r="H277" s="276">
        <f t="shared" si="191"/>
        <v>0</v>
      </c>
      <c r="I277" s="276">
        <f t="shared" si="191"/>
        <v>0</v>
      </c>
      <c r="J277" s="274" t="s">
        <v>2293</v>
      </c>
      <c r="K277" s="276">
        <f t="shared" si="189"/>
        <v>1</v>
      </c>
      <c r="L277" s="276">
        <f t="shared" si="190"/>
        <v>4</v>
      </c>
      <c r="M277" s="274">
        <v>2018</v>
      </c>
      <c r="N277" s="274">
        <v>2018</v>
      </c>
      <c r="O277" s="280" t="s">
        <v>320</v>
      </c>
      <c r="P277" s="280" t="s">
        <v>320</v>
      </c>
      <c r="Q277" s="280" t="s">
        <v>320</v>
      </c>
      <c r="R277" s="280" t="s">
        <v>320</v>
      </c>
      <c r="S277" s="280"/>
      <c r="T277" s="280"/>
      <c r="U277" s="280"/>
      <c r="V277" s="280"/>
      <c r="W277" s="280"/>
      <c r="X277" s="288" t="s">
        <v>2108</v>
      </c>
      <c r="Y277" s="274" t="s">
        <v>2120</v>
      </c>
      <c r="Z277" s="274" t="s">
        <v>43</v>
      </c>
      <c r="AA277" s="274" t="s">
        <v>2264</v>
      </c>
      <c r="AB277" s="274" t="s">
        <v>2265</v>
      </c>
      <c r="AC277" s="274" t="s">
        <v>1073</v>
      </c>
    </row>
    <row r="278" ht="30" customHeight="1" spans="1:29">
      <c r="A278" s="273"/>
      <c r="B278" s="274" t="s">
        <v>2123</v>
      </c>
      <c r="C278" s="275" t="s">
        <v>1124</v>
      </c>
      <c r="D278" s="274" t="s">
        <v>45</v>
      </c>
      <c r="E278" s="274"/>
      <c r="F278" s="276">
        <f t="shared" si="187"/>
        <v>3</v>
      </c>
      <c r="G278" s="276">
        <v>3</v>
      </c>
      <c r="H278" s="276">
        <v>0</v>
      </c>
      <c r="I278" s="276">
        <v>0</v>
      </c>
      <c r="J278" s="280" t="s">
        <v>320</v>
      </c>
      <c r="K278" s="274">
        <v>1</v>
      </c>
      <c r="L278" s="274">
        <v>4</v>
      </c>
      <c r="M278" s="274">
        <v>2018</v>
      </c>
      <c r="N278" s="274">
        <v>2018</v>
      </c>
      <c r="O278" s="280" t="s">
        <v>320</v>
      </c>
      <c r="P278" s="280" t="s">
        <v>320</v>
      </c>
      <c r="Q278" s="280" t="s">
        <v>320</v>
      </c>
      <c r="R278" s="280" t="s">
        <v>320</v>
      </c>
      <c r="S278" s="280"/>
      <c r="T278" s="280"/>
      <c r="U278" s="280"/>
      <c r="V278" s="280"/>
      <c r="W278" s="280"/>
      <c r="X278" s="288"/>
      <c r="Y278" s="288"/>
      <c r="Z278" s="280"/>
      <c r="AA278" s="274"/>
      <c r="AB278" s="288"/>
      <c r="AC278" s="274"/>
    </row>
    <row r="279" ht="30" customHeight="1" spans="1:29">
      <c r="A279" s="273">
        <v>62</v>
      </c>
      <c r="B279" s="278" t="s">
        <v>2294</v>
      </c>
      <c r="C279" s="300" t="s">
        <v>1124</v>
      </c>
      <c r="D279" s="274" t="s">
        <v>45</v>
      </c>
      <c r="E279" s="274"/>
      <c r="F279" s="276">
        <f t="shared" si="187"/>
        <v>262</v>
      </c>
      <c r="G279" s="276">
        <f t="shared" ref="G279:I279" si="192">SUM(G280)</f>
        <v>87</v>
      </c>
      <c r="H279" s="276">
        <f t="shared" si="192"/>
        <v>87</v>
      </c>
      <c r="I279" s="276">
        <f t="shared" si="192"/>
        <v>88</v>
      </c>
      <c r="J279" s="274" t="s">
        <v>2295</v>
      </c>
      <c r="K279" s="276">
        <f t="shared" si="189"/>
        <v>71</v>
      </c>
      <c r="L279" s="276">
        <f t="shared" si="190"/>
        <v>277</v>
      </c>
      <c r="M279" s="276">
        <v>2018</v>
      </c>
      <c r="N279" s="276">
        <v>2020</v>
      </c>
      <c r="O279" s="280" t="s">
        <v>320</v>
      </c>
      <c r="P279" s="280" t="s">
        <v>320</v>
      </c>
      <c r="Q279" s="280" t="s">
        <v>320</v>
      </c>
      <c r="R279" s="280" t="s">
        <v>320</v>
      </c>
      <c r="S279" s="280"/>
      <c r="T279" s="280"/>
      <c r="U279" s="280"/>
      <c r="V279" s="280"/>
      <c r="W279" s="280"/>
      <c r="X279" s="288" t="s">
        <v>2108</v>
      </c>
      <c r="Y279" s="274" t="s">
        <v>2120</v>
      </c>
      <c r="Z279" s="274" t="s">
        <v>43</v>
      </c>
      <c r="AA279" s="274" t="s">
        <v>2264</v>
      </c>
      <c r="AB279" s="274" t="s">
        <v>2265</v>
      </c>
      <c r="AC279" s="274" t="s">
        <v>1073</v>
      </c>
    </row>
    <row r="280" ht="30" customHeight="1" spans="1:29">
      <c r="A280" s="273"/>
      <c r="B280" s="274" t="s">
        <v>2123</v>
      </c>
      <c r="C280" s="275" t="s">
        <v>1124</v>
      </c>
      <c r="D280" s="274" t="s">
        <v>45</v>
      </c>
      <c r="E280" s="274"/>
      <c r="F280" s="276">
        <f t="shared" si="187"/>
        <v>262</v>
      </c>
      <c r="G280" s="276">
        <v>87</v>
      </c>
      <c r="H280" s="276">
        <v>87</v>
      </c>
      <c r="I280" s="276">
        <v>88</v>
      </c>
      <c r="J280" s="280" t="s">
        <v>320</v>
      </c>
      <c r="K280" s="274">
        <v>71</v>
      </c>
      <c r="L280" s="274">
        <v>277</v>
      </c>
      <c r="M280" s="274">
        <v>2018</v>
      </c>
      <c r="N280" s="274">
        <v>2020</v>
      </c>
      <c r="O280" s="280" t="s">
        <v>320</v>
      </c>
      <c r="P280" s="280" t="s">
        <v>320</v>
      </c>
      <c r="Q280" s="280" t="s">
        <v>320</v>
      </c>
      <c r="R280" s="280" t="s">
        <v>320</v>
      </c>
      <c r="S280" s="280"/>
      <c r="T280" s="280"/>
      <c r="U280" s="280"/>
      <c r="V280" s="280"/>
      <c r="W280" s="280"/>
      <c r="X280" s="288"/>
      <c r="Y280" s="288"/>
      <c r="Z280" s="280"/>
      <c r="AA280" s="274"/>
      <c r="AB280" s="288"/>
      <c r="AC280" s="274"/>
    </row>
    <row r="281" ht="30" customHeight="1" spans="1:29">
      <c r="A281" s="273">
        <v>63</v>
      </c>
      <c r="B281" s="278" t="s">
        <v>2296</v>
      </c>
      <c r="C281" s="275" t="s">
        <v>1124</v>
      </c>
      <c r="D281" s="274" t="s">
        <v>45</v>
      </c>
      <c r="E281" s="274"/>
      <c r="F281" s="276">
        <f t="shared" si="187"/>
        <v>28</v>
      </c>
      <c r="G281" s="276">
        <f t="shared" ref="G281:I281" si="193">SUM(G282:G282)</f>
        <v>28</v>
      </c>
      <c r="H281" s="276">
        <f t="shared" si="193"/>
        <v>0</v>
      </c>
      <c r="I281" s="276">
        <f t="shared" si="193"/>
        <v>0</v>
      </c>
      <c r="J281" s="274" t="s">
        <v>2297</v>
      </c>
      <c r="K281" s="276">
        <f>SUM(K282:K282)</f>
        <v>5</v>
      </c>
      <c r="L281" s="276">
        <f>SUM(L282:L282)</f>
        <v>14</v>
      </c>
      <c r="M281" s="274">
        <v>2018</v>
      </c>
      <c r="N281" s="274">
        <v>2018</v>
      </c>
      <c r="O281" s="280" t="s">
        <v>320</v>
      </c>
      <c r="P281" s="280" t="s">
        <v>320</v>
      </c>
      <c r="Q281" s="280" t="s">
        <v>320</v>
      </c>
      <c r="R281" s="280" t="s">
        <v>320</v>
      </c>
      <c r="S281" s="280"/>
      <c r="T281" s="280"/>
      <c r="U281" s="280"/>
      <c r="V281" s="280"/>
      <c r="W281" s="280"/>
      <c r="X281" s="274" t="s">
        <v>2108</v>
      </c>
      <c r="Y281" s="274" t="s">
        <v>2120</v>
      </c>
      <c r="Z281" s="274" t="s">
        <v>43</v>
      </c>
      <c r="AA281" s="274" t="s">
        <v>2264</v>
      </c>
      <c r="AB281" s="274" t="s">
        <v>2265</v>
      </c>
      <c r="AC281" s="274" t="s">
        <v>1073</v>
      </c>
    </row>
    <row r="282" ht="30" customHeight="1" spans="1:29">
      <c r="A282" s="273"/>
      <c r="B282" s="274" t="s">
        <v>2114</v>
      </c>
      <c r="C282" s="275" t="s">
        <v>1124</v>
      </c>
      <c r="D282" s="274" t="s">
        <v>45</v>
      </c>
      <c r="E282" s="274"/>
      <c r="F282" s="276">
        <f t="shared" si="187"/>
        <v>28</v>
      </c>
      <c r="G282" s="276">
        <v>28</v>
      </c>
      <c r="H282" s="276">
        <v>0</v>
      </c>
      <c r="I282" s="276">
        <v>0</v>
      </c>
      <c r="J282" s="280" t="s">
        <v>320</v>
      </c>
      <c r="K282" s="274">
        <v>5</v>
      </c>
      <c r="L282" s="274">
        <v>14</v>
      </c>
      <c r="M282" s="274">
        <v>2018</v>
      </c>
      <c r="N282" s="274">
        <v>2018</v>
      </c>
      <c r="O282" s="280" t="s">
        <v>320</v>
      </c>
      <c r="P282" s="280" t="s">
        <v>320</v>
      </c>
      <c r="Q282" s="280" t="s">
        <v>320</v>
      </c>
      <c r="R282" s="280" t="s">
        <v>320</v>
      </c>
      <c r="S282" s="280"/>
      <c r="T282" s="280"/>
      <c r="U282" s="280"/>
      <c r="V282" s="280"/>
      <c r="W282" s="280"/>
      <c r="X282" s="288"/>
      <c r="Y282" s="288"/>
      <c r="Z282" s="280"/>
      <c r="AA282" s="274"/>
      <c r="AB282" s="288"/>
      <c r="AC282" s="274"/>
    </row>
    <row r="283" ht="30" customHeight="1" spans="1:29">
      <c r="A283" s="273">
        <v>64</v>
      </c>
      <c r="B283" s="278" t="s">
        <v>2298</v>
      </c>
      <c r="C283" s="300" t="s">
        <v>1124</v>
      </c>
      <c r="D283" s="274" t="s">
        <v>45</v>
      </c>
      <c r="E283" s="274"/>
      <c r="F283" s="276">
        <f t="shared" si="187"/>
        <v>40</v>
      </c>
      <c r="G283" s="276">
        <f t="shared" ref="G283:I283" si="194">SUM(G284)</f>
        <v>40</v>
      </c>
      <c r="H283" s="276">
        <f t="shared" si="194"/>
        <v>0</v>
      </c>
      <c r="I283" s="276">
        <f t="shared" si="194"/>
        <v>0</v>
      </c>
      <c r="J283" s="274" t="s">
        <v>2299</v>
      </c>
      <c r="K283" s="274">
        <f>SUM(K284)</f>
        <v>1</v>
      </c>
      <c r="L283" s="274">
        <f>SUM(L284)</f>
        <v>3</v>
      </c>
      <c r="M283" s="274">
        <v>2018</v>
      </c>
      <c r="N283" s="274">
        <v>2018</v>
      </c>
      <c r="O283" s="280" t="s">
        <v>320</v>
      </c>
      <c r="P283" s="280" t="s">
        <v>320</v>
      </c>
      <c r="Q283" s="280" t="s">
        <v>320</v>
      </c>
      <c r="R283" s="280" t="s">
        <v>320</v>
      </c>
      <c r="S283" s="280"/>
      <c r="T283" s="280"/>
      <c r="U283" s="280"/>
      <c r="V283" s="280"/>
      <c r="W283" s="280"/>
      <c r="X283" s="274" t="s">
        <v>2108</v>
      </c>
      <c r="Y283" s="274" t="s">
        <v>2120</v>
      </c>
      <c r="Z283" s="274" t="s">
        <v>43</v>
      </c>
      <c r="AA283" s="274" t="s">
        <v>2264</v>
      </c>
      <c r="AB283" s="274" t="s">
        <v>2265</v>
      </c>
      <c r="AC283" s="274" t="s">
        <v>1073</v>
      </c>
    </row>
    <row r="284" ht="30" customHeight="1" spans="1:29">
      <c r="A284" s="273"/>
      <c r="B284" s="274" t="s">
        <v>2114</v>
      </c>
      <c r="C284" s="275" t="s">
        <v>1124</v>
      </c>
      <c r="D284" s="274" t="s">
        <v>45</v>
      </c>
      <c r="E284" s="274"/>
      <c r="F284" s="276">
        <f t="shared" si="187"/>
        <v>40</v>
      </c>
      <c r="G284" s="276">
        <v>40</v>
      </c>
      <c r="H284" s="276">
        <v>0</v>
      </c>
      <c r="I284" s="276">
        <v>0</v>
      </c>
      <c r="J284" s="280" t="s">
        <v>320</v>
      </c>
      <c r="K284" s="274">
        <v>1</v>
      </c>
      <c r="L284" s="274">
        <v>3</v>
      </c>
      <c r="M284" s="274">
        <v>2018</v>
      </c>
      <c r="N284" s="274">
        <v>2018</v>
      </c>
      <c r="O284" s="280" t="s">
        <v>320</v>
      </c>
      <c r="P284" s="280" t="s">
        <v>320</v>
      </c>
      <c r="Q284" s="280" t="s">
        <v>320</v>
      </c>
      <c r="R284" s="280" t="s">
        <v>320</v>
      </c>
      <c r="S284" s="280"/>
      <c r="T284" s="280"/>
      <c r="U284" s="280"/>
      <c r="V284" s="280"/>
      <c r="W284" s="280"/>
      <c r="X284" s="288"/>
      <c r="Y284" s="288"/>
      <c r="Z284" s="280"/>
      <c r="AA284" s="274"/>
      <c r="AB284" s="288"/>
      <c r="AC284" s="274"/>
    </row>
    <row r="285" ht="36" spans="1:29">
      <c r="A285" s="273">
        <v>65</v>
      </c>
      <c r="B285" s="277" t="s">
        <v>1123</v>
      </c>
      <c r="C285" s="280" t="s">
        <v>1124</v>
      </c>
      <c r="D285" s="280" t="s">
        <v>45</v>
      </c>
      <c r="E285" s="280"/>
      <c r="F285" s="276">
        <f t="shared" si="187"/>
        <v>300</v>
      </c>
      <c r="G285" s="276">
        <f t="shared" ref="G285:I285" si="195">SUM(G286)</f>
        <v>0</v>
      </c>
      <c r="H285" s="276">
        <f t="shared" si="195"/>
        <v>300</v>
      </c>
      <c r="I285" s="276">
        <f t="shared" si="195"/>
        <v>0</v>
      </c>
      <c r="J285" s="280" t="s">
        <v>320</v>
      </c>
      <c r="K285" s="276">
        <f t="shared" ref="K285:W285" si="196">SUM(K286)</f>
        <v>67</v>
      </c>
      <c r="L285" s="276">
        <f t="shared" si="196"/>
        <v>245</v>
      </c>
      <c r="M285" s="274">
        <v>2019</v>
      </c>
      <c r="N285" s="274">
        <v>2019</v>
      </c>
      <c r="O285" s="280">
        <f t="shared" ref="O285:O288" si="197">SUM(P285:R285)</f>
        <v>50.1</v>
      </c>
      <c r="P285" s="280">
        <f t="shared" si="196"/>
        <v>0</v>
      </c>
      <c r="Q285" s="280">
        <f t="shared" si="196"/>
        <v>50.1</v>
      </c>
      <c r="R285" s="280">
        <f t="shared" si="196"/>
        <v>0</v>
      </c>
      <c r="S285" s="280">
        <f t="shared" si="196"/>
        <v>0</v>
      </c>
      <c r="T285" s="280">
        <f t="shared" si="196"/>
        <v>50.1</v>
      </c>
      <c r="U285" s="280">
        <f t="shared" si="196"/>
        <v>0</v>
      </c>
      <c r="V285" s="280">
        <f t="shared" si="196"/>
        <v>0</v>
      </c>
      <c r="W285" s="280">
        <f t="shared" si="196"/>
        <v>0</v>
      </c>
      <c r="X285" s="288" t="s">
        <v>2108</v>
      </c>
      <c r="Y285" s="274" t="s">
        <v>2120</v>
      </c>
      <c r="Z285" s="274" t="s">
        <v>43</v>
      </c>
      <c r="AA285" s="280" t="s">
        <v>320</v>
      </c>
      <c r="AB285" s="274" t="s">
        <v>2300</v>
      </c>
      <c r="AC285" s="274" t="s">
        <v>320</v>
      </c>
    </row>
    <row r="286" ht="30" customHeight="1" spans="1:29">
      <c r="A286" s="273">
        <v>66</v>
      </c>
      <c r="B286" s="278" t="s">
        <v>2301</v>
      </c>
      <c r="C286" s="275" t="s">
        <v>1124</v>
      </c>
      <c r="D286" s="274" t="s">
        <v>45</v>
      </c>
      <c r="E286" s="274"/>
      <c r="F286" s="276">
        <f t="shared" si="187"/>
        <v>300</v>
      </c>
      <c r="G286" s="276">
        <f t="shared" ref="G286:I286" si="198">SUM(G287)</f>
        <v>0</v>
      </c>
      <c r="H286" s="276">
        <f t="shared" si="198"/>
        <v>300</v>
      </c>
      <c r="I286" s="276">
        <f t="shared" si="198"/>
        <v>0</v>
      </c>
      <c r="J286" s="274" t="s">
        <v>2302</v>
      </c>
      <c r="K286" s="276">
        <f t="shared" ref="K286:R286" si="199">SUM(K287)</f>
        <v>67</v>
      </c>
      <c r="L286" s="276">
        <f t="shared" si="199"/>
        <v>245</v>
      </c>
      <c r="M286" s="274">
        <v>2019</v>
      </c>
      <c r="N286" s="274">
        <v>2019</v>
      </c>
      <c r="O286" s="280">
        <f t="shared" si="197"/>
        <v>50.1</v>
      </c>
      <c r="P286" s="280">
        <f t="shared" si="199"/>
        <v>0</v>
      </c>
      <c r="Q286" s="280">
        <f t="shared" si="199"/>
        <v>50.1</v>
      </c>
      <c r="R286" s="280">
        <f t="shared" si="199"/>
        <v>0</v>
      </c>
      <c r="S286" s="280"/>
      <c r="T286" s="280">
        <f>SUM(P286:R286)</f>
        <v>50.1</v>
      </c>
      <c r="U286" s="280"/>
      <c r="V286" s="280"/>
      <c r="W286" s="280"/>
      <c r="X286" s="288" t="s">
        <v>2108</v>
      </c>
      <c r="Y286" s="274" t="s">
        <v>2120</v>
      </c>
      <c r="Z286" s="274" t="s">
        <v>43</v>
      </c>
      <c r="AA286" s="274" t="s">
        <v>320</v>
      </c>
      <c r="AB286" s="274" t="s">
        <v>2265</v>
      </c>
      <c r="AC286" s="274" t="s">
        <v>2233</v>
      </c>
    </row>
    <row r="287" ht="48" spans="1:29">
      <c r="A287" s="273"/>
      <c r="B287" s="274" t="s">
        <v>2303</v>
      </c>
      <c r="C287" s="275" t="s">
        <v>1124</v>
      </c>
      <c r="D287" s="274" t="s">
        <v>45</v>
      </c>
      <c r="E287" s="274"/>
      <c r="F287" s="276">
        <f t="shared" si="187"/>
        <v>300</v>
      </c>
      <c r="G287" s="276">
        <v>0</v>
      </c>
      <c r="H287" s="276">
        <v>300</v>
      </c>
      <c r="I287" s="276">
        <v>0</v>
      </c>
      <c r="J287" s="274" t="s">
        <v>2304</v>
      </c>
      <c r="K287" s="274">
        <v>67</v>
      </c>
      <c r="L287" s="274">
        <v>245</v>
      </c>
      <c r="M287" s="274">
        <v>2019</v>
      </c>
      <c r="N287" s="274">
        <v>2019</v>
      </c>
      <c r="O287" s="280">
        <f t="shared" si="197"/>
        <v>50.1</v>
      </c>
      <c r="P287" s="280">
        <v>0</v>
      </c>
      <c r="Q287" s="280">
        <v>50.1</v>
      </c>
      <c r="R287" s="280">
        <v>0</v>
      </c>
      <c r="S287" s="280"/>
      <c r="T287" s="280"/>
      <c r="U287" s="280"/>
      <c r="V287" s="280"/>
      <c r="W287" s="280"/>
      <c r="X287" s="288"/>
      <c r="Y287" s="288"/>
      <c r="Z287" s="274"/>
      <c r="AA287" s="274" t="s">
        <v>2305</v>
      </c>
      <c r="AB287" s="288"/>
      <c r="AC287" s="274"/>
    </row>
    <row r="288" ht="30" customHeight="1" spans="1:29">
      <c r="A288" s="273">
        <v>67</v>
      </c>
      <c r="B288" s="277" t="s">
        <v>130</v>
      </c>
      <c r="C288" s="275" t="s">
        <v>320</v>
      </c>
      <c r="D288" s="274" t="s">
        <v>320</v>
      </c>
      <c r="E288" s="274"/>
      <c r="F288" s="276" t="s">
        <v>320</v>
      </c>
      <c r="G288" s="276" t="s">
        <v>320</v>
      </c>
      <c r="H288" s="276" t="s">
        <v>320</v>
      </c>
      <c r="I288" s="276" t="s">
        <v>320</v>
      </c>
      <c r="J288" s="274" t="s">
        <v>320</v>
      </c>
      <c r="K288" s="274">
        <f t="shared" ref="K288:W288" si="200">SUM(K289,K321)</f>
        <v>1104</v>
      </c>
      <c r="L288" s="274">
        <f t="shared" si="200"/>
        <v>4208</v>
      </c>
      <c r="M288" s="274">
        <v>2018</v>
      </c>
      <c r="N288" s="274">
        <v>2020</v>
      </c>
      <c r="O288" s="280">
        <f t="shared" si="197"/>
        <v>84.9</v>
      </c>
      <c r="P288" s="280">
        <f t="shared" si="200"/>
        <v>0</v>
      </c>
      <c r="Q288" s="280">
        <f t="shared" si="200"/>
        <v>42.45</v>
      </c>
      <c r="R288" s="280">
        <f t="shared" si="200"/>
        <v>42.45</v>
      </c>
      <c r="S288" s="280">
        <f t="shared" si="200"/>
        <v>0</v>
      </c>
      <c r="T288" s="280">
        <f t="shared" si="200"/>
        <v>84.9</v>
      </c>
      <c r="U288" s="280">
        <f t="shared" si="200"/>
        <v>0</v>
      </c>
      <c r="V288" s="280">
        <f t="shared" si="200"/>
        <v>0</v>
      </c>
      <c r="W288" s="280">
        <f t="shared" si="200"/>
        <v>0</v>
      </c>
      <c r="X288" s="288" t="s">
        <v>2108</v>
      </c>
      <c r="Y288" s="274" t="s">
        <v>2120</v>
      </c>
      <c r="Z288" s="274" t="s">
        <v>43</v>
      </c>
      <c r="AA288" s="274" t="s">
        <v>320</v>
      </c>
      <c r="AB288" s="274" t="s">
        <v>320</v>
      </c>
      <c r="AC288" s="274" t="s">
        <v>320</v>
      </c>
    </row>
    <row r="289" ht="30" customHeight="1" spans="1:29">
      <c r="A289" s="273">
        <v>68</v>
      </c>
      <c r="B289" s="277" t="s">
        <v>1125</v>
      </c>
      <c r="C289" s="275" t="s">
        <v>320</v>
      </c>
      <c r="D289" s="274" t="s">
        <v>320</v>
      </c>
      <c r="E289" s="274"/>
      <c r="F289" s="276" t="s">
        <v>320</v>
      </c>
      <c r="G289" s="276" t="s">
        <v>320</v>
      </c>
      <c r="H289" s="276" t="s">
        <v>320</v>
      </c>
      <c r="I289" s="276" t="s">
        <v>320</v>
      </c>
      <c r="J289" s="274" t="s">
        <v>320</v>
      </c>
      <c r="K289" s="274">
        <f>SUM(K290,K296,K302,K305,K311,K313,K315,K317,K319)</f>
        <v>1021</v>
      </c>
      <c r="L289" s="274">
        <f>SUM(L290,L296,L302,L305,L311,L313,L315,L317,L319)</f>
        <v>3883</v>
      </c>
      <c r="M289" s="274">
        <v>2018</v>
      </c>
      <c r="N289" s="274">
        <v>2020</v>
      </c>
      <c r="O289" s="280" t="s">
        <v>320</v>
      </c>
      <c r="P289" s="280" t="s">
        <v>320</v>
      </c>
      <c r="Q289" s="280" t="s">
        <v>320</v>
      </c>
      <c r="R289" s="280" t="s">
        <v>320</v>
      </c>
      <c r="S289" s="280"/>
      <c r="T289" s="280"/>
      <c r="U289" s="280"/>
      <c r="V289" s="280"/>
      <c r="W289" s="280"/>
      <c r="X289" s="288" t="s">
        <v>2108</v>
      </c>
      <c r="Y289" s="274" t="s">
        <v>2120</v>
      </c>
      <c r="Z289" s="274" t="s">
        <v>43</v>
      </c>
      <c r="AA289" s="280" t="s">
        <v>320</v>
      </c>
      <c r="AB289" s="274" t="s">
        <v>2265</v>
      </c>
      <c r="AC289" s="274" t="s">
        <v>320</v>
      </c>
    </row>
    <row r="290" ht="30" customHeight="1" spans="1:29">
      <c r="A290" s="273">
        <v>69</v>
      </c>
      <c r="B290" s="277" t="s">
        <v>2306</v>
      </c>
      <c r="C290" s="275" t="s">
        <v>1124</v>
      </c>
      <c r="D290" s="274" t="s">
        <v>134</v>
      </c>
      <c r="E290" s="274"/>
      <c r="F290" s="276">
        <f t="shared" ref="F290:F319" si="201">SUM(G290:I290)</f>
        <v>3610</v>
      </c>
      <c r="G290" s="276">
        <f t="shared" ref="G290:I290" si="202">SUM(G291:G295)</f>
        <v>2430</v>
      </c>
      <c r="H290" s="276">
        <f t="shared" si="202"/>
        <v>590</v>
      </c>
      <c r="I290" s="276">
        <f t="shared" si="202"/>
        <v>590</v>
      </c>
      <c r="J290" s="274" t="s">
        <v>2307</v>
      </c>
      <c r="K290" s="276">
        <f>SUM(K291:K295)</f>
        <v>593</v>
      </c>
      <c r="L290" s="276">
        <f>SUM(L291:L295)</f>
        <v>2284</v>
      </c>
      <c r="M290" s="274">
        <v>2018</v>
      </c>
      <c r="N290" s="274">
        <v>2020</v>
      </c>
      <c r="O290" s="280" t="s">
        <v>320</v>
      </c>
      <c r="P290" s="280" t="s">
        <v>320</v>
      </c>
      <c r="Q290" s="280" t="s">
        <v>320</v>
      </c>
      <c r="R290" s="280" t="s">
        <v>320</v>
      </c>
      <c r="S290" s="280"/>
      <c r="T290" s="280"/>
      <c r="U290" s="280"/>
      <c r="V290" s="280"/>
      <c r="W290" s="280"/>
      <c r="X290" s="288" t="s">
        <v>2108</v>
      </c>
      <c r="Y290" s="274" t="s">
        <v>2120</v>
      </c>
      <c r="Z290" s="274" t="s">
        <v>43</v>
      </c>
      <c r="AA290" s="274" t="s">
        <v>2264</v>
      </c>
      <c r="AB290" s="274" t="s">
        <v>2265</v>
      </c>
      <c r="AC290" s="274" t="s">
        <v>1073</v>
      </c>
    </row>
    <row r="291" ht="30" customHeight="1" spans="1:29">
      <c r="A291" s="273"/>
      <c r="B291" s="274" t="s">
        <v>2123</v>
      </c>
      <c r="C291" s="275" t="s">
        <v>1124</v>
      </c>
      <c r="D291" s="280" t="s">
        <v>134</v>
      </c>
      <c r="E291" s="280"/>
      <c r="F291" s="276">
        <f t="shared" si="201"/>
        <v>1433</v>
      </c>
      <c r="G291" s="276">
        <v>1433</v>
      </c>
      <c r="H291" s="276">
        <v>0</v>
      </c>
      <c r="I291" s="276">
        <v>0</v>
      </c>
      <c r="J291" s="280" t="s">
        <v>320</v>
      </c>
      <c r="K291" s="276">
        <v>310</v>
      </c>
      <c r="L291" s="276">
        <v>1258</v>
      </c>
      <c r="M291" s="274">
        <v>2018</v>
      </c>
      <c r="N291" s="274">
        <v>2018</v>
      </c>
      <c r="O291" s="280" t="s">
        <v>320</v>
      </c>
      <c r="P291" s="280" t="s">
        <v>320</v>
      </c>
      <c r="Q291" s="280" t="s">
        <v>320</v>
      </c>
      <c r="R291" s="280" t="s">
        <v>320</v>
      </c>
      <c r="S291" s="280"/>
      <c r="T291" s="280"/>
      <c r="U291" s="280"/>
      <c r="V291" s="280"/>
      <c r="W291" s="280"/>
      <c r="X291" s="289"/>
      <c r="Y291" s="289"/>
      <c r="Z291" s="274"/>
      <c r="AA291" s="274"/>
      <c r="AB291" s="288"/>
      <c r="AC291" s="274"/>
    </row>
    <row r="292" ht="30" customHeight="1" spans="1:29">
      <c r="A292" s="273"/>
      <c r="B292" s="274" t="s">
        <v>2112</v>
      </c>
      <c r="C292" s="275" t="s">
        <v>1124</v>
      </c>
      <c r="D292" s="274" t="s">
        <v>134</v>
      </c>
      <c r="E292" s="274"/>
      <c r="F292" s="276">
        <f t="shared" si="201"/>
        <v>375</v>
      </c>
      <c r="G292" s="276">
        <v>125</v>
      </c>
      <c r="H292" s="276">
        <v>125</v>
      </c>
      <c r="I292" s="276">
        <v>125</v>
      </c>
      <c r="J292" s="280" t="s">
        <v>320</v>
      </c>
      <c r="K292" s="274">
        <v>52</v>
      </c>
      <c r="L292" s="274">
        <v>182</v>
      </c>
      <c r="M292" s="274">
        <v>2018</v>
      </c>
      <c r="N292" s="274">
        <v>2020</v>
      </c>
      <c r="O292" s="280" t="s">
        <v>320</v>
      </c>
      <c r="P292" s="280" t="s">
        <v>320</v>
      </c>
      <c r="Q292" s="280" t="s">
        <v>320</v>
      </c>
      <c r="R292" s="280" t="s">
        <v>320</v>
      </c>
      <c r="S292" s="280"/>
      <c r="T292" s="280"/>
      <c r="U292" s="280"/>
      <c r="V292" s="280"/>
      <c r="W292" s="280"/>
      <c r="X292" s="274"/>
      <c r="Y292" s="274"/>
      <c r="Z292" s="274"/>
      <c r="AA292" s="274"/>
      <c r="AB292" s="288"/>
      <c r="AC292" s="274"/>
    </row>
    <row r="293" ht="30" customHeight="1" spans="1:29">
      <c r="A293" s="273"/>
      <c r="B293" s="274" t="s">
        <v>2114</v>
      </c>
      <c r="C293" s="275" t="s">
        <v>1124</v>
      </c>
      <c r="D293" s="274" t="s">
        <v>134</v>
      </c>
      <c r="E293" s="274"/>
      <c r="F293" s="276">
        <f t="shared" si="201"/>
        <v>195</v>
      </c>
      <c r="G293" s="276">
        <v>65</v>
      </c>
      <c r="H293" s="276">
        <v>65</v>
      </c>
      <c r="I293" s="276">
        <v>65</v>
      </c>
      <c r="J293" s="280" t="s">
        <v>320</v>
      </c>
      <c r="K293" s="274">
        <v>19</v>
      </c>
      <c r="L293" s="274">
        <v>68</v>
      </c>
      <c r="M293" s="274">
        <v>2018</v>
      </c>
      <c r="N293" s="274">
        <v>2020</v>
      </c>
      <c r="O293" s="280" t="s">
        <v>320</v>
      </c>
      <c r="P293" s="280" t="s">
        <v>320</v>
      </c>
      <c r="Q293" s="280" t="s">
        <v>320</v>
      </c>
      <c r="R293" s="280" t="s">
        <v>320</v>
      </c>
      <c r="S293" s="280"/>
      <c r="T293" s="280"/>
      <c r="U293" s="280"/>
      <c r="V293" s="280"/>
      <c r="W293" s="280"/>
      <c r="X293" s="289"/>
      <c r="Y293" s="289"/>
      <c r="Z293" s="274"/>
      <c r="AA293" s="274"/>
      <c r="AB293" s="288"/>
      <c r="AC293" s="274"/>
    </row>
    <row r="294" ht="30" customHeight="1" spans="1:29">
      <c r="A294" s="273"/>
      <c r="B294" s="274" t="s">
        <v>2116</v>
      </c>
      <c r="C294" s="275" t="s">
        <v>1124</v>
      </c>
      <c r="D294" s="274" t="s">
        <v>134</v>
      </c>
      <c r="E294" s="274"/>
      <c r="F294" s="276">
        <f t="shared" si="201"/>
        <v>407</v>
      </c>
      <c r="G294" s="276">
        <v>407</v>
      </c>
      <c r="H294" s="276">
        <v>0</v>
      </c>
      <c r="I294" s="276">
        <v>0</v>
      </c>
      <c r="J294" s="280" t="s">
        <v>320</v>
      </c>
      <c r="K294" s="274">
        <v>60</v>
      </c>
      <c r="L294" s="274">
        <v>239</v>
      </c>
      <c r="M294" s="274">
        <v>2018</v>
      </c>
      <c r="N294" s="274">
        <v>2018</v>
      </c>
      <c r="O294" s="280" t="s">
        <v>320</v>
      </c>
      <c r="P294" s="280" t="s">
        <v>320</v>
      </c>
      <c r="Q294" s="280" t="s">
        <v>320</v>
      </c>
      <c r="R294" s="280" t="s">
        <v>320</v>
      </c>
      <c r="S294" s="280"/>
      <c r="T294" s="280"/>
      <c r="U294" s="280"/>
      <c r="V294" s="280"/>
      <c r="W294" s="280"/>
      <c r="X294" s="289"/>
      <c r="Y294" s="289"/>
      <c r="Z294" s="274"/>
      <c r="AA294" s="274"/>
      <c r="AB294" s="288"/>
      <c r="AC294" s="274"/>
    </row>
    <row r="295" ht="30" customHeight="1" spans="1:29">
      <c r="A295" s="273"/>
      <c r="B295" s="274" t="s">
        <v>2125</v>
      </c>
      <c r="C295" s="275" t="s">
        <v>1124</v>
      </c>
      <c r="D295" s="274" t="s">
        <v>134</v>
      </c>
      <c r="E295" s="274"/>
      <c r="F295" s="276">
        <f t="shared" si="201"/>
        <v>1200</v>
      </c>
      <c r="G295" s="276">
        <v>400</v>
      </c>
      <c r="H295" s="276">
        <v>400</v>
      </c>
      <c r="I295" s="276">
        <v>400</v>
      </c>
      <c r="J295" s="280" t="s">
        <v>320</v>
      </c>
      <c r="K295" s="294">
        <v>152</v>
      </c>
      <c r="L295" s="294">
        <v>537</v>
      </c>
      <c r="M295" s="274">
        <v>2018</v>
      </c>
      <c r="N295" s="274">
        <v>2020</v>
      </c>
      <c r="O295" s="280" t="s">
        <v>320</v>
      </c>
      <c r="P295" s="280" t="s">
        <v>320</v>
      </c>
      <c r="Q295" s="280" t="s">
        <v>320</v>
      </c>
      <c r="R295" s="280" t="s">
        <v>320</v>
      </c>
      <c r="S295" s="280"/>
      <c r="T295" s="280"/>
      <c r="U295" s="280"/>
      <c r="V295" s="280"/>
      <c r="W295" s="280"/>
      <c r="X295" s="274"/>
      <c r="Y295" s="274"/>
      <c r="Z295" s="274"/>
      <c r="AA295" s="274"/>
      <c r="AB295" s="288"/>
      <c r="AC295" s="274"/>
    </row>
    <row r="296" ht="30" customHeight="1" spans="1:29">
      <c r="A296" s="273">
        <v>70</v>
      </c>
      <c r="B296" s="301" t="s">
        <v>2308</v>
      </c>
      <c r="C296" s="275" t="s">
        <v>1124</v>
      </c>
      <c r="D296" s="280" t="s">
        <v>134</v>
      </c>
      <c r="E296" s="280"/>
      <c r="F296" s="276">
        <f t="shared" si="201"/>
        <v>150</v>
      </c>
      <c r="G296" s="276">
        <f t="shared" ref="G296:I296" si="203">SUM(G297:G301)</f>
        <v>90</v>
      </c>
      <c r="H296" s="276">
        <f t="shared" si="203"/>
        <v>30</v>
      </c>
      <c r="I296" s="276">
        <f t="shared" si="203"/>
        <v>30</v>
      </c>
      <c r="J296" s="274" t="s">
        <v>2309</v>
      </c>
      <c r="K296" s="276">
        <f>SUM(K297:K301)</f>
        <v>36</v>
      </c>
      <c r="L296" s="276">
        <f>SUM(L297:L301)</f>
        <v>127</v>
      </c>
      <c r="M296" s="274">
        <v>2018</v>
      </c>
      <c r="N296" s="274">
        <v>2020</v>
      </c>
      <c r="O296" s="280" t="s">
        <v>320</v>
      </c>
      <c r="P296" s="280" t="s">
        <v>320</v>
      </c>
      <c r="Q296" s="280" t="s">
        <v>320</v>
      </c>
      <c r="R296" s="280" t="s">
        <v>320</v>
      </c>
      <c r="S296" s="280"/>
      <c r="T296" s="280"/>
      <c r="U296" s="280"/>
      <c r="V296" s="280"/>
      <c r="W296" s="280"/>
      <c r="X296" s="288" t="s">
        <v>2108</v>
      </c>
      <c r="Y296" s="274" t="s">
        <v>2120</v>
      </c>
      <c r="Z296" s="274" t="s">
        <v>43</v>
      </c>
      <c r="AA296" s="274" t="s">
        <v>2264</v>
      </c>
      <c r="AB296" s="274" t="s">
        <v>2265</v>
      </c>
      <c r="AC296" s="274" t="s">
        <v>1073</v>
      </c>
    </row>
    <row r="297" ht="30" customHeight="1" spans="1:29">
      <c r="A297" s="273"/>
      <c r="B297" s="274" t="s">
        <v>2123</v>
      </c>
      <c r="C297" s="275" t="s">
        <v>1124</v>
      </c>
      <c r="D297" s="280" t="s">
        <v>134</v>
      </c>
      <c r="E297" s="280"/>
      <c r="F297" s="276">
        <f t="shared" si="201"/>
        <v>24</v>
      </c>
      <c r="G297" s="276">
        <v>24</v>
      </c>
      <c r="H297" s="276">
        <v>0</v>
      </c>
      <c r="I297" s="276">
        <v>0</v>
      </c>
      <c r="J297" s="280" t="s">
        <v>320</v>
      </c>
      <c r="K297" s="276">
        <v>5</v>
      </c>
      <c r="L297" s="276">
        <v>25</v>
      </c>
      <c r="M297" s="274">
        <v>2018</v>
      </c>
      <c r="N297" s="274">
        <v>2018</v>
      </c>
      <c r="O297" s="280" t="s">
        <v>320</v>
      </c>
      <c r="P297" s="280" t="s">
        <v>320</v>
      </c>
      <c r="Q297" s="280" t="s">
        <v>320</v>
      </c>
      <c r="R297" s="280" t="s">
        <v>320</v>
      </c>
      <c r="S297" s="280"/>
      <c r="T297" s="280"/>
      <c r="U297" s="280"/>
      <c r="V297" s="280"/>
      <c r="W297" s="280"/>
      <c r="X297" s="289"/>
      <c r="Y297" s="289"/>
      <c r="Z297" s="274"/>
      <c r="AA297" s="274"/>
      <c r="AB297" s="288"/>
      <c r="AC297" s="274"/>
    </row>
    <row r="298" ht="30" customHeight="1" spans="1:29">
      <c r="A298" s="273"/>
      <c r="B298" s="274" t="s">
        <v>2114</v>
      </c>
      <c r="C298" s="275" t="s">
        <v>1124</v>
      </c>
      <c r="D298" s="274" t="s">
        <v>134</v>
      </c>
      <c r="E298" s="274"/>
      <c r="F298" s="276">
        <f t="shared" si="201"/>
        <v>60</v>
      </c>
      <c r="G298" s="276">
        <v>20</v>
      </c>
      <c r="H298" s="276">
        <v>20</v>
      </c>
      <c r="I298" s="276">
        <v>20</v>
      </c>
      <c r="J298" s="280" t="s">
        <v>320</v>
      </c>
      <c r="K298" s="274">
        <v>1</v>
      </c>
      <c r="L298" s="274">
        <v>4</v>
      </c>
      <c r="M298" s="274">
        <v>2018</v>
      </c>
      <c r="N298" s="274">
        <v>2020</v>
      </c>
      <c r="O298" s="280" t="s">
        <v>320</v>
      </c>
      <c r="P298" s="280" t="s">
        <v>320</v>
      </c>
      <c r="Q298" s="280" t="s">
        <v>320</v>
      </c>
      <c r="R298" s="280" t="s">
        <v>320</v>
      </c>
      <c r="S298" s="280"/>
      <c r="T298" s="280"/>
      <c r="U298" s="280"/>
      <c r="V298" s="280"/>
      <c r="W298" s="280"/>
      <c r="X298" s="289"/>
      <c r="Y298" s="289"/>
      <c r="Z298" s="274"/>
      <c r="AA298" s="274"/>
      <c r="AB298" s="288"/>
      <c r="AC298" s="274"/>
    </row>
    <row r="299" ht="30" customHeight="1" spans="1:29">
      <c r="A299" s="273"/>
      <c r="B299" s="274" t="s">
        <v>2116</v>
      </c>
      <c r="C299" s="275" t="s">
        <v>1124</v>
      </c>
      <c r="D299" s="274" t="s">
        <v>134</v>
      </c>
      <c r="E299" s="274"/>
      <c r="F299" s="276">
        <f t="shared" si="201"/>
        <v>34</v>
      </c>
      <c r="G299" s="276">
        <v>34</v>
      </c>
      <c r="H299" s="276">
        <v>0</v>
      </c>
      <c r="I299" s="276">
        <v>0</v>
      </c>
      <c r="J299" s="280" t="s">
        <v>320</v>
      </c>
      <c r="K299" s="274">
        <v>9</v>
      </c>
      <c r="L299" s="274">
        <v>36</v>
      </c>
      <c r="M299" s="274">
        <v>2018</v>
      </c>
      <c r="N299" s="274">
        <v>2018</v>
      </c>
      <c r="O299" s="280" t="s">
        <v>320</v>
      </c>
      <c r="P299" s="280" t="s">
        <v>320</v>
      </c>
      <c r="Q299" s="280" t="s">
        <v>320</v>
      </c>
      <c r="R299" s="280" t="s">
        <v>320</v>
      </c>
      <c r="S299" s="280"/>
      <c r="T299" s="280"/>
      <c r="U299" s="280"/>
      <c r="V299" s="280"/>
      <c r="W299" s="280"/>
      <c r="X299" s="289"/>
      <c r="Y299" s="289"/>
      <c r="Z299" s="274"/>
      <c r="AA299" s="274"/>
      <c r="AB299" s="288"/>
      <c r="AC299" s="274"/>
    </row>
    <row r="300" ht="30" customHeight="1" spans="1:29">
      <c r="A300" s="273"/>
      <c r="B300" s="274" t="s">
        <v>2124</v>
      </c>
      <c r="C300" s="275" t="s">
        <v>1124</v>
      </c>
      <c r="D300" s="274" t="s">
        <v>134</v>
      </c>
      <c r="E300" s="274"/>
      <c r="F300" s="276">
        <f t="shared" si="201"/>
        <v>2</v>
      </c>
      <c r="G300" s="276">
        <v>2</v>
      </c>
      <c r="H300" s="276">
        <v>0</v>
      </c>
      <c r="I300" s="276">
        <v>0</v>
      </c>
      <c r="J300" s="280" t="s">
        <v>320</v>
      </c>
      <c r="K300" s="274">
        <v>1</v>
      </c>
      <c r="L300" s="274">
        <v>3</v>
      </c>
      <c r="M300" s="274">
        <v>2018</v>
      </c>
      <c r="N300" s="274">
        <v>2018</v>
      </c>
      <c r="O300" s="280" t="s">
        <v>320</v>
      </c>
      <c r="P300" s="280" t="s">
        <v>320</v>
      </c>
      <c r="Q300" s="280" t="s">
        <v>320</v>
      </c>
      <c r="R300" s="280" t="s">
        <v>320</v>
      </c>
      <c r="S300" s="280"/>
      <c r="T300" s="280"/>
      <c r="U300" s="280"/>
      <c r="V300" s="280"/>
      <c r="W300" s="280"/>
      <c r="X300" s="288"/>
      <c r="Y300" s="288"/>
      <c r="Z300" s="274"/>
      <c r="AA300" s="274"/>
      <c r="AB300" s="288"/>
      <c r="AC300" s="274"/>
    </row>
    <row r="301" ht="30" customHeight="1" spans="1:29">
      <c r="A301" s="273"/>
      <c r="B301" s="274" t="s">
        <v>2125</v>
      </c>
      <c r="C301" s="275" t="s">
        <v>1124</v>
      </c>
      <c r="D301" s="274" t="s">
        <v>134</v>
      </c>
      <c r="E301" s="274"/>
      <c r="F301" s="276">
        <f t="shared" si="201"/>
        <v>30</v>
      </c>
      <c r="G301" s="276">
        <v>10</v>
      </c>
      <c r="H301" s="276">
        <v>10</v>
      </c>
      <c r="I301" s="276">
        <v>10</v>
      </c>
      <c r="J301" s="280" t="s">
        <v>320</v>
      </c>
      <c r="K301" s="274">
        <v>20</v>
      </c>
      <c r="L301" s="274">
        <v>59</v>
      </c>
      <c r="M301" s="274">
        <v>2018</v>
      </c>
      <c r="N301" s="274">
        <v>2020</v>
      </c>
      <c r="O301" s="280" t="s">
        <v>320</v>
      </c>
      <c r="P301" s="280" t="s">
        <v>320</v>
      </c>
      <c r="Q301" s="280" t="s">
        <v>320</v>
      </c>
      <c r="R301" s="280" t="s">
        <v>320</v>
      </c>
      <c r="S301" s="280"/>
      <c r="T301" s="280"/>
      <c r="U301" s="280"/>
      <c r="V301" s="280"/>
      <c r="W301" s="280"/>
      <c r="X301" s="274"/>
      <c r="Y301" s="274"/>
      <c r="Z301" s="274"/>
      <c r="AA301" s="274"/>
      <c r="AB301" s="288"/>
      <c r="AC301" s="274"/>
    </row>
    <row r="302" ht="30" customHeight="1" spans="1:29">
      <c r="A302" s="273">
        <v>71</v>
      </c>
      <c r="B302" s="301" t="s">
        <v>2310</v>
      </c>
      <c r="C302" s="275" t="s">
        <v>1124</v>
      </c>
      <c r="D302" s="280" t="s">
        <v>134</v>
      </c>
      <c r="E302" s="280"/>
      <c r="F302" s="276">
        <f t="shared" si="201"/>
        <v>85</v>
      </c>
      <c r="G302" s="276">
        <f t="shared" ref="G302:I302" si="204">SUM(G303:G304)</f>
        <v>45</v>
      </c>
      <c r="H302" s="276">
        <f t="shared" si="204"/>
        <v>20</v>
      </c>
      <c r="I302" s="276">
        <f t="shared" si="204"/>
        <v>20</v>
      </c>
      <c r="J302" s="274" t="s">
        <v>2311</v>
      </c>
      <c r="K302" s="276">
        <f>SUM(K303:K304)</f>
        <v>2</v>
      </c>
      <c r="L302" s="276">
        <f>SUM(L303:L304)</f>
        <v>11</v>
      </c>
      <c r="M302" s="274">
        <v>2018</v>
      </c>
      <c r="N302" s="274">
        <v>2020</v>
      </c>
      <c r="O302" s="280" t="s">
        <v>320</v>
      </c>
      <c r="P302" s="280" t="s">
        <v>320</v>
      </c>
      <c r="Q302" s="280" t="s">
        <v>320</v>
      </c>
      <c r="R302" s="280" t="s">
        <v>320</v>
      </c>
      <c r="S302" s="280"/>
      <c r="T302" s="280"/>
      <c r="U302" s="280"/>
      <c r="V302" s="280"/>
      <c r="W302" s="280"/>
      <c r="X302" s="288" t="s">
        <v>2108</v>
      </c>
      <c r="Y302" s="274" t="s">
        <v>2120</v>
      </c>
      <c r="Z302" s="274" t="s">
        <v>43</v>
      </c>
      <c r="AA302" s="274" t="s">
        <v>2264</v>
      </c>
      <c r="AB302" s="274" t="s">
        <v>2265</v>
      </c>
      <c r="AC302" s="274" t="s">
        <v>1073</v>
      </c>
    </row>
    <row r="303" ht="30" customHeight="1" spans="1:29">
      <c r="A303" s="273"/>
      <c r="B303" s="274" t="s">
        <v>2123</v>
      </c>
      <c r="C303" s="275" t="s">
        <v>1124</v>
      </c>
      <c r="D303" s="280" t="s">
        <v>134</v>
      </c>
      <c r="E303" s="280"/>
      <c r="F303" s="276">
        <f t="shared" si="201"/>
        <v>5</v>
      </c>
      <c r="G303" s="276">
        <v>5</v>
      </c>
      <c r="H303" s="276">
        <v>0</v>
      </c>
      <c r="I303" s="276">
        <v>0</v>
      </c>
      <c r="J303" s="280" t="s">
        <v>320</v>
      </c>
      <c r="K303" s="274">
        <v>1</v>
      </c>
      <c r="L303" s="274">
        <v>7</v>
      </c>
      <c r="M303" s="274">
        <v>2018</v>
      </c>
      <c r="N303" s="274">
        <v>2018</v>
      </c>
      <c r="O303" s="280" t="s">
        <v>320</v>
      </c>
      <c r="P303" s="280" t="s">
        <v>320</v>
      </c>
      <c r="Q303" s="280" t="s">
        <v>320</v>
      </c>
      <c r="R303" s="280" t="s">
        <v>320</v>
      </c>
      <c r="S303" s="280"/>
      <c r="T303" s="280"/>
      <c r="U303" s="280"/>
      <c r="V303" s="280"/>
      <c r="W303" s="280"/>
      <c r="X303" s="288"/>
      <c r="Y303" s="274"/>
      <c r="Z303" s="274"/>
      <c r="AA303" s="274"/>
      <c r="AB303" s="274"/>
      <c r="AC303" s="274"/>
    </row>
    <row r="304" ht="30" customHeight="1" spans="1:29">
      <c r="A304" s="273"/>
      <c r="B304" s="274" t="s">
        <v>2114</v>
      </c>
      <c r="C304" s="275" t="s">
        <v>1124</v>
      </c>
      <c r="D304" s="274" t="s">
        <v>134</v>
      </c>
      <c r="E304" s="274"/>
      <c r="F304" s="276">
        <f t="shared" si="201"/>
        <v>80</v>
      </c>
      <c r="G304" s="276">
        <v>40</v>
      </c>
      <c r="H304" s="276">
        <v>20</v>
      </c>
      <c r="I304" s="276">
        <v>20</v>
      </c>
      <c r="J304" s="280" t="s">
        <v>320</v>
      </c>
      <c r="K304" s="274">
        <v>1</v>
      </c>
      <c r="L304" s="274">
        <v>4</v>
      </c>
      <c r="M304" s="274">
        <v>2018</v>
      </c>
      <c r="N304" s="274">
        <v>2020</v>
      </c>
      <c r="O304" s="280" t="s">
        <v>320</v>
      </c>
      <c r="P304" s="280" t="s">
        <v>320</v>
      </c>
      <c r="Q304" s="280" t="s">
        <v>320</v>
      </c>
      <c r="R304" s="280" t="s">
        <v>320</v>
      </c>
      <c r="S304" s="280"/>
      <c r="T304" s="280"/>
      <c r="U304" s="280"/>
      <c r="V304" s="280"/>
      <c r="W304" s="280"/>
      <c r="X304" s="288"/>
      <c r="Y304" s="288"/>
      <c r="Z304" s="274"/>
      <c r="AA304" s="274"/>
      <c r="AB304" s="288"/>
      <c r="AC304" s="274"/>
    </row>
    <row r="305" ht="36" spans="1:29">
      <c r="A305" s="273">
        <v>72</v>
      </c>
      <c r="B305" s="301" t="s">
        <v>2312</v>
      </c>
      <c r="C305" s="275" t="s">
        <v>1124</v>
      </c>
      <c r="D305" s="280" t="s">
        <v>2313</v>
      </c>
      <c r="E305" s="280"/>
      <c r="F305" s="276">
        <f t="shared" si="201"/>
        <v>24876</v>
      </c>
      <c r="G305" s="276">
        <f t="shared" ref="G305:I305" si="205">SUM(G306:G310)</f>
        <v>14264</v>
      </c>
      <c r="H305" s="276">
        <f t="shared" si="205"/>
        <v>4961</v>
      </c>
      <c r="I305" s="276">
        <f t="shared" si="205"/>
        <v>5651</v>
      </c>
      <c r="J305" s="274" t="s">
        <v>2314</v>
      </c>
      <c r="K305" s="274">
        <f>SUM(K306:K310)</f>
        <v>364</v>
      </c>
      <c r="L305" s="274">
        <f>SUM(L306:L310)</f>
        <v>1357</v>
      </c>
      <c r="M305" s="274">
        <v>2018</v>
      </c>
      <c r="N305" s="274">
        <v>2020</v>
      </c>
      <c r="O305" s="280" t="s">
        <v>320</v>
      </c>
      <c r="P305" s="280" t="s">
        <v>320</v>
      </c>
      <c r="Q305" s="280" t="s">
        <v>320</v>
      </c>
      <c r="R305" s="280" t="s">
        <v>320</v>
      </c>
      <c r="S305" s="280"/>
      <c r="T305" s="280"/>
      <c r="U305" s="280"/>
      <c r="V305" s="280"/>
      <c r="W305" s="280"/>
      <c r="X305" s="288" t="s">
        <v>2108</v>
      </c>
      <c r="Y305" s="274" t="s">
        <v>2120</v>
      </c>
      <c r="Z305" s="274" t="s">
        <v>43</v>
      </c>
      <c r="AA305" s="274" t="s">
        <v>2264</v>
      </c>
      <c r="AB305" s="274" t="s">
        <v>2265</v>
      </c>
      <c r="AC305" s="274" t="s">
        <v>1073</v>
      </c>
    </row>
    <row r="306" s="258" customFormat="1" ht="30" customHeight="1" spans="1:29">
      <c r="A306" s="273"/>
      <c r="B306" s="274" t="s">
        <v>2123</v>
      </c>
      <c r="C306" s="275" t="s">
        <v>1124</v>
      </c>
      <c r="D306" s="280" t="s">
        <v>2313</v>
      </c>
      <c r="E306" s="280"/>
      <c r="F306" s="276">
        <f t="shared" si="201"/>
        <v>5580</v>
      </c>
      <c r="G306" s="276">
        <v>5580</v>
      </c>
      <c r="H306" s="276">
        <v>0</v>
      </c>
      <c r="I306" s="276">
        <v>0</v>
      </c>
      <c r="J306" s="280" t="s">
        <v>320</v>
      </c>
      <c r="K306" s="276">
        <v>72</v>
      </c>
      <c r="L306" s="276">
        <v>282</v>
      </c>
      <c r="M306" s="274">
        <v>2018</v>
      </c>
      <c r="N306" s="274">
        <v>2018</v>
      </c>
      <c r="O306" s="280" t="s">
        <v>320</v>
      </c>
      <c r="P306" s="280" t="s">
        <v>320</v>
      </c>
      <c r="Q306" s="280" t="s">
        <v>320</v>
      </c>
      <c r="R306" s="280" t="s">
        <v>320</v>
      </c>
      <c r="S306" s="280"/>
      <c r="T306" s="280"/>
      <c r="U306" s="280"/>
      <c r="V306" s="280"/>
      <c r="W306" s="280"/>
      <c r="X306" s="289"/>
      <c r="Y306" s="289"/>
      <c r="Z306" s="288"/>
      <c r="AA306" s="274"/>
      <c r="AB306" s="288"/>
      <c r="AC306" s="274"/>
    </row>
    <row r="307" s="258" customFormat="1" ht="30" customHeight="1" spans="1:29">
      <c r="A307" s="273"/>
      <c r="B307" s="274" t="s">
        <v>2112</v>
      </c>
      <c r="C307" s="275" t="s">
        <v>1124</v>
      </c>
      <c r="D307" s="280" t="s">
        <v>2313</v>
      </c>
      <c r="E307" s="280"/>
      <c r="F307" s="276">
        <f t="shared" si="201"/>
        <v>3183</v>
      </c>
      <c r="G307" s="276">
        <v>1061</v>
      </c>
      <c r="H307" s="276">
        <v>1061</v>
      </c>
      <c r="I307" s="276">
        <v>1061</v>
      </c>
      <c r="J307" s="280" t="s">
        <v>320</v>
      </c>
      <c r="K307" s="274">
        <v>62</v>
      </c>
      <c r="L307" s="274">
        <v>268</v>
      </c>
      <c r="M307" s="274">
        <v>2018</v>
      </c>
      <c r="N307" s="274">
        <v>2020</v>
      </c>
      <c r="O307" s="280" t="s">
        <v>320</v>
      </c>
      <c r="P307" s="280" t="s">
        <v>320</v>
      </c>
      <c r="Q307" s="280" t="s">
        <v>320</v>
      </c>
      <c r="R307" s="280" t="s">
        <v>320</v>
      </c>
      <c r="S307" s="280"/>
      <c r="T307" s="280"/>
      <c r="U307" s="280"/>
      <c r="V307" s="280"/>
      <c r="W307" s="280"/>
      <c r="X307" s="274"/>
      <c r="Y307" s="274"/>
      <c r="Z307" s="288"/>
      <c r="AA307" s="274"/>
      <c r="AB307" s="288"/>
      <c r="AC307" s="274"/>
    </row>
    <row r="308" s="258" customFormat="1" ht="30" customHeight="1" spans="1:29">
      <c r="A308" s="273"/>
      <c r="B308" s="274" t="s">
        <v>2114</v>
      </c>
      <c r="C308" s="275" t="s">
        <v>1124</v>
      </c>
      <c r="D308" s="280" t="s">
        <v>2313</v>
      </c>
      <c r="E308" s="280"/>
      <c r="F308" s="276">
        <f t="shared" si="201"/>
        <v>7690</v>
      </c>
      <c r="G308" s="276">
        <v>3000</v>
      </c>
      <c r="H308" s="276">
        <v>2000</v>
      </c>
      <c r="I308" s="276">
        <v>2690</v>
      </c>
      <c r="J308" s="280" t="s">
        <v>320</v>
      </c>
      <c r="K308" s="274">
        <v>11</v>
      </c>
      <c r="L308" s="274">
        <v>34</v>
      </c>
      <c r="M308" s="274">
        <v>2018</v>
      </c>
      <c r="N308" s="274">
        <v>2020</v>
      </c>
      <c r="O308" s="280" t="s">
        <v>320</v>
      </c>
      <c r="P308" s="280" t="s">
        <v>320</v>
      </c>
      <c r="Q308" s="280" t="s">
        <v>320</v>
      </c>
      <c r="R308" s="280" t="s">
        <v>320</v>
      </c>
      <c r="S308" s="280"/>
      <c r="T308" s="280"/>
      <c r="U308" s="280"/>
      <c r="V308" s="280"/>
      <c r="W308" s="280"/>
      <c r="X308" s="289"/>
      <c r="Y308" s="289"/>
      <c r="Z308" s="288"/>
      <c r="AA308" s="274"/>
      <c r="AB308" s="288"/>
      <c r="AC308" s="274"/>
    </row>
    <row r="309" s="258" customFormat="1" ht="30" customHeight="1" spans="1:29">
      <c r="A309" s="273"/>
      <c r="B309" s="274" t="s">
        <v>2116</v>
      </c>
      <c r="C309" s="275" t="s">
        <v>1124</v>
      </c>
      <c r="D309" s="280" t="s">
        <v>2313</v>
      </c>
      <c r="E309" s="280"/>
      <c r="F309" s="276">
        <f t="shared" si="201"/>
        <v>2723</v>
      </c>
      <c r="G309" s="276">
        <v>2723</v>
      </c>
      <c r="H309" s="276">
        <v>0</v>
      </c>
      <c r="I309" s="276">
        <v>0</v>
      </c>
      <c r="J309" s="280" t="s">
        <v>320</v>
      </c>
      <c r="K309" s="274">
        <v>56</v>
      </c>
      <c r="L309" s="274">
        <v>201</v>
      </c>
      <c r="M309" s="274">
        <v>2018</v>
      </c>
      <c r="N309" s="274">
        <v>2018</v>
      </c>
      <c r="O309" s="280" t="s">
        <v>320</v>
      </c>
      <c r="P309" s="280" t="s">
        <v>320</v>
      </c>
      <c r="Q309" s="280" t="s">
        <v>320</v>
      </c>
      <c r="R309" s="280" t="s">
        <v>320</v>
      </c>
      <c r="S309" s="280"/>
      <c r="T309" s="280"/>
      <c r="U309" s="280"/>
      <c r="V309" s="280"/>
      <c r="W309" s="280"/>
      <c r="X309" s="289"/>
      <c r="Y309" s="289"/>
      <c r="Z309" s="288"/>
      <c r="AA309" s="274"/>
      <c r="AB309" s="288"/>
      <c r="AC309" s="274"/>
    </row>
    <row r="310" s="258" customFormat="1" ht="30" customHeight="1" spans="1:29">
      <c r="A310" s="273"/>
      <c r="B310" s="274" t="s">
        <v>2125</v>
      </c>
      <c r="C310" s="275" t="s">
        <v>1124</v>
      </c>
      <c r="D310" s="280" t="s">
        <v>2313</v>
      </c>
      <c r="E310" s="280"/>
      <c r="F310" s="276">
        <f t="shared" si="201"/>
        <v>5700</v>
      </c>
      <c r="G310" s="276">
        <v>1900</v>
      </c>
      <c r="H310" s="276">
        <v>1900</v>
      </c>
      <c r="I310" s="276">
        <v>1900</v>
      </c>
      <c r="J310" s="280" t="s">
        <v>320</v>
      </c>
      <c r="K310" s="294">
        <v>163</v>
      </c>
      <c r="L310" s="294">
        <v>572</v>
      </c>
      <c r="M310" s="274">
        <v>2018</v>
      </c>
      <c r="N310" s="274">
        <v>2020</v>
      </c>
      <c r="O310" s="280" t="s">
        <v>320</v>
      </c>
      <c r="P310" s="280" t="s">
        <v>320</v>
      </c>
      <c r="Q310" s="280" t="s">
        <v>320</v>
      </c>
      <c r="R310" s="280" t="s">
        <v>320</v>
      </c>
      <c r="S310" s="280"/>
      <c r="T310" s="280"/>
      <c r="U310" s="280"/>
      <c r="V310" s="280"/>
      <c r="W310" s="280"/>
      <c r="X310" s="274"/>
      <c r="Y310" s="274"/>
      <c r="Z310" s="288"/>
      <c r="AA310" s="274"/>
      <c r="AB310" s="288"/>
      <c r="AC310" s="274"/>
    </row>
    <row r="311" ht="30" customHeight="1" spans="1:29">
      <c r="A311" s="273">
        <v>73</v>
      </c>
      <c r="B311" s="278" t="s">
        <v>2315</v>
      </c>
      <c r="C311" s="275" t="s">
        <v>1124</v>
      </c>
      <c r="D311" s="274" t="s">
        <v>140</v>
      </c>
      <c r="E311" s="274"/>
      <c r="F311" s="276">
        <f t="shared" si="201"/>
        <v>40</v>
      </c>
      <c r="G311" s="276">
        <f t="shared" ref="G311:I311" si="206">SUM(G312)</f>
        <v>40</v>
      </c>
      <c r="H311" s="276">
        <f t="shared" si="206"/>
        <v>0</v>
      </c>
      <c r="I311" s="276">
        <f t="shared" si="206"/>
        <v>0</v>
      </c>
      <c r="J311" s="274" t="s">
        <v>2316</v>
      </c>
      <c r="K311" s="276">
        <f t="shared" ref="K311:K315" si="207">SUM(K312)</f>
        <v>1</v>
      </c>
      <c r="L311" s="276">
        <f t="shared" ref="L311:L315" si="208">SUM(L312)</f>
        <v>1</v>
      </c>
      <c r="M311" s="274">
        <v>2018</v>
      </c>
      <c r="N311" s="274">
        <v>2018</v>
      </c>
      <c r="O311" s="280" t="s">
        <v>320</v>
      </c>
      <c r="P311" s="280" t="s">
        <v>320</v>
      </c>
      <c r="Q311" s="280" t="s">
        <v>320</v>
      </c>
      <c r="R311" s="280" t="s">
        <v>320</v>
      </c>
      <c r="S311" s="280"/>
      <c r="T311" s="280"/>
      <c r="U311" s="280"/>
      <c r="V311" s="280"/>
      <c r="W311" s="280"/>
      <c r="X311" s="288" t="s">
        <v>2108</v>
      </c>
      <c r="Y311" s="274" t="s">
        <v>2120</v>
      </c>
      <c r="Z311" s="274" t="s">
        <v>43</v>
      </c>
      <c r="AA311" s="274" t="s">
        <v>2264</v>
      </c>
      <c r="AB311" s="274" t="s">
        <v>2265</v>
      </c>
      <c r="AC311" s="274" t="s">
        <v>1073</v>
      </c>
    </row>
    <row r="312" ht="30" customHeight="1" spans="1:29">
      <c r="A312" s="273"/>
      <c r="B312" s="274" t="s">
        <v>2123</v>
      </c>
      <c r="C312" s="275" t="s">
        <v>1124</v>
      </c>
      <c r="D312" s="274" t="s">
        <v>140</v>
      </c>
      <c r="E312" s="274"/>
      <c r="F312" s="276">
        <f t="shared" si="201"/>
        <v>40</v>
      </c>
      <c r="G312" s="276">
        <v>40</v>
      </c>
      <c r="H312" s="276">
        <v>0</v>
      </c>
      <c r="I312" s="276">
        <v>0</v>
      </c>
      <c r="J312" s="280" t="s">
        <v>320</v>
      </c>
      <c r="K312" s="274">
        <v>1</v>
      </c>
      <c r="L312" s="274">
        <v>1</v>
      </c>
      <c r="M312" s="274">
        <v>2018</v>
      </c>
      <c r="N312" s="274">
        <v>2018</v>
      </c>
      <c r="O312" s="280" t="s">
        <v>320</v>
      </c>
      <c r="P312" s="280" t="s">
        <v>320</v>
      </c>
      <c r="Q312" s="280" t="s">
        <v>320</v>
      </c>
      <c r="R312" s="280" t="s">
        <v>320</v>
      </c>
      <c r="S312" s="280"/>
      <c r="T312" s="280"/>
      <c r="U312" s="280"/>
      <c r="V312" s="280"/>
      <c r="W312" s="280"/>
      <c r="X312" s="274"/>
      <c r="Y312" s="274"/>
      <c r="Z312" s="288"/>
      <c r="AA312" s="274"/>
      <c r="AB312" s="288"/>
      <c r="AC312" s="274"/>
    </row>
    <row r="313" ht="30" customHeight="1" spans="1:29">
      <c r="A313" s="273">
        <v>74</v>
      </c>
      <c r="B313" s="278" t="s">
        <v>2317</v>
      </c>
      <c r="C313" s="275" t="s">
        <v>1124</v>
      </c>
      <c r="D313" s="274" t="s">
        <v>45</v>
      </c>
      <c r="E313" s="274"/>
      <c r="F313" s="276">
        <f t="shared" si="201"/>
        <v>20</v>
      </c>
      <c r="G313" s="276">
        <f t="shared" ref="G313:I313" si="209">SUM(G314)</f>
        <v>20</v>
      </c>
      <c r="H313" s="276">
        <f t="shared" si="209"/>
        <v>0</v>
      </c>
      <c r="I313" s="276">
        <f t="shared" si="209"/>
        <v>0</v>
      </c>
      <c r="J313" s="274" t="s">
        <v>2318</v>
      </c>
      <c r="K313" s="276">
        <f t="shared" si="207"/>
        <v>5</v>
      </c>
      <c r="L313" s="276">
        <f t="shared" si="208"/>
        <v>24</v>
      </c>
      <c r="M313" s="274">
        <v>2018</v>
      </c>
      <c r="N313" s="274">
        <v>2018</v>
      </c>
      <c r="O313" s="280" t="s">
        <v>320</v>
      </c>
      <c r="P313" s="280" t="s">
        <v>320</v>
      </c>
      <c r="Q313" s="280" t="s">
        <v>320</v>
      </c>
      <c r="R313" s="280" t="s">
        <v>320</v>
      </c>
      <c r="S313" s="280"/>
      <c r="T313" s="280"/>
      <c r="U313" s="280"/>
      <c r="V313" s="280"/>
      <c r="W313" s="280"/>
      <c r="X313" s="288" t="s">
        <v>2108</v>
      </c>
      <c r="Y313" s="274" t="s">
        <v>2120</v>
      </c>
      <c r="Z313" s="274" t="s">
        <v>43</v>
      </c>
      <c r="AA313" s="274" t="s">
        <v>2264</v>
      </c>
      <c r="AB313" s="274" t="s">
        <v>2265</v>
      </c>
      <c r="AC313" s="274" t="s">
        <v>1073</v>
      </c>
    </row>
    <row r="314" ht="30" customHeight="1" spans="1:29">
      <c r="A314" s="273"/>
      <c r="B314" s="274" t="s">
        <v>2123</v>
      </c>
      <c r="C314" s="275" t="s">
        <v>1124</v>
      </c>
      <c r="D314" s="274" t="s">
        <v>45</v>
      </c>
      <c r="E314" s="274"/>
      <c r="F314" s="276">
        <f t="shared" si="201"/>
        <v>20</v>
      </c>
      <c r="G314" s="276">
        <v>20</v>
      </c>
      <c r="H314" s="276">
        <v>0</v>
      </c>
      <c r="I314" s="276">
        <v>0</v>
      </c>
      <c r="J314" s="280" t="s">
        <v>320</v>
      </c>
      <c r="K314" s="274">
        <v>5</v>
      </c>
      <c r="L314" s="274">
        <v>24</v>
      </c>
      <c r="M314" s="274">
        <v>2018</v>
      </c>
      <c r="N314" s="274">
        <v>2018</v>
      </c>
      <c r="O314" s="280" t="s">
        <v>320</v>
      </c>
      <c r="P314" s="280" t="s">
        <v>320</v>
      </c>
      <c r="Q314" s="280" t="s">
        <v>320</v>
      </c>
      <c r="R314" s="280" t="s">
        <v>320</v>
      </c>
      <c r="S314" s="280"/>
      <c r="T314" s="280"/>
      <c r="U314" s="280"/>
      <c r="V314" s="280"/>
      <c r="W314" s="280"/>
      <c r="X314" s="274"/>
      <c r="Y314" s="274"/>
      <c r="Z314" s="288"/>
      <c r="AA314" s="274"/>
      <c r="AB314" s="288"/>
      <c r="AC314" s="274"/>
    </row>
    <row r="315" ht="30" customHeight="1" spans="1:29">
      <c r="A315" s="273">
        <v>75</v>
      </c>
      <c r="B315" s="277" t="s">
        <v>2319</v>
      </c>
      <c r="C315" s="275" t="s">
        <v>1124</v>
      </c>
      <c r="D315" s="274" t="s">
        <v>2320</v>
      </c>
      <c r="E315" s="274"/>
      <c r="F315" s="276">
        <f t="shared" si="201"/>
        <v>6</v>
      </c>
      <c r="G315" s="276">
        <f t="shared" ref="G315:I315" si="210">SUM(G316)</f>
        <v>6</v>
      </c>
      <c r="H315" s="276">
        <f t="shared" si="210"/>
        <v>0</v>
      </c>
      <c r="I315" s="276">
        <f t="shared" si="210"/>
        <v>0</v>
      </c>
      <c r="J315" s="274" t="s">
        <v>2321</v>
      </c>
      <c r="K315" s="274">
        <f t="shared" si="207"/>
        <v>2</v>
      </c>
      <c r="L315" s="274">
        <f t="shared" si="208"/>
        <v>9</v>
      </c>
      <c r="M315" s="274">
        <v>2018</v>
      </c>
      <c r="N315" s="274">
        <v>2018</v>
      </c>
      <c r="O315" s="280" t="s">
        <v>320</v>
      </c>
      <c r="P315" s="280" t="s">
        <v>320</v>
      </c>
      <c r="Q315" s="280" t="s">
        <v>320</v>
      </c>
      <c r="R315" s="280" t="s">
        <v>320</v>
      </c>
      <c r="S315" s="280"/>
      <c r="T315" s="280"/>
      <c r="U315" s="280"/>
      <c r="V315" s="280"/>
      <c r="W315" s="280"/>
      <c r="X315" s="288" t="s">
        <v>2108</v>
      </c>
      <c r="Y315" s="274" t="s">
        <v>2120</v>
      </c>
      <c r="Z315" s="274" t="s">
        <v>43</v>
      </c>
      <c r="AA315" s="274" t="s">
        <v>2264</v>
      </c>
      <c r="AB315" s="274" t="s">
        <v>2265</v>
      </c>
      <c r="AC315" s="274" t="s">
        <v>1073</v>
      </c>
    </row>
    <row r="316" ht="30" customHeight="1" spans="1:29">
      <c r="A316" s="273"/>
      <c r="B316" s="274" t="s">
        <v>2112</v>
      </c>
      <c r="C316" s="275" t="s">
        <v>1124</v>
      </c>
      <c r="D316" s="274" t="s">
        <v>2320</v>
      </c>
      <c r="E316" s="274"/>
      <c r="F316" s="276">
        <f t="shared" si="201"/>
        <v>6</v>
      </c>
      <c r="G316" s="276">
        <v>6</v>
      </c>
      <c r="H316" s="276">
        <v>0</v>
      </c>
      <c r="I316" s="276">
        <v>0</v>
      </c>
      <c r="J316" s="280" t="s">
        <v>320</v>
      </c>
      <c r="K316" s="274">
        <v>2</v>
      </c>
      <c r="L316" s="274">
        <v>9</v>
      </c>
      <c r="M316" s="274">
        <v>2018</v>
      </c>
      <c r="N316" s="274">
        <v>2018</v>
      </c>
      <c r="O316" s="280" t="s">
        <v>320</v>
      </c>
      <c r="P316" s="280" t="s">
        <v>320</v>
      </c>
      <c r="Q316" s="280" t="s">
        <v>320</v>
      </c>
      <c r="R316" s="280" t="s">
        <v>320</v>
      </c>
      <c r="S316" s="280"/>
      <c r="T316" s="280"/>
      <c r="U316" s="280"/>
      <c r="V316" s="280"/>
      <c r="W316" s="280"/>
      <c r="X316" s="274"/>
      <c r="Y316" s="274"/>
      <c r="Z316" s="288"/>
      <c r="AA316" s="274"/>
      <c r="AB316" s="288"/>
      <c r="AC316" s="274"/>
    </row>
    <row r="317" ht="30" customHeight="1" spans="1:29">
      <c r="A317" s="273">
        <v>76</v>
      </c>
      <c r="B317" s="277" t="s">
        <v>2322</v>
      </c>
      <c r="C317" s="275" t="s">
        <v>1124</v>
      </c>
      <c r="D317" s="274" t="s">
        <v>2320</v>
      </c>
      <c r="E317" s="274"/>
      <c r="F317" s="276">
        <f t="shared" si="201"/>
        <v>21</v>
      </c>
      <c r="G317" s="276">
        <f t="shared" ref="G317:I317" si="211">SUM(G318)</f>
        <v>21</v>
      </c>
      <c r="H317" s="276">
        <f t="shared" si="211"/>
        <v>0</v>
      </c>
      <c r="I317" s="276">
        <f t="shared" si="211"/>
        <v>0</v>
      </c>
      <c r="J317" s="274" t="s">
        <v>2323</v>
      </c>
      <c r="K317" s="274">
        <f t="shared" ref="K317:K321" si="212">SUM(K318)</f>
        <v>8</v>
      </c>
      <c r="L317" s="274">
        <f t="shared" ref="L317:L321" si="213">SUM(L318)</f>
        <v>34</v>
      </c>
      <c r="M317" s="274">
        <v>2018</v>
      </c>
      <c r="N317" s="274">
        <v>2018</v>
      </c>
      <c r="O317" s="280" t="s">
        <v>320</v>
      </c>
      <c r="P317" s="280" t="s">
        <v>320</v>
      </c>
      <c r="Q317" s="280" t="s">
        <v>320</v>
      </c>
      <c r="R317" s="280" t="s">
        <v>320</v>
      </c>
      <c r="S317" s="280"/>
      <c r="T317" s="280"/>
      <c r="U317" s="280"/>
      <c r="V317" s="280"/>
      <c r="W317" s="280"/>
      <c r="X317" s="288" t="s">
        <v>2108</v>
      </c>
      <c r="Y317" s="274" t="s">
        <v>2120</v>
      </c>
      <c r="Z317" s="274" t="s">
        <v>43</v>
      </c>
      <c r="AA317" s="274" t="s">
        <v>2264</v>
      </c>
      <c r="AB317" s="274" t="s">
        <v>2265</v>
      </c>
      <c r="AC317" s="274" t="s">
        <v>1073</v>
      </c>
    </row>
    <row r="318" ht="30" customHeight="1" spans="1:29">
      <c r="A318" s="273"/>
      <c r="B318" s="274" t="s">
        <v>2112</v>
      </c>
      <c r="C318" s="275" t="s">
        <v>1124</v>
      </c>
      <c r="D318" s="274" t="s">
        <v>2320</v>
      </c>
      <c r="E318" s="274"/>
      <c r="F318" s="276">
        <f t="shared" si="201"/>
        <v>21</v>
      </c>
      <c r="G318" s="276">
        <v>21</v>
      </c>
      <c r="H318" s="276">
        <v>0</v>
      </c>
      <c r="I318" s="276">
        <v>0</v>
      </c>
      <c r="J318" s="280" t="s">
        <v>320</v>
      </c>
      <c r="K318" s="274">
        <v>8</v>
      </c>
      <c r="L318" s="274">
        <v>34</v>
      </c>
      <c r="M318" s="274">
        <v>2018</v>
      </c>
      <c r="N318" s="274">
        <v>2018</v>
      </c>
      <c r="O318" s="280" t="s">
        <v>320</v>
      </c>
      <c r="P318" s="280" t="s">
        <v>320</v>
      </c>
      <c r="Q318" s="280" t="s">
        <v>320</v>
      </c>
      <c r="R318" s="280" t="s">
        <v>320</v>
      </c>
      <c r="S318" s="280"/>
      <c r="T318" s="280"/>
      <c r="U318" s="280"/>
      <c r="V318" s="280"/>
      <c r="W318" s="280"/>
      <c r="X318" s="274"/>
      <c r="Y318" s="274"/>
      <c r="Z318" s="288"/>
      <c r="AA318" s="274"/>
      <c r="AB318" s="288"/>
      <c r="AC318" s="274"/>
    </row>
    <row r="319" ht="48" spans="1:29">
      <c r="A319" s="274">
        <v>77</v>
      </c>
      <c r="B319" s="278" t="s">
        <v>2324</v>
      </c>
      <c r="C319" s="275" t="s">
        <v>1124</v>
      </c>
      <c r="D319" s="274" t="s">
        <v>1128</v>
      </c>
      <c r="E319" s="274"/>
      <c r="F319" s="276">
        <f t="shared" si="201"/>
        <v>900</v>
      </c>
      <c r="G319" s="276">
        <f t="shared" ref="G319:I319" si="214">SUM(G320)</f>
        <v>400</v>
      </c>
      <c r="H319" s="276">
        <f t="shared" si="214"/>
        <v>250</v>
      </c>
      <c r="I319" s="276">
        <f t="shared" si="214"/>
        <v>250</v>
      </c>
      <c r="J319" s="274" t="s">
        <v>2325</v>
      </c>
      <c r="K319" s="276">
        <f t="shared" si="212"/>
        <v>10</v>
      </c>
      <c r="L319" s="276">
        <f t="shared" si="213"/>
        <v>36</v>
      </c>
      <c r="M319" s="274">
        <v>2018</v>
      </c>
      <c r="N319" s="274">
        <v>2020</v>
      </c>
      <c r="O319" s="280" t="s">
        <v>320</v>
      </c>
      <c r="P319" s="280" t="s">
        <v>320</v>
      </c>
      <c r="Q319" s="280" t="s">
        <v>320</v>
      </c>
      <c r="R319" s="280" t="s">
        <v>320</v>
      </c>
      <c r="S319" s="280"/>
      <c r="T319" s="280"/>
      <c r="U319" s="280"/>
      <c r="V319" s="280"/>
      <c r="W319" s="280"/>
      <c r="X319" s="288" t="s">
        <v>2108</v>
      </c>
      <c r="Y319" s="274" t="s">
        <v>2120</v>
      </c>
      <c r="Z319" s="274" t="s">
        <v>43</v>
      </c>
      <c r="AA319" s="274" t="s">
        <v>2264</v>
      </c>
      <c r="AB319" s="274" t="s">
        <v>2265</v>
      </c>
      <c r="AC319" s="274" t="s">
        <v>1073</v>
      </c>
    </row>
    <row r="320" ht="30" customHeight="1" spans="1:29">
      <c r="A320" s="274"/>
      <c r="B320" s="274" t="s">
        <v>2326</v>
      </c>
      <c r="C320" s="275" t="s">
        <v>1124</v>
      </c>
      <c r="D320" s="274" t="s">
        <v>1128</v>
      </c>
      <c r="E320" s="274"/>
      <c r="F320" s="276">
        <v>900</v>
      </c>
      <c r="G320" s="276">
        <v>400</v>
      </c>
      <c r="H320" s="276">
        <v>250</v>
      </c>
      <c r="I320" s="276">
        <v>250</v>
      </c>
      <c r="J320" s="280" t="s">
        <v>320</v>
      </c>
      <c r="K320" s="274">
        <v>10</v>
      </c>
      <c r="L320" s="274">
        <v>36</v>
      </c>
      <c r="M320" s="274">
        <v>2018</v>
      </c>
      <c r="N320" s="274">
        <v>2020</v>
      </c>
      <c r="O320" s="280" t="s">
        <v>320</v>
      </c>
      <c r="P320" s="280" t="s">
        <v>320</v>
      </c>
      <c r="Q320" s="280" t="s">
        <v>320</v>
      </c>
      <c r="R320" s="280" t="s">
        <v>320</v>
      </c>
      <c r="S320" s="280"/>
      <c r="T320" s="280"/>
      <c r="U320" s="280"/>
      <c r="V320" s="280"/>
      <c r="W320" s="280"/>
      <c r="X320" s="288"/>
      <c r="Y320" s="274"/>
      <c r="Z320" s="274"/>
      <c r="AA320" s="274"/>
      <c r="AB320" s="274"/>
      <c r="AC320" s="274"/>
    </row>
    <row r="321" ht="36" spans="1:29">
      <c r="A321" s="273">
        <v>78</v>
      </c>
      <c r="B321" s="277" t="s">
        <v>1129</v>
      </c>
      <c r="C321" s="275" t="s">
        <v>320</v>
      </c>
      <c r="D321" s="274" t="s">
        <v>320</v>
      </c>
      <c r="E321" s="274"/>
      <c r="F321" s="276">
        <f>F322</f>
        <v>300</v>
      </c>
      <c r="G321" s="276">
        <f>G322</f>
        <v>0</v>
      </c>
      <c r="H321" s="276">
        <f>H322</f>
        <v>150</v>
      </c>
      <c r="I321" s="276">
        <f>I322</f>
        <v>150</v>
      </c>
      <c r="J321" s="274" t="s">
        <v>320</v>
      </c>
      <c r="K321" s="274">
        <f t="shared" si="212"/>
        <v>83</v>
      </c>
      <c r="L321" s="274">
        <f t="shared" si="213"/>
        <v>325</v>
      </c>
      <c r="M321" s="274">
        <v>2019</v>
      </c>
      <c r="N321" s="274">
        <v>2020</v>
      </c>
      <c r="O321" s="280">
        <f t="shared" ref="O321:O324" si="215">SUM(P321:R321)</f>
        <v>84.9</v>
      </c>
      <c r="P321" s="280">
        <f t="shared" ref="P321:W321" si="216">SUM(P322)</f>
        <v>0</v>
      </c>
      <c r="Q321" s="280">
        <f t="shared" si="216"/>
        <v>42.45</v>
      </c>
      <c r="R321" s="280">
        <f t="shared" si="216"/>
        <v>42.45</v>
      </c>
      <c r="S321" s="280">
        <f t="shared" si="216"/>
        <v>0</v>
      </c>
      <c r="T321" s="280">
        <f t="shared" si="216"/>
        <v>84.9</v>
      </c>
      <c r="U321" s="280">
        <f t="shared" si="216"/>
        <v>0</v>
      </c>
      <c r="V321" s="280">
        <f t="shared" si="216"/>
        <v>0</v>
      </c>
      <c r="W321" s="280">
        <f t="shared" si="216"/>
        <v>0</v>
      </c>
      <c r="X321" s="288" t="s">
        <v>2108</v>
      </c>
      <c r="Y321" s="274" t="s">
        <v>2120</v>
      </c>
      <c r="Z321" s="274" t="s">
        <v>43</v>
      </c>
      <c r="AA321" s="274" t="s">
        <v>320</v>
      </c>
      <c r="AB321" s="274" t="s">
        <v>2300</v>
      </c>
      <c r="AC321" s="274" t="s">
        <v>320</v>
      </c>
    </row>
    <row r="322" ht="30" customHeight="1" spans="1:29">
      <c r="A322" s="273">
        <v>79</v>
      </c>
      <c r="B322" s="302" t="s">
        <v>2327</v>
      </c>
      <c r="C322" s="275" t="s">
        <v>1124</v>
      </c>
      <c r="D322" s="274" t="s">
        <v>1128</v>
      </c>
      <c r="E322" s="274"/>
      <c r="F322" s="276">
        <f t="shared" ref="F322:F324" si="217">SUM(G322:I322)</f>
        <v>300</v>
      </c>
      <c r="G322" s="276">
        <f t="shared" ref="G322:I322" si="218">SUM(G323:G323)</f>
        <v>0</v>
      </c>
      <c r="H322" s="276">
        <f t="shared" si="218"/>
        <v>150</v>
      </c>
      <c r="I322" s="276">
        <f t="shared" si="218"/>
        <v>150</v>
      </c>
      <c r="J322" s="274" t="s">
        <v>2328</v>
      </c>
      <c r="K322" s="276">
        <f t="shared" ref="K322:R322" si="219">SUM(K323:K323)</f>
        <v>83</v>
      </c>
      <c r="L322" s="276">
        <f t="shared" si="219"/>
        <v>325</v>
      </c>
      <c r="M322" s="274">
        <v>2019</v>
      </c>
      <c r="N322" s="274">
        <v>2020</v>
      </c>
      <c r="O322" s="280">
        <f t="shared" si="215"/>
        <v>84.9</v>
      </c>
      <c r="P322" s="280">
        <f t="shared" si="219"/>
        <v>0</v>
      </c>
      <c r="Q322" s="280">
        <f t="shared" si="219"/>
        <v>42.45</v>
      </c>
      <c r="R322" s="280">
        <f t="shared" si="219"/>
        <v>42.45</v>
      </c>
      <c r="S322" s="280"/>
      <c r="T322" s="280">
        <f>SUM(P322:R322)</f>
        <v>84.9</v>
      </c>
      <c r="U322" s="280"/>
      <c r="V322" s="280"/>
      <c r="W322" s="280"/>
      <c r="X322" s="288" t="s">
        <v>2108</v>
      </c>
      <c r="Y322" s="274" t="s">
        <v>2120</v>
      </c>
      <c r="Z322" s="274" t="s">
        <v>43</v>
      </c>
      <c r="AA322" s="274" t="s">
        <v>320</v>
      </c>
      <c r="AB322" s="274" t="s">
        <v>2265</v>
      </c>
      <c r="AC322" s="274" t="s">
        <v>2233</v>
      </c>
    </row>
    <row r="323" ht="108" spans="1:29">
      <c r="A323" s="273"/>
      <c r="B323" s="274" t="s">
        <v>2329</v>
      </c>
      <c r="C323" s="275" t="s">
        <v>1124</v>
      </c>
      <c r="D323" s="274" t="s">
        <v>1128</v>
      </c>
      <c r="E323" s="274"/>
      <c r="F323" s="276">
        <f t="shared" si="217"/>
        <v>300</v>
      </c>
      <c r="G323" s="276">
        <v>0</v>
      </c>
      <c r="H323" s="276">
        <v>150</v>
      </c>
      <c r="I323" s="276">
        <v>150</v>
      </c>
      <c r="J323" s="274" t="s">
        <v>2330</v>
      </c>
      <c r="K323" s="274">
        <v>83</v>
      </c>
      <c r="L323" s="274">
        <v>325</v>
      </c>
      <c r="M323" s="274">
        <v>2019</v>
      </c>
      <c r="N323" s="274">
        <v>2020</v>
      </c>
      <c r="O323" s="280">
        <f t="shared" si="215"/>
        <v>84.9</v>
      </c>
      <c r="P323" s="280">
        <v>0</v>
      </c>
      <c r="Q323" s="280">
        <v>42.45</v>
      </c>
      <c r="R323" s="280">
        <v>42.45</v>
      </c>
      <c r="S323" s="280"/>
      <c r="T323" s="280"/>
      <c r="U323" s="280"/>
      <c r="V323" s="280"/>
      <c r="W323" s="280"/>
      <c r="X323" s="274"/>
      <c r="Y323" s="274"/>
      <c r="Z323" s="288"/>
      <c r="AA323" s="274" t="s">
        <v>2331</v>
      </c>
      <c r="AB323" s="288"/>
      <c r="AC323" s="274"/>
    </row>
    <row r="324" ht="48" spans="1:29">
      <c r="A324" s="273">
        <v>80</v>
      </c>
      <c r="B324" s="277" t="s">
        <v>146</v>
      </c>
      <c r="C324" s="275" t="s">
        <v>52</v>
      </c>
      <c r="D324" s="274" t="s">
        <v>150</v>
      </c>
      <c r="E324" s="274"/>
      <c r="F324" s="276">
        <f t="shared" si="217"/>
        <v>2</v>
      </c>
      <c r="G324" s="276">
        <f t="shared" ref="G324:I324" si="220">SUM(G325,G326,G329)</f>
        <v>2</v>
      </c>
      <c r="H324" s="276">
        <f t="shared" si="220"/>
        <v>0</v>
      </c>
      <c r="I324" s="276">
        <f t="shared" si="220"/>
        <v>0</v>
      </c>
      <c r="J324" s="274" t="s">
        <v>320</v>
      </c>
      <c r="K324" s="274">
        <f>SUM(K325:K329)</f>
        <v>488</v>
      </c>
      <c r="L324" s="274">
        <f>SUM(L325:L329)</f>
        <v>1676</v>
      </c>
      <c r="M324" s="274">
        <v>2018</v>
      </c>
      <c r="N324" s="274">
        <v>2018</v>
      </c>
      <c r="O324" s="280">
        <f t="shared" si="215"/>
        <v>130</v>
      </c>
      <c r="P324" s="280">
        <f t="shared" ref="P324:W324" si="221">SUM(P325,P326,P329)</f>
        <v>130</v>
      </c>
      <c r="Q324" s="280">
        <f t="shared" si="221"/>
        <v>0</v>
      </c>
      <c r="R324" s="280">
        <f t="shared" si="221"/>
        <v>0</v>
      </c>
      <c r="S324" s="280">
        <f t="shared" si="221"/>
        <v>0</v>
      </c>
      <c r="T324" s="280">
        <f t="shared" si="221"/>
        <v>30</v>
      </c>
      <c r="U324" s="280">
        <f t="shared" si="221"/>
        <v>0</v>
      </c>
      <c r="V324" s="280">
        <f t="shared" si="221"/>
        <v>100</v>
      </c>
      <c r="W324" s="280">
        <f t="shared" si="221"/>
        <v>0</v>
      </c>
      <c r="X324" s="288" t="s">
        <v>2108</v>
      </c>
      <c r="Y324" s="274" t="s">
        <v>2120</v>
      </c>
      <c r="Z324" s="288" t="s">
        <v>1133</v>
      </c>
      <c r="AA324" s="274" t="s">
        <v>320</v>
      </c>
      <c r="AB324" s="274" t="s">
        <v>320</v>
      </c>
      <c r="AC324" s="274" t="s">
        <v>320</v>
      </c>
    </row>
    <row r="325" ht="30" customHeight="1" spans="1:29">
      <c r="A325" s="273">
        <v>81</v>
      </c>
      <c r="B325" s="277" t="s">
        <v>2332</v>
      </c>
      <c r="C325" s="275" t="s">
        <v>320</v>
      </c>
      <c r="D325" s="274" t="s">
        <v>320</v>
      </c>
      <c r="E325" s="274"/>
      <c r="F325" s="276" t="s">
        <v>320</v>
      </c>
      <c r="G325" s="276" t="s">
        <v>320</v>
      </c>
      <c r="H325" s="276" t="s">
        <v>320</v>
      </c>
      <c r="I325" s="276" t="s">
        <v>320</v>
      </c>
      <c r="J325" s="276" t="s">
        <v>320</v>
      </c>
      <c r="K325" s="274" t="s">
        <v>320</v>
      </c>
      <c r="L325" s="274" t="s">
        <v>320</v>
      </c>
      <c r="M325" s="274" t="s">
        <v>320</v>
      </c>
      <c r="N325" s="274" t="s">
        <v>320</v>
      </c>
      <c r="O325" s="280" t="s">
        <v>320</v>
      </c>
      <c r="P325" s="280" t="s">
        <v>320</v>
      </c>
      <c r="Q325" s="280" t="s">
        <v>320</v>
      </c>
      <c r="R325" s="280" t="s">
        <v>320</v>
      </c>
      <c r="S325" s="280" t="s">
        <v>320</v>
      </c>
      <c r="T325" s="280" t="s">
        <v>320</v>
      </c>
      <c r="U325" s="280" t="s">
        <v>320</v>
      </c>
      <c r="V325" s="280" t="s">
        <v>320</v>
      </c>
      <c r="W325" s="280" t="s">
        <v>320</v>
      </c>
      <c r="X325" s="274" t="s">
        <v>320</v>
      </c>
      <c r="Y325" s="274" t="s">
        <v>320</v>
      </c>
      <c r="Z325" s="274" t="s">
        <v>320</v>
      </c>
      <c r="AA325" s="274" t="s">
        <v>320</v>
      </c>
      <c r="AB325" s="276" t="s">
        <v>2333</v>
      </c>
      <c r="AC325" s="274" t="s">
        <v>320</v>
      </c>
    </row>
    <row r="326" ht="48" spans="1:29">
      <c r="A326" s="273">
        <v>82</v>
      </c>
      <c r="B326" s="277" t="s">
        <v>2334</v>
      </c>
      <c r="C326" s="275" t="s">
        <v>52</v>
      </c>
      <c r="D326" s="274" t="s">
        <v>150</v>
      </c>
      <c r="E326" s="274"/>
      <c r="F326" s="276">
        <f t="shared" ref="F326:F353" si="222">SUM(G326:I326)</f>
        <v>2</v>
      </c>
      <c r="G326" s="276">
        <f t="shared" ref="G326:I326" si="223">SUM(G327:G328)</f>
        <v>2</v>
      </c>
      <c r="H326" s="276">
        <f t="shared" si="223"/>
        <v>0</v>
      </c>
      <c r="I326" s="276">
        <f t="shared" si="223"/>
        <v>0</v>
      </c>
      <c r="J326" s="274" t="s">
        <v>2335</v>
      </c>
      <c r="K326" s="274">
        <f t="shared" ref="K326:W326" si="224">SUM(K327:K328)</f>
        <v>244</v>
      </c>
      <c r="L326" s="274">
        <f t="shared" si="224"/>
        <v>838</v>
      </c>
      <c r="M326" s="274">
        <v>2018</v>
      </c>
      <c r="N326" s="274">
        <v>2018</v>
      </c>
      <c r="O326" s="280">
        <f t="shared" ref="O326:O328" si="225">SUM(P326:R326)</f>
        <v>130</v>
      </c>
      <c r="P326" s="280">
        <f t="shared" si="224"/>
        <v>130</v>
      </c>
      <c r="Q326" s="280">
        <f t="shared" si="224"/>
        <v>0</v>
      </c>
      <c r="R326" s="280">
        <f t="shared" si="224"/>
        <v>0</v>
      </c>
      <c r="S326" s="280">
        <f t="shared" si="224"/>
        <v>0</v>
      </c>
      <c r="T326" s="280">
        <f t="shared" si="224"/>
        <v>30</v>
      </c>
      <c r="U326" s="280">
        <f t="shared" si="224"/>
        <v>0</v>
      </c>
      <c r="V326" s="280">
        <f t="shared" si="224"/>
        <v>100</v>
      </c>
      <c r="W326" s="280">
        <f t="shared" si="224"/>
        <v>0</v>
      </c>
      <c r="X326" s="288" t="s">
        <v>2108</v>
      </c>
      <c r="Y326" s="274" t="s">
        <v>2109</v>
      </c>
      <c r="Z326" s="288" t="s">
        <v>201</v>
      </c>
      <c r="AA326" s="274" t="s">
        <v>320</v>
      </c>
      <c r="AB326" s="288" t="s">
        <v>2336</v>
      </c>
      <c r="AC326" s="274" t="s">
        <v>1441</v>
      </c>
    </row>
    <row r="327" ht="30" customHeight="1" spans="1:29">
      <c r="A327" s="273"/>
      <c r="B327" s="274" t="s">
        <v>2337</v>
      </c>
      <c r="C327" s="275" t="s">
        <v>970</v>
      </c>
      <c r="D327" s="274" t="s">
        <v>150</v>
      </c>
      <c r="E327" s="274"/>
      <c r="F327" s="276">
        <v>1</v>
      </c>
      <c r="G327" s="276">
        <v>1</v>
      </c>
      <c r="H327" s="276">
        <v>0</v>
      </c>
      <c r="I327" s="276">
        <v>0</v>
      </c>
      <c r="J327" s="274" t="s">
        <v>2338</v>
      </c>
      <c r="K327" s="274">
        <v>232</v>
      </c>
      <c r="L327" s="274">
        <v>801</v>
      </c>
      <c r="M327" s="274">
        <v>2018</v>
      </c>
      <c r="N327" s="274">
        <v>2018</v>
      </c>
      <c r="O327" s="280">
        <f t="shared" si="225"/>
        <v>100</v>
      </c>
      <c r="P327" s="280">
        <v>100</v>
      </c>
      <c r="Q327" s="280">
        <v>0</v>
      </c>
      <c r="R327" s="280">
        <v>0</v>
      </c>
      <c r="S327" s="280"/>
      <c r="T327" s="280"/>
      <c r="U327" s="280"/>
      <c r="V327" s="280">
        <f>SUM(P327:R327)</f>
        <v>100</v>
      </c>
      <c r="W327" s="280"/>
      <c r="X327" s="288"/>
      <c r="Y327" s="274"/>
      <c r="Z327" s="288"/>
      <c r="AA327" s="274" t="s">
        <v>2339</v>
      </c>
      <c r="AB327" s="274" t="s">
        <v>2340</v>
      </c>
      <c r="AC327" s="274" t="s">
        <v>1441</v>
      </c>
    </row>
    <row r="328" ht="36" spans="1:29">
      <c r="A328" s="273"/>
      <c r="B328" s="274" t="s">
        <v>2341</v>
      </c>
      <c r="C328" s="275" t="s">
        <v>52</v>
      </c>
      <c r="D328" s="274" t="s">
        <v>150</v>
      </c>
      <c r="E328" s="274"/>
      <c r="F328" s="276">
        <v>1</v>
      </c>
      <c r="G328" s="276">
        <v>1</v>
      </c>
      <c r="H328" s="276">
        <v>0</v>
      </c>
      <c r="I328" s="276">
        <v>0</v>
      </c>
      <c r="J328" s="274" t="s">
        <v>2342</v>
      </c>
      <c r="K328" s="274">
        <v>12</v>
      </c>
      <c r="L328" s="274">
        <v>37</v>
      </c>
      <c r="M328" s="274">
        <v>2018</v>
      </c>
      <c r="N328" s="274">
        <v>2018</v>
      </c>
      <c r="O328" s="280">
        <f t="shared" si="225"/>
        <v>30</v>
      </c>
      <c r="P328" s="280">
        <v>30</v>
      </c>
      <c r="Q328" s="280">
        <v>0</v>
      </c>
      <c r="R328" s="280">
        <v>0</v>
      </c>
      <c r="S328" s="280"/>
      <c r="T328" s="280">
        <f>SUM(P328:R328)</f>
        <v>30</v>
      </c>
      <c r="U328" s="280"/>
      <c r="V328" s="280"/>
      <c r="W328" s="280"/>
      <c r="X328" s="288"/>
      <c r="Y328" s="274"/>
      <c r="Z328" s="288"/>
      <c r="AA328" s="274" t="s">
        <v>2343</v>
      </c>
      <c r="AB328" s="275"/>
      <c r="AC328" s="275" t="s">
        <v>1441</v>
      </c>
    </row>
    <row r="329" ht="30" customHeight="1" spans="1:29">
      <c r="A329" s="273">
        <v>83</v>
      </c>
      <c r="B329" s="277" t="s">
        <v>2344</v>
      </c>
      <c r="C329" s="294" t="s">
        <v>320</v>
      </c>
      <c r="D329" s="276" t="s">
        <v>320</v>
      </c>
      <c r="E329" s="276"/>
      <c r="F329" s="276" t="s">
        <v>320</v>
      </c>
      <c r="G329" s="276" t="s">
        <v>320</v>
      </c>
      <c r="H329" s="276" t="s">
        <v>320</v>
      </c>
      <c r="I329" s="276" t="s">
        <v>320</v>
      </c>
      <c r="J329" s="274" t="s">
        <v>320</v>
      </c>
      <c r="K329" s="280" t="s">
        <v>320</v>
      </c>
      <c r="L329" s="274" t="s">
        <v>320</v>
      </c>
      <c r="M329" s="274" t="s">
        <v>320</v>
      </c>
      <c r="N329" s="274" t="s">
        <v>320</v>
      </c>
      <c r="O329" s="280" t="s">
        <v>320</v>
      </c>
      <c r="P329" s="280" t="s">
        <v>320</v>
      </c>
      <c r="Q329" s="280" t="s">
        <v>320</v>
      </c>
      <c r="R329" s="280" t="s">
        <v>320</v>
      </c>
      <c r="S329" s="280" t="s">
        <v>320</v>
      </c>
      <c r="T329" s="280" t="s">
        <v>320</v>
      </c>
      <c r="U329" s="280" t="s">
        <v>320</v>
      </c>
      <c r="V329" s="280" t="s">
        <v>320</v>
      </c>
      <c r="W329" s="280" t="s">
        <v>320</v>
      </c>
      <c r="X329" s="280" t="s">
        <v>320</v>
      </c>
      <c r="Y329" s="280" t="s">
        <v>320</v>
      </c>
      <c r="Z329" s="280" t="s">
        <v>320</v>
      </c>
      <c r="AA329" s="274" t="s">
        <v>320</v>
      </c>
      <c r="AB329" s="276" t="s">
        <v>2345</v>
      </c>
      <c r="AC329" s="280" t="s">
        <v>320</v>
      </c>
    </row>
    <row r="330" ht="30" customHeight="1" spans="1:29">
      <c r="A330" s="273">
        <v>84</v>
      </c>
      <c r="B330" s="292" t="s">
        <v>893</v>
      </c>
      <c r="C330" s="279" t="s">
        <v>52</v>
      </c>
      <c r="D330" s="280" t="s">
        <v>2078</v>
      </c>
      <c r="E330" s="280"/>
      <c r="F330" s="276">
        <f t="shared" si="222"/>
        <v>7</v>
      </c>
      <c r="G330" s="276">
        <f t="shared" ref="G330:I330" si="226">SUM(G331:G337)</f>
        <v>1</v>
      </c>
      <c r="H330" s="276">
        <f t="shared" si="226"/>
        <v>6</v>
      </c>
      <c r="I330" s="276">
        <f t="shared" si="226"/>
        <v>0</v>
      </c>
      <c r="J330" s="276" t="s">
        <v>320</v>
      </c>
      <c r="K330" s="276">
        <f t="shared" ref="K330:S330" si="227">SUM(K331:K337)</f>
        <v>1351</v>
      </c>
      <c r="L330" s="276">
        <f t="shared" si="227"/>
        <v>4888</v>
      </c>
      <c r="M330" s="274">
        <v>2018</v>
      </c>
      <c r="N330" s="274">
        <v>2020</v>
      </c>
      <c r="O330" s="280">
        <f t="shared" ref="O330:O361" si="228">SUM(P330:R330)</f>
        <v>405.3</v>
      </c>
      <c r="P330" s="280">
        <f t="shared" si="227"/>
        <v>30</v>
      </c>
      <c r="Q330" s="280">
        <f t="shared" si="227"/>
        <v>375.3</v>
      </c>
      <c r="R330" s="280">
        <f t="shared" si="227"/>
        <v>0</v>
      </c>
      <c r="S330" s="280">
        <f t="shared" si="227"/>
        <v>0</v>
      </c>
      <c r="T330" s="280">
        <f>SUM(P330:R330)</f>
        <v>405.3</v>
      </c>
      <c r="U330" s="280">
        <f t="shared" ref="U330:W330" si="229">SUM(U331:U337)</f>
        <v>0</v>
      </c>
      <c r="V330" s="280">
        <f t="shared" si="229"/>
        <v>0</v>
      </c>
      <c r="W330" s="280">
        <f t="shared" si="229"/>
        <v>0</v>
      </c>
      <c r="X330" s="288" t="s">
        <v>2108</v>
      </c>
      <c r="Y330" s="274" t="s">
        <v>2120</v>
      </c>
      <c r="Z330" s="288" t="s">
        <v>160</v>
      </c>
      <c r="AA330" s="274" t="s">
        <v>2346</v>
      </c>
      <c r="AB330" s="274" t="s">
        <v>320</v>
      </c>
      <c r="AC330" s="274" t="s">
        <v>320</v>
      </c>
    </row>
    <row r="331" s="259" customFormat="1" ht="48" spans="1:29">
      <c r="A331" s="273"/>
      <c r="B331" s="274" t="s">
        <v>2347</v>
      </c>
      <c r="C331" s="275" t="s">
        <v>52</v>
      </c>
      <c r="D331" s="274" t="s">
        <v>2078</v>
      </c>
      <c r="E331" s="274"/>
      <c r="F331" s="276">
        <f t="shared" si="222"/>
        <v>1</v>
      </c>
      <c r="G331" s="276">
        <v>0</v>
      </c>
      <c r="H331" s="276">
        <v>1</v>
      </c>
      <c r="I331" s="276">
        <v>0</v>
      </c>
      <c r="J331" s="274" t="s">
        <v>2348</v>
      </c>
      <c r="K331" s="274">
        <v>429</v>
      </c>
      <c r="L331" s="274">
        <v>1659</v>
      </c>
      <c r="M331" s="274">
        <v>2019</v>
      </c>
      <c r="N331" s="274">
        <v>2019</v>
      </c>
      <c r="O331" s="280">
        <f t="shared" si="228"/>
        <v>128.7</v>
      </c>
      <c r="P331" s="280">
        <v>0</v>
      </c>
      <c r="Q331" s="280">
        <f t="shared" ref="Q331:Q335" si="230">K331*0.3</f>
        <v>128.7</v>
      </c>
      <c r="R331" s="280">
        <v>0</v>
      </c>
      <c r="S331" s="280"/>
      <c r="T331" s="280"/>
      <c r="U331" s="280"/>
      <c r="V331" s="280"/>
      <c r="W331" s="280"/>
      <c r="X331" s="288"/>
      <c r="Y331" s="274"/>
      <c r="Z331" s="288"/>
      <c r="AA331" s="274"/>
      <c r="AB331" s="274"/>
      <c r="AC331" s="274" t="s">
        <v>2233</v>
      </c>
    </row>
    <row r="332" s="259" customFormat="1" ht="48" spans="1:29">
      <c r="A332" s="273"/>
      <c r="B332" s="274" t="s">
        <v>2349</v>
      </c>
      <c r="C332" s="275" t="s">
        <v>52</v>
      </c>
      <c r="D332" s="274" t="s">
        <v>2078</v>
      </c>
      <c r="E332" s="274"/>
      <c r="F332" s="276">
        <f t="shared" si="222"/>
        <v>1</v>
      </c>
      <c r="G332" s="276">
        <v>0</v>
      </c>
      <c r="H332" s="276">
        <v>1</v>
      </c>
      <c r="I332" s="276">
        <v>0</v>
      </c>
      <c r="J332" s="274" t="s">
        <v>2348</v>
      </c>
      <c r="K332" s="274">
        <v>118</v>
      </c>
      <c r="L332" s="274">
        <v>461</v>
      </c>
      <c r="M332" s="274">
        <v>2019</v>
      </c>
      <c r="N332" s="274">
        <v>2019</v>
      </c>
      <c r="O332" s="280">
        <f t="shared" si="228"/>
        <v>35.4</v>
      </c>
      <c r="P332" s="280">
        <v>0</v>
      </c>
      <c r="Q332" s="280">
        <f t="shared" si="230"/>
        <v>35.4</v>
      </c>
      <c r="R332" s="280">
        <v>0</v>
      </c>
      <c r="S332" s="280"/>
      <c r="T332" s="280"/>
      <c r="U332" s="280"/>
      <c r="V332" s="280"/>
      <c r="W332" s="280"/>
      <c r="X332" s="288"/>
      <c r="Y332" s="274"/>
      <c r="Z332" s="288"/>
      <c r="AA332" s="274"/>
      <c r="AB332" s="274" t="s">
        <v>2350</v>
      </c>
      <c r="AC332" s="274" t="s">
        <v>2233</v>
      </c>
    </row>
    <row r="333" ht="48" spans="1:29">
      <c r="A333" s="273"/>
      <c r="B333" s="274" t="s">
        <v>2351</v>
      </c>
      <c r="C333" s="275" t="s">
        <v>52</v>
      </c>
      <c r="D333" s="274" t="s">
        <v>2078</v>
      </c>
      <c r="E333" s="274"/>
      <c r="F333" s="276">
        <f t="shared" si="222"/>
        <v>1</v>
      </c>
      <c r="G333" s="276">
        <v>0</v>
      </c>
      <c r="H333" s="276">
        <v>1</v>
      </c>
      <c r="I333" s="276">
        <v>0</v>
      </c>
      <c r="J333" s="274" t="s">
        <v>2348</v>
      </c>
      <c r="K333" s="274">
        <v>206</v>
      </c>
      <c r="L333" s="274">
        <v>689</v>
      </c>
      <c r="M333" s="274">
        <v>2019</v>
      </c>
      <c r="N333" s="274">
        <v>2019</v>
      </c>
      <c r="O333" s="280">
        <f t="shared" si="228"/>
        <v>61.8</v>
      </c>
      <c r="P333" s="280">
        <v>0</v>
      </c>
      <c r="Q333" s="280">
        <f t="shared" si="230"/>
        <v>61.8</v>
      </c>
      <c r="R333" s="280">
        <v>0</v>
      </c>
      <c r="S333" s="280"/>
      <c r="T333" s="280"/>
      <c r="U333" s="280"/>
      <c r="V333" s="280"/>
      <c r="W333" s="280"/>
      <c r="X333" s="288"/>
      <c r="Y333" s="288"/>
      <c r="Z333" s="288"/>
      <c r="AA333" s="274"/>
      <c r="AB333" s="274" t="s">
        <v>2350</v>
      </c>
      <c r="AC333" s="274" t="s">
        <v>2233</v>
      </c>
    </row>
    <row r="334" ht="48" spans="1:29">
      <c r="A334" s="273"/>
      <c r="B334" s="274" t="s">
        <v>2352</v>
      </c>
      <c r="C334" s="275" t="s">
        <v>52</v>
      </c>
      <c r="D334" s="274" t="s">
        <v>2078</v>
      </c>
      <c r="E334" s="274"/>
      <c r="F334" s="276">
        <f t="shared" si="222"/>
        <v>1</v>
      </c>
      <c r="G334" s="276">
        <v>0</v>
      </c>
      <c r="H334" s="276">
        <v>1</v>
      </c>
      <c r="I334" s="276">
        <v>0</v>
      </c>
      <c r="J334" s="274" t="s">
        <v>2348</v>
      </c>
      <c r="K334" s="274">
        <v>189</v>
      </c>
      <c r="L334" s="274">
        <v>677</v>
      </c>
      <c r="M334" s="274">
        <v>2019</v>
      </c>
      <c r="N334" s="274">
        <v>2019</v>
      </c>
      <c r="O334" s="280">
        <f t="shared" si="228"/>
        <v>56.7</v>
      </c>
      <c r="P334" s="280">
        <v>0</v>
      </c>
      <c r="Q334" s="280">
        <f t="shared" si="230"/>
        <v>56.7</v>
      </c>
      <c r="R334" s="280">
        <v>0</v>
      </c>
      <c r="S334" s="280"/>
      <c r="T334" s="280"/>
      <c r="U334" s="280"/>
      <c r="V334" s="280"/>
      <c r="W334" s="280"/>
      <c r="X334" s="288"/>
      <c r="Y334" s="288"/>
      <c r="Z334" s="288"/>
      <c r="AA334" s="274"/>
      <c r="AB334" s="274" t="s">
        <v>2350</v>
      </c>
      <c r="AC334" s="274" t="s">
        <v>2233</v>
      </c>
    </row>
    <row r="335" ht="48" spans="1:29">
      <c r="A335" s="273"/>
      <c r="B335" s="274" t="s">
        <v>2353</v>
      </c>
      <c r="C335" s="275" t="s">
        <v>52</v>
      </c>
      <c r="D335" s="274" t="s">
        <v>2078</v>
      </c>
      <c r="E335" s="274"/>
      <c r="F335" s="276">
        <f t="shared" si="222"/>
        <v>1</v>
      </c>
      <c r="G335" s="276">
        <v>0</v>
      </c>
      <c r="H335" s="276">
        <v>1</v>
      </c>
      <c r="I335" s="276">
        <v>0</v>
      </c>
      <c r="J335" s="274" t="s">
        <v>2348</v>
      </c>
      <c r="K335" s="274">
        <v>119</v>
      </c>
      <c r="L335" s="274">
        <v>419</v>
      </c>
      <c r="M335" s="274">
        <v>2019</v>
      </c>
      <c r="N335" s="274">
        <v>2019</v>
      </c>
      <c r="O335" s="280">
        <f t="shared" si="228"/>
        <v>35.7</v>
      </c>
      <c r="P335" s="280">
        <v>0</v>
      </c>
      <c r="Q335" s="280">
        <f t="shared" si="230"/>
        <v>35.7</v>
      </c>
      <c r="R335" s="280">
        <v>0</v>
      </c>
      <c r="S335" s="280"/>
      <c r="T335" s="280"/>
      <c r="U335" s="280"/>
      <c r="V335" s="280"/>
      <c r="W335" s="280"/>
      <c r="X335" s="288"/>
      <c r="Y335" s="288"/>
      <c r="Z335" s="288"/>
      <c r="AA335" s="274"/>
      <c r="AB335" s="274" t="s">
        <v>2350</v>
      </c>
      <c r="AC335" s="274" t="s">
        <v>2233</v>
      </c>
    </row>
    <row r="336" ht="48" spans="1:29">
      <c r="A336" s="273"/>
      <c r="B336" s="274" t="s">
        <v>2354</v>
      </c>
      <c r="C336" s="275" t="s">
        <v>52</v>
      </c>
      <c r="D336" s="274" t="s">
        <v>2078</v>
      </c>
      <c r="E336" s="274"/>
      <c r="F336" s="276">
        <f t="shared" si="222"/>
        <v>1</v>
      </c>
      <c r="G336" s="276">
        <v>1</v>
      </c>
      <c r="H336" s="276">
        <v>0</v>
      </c>
      <c r="I336" s="276">
        <v>0</v>
      </c>
      <c r="J336" s="274" t="s">
        <v>2348</v>
      </c>
      <c r="K336" s="274">
        <v>100</v>
      </c>
      <c r="L336" s="274">
        <v>354</v>
      </c>
      <c r="M336" s="274">
        <v>2018</v>
      </c>
      <c r="N336" s="274">
        <v>2018</v>
      </c>
      <c r="O336" s="280">
        <f t="shared" si="228"/>
        <v>30</v>
      </c>
      <c r="P336" s="280">
        <v>30</v>
      </c>
      <c r="Q336" s="280">
        <v>0</v>
      </c>
      <c r="R336" s="280">
        <v>0</v>
      </c>
      <c r="S336" s="280"/>
      <c r="T336" s="280"/>
      <c r="U336" s="280"/>
      <c r="V336" s="280"/>
      <c r="W336" s="280"/>
      <c r="X336" s="274"/>
      <c r="Y336" s="274"/>
      <c r="Z336" s="274"/>
      <c r="AA336" s="274"/>
      <c r="AB336" s="275" t="s">
        <v>2350</v>
      </c>
      <c r="AC336" s="274" t="s">
        <v>1073</v>
      </c>
    </row>
    <row r="337" ht="48" spans="1:29">
      <c r="A337" s="273"/>
      <c r="B337" s="274" t="s">
        <v>2355</v>
      </c>
      <c r="C337" s="275" t="s">
        <v>52</v>
      </c>
      <c r="D337" s="274" t="s">
        <v>2078</v>
      </c>
      <c r="E337" s="274"/>
      <c r="F337" s="276">
        <f t="shared" si="222"/>
        <v>1</v>
      </c>
      <c r="G337" s="276">
        <v>0</v>
      </c>
      <c r="H337" s="276">
        <v>1</v>
      </c>
      <c r="I337" s="276">
        <v>0</v>
      </c>
      <c r="J337" s="274" t="s">
        <v>2348</v>
      </c>
      <c r="K337" s="274">
        <v>190</v>
      </c>
      <c r="L337" s="274">
        <v>629</v>
      </c>
      <c r="M337" s="274">
        <v>2019</v>
      </c>
      <c r="N337" s="274">
        <v>2019</v>
      </c>
      <c r="O337" s="280">
        <f t="shared" si="228"/>
        <v>57</v>
      </c>
      <c r="P337" s="280">
        <v>0</v>
      </c>
      <c r="Q337" s="280">
        <f>K337*0.3</f>
        <v>57</v>
      </c>
      <c r="R337" s="280">
        <v>0</v>
      </c>
      <c r="S337" s="280"/>
      <c r="T337" s="280"/>
      <c r="U337" s="280"/>
      <c r="V337" s="280"/>
      <c r="W337" s="280"/>
      <c r="X337" s="288"/>
      <c r="Y337" s="288"/>
      <c r="Z337" s="288"/>
      <c r="AA337" s="274"/>
      <c r="AB337" s="274" t="s">
        <v>2350</v>
      </c>
      <c r="AC337" s="274" t="s">
        <v>2233</v>
      </c>
    </row>
    <row r="338" ht="30" customHeight="1" spans="1:29">
      <c r="A338" s="273">
        <v>85</v>
      </c>
      <c r="B338" s="292" t="s">
        <v>158</v>
      </c>
      <c r="C338" s="279" t="s">
        <v>1124</v>
      </c>
      <c r="D338" s="274" t="s">
        <v>163</v>
      </c>
      <c r="E338" s="274"/>
      <c r="F338" s="280">
        <f t="shared" si="222"/>
        <v>1538.2888</v>
      </c>
      <c r="G338" s="280">
        <v>1121.1</v>
      </c>
      <c r="H338" s="280">
        <v>208.5944</v>
      </c>
      <c r="I338" s="280">
        <v>208.5944</v>
      </c>
      <c r="J338" s="276" t="s">
        <v>320</v>
      </c>
      <c r="K338" s="289">
        <v>482.2972</v>
      </c>
      <c r="L338" s="289">
        <f>SUM(L339:L345)</f>
        <v>1640.879</v>
      </c>
      <c r="M338" s="274">
        <v>2018</v>
      </c>
      <c r="N338" s="274">
        <v>2020</v>
      </c>
      <c r="O338" s="280">
        <f t="shared" si="228"/>
        <v>101.454702</v>
      </c>
      <c r="P338" s="280">
        <v>23.91</v>
      </c>
      <c r="Q338" s="280">
        <v>33.818234</v>
      </c>
      <c r="R338" s="280">
        <v>43.726468</v>
      </c>
      <c r="S338" s="280"/>
      <c r="T338" s="280">
        <f>SUM(P338:R338)</f>
        <v>101.454702</v>
      </c>
      <c r="U338" s="280"/>
      <c r="V338" s="280"/>
      <c r="W338" s="280"/>
      <c r="X338" s="288" t="s">
        <v>2108</v>
      </c>
      <c r="Y338" s="274" t="s">
        <v>2120</v>
      </c>
      <c r="Z338" s="288" t="s">
        <v>160</v>
      </c>
      <c r="AA338" s="274" t="s">
        <v>2356</v>
      </c>
      <c r="AB338" s="288" t="s">
        <v>2357</v>
      </c>
      <c r="AC338" s="274" t="s">
        <v>1073</v>
      </c>
    </row>
    <row r="339" ht="30" customHeight="1" spans="1:29">
      <c r="A339" s="273"/>
      <c r="B339" s="274" t="s">
        <v>2123</v>
      </c>
      <c r="C339" s="275" t="s">
        <v>1124</v>
      </c>
      <c r="D339" s="274" t="s">
        <v>163</v>
      </c>
      <c r="E339" s="274"/>
      <c r="F339" s="280">
        <f t="shared" si="222"/>
        <v>504.4752</v>
      </c>
      <c r="G339" s="280">
        <v>372</v>
      </c>
      <c r="H339" s="280">
        <v>66.2376</v>
      </c>
      <c r="I339" s="280">
        <v>66.2376</v>
      </c>
      <c r="J339" s="276" t="s">
        <v>320</v>
      </c>
      <c r="K339" s="289">
        <v>144.1188</v>
      </c>
      <c r="L339" s="289">
        <v>504.4158</v>
      </c>
      <c r="M339" s="274">
        <v>2018</v>
      </c>
      <c r="N339" s="274">
        <v>2020</v>
      </c>
      <c r="O339" s="280">
        <f t="shared" si="228"/>
        <v>40.278858</v>
      </c>
      <c r="P339" s="280">
        <v>10.28</v>
      </c>
      <c r="Q339" s="280">
        <v>13.426286</v>
      </c>
      <c r="R339" s="280">
        <v>16.572572</v>
      </c>
      <c r="S339" s="280"/>
      <c r="T339" s="280"/>
      <c r="U339" s="280"/>
      <c r="V339" s="280"/>
      <c r="W339" s="280"/>
      <c r="X339" s="288"/>
      <c r="Y339" s="274"/>
      <c r="Z339" s="288"/>
      <c r="AA339" s="274"/>
      <c r="AB339" s="288"/>
      <c r="AC339" s="274"/>
    </row>
    <row r="340" ht="30" customHeight="1" spans="1:29">
      <c r="A340" s="273"/>
      <c r="B340" s="274" t="s">
        <v>2112</v>
      </c>
      <c r="C340" s="275" t="s">
        <v>1124</v>
      </c>
      <c r="D340" s="274" t="s">
        <v>163</v>
      </c>
      <c r="E340" s="274"/>
      <c r="F340" s="280">
        <f t="shared" si="222"/>
        <v>119.0384</v>
      </c>
      <c r="G340" s="280">
        <v>82.6</v>
      </c>
      <c r="H340" s="280">
        <v>18.2192</v>
      </c>
      <c r="I340" s="280">
        <v>18.2192</v>
      </c>
      <c r="J340" s="276" t="s">
        <v>320</v>
      </c>
      <c r="K340" s="289">
        <v>38.1096</v>
      </c>
      <c r="L340" s="289">
        <v>133.3836</v>
      </c>
      <c r="M340" s="274">
        <v>2018</v>
      </c>
      <c r="N340" s="274">
        <v>2020</v>
      </c>
      <c r="O340" s="280">
        <f t="shared" si="228"/>
        <v>9.676236</v>
      </c>
      <c r="P340" s="280">
        <v>2.36</v>
      </c>
      <c r="Q340" s="280">
        <v>3.225412</v>
      </c>
      <c r="R340" s="280">
        <v>4.090824</v>
      </c>
      <c r="S340" s="280"/>
      <c r="T340" s="280"/>
      <c r="U340" s="280"/>
      <c r="V340" s="280"/>
      <c r="W340" s="280"/>
      <c r="X340" s="288"/>
      <c r="Y340" s="274"/>
      <c r="Z340" s="288"/>
      <c r="AA340" s="274"/>
      <c r="AB340" s="288"/>
      <c r="AC340" s="274"/>
    </row>
    <row r="341" ht="30" customHeight="1" spans="1:29">
      <c r="A341" s="273"/>
      <c r="B341" s="274" t="s">
        <v>2114</v>
      </c>
      <c r="C341" s="275" t="s">
        <v>1124</v>
      </c>
      <c r="D341" s="274" t="s">
        <v>163</v>
      </c>
      <c r="E341" s="274"/>
      <c r="F341" s="280">
        <f t="shared" si="222"/>
        <v>189.5128</v>
      </c>
      <c r="G341" s="280">
        <v>125.9</v>
      </c>
      <c r="H341" s="280">
        <v>31.8064</v>
      </c>
      <c r="I341" s="280">
        <v>31.8064</v>
      </c>
      <c r="J341" s="276" t="s">
        <v>320</v>
      </c>
      <c r="K341" s="289">
        <v>74.9032</v>
      </c>
      <c r="L341" s="289">
        <v>215</v>
      </c>
      <c r="M341" s="274">
        <v>2018</v>
      </c>
      <c r="N341" s="274">
        <v>2020</v>
      </c>
      <c r="O341" s="280">
        <f t="shared" si="228"/>
        <v>9.902412</v>
      </c>
      <c r="P341" s="280">
        <v>1.79</v>
      </c>
      <c r="Q341" s="280">
        <v>3.300804</v>
      </c>
      <c r="R341" s="280">
        <v>4.811608</v>
      </c>
      <c r="S341" s="280"/>
      <c r="T341" s="280"/>
      <c r="U341" s="280"/>
      <c r="V341" s="280"/>
      <c r="W341" s="280"/>
      <c r="X341" s="288"/>
      <c r="Y341" s="274"/>
      <c r="Z341" s="288"/>
      <c r="AA341" s="274"/>
      <c r="AB341" s="288"/>
      <c r="AC341" s="274"/>
    </row>
    <row r="342" ht="30" customHeight="1" spans="1:29">
      <c r="A342" s="273"/>
      <c r="B342" s="274" t="s">
        <v>2116</v>
      </c>
      <c r="C342" s="275" t="s">
        <v>1124</v>
      </c>
      <c r="D342" s="274" t="s">
        <v>163</v>
      </c>
      <c r="E342" s="274"/>
      <c r="F342" s="280">
        <f t="shared" si="222"/>
        <v>266.0632</v>
      </c>
      <c r="G342" s="280">
        <v>207.7</v>
      </c>
      <c r="H342" s="280">
        <v>29.1816</v>
      </c>
      <c r="I342" s="280">
        <v>29.1816</v>
      </c>
      <c r="J342" s="276" t="s">
        <v>320</v>
      </c>
      <c r="K342" s="289">
        <v>69.5908</v>
      </c>
      <c r="L342" s="289">
        <v>243.5678</v>
      </c>
      <c r="M342" s="274">
        <v>2018</v>
      </c>
      <c r="N342" s="274">
        <v>2020</v>
      </c>
      <c r="O342" s="280">
        <f t="shared" si="228"/>
        <v>17.058378</v>
      </c>
      <c r="P342" s="280">
        <v>4.3</v>
      </c>
      <c r="Q342" s="280">
        <v>5.686126</v>
      </c>
      <c r="R342" s="280">
        <v>7.072252</v>
      </c>
      <c r="S342" s="280"/>
      <c r="T342" s="280"/>
      <c r="U342" s="280"/>
      <c r="V342" s="280"/>
      <c r="W342" s="280"/>
      <c r="X342" s="288"/>
      <c r="Y342" s="274"/>
      <c r="Z342" s="288"/>
      <c r="AA342" s="274"/>
      <c r="AB342" s="288"/>
      <c r="AC342" s="274"/>
    </row>
    <row r="343" ht="30" customHeight="1" spans="1:29">
      <c r="A343" s="273"/>
      <c r="B343" s="274" t="s">
        <v>2118</v>
      </c>
      <c r="C343" s="275" t="s">
        <v>1124</v>
      </c>
      <c r="D343" s="274" t="s">
        <v>163</v>
      </c>
      <c r="E343" s="274"/>
      <c r="F343" s="280">
        <f t="shared" si="222"/>
        <v>184.6472</v>
      </c>
      <c r="G343" s="280">
        <v>147.9</v>
      </c>
      <c r="H343" s="280">
        <v>18.3736</v>
      </c>
      <c r="I343" s="280">
        <v>18.3736</v>
      </c>
      <c r="J343" s="276" t="s">
        <v>320</v>
      </c>
      <c r="K343" s="289">
        <v>59.1868</v>
      </c>
      <c r="L343" s="289">
        <v>207.1538</v>
      </c>
      <c r="M343" s="274">
        <v>2018</v>
      </c>
      <c r="N343" s="274">
        <v>2020</v>
      </c>
      <c r="O343" s="280">
        <f t="shared" si="228"/>
        <v>9.968238</v>
      </c>
      <c r="P343" s="280">
        <v>2.45</v>
      </c>
      <c r="Q343" s="280">
        <v>3.322746</v>
      </c>
      <c r="R343" s="280">
        <v>4.195492</v>
      </c>
      <c r="S343" s="280"/>
      <c r="T343" s="280"/>
      <c r="U343" s="280"/>
      <c r="V343" s="280"/>
      <c r="W343" s="280"/>
      <c r="X343" s="288"/>
      <c r="Y343" s="274"/>
      <c r="Z343" s="288"/>
      <c r="AA343" s="274"/>
      <c r="AB343" s="288"/>
      <c r="AC343" s="274"/>
    </row>
    <row r="344" ht="30" customHeight="1" spans="1:29">
      <c r="A344" s="273"/>
      <c r="B344" s="274" t="s">
        <v>2124</v>
      </c>
      <c r="C344" s="275" t="s">
        <v>1124</v>
      </c>
      <c r="D344" s="274" t="s">
        <v>163</v>
      </c>
      <c r="E344" s="274"/>
      <c r="F344" s="280">
        <f t="shared" si="222"/>
        <v>81.88</v>
      </c>
      <c r="G344" s="280">
        <v>51</v>
      </c>
      <c r="H344" s="280">
        <v>15.44</v>
      </c>
      <c r="I344" s="280">
        <v>15.44</v>
      </c>
      <c r="J344" s="276" t="s">
        <v>320</v>
      </c>
      <c r="K344" s="289">
        <v>19.72</v>
      </c>
      <c r="L344" s="289">
        <v>69.02</v>
      </c>
      <c r="M344" s="274">
        <v>2018</v>
      </c>
      <c r="N344" s="274">
        <v>2020</v>
      </c>
      <c r="O344" s="280">
        <f t="shared" si="228"/>
        <v>3.7002</v>
      </c>
      <c r="P344" s="280">
        <v>0.5</v>
      </c>
      <c r="Q344" s="280">
        <v>1.2334</v>
      </c>
      <c r="R344" s="280">
        <v>1.9668</v>
      </c>
      <c r="S344" s="280"/>
      <c r="T344" s="280"/>
      <c r="U344" s="280"/>
      <c r="V344" s="280"/>
      <c r="W344" s="280"/>
      <c r="X344" s="288"/>
      <c r="Y344" s="274"/>
      <c r="Z344" s="288"/>
      <c r="AA344" s="274"/>
      <c r="AB344" s="288"/>
      <c r="AC344" s="274"/>
    </row>
    <row r="345" ht="30" customHeight="1" spans="1:29">
      <c r="A345" s="273"/>
      <c r="B345" s="274" t="s">
        <v>2125</v>
      </c>
      <c r="C345" s="275" t="s">
        <v>1124</v>
      </c>
      <c r="D345" s="274" t="s">
        <v>163</v>
      </c>
      <c r="E345" s="274"/>
      <c r="F345" s="280">
        <f t="shared" si="222"/>
        <v>192.672</v>
      </c>
      <c r="G345" s="280">
        <v>134</v>
      </c>
      <c r="H345" s="280">
        <v>29.336</v>
      </c>
      <c r="I345" s="280">
        <v>29.336</v>
      </c>
      <c r="J345" s="276" t="s">
        <v>320</v>
      </c>
      <c r="K345" s="289">
        <v>76.668</v>
      </c>
      <c r="L345" s="289">
        <v>268.338</v>
      </c>
      <c r="M345" s="274">
        <v>2018</v>
      </c>
      <c r="N345" s="274">
        <v>2020</v>
      </c>
      <c r="O345" s="280">
        <f t="shared" si="228"/>
        <v>10.87038</v>
      </c>
      <c r="P345" s="280">
        <v>2.23</v>
      </c>
      <c r="Q345" s="280">
        <v>3.62346</v>
      </c>
      <c r="R345" s="280">
        <v>5.01692</v>
      </c>
      <c r="S345" s="280"/>
      <c r="T345" s="280"/>
      <c r="U345" s="280"/>
      <c r="V345" s="280"/>
      <c r="W345" s="280"/>
      <c r="X345" s="288"/>
      <c r="Y345" s="274"/>
      <c r="Z345" s="288"/>
      <c r="AA345" s="274"/>
      <c r="AB345" s="288"/>
      <c r="AC345" s="274"/>
    </row>
    <row r="346" ht="48" spans="1:29">
      <c r="A346" s="273">
        <v>86</v>
      </c>
      <c r="B346" s="292" t="s">
        <v>2358</v>
      </c>
      <c r="C346" s="275" t="s">
        <v>1124</v>
      </c>
      <c r="D346" s="274" t="s">
        <v>560</v>
      </c>
      <c r="E346" s="274"/>
      <c r="F346" s="276">
        <f t="shared" si="222"/>
        <v>106290</v>
      </c>
      <c r="G346" s="276">
        <f t="shared" ref="G346:I346" si="231">SUM(G347:G353)</f>
        <v>9500</v>
      </c>
      <c r="H346" s="276">
        <f t="shared" si="231"/>
        <v>96790</v>
      </c>
      <c r="I346" s="276">
        <f t="shared" si="231"/>
        <v>0</v>
      </c>
      <c r="J346" s="276" t="s">
        <v>2359</v>
      </c>
      <c r="K346" s="276">
        <f t="shared" ref="K346:R346" si="232">SUM(K347:K353)</f>
        <v>888</v>
      </c>
      <c r="L346" s="276">
        <f t="shared" si="232"/>
        <v>3160</v>
      </c>
      <c r="M346" s="274">
        <v>2018</v>
      </c>
      <c r="N346" s="274">
        <v>2019</v>
      </c>
      <c r="O346" s="280">
        <f t="shared" si="228"/>
        <v>1170</v>
      </c>
      <c r="P346" s="280">
        <f t="shared" si="232"/>
        <v>105</v>
      </c>
      <c r="Q346" s="280">
        <f t="shared" si="232"/>
        <v>1065</v>
      </c>
      <c r="R346" s="280">
        <f t="shared" si="232"/>
        <v>0</v>
      </c>
      <c r="S346" s="280"/>
      <c r="T346" s="280">
        <f>SUM(P346:R346)</f>
        <v>1170</v>
      </c>
      <c r="U346" s="280"/>
      <c r="V346" s="280"/>
      <c r="W346" s="280"/>
      <c r="X346" s="288" t="s">
        <v>2108</v>
      </c>
      <c r="Y346" s="274" t="s">
        <v>2109</v>
      </c>
      <c r="Z346" s="288" t="s">
        <v>1153</v>
      </c>
      <c r="AA346" s="274" t="s">
        <v>2360</v>
      </c>
      <c r="AB346" s="288" t="s">
        <v>2361</v>
      </c>
      <c r="AC346" s="274" t="s">
        <v>320</v>
      </c>
    </row>
    <row r="347" ht="30" customHeight="1" spans="1:29">
      <c r="A347" s="273"/>
      <c r="B347" s="274" t="s">
        <v>2123</v>
      </c>
      <c r="C347" s="275" t="s">
        <v>1124</v>
      </c>
      <c r="D347" s="274" t="s">
        <v>560</v>
      </c>
      <c r="E347" s="274"/>
      <c r="F347" s="276">
        <f t="shared" si="222"/>
        <v>8000</v>
      </c>
      <c r="G347" s="276">
        <v>8000</v>
      </c>
      <c r="H347" s="276">
        <v>0</v>
      </c>
      <c r="I347" s="276">
        <v>0</v>
      </c>
      <c r="J347" s="274" t="s">
        <v>2362</v>
      </c>
      <c r="K347" s="274">
        <v>158</v>
      </c>
      <c r="L347" s="274">
        <v>611</v>
      </c>
      <c r="M347" s="274">
        <v>2019</v>
      </c>
      <c r="N347" s="274">
        <v>2018</v>
      </c>
      <c r="O347" s="280">
        <f t="shared" si="228"/>
        <v>88</v>
      </c>
      <c r="P347" s="280">
        <v>88</v>
      </c>
      <c r="Q347" s="280">
        <f>H347*0.015</f>
        <v>0</v>
      </c>
      <c r="R347" s="280">
        <f t="shared" ref="R347:R353" si="233">SUM(I347*0.015)</f>
        <v>0</v>
      </c>
      <c r="S347" s="280"/>
      <c r="T347" s="280"/>
      <c r="U347" s="280"/>
      <c r="V347" s="280"/>
      <c r="W347" s="280"/>
      <c r="X347" s="289"/>
      <c r="Y347" s="289"/>
      <c r="Z347" s="274"/>
      <c r="AA347" s="274" t="s">
        <v>2363</v>
      </c>
      <c r="AB347" s="258" t="s">
        <v>2350</v>
      </c>
      <c r="AC347" s="274" t="s">
        <v>1073</v>
      </c>
    </row>
    <row r="348" ht="30" customHeight="1" spans="1:29">
      <c r="A348" s="273"/>
      <c r="B348" s="274" t="s">
        <v>2112</v>
      </c>
      <c r="C348" s="275" t="s">
        <v>1124</v>
      </c>
      <c r="D348" s="274" t="s">
        <v>560</v>
      </c>
      <c r="E348" s="274"/>
      <c r="F348" s="276">
        <f t="shared" si="222"/>
        <v>24990</v>
      </c>
      <c r="G348" s="276">
        <v>0</v>
      </c>
      <c r="H348" s="276">
        <v>24990</v>
      </c>
      <c r="I348" s="276">
        <v>0</v>
      </c>
      <c r="J348" s="274" t="s">
        <v>2364</v>
      </c>
      <c r="K348" s="274">
        <v>90</v>
      </c>
      <c r="L348" s="274">
        <v>358</v>
      </c>
      <c r="M348" s="274">
        <v>2019</v>
      </c>
      <c r="N348" s="274">
        <v>2019</v>
      </c>
      <c r="O348" s="280">
        <f t="shared" si="228"/>
        <v>275</v>
      </c>
      <c r="P348" s="280">
        <f t="shared" ref="P348:P351" si="234">G348*0.015</f>
        <v>0</v>
      </c>
      <c r="Q348" s="280">
        <v>275</v>
      </c>
      <c r="R348" s="280">
        <f t="shared" si="233"/>
        <v>0</v>
      </c>
      <c r="S348" s="280"/>
      <c r="T348" s="280"/>
      <c r="U348" s="280"/>
      <c r="V348" s="280"/>
      <c r="W348" s="280"/>
      <c r="X348" s="274"/>
      <c r="Y348" s="274"/>
      <c r="Z348" s="274"/>
      <c r="AA348" s="274" t="s">
        <v>2363</v>
      </c>
      <c r="AB348" s="275" t="s">
        <v>2365</v>
      </c>
      <c r="AC348" s="274" t="s">
        <v>2233</v>
      </c>
    </row>
    <row r="349" ht="30" customHeight="1" spans="1:29">
      <c r="A349" s="273"/>
      <c r="B349" s="274" t="s">
        <v>2114</v>
      </c>
      <c r="C349" s="275" t="s">
        <v>1124</v>
      </c>
      <c r="D349" s="274" t="s">
        <v>560</v>
      </c>
      <c r="E349" s="274"/>
      <c r="F349" s="276">
        <f t="shared" si="222"/>
        <v>22000</v>
      </c>
      <c r="G349" s="276">
        <v>0</v>
      </c>
      <c r="H349" s="276">
        <v>22000</v>
      </c>
      <c r="I349" s="276">
        <v>0</v>
      </c>
      <c r="J349" s="274" t="s">
        <v>2366</v>
      </c>
      <c r="K349" s="274">
        <v>203</v>
      </c>
      <c r="L349" s="274">
        <v>678</v>
      </c>
      <c r="M349" s="274">
        <v>2019</v>
      </c>
      <c r="N349" s="274">
        <v>2019</v>
      </c>
      <c r="O349" s="280">
        <f t="shared" si="228"/>
        <v>242</v>
      </c>
      <c r="P349" s="280">
        <f t="shared" si="234"/>
        <v>0</v>
      </c>
      <c r="Q349" s="280">
        <v>242</v>
      </c>
      <c r="R349" s="280">
        <f t="shared" si="233"/>
        <v>0</v>
      </c>
      <c r="S349" s="280"/>
      <c r="T349" s="280"/>
      <c r="U349" s="280"/>
      <c r="V349" s="280"/>
      <c r="W349" s="280"/>
      <c r="X349" s="288"/>
      <c r="Y349" s="288"/>
      <c r="Z349" s="274"/>
      <c r="AA349" s="274" t="s">
        <v>2363</v>
      </c>
      <c r="AB349" s="274" t="s">
        <v>2367</v>
      </c>
      <c r="AC349" s="274" t="s">
        <v>2233</v>
      </c>
    </row>
    <row r="350" ht="30" customHeight="1" spans="1:29">
      <c r="A350" s="273"/>
      <c r="B350" s="274" t="s">
        <v>2116</v>
      </c>
      <c r="C350" s="275" t="s">
        <v>1124</v>
      </c>
      <c r="D350" s="274" t="s">
        <v>560</v>
      </c>
      <c r="E350" s="274"/>
      <c r="F350" s="276">
        <f t="shared" si="222"/>
        <v>14800</v>
      </c>
      <c r="G350" s="276">
        <v>0</v>
      </c>
      <c r="H350" s="276">
        <v>14800</v>
      </c>
      <c r="I350" s="276">
        <v>0</v>
      </c>
      <c r="J350" s="274" t="s">
        <v>2368</v>
      </c>
      <c r="K350" s="274">
        <v>189</v>
      </c>
      <c r="L350" s="274">
        <v>677</v>
      </c>
      <c r="M350" s="274">
        <v>2019</v>
      </c>
      <c r="N350" s="274">
        <v>2019</v>
      </c>
      <c r="O350" s="280">
        <f t="shared" si="228"/>
        <v>163</v>
      </c>
      <c r="P350" s="280">
        <f t="shared" si="234"/>
        <v>0</v>
      </c>
      <c r="Q350" s="280">
        <v>163</v>
      </c>
      <c r="R350" s="280">
        <f t="shared" si="233"/>
        <v>0</v>
      </c>
      <c r="S350" s="280"/>
      <c r="T350" s="280"/>
      <c r="U350" s="280"/>
      <c r="V350" s="280"/>
      <c r="W350" s="280"/>
      <c r="X350" s="288"/>
      <c r="Y350" s="288"/>
      <c r="Z350" s="274"/>
      <c r="AA350" s="274" t="s">
        <v>2363</v>
      </c>
      <c r="AB350" s="274" t="s">
        <v>2369</v>
      </c>
      <c r="AC350" s="274" t="s">
        <v>2233</v>
      </c>
    </row>
    <row r="351" ht="30" customHeight="1" spans="1:29">
      <c r="A351" s="273"/>
      <c r="B351" s="274" t="s">
        <v>2118</v>
      </c>
      <c r="C351" s="275" t="s">
        <v>1124</v>
      </c>
      <c r="D351" s="274" t="s">
        <v>560</v>
      </c>
      <c r="E351" s="274"/>
      <c r="F351" s="276">
        <f t="shared" si="222"/>
        <v>5000</v>
      </c>
      <c r="G351" s="276">
        <v>0</v>
      </c>
      <c r="H351" s="276">
        <v>5000</v>
      </c>
      <c r="I351" s="276">
        <v>0</v>
      </c>
      <c r="J351" s="274" t="s">
        <v>2370</v>
      </c>
      <c r="K351" s="274">
        <v>41</v>
      </c>
      <c r="L351" s="274">
        <v>145</v>
      </c>
      <c r="M351" s="274">
        <v>2019</v>
      </c>
      <c r="N351" s="274">
        <v>2019</v>
      </c>
      <c r="O351" s="280">
        <f t="shared" si="228"/>
        <v>55</v>
      </c>
      <c r="P351" s="280">
        <f t="shared" si="234"/>
        <v>0</v>
      </c>
      <c r="Q351" s="280">
        <v>55</v>
      </c>
      <c r="R351" s="280">
        <f t="shared" si="233"/>
        <v>0</v>
      </c>
      <c r="S351" s="280"/>
      <c r="T351" s="280"/>
      <c r="U351" s="280"/>
      <c r="V351" s="280"/>
      <c r="W351" s="280"/>
      <c r="X351" s="288"/>
      <c r="Y351" s="288"/>
      <c r="Z351" s="274"/>
      <c r="AA351" s="274" t="s">
        <v>2363</v>
      </c>
      <c r="AB351" s="288" t="s">
        <v>2371</v>
      </c>
      <c r="AC351" s="274" t="s">
        <v>2233</v>
      </c>
    </row>
    <row r="352" ht="30" customHeight="1" spans="1:29">
      <c r="A352" s="273"/>
      <c r="B352" s="274" t="s">
        <v>2124</v>
      </c>
      <c r="C352" s="275" t="s">
        <v>1124</v>
      </c>
      <c r="D352" s="274" t="s">
        <v>560</v>
      </c>
      <c r="E352" s="274"/>
      <c r="F352" s="276">
        <f t="shared" si="222"/>
        <v>1500</v>
      </c>
      <c r="G352" s="276">
        <v>1500</v>
      </c>
      <c r="H352" s="276">
        <v>0</v>
      </c>
      <c r="I352" s="276">
        <v>0</v>
      </c>
      <c r="J352" s="274" t="s">
        <v>2372</v>
      </c>
      <c r="K352" s="274">
        <v>17</v>
      </c>
      <c r="L352" s="274">
        <v>62</v>
      </c>
      <c r="M352" s="274">
        <v>2018</v>
      </c>
      <c r="N352" s="274">
        <v>2019</v>
      </c>
      <c r="O352" s="280">
        <f t="shared" si="228"/>
        <v>17</v>
      </c>
      <c r="P352" s="280">
        <v>17</v>
      </c>
      <c r="Q352" s="280">
        <f>H352*0.015</f>
        <v>0</v>
      </c>
      <c r="R352" s="280">
        <f t="shared" si="233"/>
        <v>0</v>
      </c>
      <c r="S352" s="280"/>
      <c r="T352" s="280"/>
      <c r="U352" s="280"/>
      <c r="V352" s="280"/>
      <c r="W352" s="280"/>
      <c r="X352" s="288"/>
      <c r="Y352" s="288"/>
      <c r="Z352" s="274"/>
      <c r="AA352" s="274" t="s">
        <v>2363</v>
      </c>
      <c r="AB352" s="258" t="s">
        <v>2350</v>
      </c>
      <c r="AC352" s="274" t="s">
        <v>1073</v>
      </c>
    </row>
    <row r="353" ht="30" customHeight="1" spans="1:29">
      <c r="A353" s="273"/>
      <c r="B353" s="274" t="s">
        <v>2125</v>
      </c>
      <c r="C353" s="275" t="s">
        <v>1124</v>
      </c>
      <c r="D353" s="274" t="s">
        <v>560</v>
      </c>
      <c r="E353" s="274"/>
      <c r="F353" s="276">
        <f t="shared" si="222"/>
        <v>30000</v>
      </c>
      <c r="G353" s="276">
        <v>0</v>
      </c>
      <c r="H353" s="276">
        <v>30000</v>
      </c>
      <c r="I353" s="276">
        <v>0</v>
      </c>
      <c r="J353" s="274" t="s">
        <v>2373</v>
      </c>
      <c r="K353" s="274">
        <v>190</v>
      </c>
      <c r="L353" s="274">
        <v>629</v>
      </c>
      <c r="M353" s="274">
        <v>2019</v>
      </c>
      <c r="N353" s="274">
        <v>2019</v>
      </c>
      <c r="O353" s="280">
        <f t="shared" si="228"/>
        <v>330</v>
      </c>
      <c r="P353" s="280">
        <f>G353*0.015</f>
        <v>0</v>
      </c>
      <c r="Q353" s="280">
        <v>330</v>
      </c>
      <c r="R353" s="280">
        <f t="shared" si="233"/>
        <v>0</v>
      </c>
      <c r="S353" s="280"/>
      <c r="T353" s="280"/>
      <c r="U353" s="280"/>
      <c r="V353" s="280"/>
      <c r="W353" s="280"/>
      <c r="X353" s="274"/>
      <c r="Y353" s="274"/>
      <c r="Z353" s="274"/>
      <c r="AA353" s="274" t="s">
        <v>2363</v>
      </c>
      <c r="AB353" s="274" t="s">
        <v>2374</v>
      </c>
      <c r="AC353" s="274" t="s">
        <v>2233</v>
      </c>
    </row>
    <row r="354" ht="30" customHeight="1" spans="1:29">
      <c r="A354" s="273">
        <v>87</v>
      </c>
      <c r="B354" s="277" t="s">
        <v>916</v>
      </c>
      <c r="C354" s="275" t="s">
        <v>320</v>
      </c>
      <c r="D354" s="274" t="s">
        <v>320</v>
      </c>
      <c r="E354" s="274"/>
      <c r="F354" s="276" t="s">
        <v>320</v>
      </c>
      <c r="G354" s="276" t="s">
        <v>320</v>
      </c>
      <c r="H354" s="276" t="s">
        <v>320</v>
      </c>
      <c r="I354" s="276" t="s">
        <v>320</v>
      </c>
      <c r="J354" s="274" t="s">
        <v>320</v>
      </c>
      <c r="K354" s="276">
        <f>SUM(K355,K363,K362,K371,K372)</f>
        <v>56</v>
      </c>
      <c r="L354" s="276">
        <f>SUM(L355,L363,L362,L371,L372)</f>
        <v>56</v>
      </c>
      <c r="M354" s="274">
        <v>2018</v>
      </c>
      <c r="N354" s="274">
        <v>2020</v>
      </c>
      <c r="O354" s="280">
        <f t="shared" si="228"/>
        <v>2374.4</v>
      </c>
      <c r="P354" s="280">
        <f t="shared" ref="P354:W354" si="235">SUM(P355,P362,P363,P371,P372)</f>
        <v>524.8</v>
      </c>
      <c r="Q354" s="280">
        <f t="shared" si="235"/>
        <v>1484.8</v>
      </c>
      <c r="R354" s="280">
        <f t="shared" si="235"/>
        <v>364.8</v>
      </c>
      <c r="S354" s="280">
        <f t="shared" si="235"/>
        <v>2374.4</v>
      </c>
      <c r="T354" s="280">
        <f t="shared" si="235"/>
        <v>0</v>
      </c>
      <c r="U354" s="280">
        <f t="shared" si="235"/>
        <v>0</v>
      </c>
      <c r="V354" s="280">
        <f t="shared" si="235"/>
        <v>0</v>
      </c>
      <c r="W354" s="280">
        <f t="shared" si="235"/>
        <v>0</v>
      </c>
      <c r="X354" s="274" t="s">
        <v>320</v>
      </c>
      <c r="Y354" s="274" t="s">
        <v>320</v>
      </c>
      <c r="Z354" s="274" t="s">
        <v>320</v>
      </c>
      <c r="AA354" s="274" t="s">
        <v>320</v>
      </c>
      <c r="AB354" s="274" t="s">
        <v>320</v>
      </c>
      <c r="AC354" s="274" t="s">
        <v>2106</v>
      </c>
    </row>
    <row r="355" ht="30" customHeight="1" spans="1:29">
      <c r="A355" s="273">
        <v>88</v>
      </c>
      <c r="B355" s="277" t="s">
        <v>917</v>
      </c>
      <c r="C355" s="275" t="s">
        <v>1124</v>
      </c>
      <c r="D355" s="274" t="s">
        <v>45</v>
      </c>
      <c r="E355" s="274"/>
      <c r="F355" s="276">
        <f t="shared" ref="F355:F361" si="236">SUM(G355:I355)</f>
        <v>14000</v>
      </c>
      <c r="G355" s="276">
        <f t="shared" ref="G355:L355" si="237">SUM(G356:G361)</f>
        <v>3000</v>
      </c>
      <c r="H355" s="276">
        <v>9000</v>
      </c>
      <c r="I355" s="276">
        <v>2000</v>
      </c>
      <c r="J355" s="274" t="s">
        <v>320</v>
      </c>
      <c r="K355" s="276">
        <f t="shared" si="237"/>
        <v>0</v>
      </c>
      <c r="L355" s="276">
        <f t="shared" si="237"/>
        <v>0</v>
      </c>
      <c r="M355" s="274">
        <v>2018</v>
      </c>
      <c r="N355" s="274">
        <v>2020</v>
      </c>
      <c r="O355" s="280">
        <f t="shared" si="228"/>
        <v>2240</v>
      </c>
      <c r="P355" s="280">
        <f>SUM(P356:P361)</f>
        <v>480</v>
      </c>
      <c r="Q355" s="280">
        <f>SUM(H355*0.16)</f>
        <v>1440</v>
      </c>
      <c r="R355" s="280">
        <f>SUM(I355*0.16)</f>
        <v>320</v>
      </c>
      <c r="S355" s="280">
        <f>SUM(P355:R355)</f>
        <v>2240</v>
      </c>
      <c r="T355" s="280"/>
      <c r="U355" s="280"/>
      <c r="V355" s="280"/>
      <c r="W355" s="280"/>
      <c r="X355" s="288" t="s">
        <v>2108</v>
      </c>
      <c r="Y355" s="274" t="s">
        <v>2120</v>
      </c>
      <c r="Z355" s="288" t="s">
        <v>417</v>
      </c>
      <c r="AA355" s="274" t="s">
        <v>2375</v>
      </c>
      <c r="AB355" s="288" t="s">
        <v>2376</v>
      </c>
      <c r="AC355" s="274" t="s">
        <v>1073</v>
      </c>
    </row>
    <row r="356" ht="30" customHeight="1" spans="1:29">
      <c r="A356" s="273"/>
      <c r="B356" s="274" t="s">
        <v>2123</v>
      </c>
      <c r="C356" s="275" t="s">
        <v>1124</v>
      </c>
      <c r="D356" s="274" t="s">
        <v>45</v>
      </c>
      <c r="E356" s="274"/>
      <c r="F356" s="276">
        <f t="shared" si="236"/>
        <v>410</v>
      </c>
      <c r="G356" s="276">
        <v>410</v>
      </c>
      <c r="H356" s="276" t="s">
        <v>320</v>
      </c>
      <c r="I356" s="276" t="s">
        <v>320</v>
      </c>
      <c r="J356" s="276" t="s">
        <v>320</v>
      </c>
      <c r="K356" s="276" t="s">
        <v>320</v>
      </c>
      <c r="L356" s="276" t="s">
        <v>320</v>
      </c>
      <c r="M356" s="274">
        <v>2018</v>
      </c>
      <c r="N356" s="274">
        <v>2020</v>
      </c>
      <c r="O356" s="280">
        <f t="shared" si="228"/>
        <v>65.6</v>
      </c>
      <c r="P356" s="280">
        <f t="shared" ref="P356:P361" si="238">G356*0.16</f>
        <v>65.6</v>
      </c>
      <c r="Q356" s="280" t="s">
        <v>320</v>
      </c>
      <c r="R356" s="280" t="s">
        <v>320</v>
      </c>
      <c r="S356" s="280"/>
      <c r="T356" s="280"/>
      <c r="U356" s="280"/>
      <c r="V356" s="280"/>
      <c r="W356" s="280"/>
      <c r="X356" s="288"/>
      <c r="Y356" s="288"/>
      <c r="Z356" s="288"/>
      <c r="AA356" s="274"/>
      <c r="AB356" s="288"/>
      <c r="AC356" s="280"/>
    </row>
    <row r="357" ht="30" customHeight="1" spans="1:29">
      <c r="A357" s="273"/>
      <c r="B357" s="274" t="s">
        <v>2112</v>
      </c>
      <c r="C357" s="275" t="s">
        <v>1124</v>
      </c>
      <c r="D357" s="274" t="s">
        <v>45</v>
      </c>
      <c r="E357" s="274"/>
      <c r="F357" s="276">
        <f t="shared" si="236"/>
        <v>107</v>
      </c>
      <c r="G357" s="276">
        <v>107</v>
      </c>
      <c r="H357" s="276" t="s">
        <v>320</v>
      </c>
      <c r="I357" s="276" t="s">
        <v>320</v>
      </c>
      <c r="J357" s="276" t="s">
        <v>320</v>
      </c>
      <c r="K357" s="276" t="s">
        <v>320</v>
      </c>
      <c r="L357" s="276" t="s">
        <v>320</v>
      </c>
      <c r="M357" s="274">
        <v>2018</v>
      </c>
      <c r="N357" s="274">
        <v>2020</v>
      </c>
      <c r="O357" s="280">
        <f t="shared" si="228"/>
        <v>17.12</v>
      </c>
      <c r="P357" s="280">
        <f t="shared" si="238"/>
        <v>17.12</v>
      </c>
      <c r="Q357" s="280" t="s">
        <v>320</v>
      </c>
      <c r="R357" s="280" t="s">
        <v>320</v>
      </c>
      <c r="S357" s="280"/>
      <c r="T357" s="280"/>
      <c r="U357" s="280"/>
      <c r="V357" s="280"/>
      <c r="W357" s="280"/>
      <c r="X357" s="288"/>
      <c r="Y357" s="288"/>
      <c r="Z357" s="288"/>
      <c r="AA357" s="274"/>
      <c r="AB357" s="288"/>
      <c r="AC357" s="280"/>
    </row>
    <row r="358" ht="30" customHeight="1" spans="1:29">
      <c r="A358" s="273"/>
      <c r="B358" s="274" t="s">
        <v>2114</v>
      </c>
      <c r="C358" s="275" t="s">
        <v>1124</v>
      </c>
      <c r="D358" s="274" t="s">
        <v>45</v>
      </c>
      <c r="E358" s="274"/>
      <c r="F358" s="276">
        <f t="shared" si="236"/>
        <v>275</v>
      </c>
      <c r="G358" s="276">
        <v>275</v>
      </c>
      <c r="H358" s="276" t="s">
        <v>320</v>
      </c>
      <c r="I358" s="276" t="s">
        <v>320</v>
      </c>
      <c r="J358" s="276" t="s">
        <v>320</v>
      </c>
      <c r="K358" s="276" t="s">
        <v>320</v>
      </c>
      <c r="L358" s="276" t="s">
        <v>320</v>
      </c>
      <c r="M358" s="274">
        <v>2018</v>
      </c>
      <c r="N358" s="274">
        <v>2020</v>
      </c>
      <c r="O358" s="280">
        <f t="shared" si="228"/>
        <v>44</v>
      </c>
      <c r="P358" s="280">
        <f t="shared" si="238"/>
        <v>44</v>
      </c>
      <c r="Q358" s="280" t="s">
        <v>320</v>
      </c>
      <c r="R358" s="280" t="s">
        <v>320</v>
      </c>
      <c r="S358" s="280"/>
      <c r="T358" s="280"/>
      <c r="U358" s="280"/>
      <c r="V358" s="280"/>
      <c r="W358" s="280"/>
      <c r="X358" s="288"/>
      <c r="Y358" s="288"/>
      <c r="Z358" s="288"/>
      <c r="AA358" s="274"/>
      <c r="AB358" s="288"/>
      <c r="AC358" s="280"/>
    </row>
    <row r="359" ht="30" customHeight="1" spans="1:29">
      <c r="A359" s="273"/>
      <c r="B359" s="274" t="s">
        <v>2116</v>
      </c>
      <c r="C359" s="275" t="s">
        <v>1124</v>
      </c>
      <c r="D359" s="274" t="s">
        <v>45</v>
      </c>
      <c r="E359" s="274"/>
      <c r="F359" s="276">
        <f t="shared" si="236"/>
        <v>870</v>
      </c>
      <c r="G359" s="276">
        <v>870</v>
      </c>
      <c r="H359" s="276" t="s">
        <v>320</v>
      </c>
      <c r="I359" s="276" t="s">
        <v>320</v>
      </c>
      <c r="J359" s="276" t="s">
        <v>320</v>
      </c>
      <c r="K359" s="276" t="s">
        <v>320</v>
      </c>
      <c r="L359" s="276" t="s">
        <v>320</v>
      </c>
      <c r="M359" s="274">
        <v>2018</v>
      </c>
      <c r="N359" s="274">
        <v>2020</v>
      </c>
      <c r="O359" s="280">
        <f t="shared" si="228"/>
        <v>139.2</v>
      </c>
      <c r="P359" s="280">
        <f t="shared" si="238"/>
        <v>139.2</v>
      </c>
      <c r="Q359" s="280" t="s">
        <v>320</v>
      </c>
      <c r="R359" s="280" t="s">
        <v>320</v>
      </c>
      <c r="S359" s="280"/>
      <c r="T359" s="280"/>
      <c r="U359" s="280"/>
      <c r="V359" s="280"/>
      <c r="W359" s="280"/>
      <c r="X359" s="288"/>
      <c r="Y359" s="288"/>
      <c r="Z359" s="288"/>
      <c r="AA359" s="274"/>
      <c r="AB359" s="288"/>
      <c r="AC359" s="280"/>
    </row>
    <row r="360" ht="30" customHeight="1" spans="1:29">
      <c r="A360" s="273"/>
      <c r="B360" s="274" t="s">
        <v>2118</v>
      </c>
      <c r="C360" s="275" t="s">
        <v>1124</v>
      </c>
      <c r="D360" s="274" t="s">
        <v>45</v>
      </c>
      <c r="E360" s="274"/>
      <c r="F360" s="276">
        <f t="shared" si="236"/>
        <v>158</v>
      </c>
      <c r="G360" s="276">
        <v>158</v>
      </c>
      <c r="H360" s="276" t="s">
        <v>320</v>
      </c>
      <c r="I360" s="276" t="s">
        <v>320</v>
      </c>
      <c r="J360" s="276" t="s">
        <v>320</v>
      </c>
      <c r="K360" s="276" t="s">
        <v>320</v>
      </c>
      <c r="L360" s="276" t="s">
        <v>320</v>
      </c>
      <c r="M360" s="274">
        <v>2018</v>
      </c>
      <c r="N360" s="274">
        <v>2020</v>
      </c>
      <c r="O360" s="280">
        <f t="shared" si="228"/>
        <v>25.28</v>
      </c>
      <c r="P360" s="280">
        <f t="shared" si="238"/>
        <v>25.28</v>
      </c>
      <c r="Q360" s="280" t="s">
        <v>320</v>
      </c>
      <c r="R360" s="280" t="s">
        <v>320</v>
      </c>
      <c r="S360" s="280"/>
      <c r="T360" s="280"/>
      <c r="U360" s="280"/>
      <c r="V360" s="280"/>
      <c r="W360" s="280"/>
      <c r="X360" s="288"/>
      <c r="Y360" s="288"/>
      <c r="Z360" s="288"/>
      <c r="AA360" s="274"/>
      <c r="AB360" s="288"/>
      <c r="AC360" s="280"/>
    </row>
    <row r="361" ht="30" customHeight="1" spans="1:29">
      <c r="A361" s="273"/>
      <c r="B361" s="274" t="s">
        <v>2125</v>
      </c>
      <c r="C361" s="275" t="s">
        <v>1124</v>
      </c>
      <c r="D361" s="274" t="s">
        <v>45</v>
      </c>
      <c r="E361" s="274"/>
      <c r="F361" s="276">
        <f t="shared" si="236"/>
        <v>1180</v>
      </c>
      <c r="G361" s="276">
        <v>1180</v>
      </c>
      <c r="H361" s="276" t="s">
        <v>320</v>
      </c>
      <c r="I361" s="276" t="s">
        <v>320</v>
      </c>
      <c r="J361" s="276" t="s">
        <v>320</v>
      </c>
      <c r="K361" s="276" t="s">
        <v>320</v>
      </c>
      <c r="L361" s="276" t="s">
        <v>320</v>
      </c>
      <c r="M361" s="274">
        <v>2018</v>
      </c>
      <c r="N361" s="274">
        <v>2020</v>
      </c>
      <c r="O361" s="280">
        <f t="shared" si="228"/>
        <v>188.8</v>
      </c>
      <c r="P361" s="280">
        <f t="shared" si="238"/>
        <v>188.8</v>
      </c>
      <c r="Q361" s="280" t="s">
        <v>320</v>
      </c>
      <c r="R361" s="280" t="s">
        <v>320</v>
      </c>
      <c r="S361" s="280"/>
      <c r="T361" s="280"/>
      <c r="U361" s="280"/>
      <c r="V361" s="280"/>
      <c r="W361" s="280"/>
      <c r="X361" s="288"/>
      <c r="Y361" s="288"/>
      <c r="Z361" s="288"/>
      <c r="AA361" s="274"/>
      <c r="AB361" s="288"/>
      <c r="AC361" s="280"/>
    </row>
    <row r="362" ht="30" customHeight="1" spans="1:29">
      <c r="A362" s="273">
        <v>89</v>
      </c>
      <c r="B362" s="277" t="s">
        <v>919</v>
      </c>
      <c r="C362" s="279" t="s">
        <v>320</v>
      </c>
      <c r="D362" s="280" t="s">
        <v>320</v>
      </c>
      <c r="E362" s="280"/>
      <c r="F362" s="276" t="s">
        <v>320</v>
      </c>
      <c r="G362" s="276" t="s">
        <v>320</v>
      </c>
      <c r="H362" s="276" t="s">
        <v>320</v>
      </c>
      <c r="I362" s="276" t="s">
        <v>320</v>
      </c>
      <c r="J362" s="274" t="s">
        <v>320</v>
      </c>
      <c r="K362" s="280" t="s">
        <v>320</v>
      </c>
      <c r="L362" s="274" t="s">
        <v>320</v>
      </c>
      <c r="M362" s="274" t="s">
        <v>320</v>
      </c>
      <c r="N362" s="274" t="s">
        <v>320</v>
      </c>
      <c r="O362" s="280" t="s">
        <v>320</v>
      </c>
      <c r="P362" s="280" t="s">
        <v>320</v>
      </c>
      <c r="Q362" s="280" t="s">
        <v>320</v>
      </c>
      <c r="R362" s="280" t="s">
        <v>320</v>
      </c>
      <c r="S362" s="280" t="s">
        <v>320</v>
      </c>
      <c r="T362" s="280" t="s">
        <v>320</v>
      </c>
      <c r="U362" s="280" t="s">
        <v>320</v>
      </c>
      <c r="V362" s="280" t="s">
        <v>320</v>
      </c>
      <c r="W362" s="280" t="s">
        <v>320</v>
      </c>
      <c r="X362" s="274" t="s">
        <v>320</v>
      </c>
      <c r="Y362" s="274" t="s">
        <v>320</v>
      </c>
      <c r="Z362" s="274" t="s">
        <v>320</v>
      </c>
      <c r="AA362" s="280" t="s">
        <v>320</v>
      </c>
      <c r="AB362" s="274" t="s">
        <v>2128</v>
      </c>
      <c r="AC362" s="274" t="s">
        <v>320</v>
      </c>
    </row>
    <row r="363" ht="30" customHeight="1" spans="1:29">
      <c r="A363" s="273">
        <v>90</v>
      </c>
      <c r="B363" s="292" t="s">
        <v>423</v>
      </c>
      <c r="C363" s="275" t="s">
        <v>1124</v>
      </c>
      <c r="D363" s="274" t="s">
        <v>147</v>
      </c>
      <c r="E363" s="274"/>
      <c r="F363" s="276">
        <f t="shared" ref="F363:I363" si="239">SUM(F364:F370)</f>
        <v>56</v>
      </c>
      <c r="G363" s="276">
        <f t="shared" si="239"/>
        <v>56</v>
      </c>
      <c r="H363" s="276">
        <f t="shared" si="239"/>
        <v>56</v>
      </c>
      <c r="I363" s="276">
        <f t="shared" si="239"/>
        <v>56</v>
      </c>
      <c r="J363" s="274" t="s">
        <v>2377</v>
      </c>
      <c r="K363" s="276">
        <f t="shared" ref="K363:R363" si="240">SUM(K364:K370)</f>
        <v>56</v>
      </c>
      <c r="L363" s="276">
        <f t="shared" si="240"/>
        <v>56</v>
      </c>
      <c r="M363" s="274">
        <v>2018</v>
      </c>
      <c r="N363" s="274">
        <v>2020</v>
      </c>
      <c r="O363" s="280">
        <f t="shared" ref="O363:O370" si="241">SUM(P363:R363)</f>
        <v>134.4</v>
      </c>
      <c r="P363" s="280">
        <f t="shared" si="240"/>
        <v>44.8</v>
      </c>
      <c r="Q363" s="280">
        <f t="shared" si="240"/>
        <v>44.8</v>
      </c>
      <c r="R363" s="280">
        <f t="shared" si="240"/>
        <v>44.8</v>
      </c>
      <c r="S363" s="280">
        <f>SUM(P363:R363)</f>
        <v>134.4</v>
      </c>
      <c r="T363" s="280"/>
      <c r="U363" s="280"/>
      <c r="V363" s="280"/>
      <c r="W363" s="280"/>
      <c r="X363" s="288" t="s">
        <v>2108</v>
      </c>
      <c r="Y363" s="274" t="s">
        <v>2120</v>
      </c>
      <c r="Z363" s="288" t="s">
        <v>417</v>
      </c>
      <c r="AA363" s="274" t="s">
        <v>2378</v>
      </c>
      <c r="AB363" s="288" t="s">
        <v>2376</v>
      </c>
      <c r="AC363" s="274" t="s">
        <v>1073</v>
      </c>
    </row>
    <row r="364" ht="30" customHeight="1" spans="1:29">
      <c r="A364" s="273"/>
      <c r="B364" s="274" t="s">
        <v>2123</v>
      </c>
      <c r="C364" s="275" t="s">
        <v>1124</v>
      </c>
      <c r="D364" s="274" t="s">
        <v>147</v>
      </c>
      <c r="E364" s="274"/>
      <c r="F364" s="276">
        <v>16</v>
      </c>
      <c r="G364" s="276">
        <v>16</v>
      </c>
      <c r="H364" s="276">
        <v>16</v>
      </c>
      <c r="I364" s="276">
        <v>16</v>
      </c>
      <c r="J364" s="274" t="s">
        <v>2379</v>
      </c>
      <c r="K364" s="274">
        <v>16</v>
      </c>
      <c r="L364" s="274">
        <v>16</v>
      </c>
      <c r="M364" s="274">
        <v>2018</v>
      </c>
      <c r="N364" s="274">
        <v>2020</v>
      </c>
      <c r="O364" s="280">
        <f t="shared" si="241"/>
        <v>38.4</v>
      </c>
      <c r="P364" s="280">
        <f t="shared" ref="P364:R364" si="242">G364*0.8</f>
        <v>12.8</v>
      </c>
      <c r="Q364" s="280">
        <f t="shared" si="242"/>
        <v>12.8</v>
      </c>
      <c r="R364" s="280">
        <f t="shared" si="242"/>
        <v>12.8</v>
      </c>
      <c r="S364" s="280"/>
      <c r="T364" s="280"/>
      <c r="U364" s="280"/>
      <c r="V364" s="280"/>
      <c r="W364" s="280"/>
      <c r="X364" s="289"/>
      <c r="Y364" s="289"/>
      <c r="Z364" s="288"/>
      <c r="AA364" s="274"/>
      <c r="AB364" s="275"/>
      <c r="AC364" s="280"/>
    </row>
    <row r="365" ht="30" customHeight="1" spans="1:29">
      <c r="A365" s="273"/>
      <c r="B365" s="274" t="s">
        <v>2112</v>
      </c>
      <c r="C365" s="275" t="s">
        <v>1124</v>
      </c>
      <c r="D365" s="274" t="s">
        <v>147</v>
      </c>
      <c r="E365" s="274"/>
      <c r="F365" s="276">
        <v>6</v>
      </c>
      <c r="G365" s="276">
        <v>6</v>
      </c>
      <c r="H365" s="276">
        <v>6</v>
      </c>
      <c r="I365" s="276">
        <v>6</v>
      </c>
      <c r="J365" s="274" t="s">
        <v>2380</v>
      </c>
      <c r="K365" s="274">
        <v>6</v>
      </c>
      <c r="L365" s="274">
        <v>6</v>
      </c>
      <c r="M365" s="274">
        <v>2018</v>
      </c>
      <c r="N365" s="274">
        <v>2020</v>
      </c>
      <c r="O365" s="280">
        <f t="shared" si="241"/>
        <v>14.4</v>
      </c>
      <c r="P365" s="280">
        <f t="shared" ref="P365:R365" si="243">G365*0.8</f>
        <v>4.8</v>
      </c>
      <c r="Q365" s="280">
        <f t="shared" si="243"/>
        <v>4.8</v>
      </c>
      <c r="R365" s="280">
        <f t="shared" si="243"/>
        <v>4.8</v>
      </c>
      <c r="S365" s="280"/>
      <c r="T365" s="280"/>
      <c r="U365" s="280"/>
      <c r="V365" s="280"/>
      <c r="W365" s="280"/>
      <c r="X365" s="274"/>
      <c r="Y365" s="274"/>
      <c r="Z365" s="288"/>
      <c r="AA365" s="274"/>
      <c r="AB365" s="288"/>
      <c r="AC365" s="280"/>
    </row>
    <row r="366" ht="30" customHeight="1" spans="1:29">
      <c r="A366" s="273"/>
      <c r="B366" s="274" t="s">
        <v>2114</v>
      </c>
      <c r="C366" s="275" t="s">
        <v>1124</v>
      </c>
      <c r="D366" s="274" t="s">
        <v>147</v>
      </c>
      <c r="E366" s="274"/>
      <c r="F366" s="276">
        <v>8</v>
      </c>
      <c r="G366" s="276">
        <v>8</v>
      </c>
      <c r="H366" s="276">
        <v>8</v>
      </c>
      <c r="I366" s="276">
        <v>8</v>
      </c>
      <c r="J366" s="274" t="s">
        <v>2381</v>
      </c>
      <c r="K366" s="274">
        <v>8</v>
      </c>
      <c r="L366" s="274">
        <v>8</v>
      </c>
      <c r="M366" s="274">
        <v>2018</v>
      </c>
      <c r="N366" s="274">
        <v>2020</v>
      </c>
      <c r="O366" s="280">
        <f t="shared" si="241"/>
        <v>19.2</v>
      </c>
      <c r="P366" s="280">
        <f t="shared" ref="P366:R366" si="244">G366*0.8</f>
        <v>6.4</v>
      </c>
      <c r="Q366" s="280">
        <f t="shared" si="244"/>
        <v>6.4</v>
      </c>
      <c r="R366" s="280">
        <f t="shared" si="244"/>
        <v>6.4</v>
      </c>
      <c r="S366" s="280"/>
      <c r="T366" s="280"/>
      <c r="U366" s="280"/>
      <c r="V366" s="280"/>
      <c r="W366" s="280"/>
      <c r="X366" s="288"/>
      <c r="Y366" s="288"/>
      <c r="Z366" s="288"/>
      <c r="AA366" s="274"/>
      <c r="AB366" s="288"/>
      <c r="AC366" s="280"/>
    </row>
    <row r="367" ht="30" customHeight="1" spans="1:29">
      <c r="A367" s="273"/>
      <c r="B367" s="274" t="s">
        <v>2116</v>
      </c>
      <c r="C367" s="275" t="s">
        <v>1124</v>
      </c>
      <c r="D367" s="274" t="s">
        <v>147</v>
      </c>
      <c r="E367" s="274"/>
      <c r="F367" s="276">
        <v>8</v>
      </c>
      <c r="G367" s="276">
        <v>8</v>
      </c>
      <c r="H367" s="276">
        <v>8</v>
      </c>
      <c r="I367" s="276">
        <v>8</v>
      </c>
      <c r="J367" s="274" t="s">
        <v>2381</v>
      </c>
      <c r="K367" s="274">
        <v>8</v>
      </c>
      <c r="L367" s="274">
        <v>8</v>
      </c>
      <c r="M367" s="274">
        <v>2018</v>
      </c>
      <c r="N367" s="274">
        <v>2020</v>
      </c>
      <c r="O367" s="280">
        <f t="shared" si="241"/>
        <v>19.2</v>
      </c>
      <c r="P367" s="280">
        <f t="shared" ref="P367:R367" si="245">G367*0.8</f>
        <v>6.4</v>
      </c>
      <c r="Q367" s="280">
        <f t="shared" si="245"/>
        <v>6.4</v>
      </c>
      <c r="R367" s="280">
        <f t="shared" si="245"/>
        <v>6.4</v>
      </c>
      <c r="S367" s="280"/>
      <c r="T367" s="280"/>
      <c r="U367" s="280"/>
      <c r="V367" s="280"/>
      <c r="W367" s="280"/>
      <c r="X367" s="288"/>
      <c r="Y367" s="288"/>
      <c r="Z367" s="288"/>
      <c r="AA367" s="274"/>
      <c r="AB367" s="288"/>
      <c r="AC367" s="280"/>
    </row>
    <row r="368" ht="30" customHeight="1" spans="1:29">
      <c r="A368" s="273"/>
      <c r="B368" s="274" t="s">
        <v>2118</v>
      </c>
      <c r="C368" s="275" t="s">
        <v>1124</v>
      </c>
      <c r="D368" s="274" t="s">
        <v>147</v>
      </c>
      <c r="E368" s="274"/>
      <c r="F368" s="276">
        <v>6</v>
      </c>
      <c r="G368" s="276">
        <v>6</v>
      </c>
      <c r="H368" s="276">
        <v>6</v>
      </c>
      <c r="I368" s="276">
        <v>6</v>
      </c>
      <c r="J368" s="274" t="s">
        <v>2380</v>
      </c>
      <c r="K368" s="274">
        <v>6</v>
      </c>
      <c r="L368" s="274">
        <v>6</v>
      </c>
      <c r="M368" s="274">
        <v>2018</v>
      </c>
      <c r="N368" s="274">
        <v>2020</v>
      </c>
      <c r="O368" s="280">
        <f t="shared" si="241"/>
        <v>14.4</v>
      </c>
      <c r="P368" s="280">
        <f t="shared" ref="P368:R368" si="246">G368*0.8</f>
        <v>4.8</v>
      </c>
      <c r="Q368" s="280">
        <f t="shared" si="246"/>
        <v>4.8</v>
      </c>
      <c r="R368" s="280">
        <f t="shared" si="246"/>
        <v>4.8</v>
      </c>
      <c r="S368" s="280"/>
      <c r="T368" s="280"/>
      <c r="U368" s="280"/>
      <c r="V368" s="280"/>
      <c r="W368" s="280"/>
      <c r="X368" s="288"/>
      <c r="Y368" s="288"/>
      <c r="Z368" s="288"/>
      <c r="AA368" s="274"/>
      <c r="AB368" s="288"/>
      <c r="AC368" s="280"/>
    </row>
    <row r="369" ht="30" customHeight="1" spans="1:29">
      <c r="A369" s="273"/>
      <c r="B369" s="274" t="s">
        <v>2124</v>
      </c>
      <c r="C369" s="275" t="s">
        <v>1124</v>
      </c>
      <c r="D369" s="274" t="s">
        <v>147</v>
      </c>
      <c r="E369" s="274"/>
      <c r="F369" s="276">
        <v>4</v>
      </c>
      <c r="G369" s="276">
        <v>4</v>
      </c>
      <c r="H369" s="276">
        <v>4</v>
      </c>
      <c r="I369" s="276">
        <v>4</v>
      </c>
      <c r="J369" s="274" t="s">
        <v>2382</v>
      </c>
      <c r="K369" s="274">
        <v>4</v>
      </c>
      <c r="L369" s="274">
        <v>4</v>
      </c>
      <c r="M369" s="274">
        <v>2018</v>
      </c>
      <c r="N369" s="274">
        <v>2020</v>
      </c>
      <c r="O369" s="280">
        <f t="shared" si="241"/>
        <v>9.6</v>
      </c>
      <c r="P369" s="280">
        <f t="shared" ref="P369:R369" si="247">G369*0.8</f>
        <v>3.2</v>
      </c>
      <c r="Q369" s="280">
        <f t="shared" si="247"/>
        <v>3.2</v>
      </c>
      <c r="R369" s="280">
        <f t="shared" si="247"/>
        <v>3.2</v>
      </c>
      <c r="S369" s="280"/>
      <c r="T369" s="280"/>
      <c r="U369" s="280"/>
      <c r="V369" s="280"/>
      <c r="W369" s="280"/>
      <c r="X369" s="288"/>
      <c r="Y369" s="288"/>
      <c r="Z369" s="288"/>
      <c r="AA369" s="274"/>
      <c r="AB369" s="288"/>
      <c r="AC369" s="280"/>
    </row>
    <row r="370" ht="30" customHeight="1" spans="1:29">
      <c r="A370" s="273"/>
      <c r="B370" s="274" t="s">
        <v>2125</v>
      </c>
      <c r="C370" s="275" t="s">
        <v>1124</v>
      </c>
      <c r="D370" s="274" t="s">
        <v>147</v>
      </c>
      <c r="E370" s="274"/>
      <c r="F370" s="276">
        <v>8</v>
      </c>
      <c r="G370" s="276">
        <v>8</v>
      </c>
      <c r="H370" s="276">
        <v>8</v>
      </c>
      <c r="I370" s="276">
        <v>8</v>
      </c>
      <c r="J370" s="274" t="s">
        <v>2381</v>
      </c>
      <c r="K370" s="274">
        <v>8</v>
      </c>
      <c r="L370" s="274">
        <v>8</v>
      </c>
      <c r="M370" s="274">
        <v>2018</v>
      </c>
      <c r="N370" s="274">
        <v>2020</v>
      </c>
      <c r="O370" s="280">
        <f t="shared" si="241"/>
        <v>19.2</v>
      </c>
      <c r="P370" s="280">
        <f t="shared" ref="P370:R370" si="248">G370*0.8</f>
        <v>6.4</v>
      </c>
      <c r="Q370" s="280">
        <f t="shared" si="248"/>
        <v>6.4</v>
      </c>
      <c r="R370" s="280">
        <f t="shared" si="248"/>
        <v>6.4</v>
      </c>
      <c r="S370" s="280"/>
      <c r="T370" s="280"/>
      <c r="U370" s="280"/>
      <c r="V370" s="280"/>
      <c r="W370" s="280"/>
      <c r="X370" s="274"/>
      <c r="Y370" s="274"/>
      <c r="Z370" s="288"/>
      <c r="AA370" s="274"/>
      <c r="AB370" s="288"/>
      <c r="AC370" s="280"/>
    </row>
    <row r="371" ht="30" customHeight="1" spans="1:29">
      <c r="A371" s="273">
        <v>91</v>
      </c>
      <c r="B371" s="292" t="s">
        <v>434</v>
      </c>
      <c r="C371" s="279" t="s">
        <v>320</v>
      </c>
      <c r="D371" s="280" t="s">
        <v>320</v>
      </c>
      <c r="E371" s="280"/>
      <c r="F371" s="276" t="s">
        <v>320</v>
      </c>
      <c r="G371" s="276" t="s">
        <v>320</v>
      </c>
      <c r="H371" s="276" t="s">
        <v>320</v>
      </c>
      <c r="I371" s="276" t="s">
        <v>320</v>
      </c>
      <c r="J371" s="274" t="s">
        <v>320</v>
      </c>
      <c r="K371" s="280" t="s">
        <v>320</v>
      </c>
      <c r="L371" s="274" t="s">
        <v>320</v>
      </c>
      <c r="M371" s="274" t="s">
        <v>320</v>
      </c>
      <c r="N371" s="274" t="s">
        <v>320</v>
      </c>
      <c r="O371" s="280" t="s">
        <v>320</v>
      </c>
      <c r="P371" s="280" t="s">
        <v>320</v>
      </c>
      <c r="Q371" s="280" t="s">
        <v>320</v>
      </c>
      <c r="R371" s="280" t="s">
        <v>320</v>
      </c>
      <c r="S371" s="280" t="s">
        <v>320</v>
      </c>
      <c r="T371" s="280" t="s">
        <v>320</v>
      </c>
      <c r="U371" s="280" t="s">
        <v>320</v>
      </c>
      <c r="V371" s="280" t="s">
        <v>320</v>
      </c>
      <c r="W371" s="280" t="s">
        <v>320</v>
      </c>
      <c r="X371" s="274" t="s">
        <v>320</v>
      </c>
      <c r="Y371" s="274" t="s">
        <v>320</v>
      </c>
      <c r="Z371" s="274" t="s">
        <v>320</v>
      </c>
      <c r="AA371" s="274" t="s">
        <v>320</v>
      </c>
      <c r="AB371" s="274" t="s">
        <v>2128</v>
      </c>
      <c r="AC371" s="274" t="s">
        <v>320</v>
      </c>
    </row>
    <row r="372" ht="30" customHeight="1" spans="1:29">
      <c r="A372" s="273">
        <v>92</v>
      </c>
      <c r="B372" s="277" t="s">
        <v>436</v>
      </c>
      <c r="C372" s="279" t="s">
        <v>320</v>
      </c>
      <c r="D372" s="280" t="s">
        <v>320</v>
      </c>
      <c r="E372" s="280"/>
      <c r="F372" s="276" t="s">
        <v>320</v>
      </c>
      <c r="G372" s="276" t="s">
        <v>320</v>
      </c>
      <c r="H372" s="276" t="s">
        <v>320</v>
      </c>
      <c r="I372" s="276" t="s">
        <v>320</v>
      </c>
      <c r="J372" s="274" t="s">
        <v>320</v>
      </c>
      <c r="K372" s="280" t="s">
        <v>320</v>
      </c>
      <c r="L372" s="274" t="s">
        <v>320</v>
      </c>
      <c r="M372" s="274" t="s">
        <v>320</v>
      </c>
      <c r="N372" s="274" t="s">
        <v>320</v>
      </c>
      <c r="O372" s="280" t="s">
        <v>320</v>
      </c>
      <c r="P372" s="280" t="s">
        <v>320</v>
      </c>
      <c r="Q372" s="280" t="s">
        <v>320</v>
      </c>
      <c r="R372" s="280" t="s">
        <v>320</v>
      </c>
      <c r="S372" s="280" t="s">
        <v>320</v>
      </c>
      <c r="T372" s="280" t="s">
        <v>320</v>
      </c>
      <c r="U372" s="280" t="s">
        <v>320</v>
      </c>
      <c r="V372" s="280" t="s">
        <v>320</v>
      </c>
      <c r="W372" s="280" t="s">
        <v>320</v>
      </c>
      <c r="X372" s="274" t="s">
        <v>320</v>
      </c>
      <c r="Y372" s="274" t="s">
        <v>320</v>
      </c>
      <c r="Z372" s="274" t="s">
        <v>320</v>
      </c>
      <c r="AA372" s="274" t="s">
        <v>320</v>
      </c>
      <c r="AB372" s="274" t="s">
        <v>2128</v>
      </c>
      <c r="AC372" s="274" t="s">
        <v>320</v>
      </c>
    </row>
    <row r="373" ht="30" customHeight="1" spans="1:29">
      <c r="A373" s="273">
        <v>93</v>
      </c>
      <c r="B373" s="277" t="s">
        <v>924</v>
      </c>
      <c r="C373" s="275" t="s">
        <v>320</v>
      </c>
      <c r="D373" s="274" t="s">
        <v>320</v>
      </c>
      <c r="E373" s="274"/>
      <c r="F373" s="276" t="s">
        <v>320</v>
      </c>
      <c r="G373" s="276" t="s">
        <v>320</v>
      </c>
      <c r="H373" s="276" t="s">
        <v>320</v>
      </c>
      <c r="I373" s="276" t="s">
        <v>320</v>
      </c>
      <c r="J373" s="274" t="s">
        <v>320</v>
      </c>
      <c r="K373" s="276">
        <f>SUM(K374,K381,K391)</f>
        <v>123</v>
      </c>
      <c r="L373" s="276">
        <f>SUM(L374,L381,L391)</f>
        <v>172</v>
      </c>
      <c r="M373" s="274">
        <v>2018</v>
      </c>
      <c r="N373" s="274">
        <v>2020</v>
      </c>
      <c r="O373" s="280">
        <f t="shared" ref="O373:O389" si="249">SUM(P373:R373)</f>
        <v>197.388126</v>
      </c>
      <c r="P373" s="280">
        <f t="shared" ref="P373:W373" si="250">SUM(P374,P381,P391,P399)</f>
        <v>59.1096</v>
      </c>
      <c r="Q373" s="280">
        <f t="shared" si="250"/>
        <v>65.47764</v>
      </c>
      <c r="R373" s="280">
        <f t="shared" si="250"/>
        <v>72.800886</v>
      </c>
      <c r="S373" s="280">
        <f t="shared" si="250"/>
        <v>197.388126</v>
      </c>
      <c r="T373" s="280">
        <f t="shared" si="250"/>
        <v>0</v>
      </c>
      <c r="U373" s="280">
        <f t="shared" si="250"/>
        <v>0</v>
      </c>
      <c r="V373" s="280">
        <f t="shared" si="250"/>
        <v>0</v>
      </c>
      <c r="W373" s="280">
        <f t="shared" si="250"/>
        <v>0</v>
      </c>
      <c r="X373" s="274" t="s">
        <v>320</v>
      </c>
      <c r="Y373" s="274" t="s">
        <v>320</v>
      </c>
      <c r="Z373" s="274" t="s">
        <v>320</v>
      </c>
      <c r="AA373" s="274" t="s">
        <v>320</v>
      </c>
      <c r="AB373" s="274" t="s">
        <v>320</v>
      </c>
      <c r="AC373" s="274" t="s">
        <v>2106</v>
      </c>
    </row>
    <row r="374" ht="72" spans="1:29">
      <c r="A374" s="273">
        <v>94</v>
      </c>
      <c r="B374" s="277" t="s">
        <v>443</v>
      </c>
      <c r="C374" s="275" t="s">
        <v>1124</v>
      </c>
      <c r="D374" s="274" t="s">
        <v>384</v>
      </c>
      <c r="E374" s="274"/>
      <c r="F374" s="276">
        <f t="shared" ref="F374:I374" si="251">SUM(F375:F380)</f>
        <v>37</v>
      </c>
      <c r="G374" s="276">
        <f t="shared" si="251"/>
        <v>37</v>
      </c>
      <c r="H374" s="276">
        <f t="shared" si="251"/>
        <v>37</v>
      </c>
      <c r="I374" s="276">
        <f t="shared" si="251"/>
        <v>37</v>
      </c>
      <c r="J374" s="274" t="s">
        <v>2383</v>
      </c>
      <c r="K374" s="276">
        <f t="shared" ref="K374:R374" si="252">SUM(K375:K380)</f>
        <v>37</v>
      </c>
      <c r="L374" s="276">
        <f t="shared" si="252"/>
        <v>86</v>
      </c>
      <c r="M374" s="274">
        <v>2018</v>
      </c>
      <c r="N374" s="274">
        <v>2020</v>
      </c>
      <c r="O374" s="280">
        <f t="shared" si="249"/>
        <v>60.204816</v>
      </c>
      <c r="P374" s="280">
        <f t="shared" si="252"/>
        <v>17.3376</v>
      </c>
      <c r="Q374" s="280">
        <f t="shared" si="252"/>
        <v>19.93824</v>
      </c>
      <c r="R374" s="280">
        <f t="shared" si="252"/>
        <v>22.928976</v>
      </c>
      <c r="S374" s="280">
        <f>SUM(P374:R374)</f>
        <v>60.204816</v>
      </c>
      <c r="T374" s="280"/>
      <c r="U374" s="280"/>
      <c r="V374" s="280"/>
      <c r="W374" s="280"/>
      <c r="X374" s="288" t="s">
        <v>2108</v>
      </c>
      <c r="Y374" s="274" t="s">
        <v>2132</v>
      </c>
      <c r="Z374" s="288" t="s">
        <v>338</v>
      </c>
      <c r="AA374" s="274" t="s">
        <v>2384</v>
      </c>
      <c r="AB374" s="288" t="s">
        <v>2385</v>
      </c>
      <c r="AC374" s="274" t="s">
        <v>1073</v>
      </c>
    </row>
    <row r="375" ht="30" customHeight="1" spans="1:29">
      <c r="A375" s="273"/>
      <c r="B375" s="274" t="s">
        <v>2123</v>
      </c>
      <c r="C375" s="275" t="s">
        <v>1124</v>
      </c>
      <c r="D375" s="274" t="s">
        <v>384</v>
      </c>
      <c r="E375" s="274"/>
      <c r="F375" s="276">
        <v>12</v>
      </c>
      <c r="G375" s="276">
        <v>12</v>
      </c>
      <c r="H375" s="276">
        <v>12</v>
      </c>
      <c r="I375" s="276">
        <v>12</v>
      </c>
      <c r="J375" s="274" t="s">
        <v>2386</v>
      </c>
      <c r="K375" s="274">
        <v>12</v>
      </c>
      <c r="L375" s="274">
        <v>30</v>
      </c>
      <c r="M375" s="274">
        <v>2018</v>
      </c>
      <c r="N375" s="274">
        <v>2020</v>
      </c>
      <c r="O375" s="280">
        <f t="shared" si="249"/>
        <v>21.00168</v>
      </c>
      <c r="P375" s="280">
        <f t="shared" ref="P375:P380" si="253">L375*0.0168*12</f>
        <v>6.048</v>
      </c>
      <c r="Q375" s="280">
        <f t="shared" ref="Q375:Q380" si="254">P375*1.15</f>
        <v>6.9552</v>
      </c>
      <c r="R375" s="280">
        <f t="shared" ref="R375:R380" si="255">Q375*1.15</f>
        <v>7.99848</v>
      </c>
      <c r="S375" s="280"/>
      <c r="T375" s="280"/>
      <c r="U375" s="280"/>
      <c r="V375" s="280"/>
      <c r="W375" s="280"/>
      <c r="X375" s="289"/>
      <c r="Y375" s="289"/>
      <c r="Z375" s="288"/>
      <c r="AA375" s="274"/>
      <c r="AB375" s="288"/>
      <c r="AC375" s="280"/>
    </row>
    <row r="376" ht="30" customHeight="1" spans="1:29">
      <c r="A376" s="273"/>
      <c r="B376" s="274" t="s">
        <v>2114</v>
      </c>
      <c r="C376" s="275" t="s">
        <v>1124</v>
      </c>
      <c r="D376" s="274" t="s">
        <v>384</v>
      </c>
      <c r="E376" s="274"/>
      <c r="F376" s="276">
        <v>5</v>
      </c>
      <c r="G376" s="276">
        <v>5</v>
      </c>
      <c r="H376" s="276">
        <v>5</v>
      </c>
      <c r="I376" s="276">
        <v>5</v>
      </c>
      <c r="J376" s="274" t="s">
        <v>2387</v>
      </c>
      <c r="K376" s="274">
        <v>5</v>
      </c>
      <c r="L376" s="274">
        <v>7</v>
      </c>
      <c r="M376" s="274">
        <v>2018</v>
      </c>
      <c r="N376" s="274">
        <v>2020</v>
      </c>
      <c r="O376" s="280">
        <f t="shared" si="249"/>
        <v>4.900392</v>
      </c>
      <c r="P376" s="280">
        <f t="shared" si="253"/>
        <v>1.4112</v>
      </c>
      <c r="Q376" s="280">
        <f t="shared" si="254"/>
        <v>1.62288</v>
      </c>
      <c r="R376" s="280">
        <f t="shared" si="255"/>
        <v>1.866312</v>
      </c>
      <c r="S376" s="280"/>
      <c r="T376" s="280"/>
      <c r="U376" s="280"/>
      <c r="V376" s="280"/>
      <c r="W376" s="280"/>
      <c r="X376" s="289"/>
      <c r="Y376" s="289"/>
      <c r="Z376" s="288"/>
      <c r="AA376" s="274"/>
      <c r="AB376" s="288"/>
      <c r="AC376" s="280"/>
    </row>
    <row r="377" ht="30" customHeight="1" spans="1:29">
      <c r="A377" s="273"/>
      <c r="B377" s="274" t="s">
        <v>2116</v>
      </c>
      <c r="C377" s="275" t="s">
        <v>1124</v>
      </c>
      <c r="D377" s="274" t="s">
        <v>384</v>
      </c>
      <c r="E377" s="274"/>
      <c r="F377" s="276">
        <v>6</v>
      </c>
      <c r="G377" s="276">
        <v>6</v>
      </c>
      <c r="H377" s="276">
        <v>6</v>
      </c>
      <c r="I377" s="276">
        <v>6</v>
      </c>
      <c r="J377" s="274" t="s">
        <v>2388</v>
      </c>
      <c r="K377" s="274">
        <v>6</v>
      </c>
      <c r="L377" s="274">
        <v>13</v>
      </c>
      <c r="M377" s="274">
        <v>2018</v>
      </c>
      <c r="N377" s="274">
        <v>2020</v>
      </c>
      <c r="O377" s="280">
        <f t="shared" si="249"/>
        <v>9.100728</v>
      </c>
      <c r="P377" s="280">
        <f t="shared" si="253"/>
        <v>2.6208</v>
      </c>
      <c r="Q377" s="280">
        <f t="shared" si="254"/>
        <v>3.01392</v>
      </c>
      <c r="R377" s="280">
        <f t="shared" si="255"/>
        <v>3.466008</v>
      </c>
      <c r="S377" s="280"/>
      <c r="T377" s="280"/>
      <c r="U377" s="280"/>
      <c r="V377" s="280"/>
      <c r="W377" s="280"/>
      <c r="X377" s="289"/>
      <c r="Y377" s="289"/>
      <c r="Z377" s="288"/>
      <c r="AA377" s="274"/>
      <c r="AB377" s="288"/>
      <c r="AC377" s="280"/>
    </row>
    <row r="378" ht="30" customHeight="1" spans="1:29">
      <c r="A378" s="273"/>
      <c r="B378" s="274" t="s">
        <v>2118</v>
      </c>
      <c r="C378" s="275" t="s">
        <v>1124</v>
      </c>
      <c r="D378" s="274" t="s">
        <v>384</v>
      </c>
      <c r="E378" s="274"/>
      <c r="F378" s="276">
        <v>8</v>
      </c>
      <c r="G378" s="276">
        <v>8</v>
      </c>
      <c r="H378" s="276">
        <v>8</v>
      </c>
      <c r="I378" s="276">
        <v>8</v>
      </c>
      <c r="J378" s="274" t="s">
        <v>2389</v>
      </c>
      <c r="K378" s="274">
        <v>8</v>
      </c>
      <c r="L378" s="274">
        <v>21</v>
      </c>
      <c r="M378" s="274">
        <v>2018</v>
      </c>
      <c r="N378" s="274">
        <v>2020</v>
      </c>
      <c r="O378" s="280">
        <f t="shared" si="249"/>
        <v>14.701176</v>
      </c>
      <c r="P378" s="280">
        <f t="shared" si="253"/>
        <v>4.2336</v>
      </c>
      <c r="Q378" s="280">
        <f t="shared" si="254"/>
        <v>4.86864</v>
      </c>
      <c r="R378" s="280">
        <f t="shared" si="255"/>
        <v>5.598936</v>
      </c>
      <c r="S378" s="280"/>
      <c r="T378" s="280"/>
      <c r="U378" s="280"/>
      <c r="V378" s="280"/>
      <c r="W378" s="280"/>
      <c r="X378" s="288"/>
      <c r="Y378" s="288"/>
      <c r="Z378" s="288"/>
      <c r="AA378" s="274"/>
      <c r="AB378" s="288"/>
      <c r="AC378" s="280"/>
    </row>
    <row r="379" ht="30" customHeight="1" spans="1:29">
      <c r="A379" s="273"/>
      <c r="B379" s="274" t="s">
        <v>2124</v>
      </c>
      <c r="C379" s="275" t="s">
        <v>1124</v>
      </c>
      <c r="D379" s="274" t="s">
        <v>384</v>
      </c>
      <c r="E379" s="274"/>
      <c r="F379" s="276">
        <v>2</v>
      </c>
      <c r="G379" s="276">
        <v>2</v>
      </c>
      <c r="H379" s="276">
        <v>2</v>
      </c>
      <c r="I379" s="276">
        <v>2</v>
      </c>
      <c r="J379" s="274" t="s">
        <v>2390</v>
      </c>
      <c r="K379" s="274">
        <v>2</v>
      </c>
      <c r="L379" s="274">
        <v>5</v>
      </c>
      <c r="M379" s="274">
        <v>2018</v>
      </c>
      <c r="N379" s="274">
        <v>2020</v>
      </c>
      <c r="O379" s="280">
        <f t="shared" si="249"/>
        <v>3.50028</v>
      </c>
      <c r="P379" s="280">
        <f t="shared" si="253"/>
        <v>1.008</v>
      </c>
      <c r="Q379" s="280">
        <f t="shared" si="254"/>
        <v>1.1592</v>
      </c>
      <c r="R379" s="280">
        <f t="shared" si="255"/>
        <v>1.33308</v>
      </c>
      <c r="S379" s="280"/>
      <c r="T379" s="280"/>
      <c r="U379" s="280"/>
      <c r="V379" s="280"/>
      <c r="W379" s="280"/>
      <c r="X379" s="288"/>
      <c r="Y379" s="288"/>
      <c r="Z379" s="288"/>
      <c r="AA379" s="274"/>
      <c r="AB379" s="288"/>
      <c r="AC379" s="280"/>
    </row>
    <row r="380" ht="30" customHeight="1" spans="1:29">
      <c r="A380" s="273"/>
      <c r="B380" s="274" t="s">
        <v>2125</v>
      </c>
      <c r="C380" s="275" t="s">
        <v>1124</v>
      </c>
      <c r="D380" s="274" t="s">
        <v>384</v>
      </c>
      <c r="E380" s="274"/>
      <c r="F380" s="276">
        <v>4</v>
      </c>
      <c r="G380" s="276">
        <v>4</v>
      </c>
      <c r="H380" s="276">
        <v>4</v>
      </c>
      <c r="I380" s="276">
        <v>4</v>
      </c>
      <c r="J380" s="274" t="s">
        <v>2391</v>
      </c>
      <c r="K380" s="274">
        <v>4</v>
      </c>
      <c r="L380" s="274">
        <v>10</v>
      </c>
      <c r="M380" s="274">
        <v>2018</v>
      </c>
      <c r="N380" s="274">
        <v>2020</v>
      </c>
      <c r="O380" s="280">
        <f t="shared" si="249"/>
        <v>7.00056</v>
      </c>
      <c r="P380" s="280">
        <f t="shared" si="253"/>
        <v>2.016</v>
      </c>
      <c r="Q380" s="280">
        <f t="shared" si="254"/>
        <v>2.3184</v>
      </c>
      <c r="R380" s="280">
        <f t="shared" si="255"/>
        <v>2.66616</v>
      </c>
      <c r="S380" s="280"/>
      <c r="T380" s="280"/>
      <c r="U380" s="280"/>
      <c r="V380" s="280"/>
      <c r="W380" s="280"/>
      <c r="X380" s="274"/>
      <c r="Y380" s="274"/>
      <c r="Z380" s="288"/>
      <c r="AA380" s="274"/>
      <c r="AB380" s="288"/>
      <c r="AC380" s="280"/>
    </row>
    <row r="381" ht="30" customHeight="1" spans="1:29">
      <c r="A381" s="273">
        <v>95</v>
      </c>
      <c r="B381" s="277" t="s">
        <v>446</v>
      </c>
      <c r="C381" s="275" t="s">
        <v>1124</v>
      </c>
      <c r="D381" s="274" t="s">
        <v>147</v>
      </c>
      <c r="E381" s="274"/>
      <c r="F381" s="276">
        <f>SUM(G381:I381)</f>
        <v>138</v>
      </c>
      <c r="G381" s="276">
        <f t="shared" ref="G381:I381" si="256">SUM(G382,G390)</f>
        <v>46</v>
      </c>
      <c r="H381" s="276">
        <f t="shared" si="256"/>
        <v>46</v>
      </c>
      <c r="I381" s="276">
        <f t="shared" si="256"/>
        <v>46</v>
      </c>
      <c r="J381" s="274" t="s">
        <v>320</v>
      </c>
      <c r="K381" s="276">
        <f t="shared" ref="K381:W381" si="257">SUM(K382,K390)</f>
        <v>8</v>
      </c>
      <c r="L381" s="276">
        <f t="shared" si="257"/>
        <v>8</v>
      </c>
      <c r="M381" s="274">
        <v>2018</v>
      </c>
      <c r="N381" s="274">
        <v>2020</v>
      </c>
      <c r="O381" s="280">
        <f t="shared" si="249"/>
        <v>87.21531</v>
      </c>
      <c r="P381" s="280">
        <f t="shared" si="257"/>
        <v>25.116</v>
      </c>
      <c r="Q381" s="280">
        <f t="shared" si="257"/>
        <v>28.8834</v>
      </c>
      <c r="R381" s="280">
        <f t="shared" si="257"/>
        <v>33.21591</v>
      </c>
      <c r="S381" s="280">
        <f t="shared" si="257"/>
        <v>87.21531</v>
      </c>
      <c r="T381" s="280">
        <f t="shared" si="257"/>
        <v>0</v>
      </c>
      <c r="U381" s="280">
        <f t="shared" si="257"/>
        <v>0</v>
      </c>
      <c r="V381" s="280">
        <f t="shared" si="257"/>
        <v>0</v>
      </c>
      <c r="W381" s="280">
        <f t="shared" si="257"/>
        <v>0</v>
      </c>
      <c r="X381" s="288" t="s">
        <v>2108</v>
      </c>
      <c r="Y381" s="274" t="s">
        <v>2132</v>
      </c>
      <c r="Z381" s="288" t="s">
        <v>338</v>
      </c>
      <c r="AA381" s="274" t="s">
        <v>320</v>
      </c>
      <c r="AB381" s="274" t="s">
        <v>320</v>
      </c>
      <c r="AC381" s="274" t="s">
        <v>1073</v>
      </c>
    </row>
    <row r="382" ht="72" spans="1:29">
      <c r="A382" s="273">
        <v>96</v>
      </c>
      <c r="B382" s="277" t="s">
        <v>447</v>
      </c>
      <c r="C382" s="275" t="s">
        <v>1124</v>
      </c>
      <c r="D382" s="274" t="s">
        <v>147</v>
      </c>
      <c r="E382" s="274"/>
      <c r="F382" s="276">
        <f t="shared" ref="F382:I382" si="258">SUM(F383:F389)</f>
        <v>46</v>
      </c>
      <c r="G382" s="276">
        <f t="shared" si="258"/>
        <v>46</v>
      </c>
      <c r="H382" s="276">
        <f t="shared" si="258"/>
        <v>46</v>
      </c>
      <c r="I382" s="276">
        <f t="shared" si="258"/>
        <v>46</v>
      </c>
      <c r="J382" s="274" t="s">
        <v>2392</v>
      </c>
      <c r="K382" s="276">
        <f t="shared" ref="K382:R382" si="259">SUM(K383:K389)</f>
        <v>8</v>
      </c>
      <c r="L382" s="276">
        <f t="shared" si="259"/>
        <v>8</v>
      </c>
      <c r="M382" s="274">
        <v>2018</v>
      </c>
      <c r="N382" s="274">
        <v>2020</v>
      </c>
      <c r="O382" s="280">
        <f t="shared" si="249"/>
        <v>87.21531</v>
      </c>
      <c r="P382" s="280">
        <f t="shared" si="259"/>
        <v>25.116</v>
      </c>
      <c r="Q382" s="280">
        <f t="shared" si="259"/>
        <v>28.8834</v>
      </c>
      <c r="R382" s="280">
        <f t="shared" si="259"/>
        <v>33.21591</v>
      </c>
      <c r="S382" s="280">
        <f>SUM(P382:R382)</f>
        <v>87.21531</v>
      </c>
      <c r="T382" s="280"/>
      <c r="U382" s="280"/>
      <c r="V382" s="280"/>
      <c r="W382" s="280"/>
      <c r="X382" s="288" t="s">
        <v>2108</v>
      </c>
      <c r="Y382" s="274" t="s">
        <v>2132</v>
      </c>
      <c r="Z382" s="288" t="s">
        <v>338</v>
      </c>
      <c r="AA382" s="274" t="s">
        <v>2393</v>
      </c>
      <c r="AB382" s="288" t="s">
        <v>2394</v>
      </c>
      <c r="AC382" s="274" t="s">
        <v>320</v>
      </c>
    </row>
    <row r="383" ht="30" customHeight="1" spans="1:29">
      <c r="A383" s="273"/>
      <c r="B383" s="274" t="s">
        <v>2123</v>
      </c>
      <c r="C383" s="275" t="s">
        <v>1124</v>
      </c>
      <c r="D383" s="274" t="s">
        <v>147</v>
      </c>
      <c r="E383" s="274"/>
      <c r="F383" s="276">
        <v>32</v>
      </c>
      <c r="G383" s="276">
        <v>32</v>
      </c>
      <c r="H383" s="276">
        <v>32</v>
      </c>
      <c r="I383" s="276">
        <v>32</v>
      </c>
      <c r="J383" s="274" t="s">
        <v>2395</v>
      </c>
      <c r="K383" s="274">
        <v>5</v>
      </c>
      <c r="L383" s="274">
        <v>5</v>
      </c>
      <c r="M383" s="274">
        <v>2018</v>
      </c>
      <c r="N383" s="274">
        <v>2020</v>
      </c>
      <c r="O383" s="280">
        <f t="shared" si="249"/>
        <v>60.67152</v>
      </c>
      <c r="P383" s="280">
        <f t="shared" ref="P383:P389" si="260">G383*12*0.0455</f>
        <v>17.472</v>
      </c>
      <c r="Q383" s="280">
        <f t="shared" ref="Q383:Q389" si="261">P383*1.15</f>
        <v>20.0928</v>
      </c>
      <c r="R383" s="280">
        <f t="shared" ref="R383:R389" si="262">Q383*1.15</f>
        <v>23.10672</v>
      </c>
      <c r="S383" s="280"/>
      <c r="T383" s="280"/>
      <c r="U383" s="280"/>
      <c r="V383" s="280"/>
      <c r="W383" s="280"/>
      <c r="X383" s="289"/>
      <c r="Y383" s="289"/>
      <c r="Z383" s="288"/>
      <c r="AA383" s="274"/>
      <c r="AB383" s="288"/>
      <c r="AC383" s="280"/>
    </row>
    <row r="384" ht="30" customHeight="1" spans="1:29">
      <c r="A384" s="273"/>
      <c r="B384" s="274" t="s">
        <v>2112</v>
      </c>
      <c r="C384" s="275" t="s">
        <v>1124</v>
      </c>
      <c r="D384" s="274" t="s">
        <v>147</v>
      </c>
      <c r="E384" s="274"/>
      <c r="F384" s="276">
        <v>1</v>
      </c>
      <c r="G384" s="276">
        <v>1</v>
      </c>
      <c r="H384" s="276">
        <v>1</v>
      </c>
      <c r="I384" s="276">
        <v>1</v>
      </c>
      <c r="J384" s="274" t="s">
        <v>2396</v>
      </c>
      <c r="K384" s="274">
        <v>1</v>
      </c>
      <c r="L384" s="274">
        <v>1</v>
      </c>
      <c r="M384" s="274">
        <v>2018</v>
      </c>
      <c r="N384" s="274">
        <v>2020</v>
      </c>
      <c r="O384" s="280">
        <f t="shared" si="249"/>
        <v>1.895985</v>
      </c>
      <c r="P384" s="280">
        <f t="shared" si="260"/>
        <v>0.546</v>
      </c>
      <c r="Q384" s="280">
        <f t="shared" si="261"/>
        <v>0.6279</v>
      </c>
      <c r="R384" s="280">
        <f t="shared" si="262"/>
        <v>0.722085</v>
      </c>
      <c r="S384" s="280"/>
      <c r="T384" s="280"/>
      <c r="U384" s="280"/>
      <c r="V384" s="280"/>
      <c r="W384" s="280"/>
      <c r="X384" s="274"/>
      <c r="Y384" s="274"/>
      <c r="Z384" s="288"/>
      <c r="AA384" s="274"/>
      <c r="AB384" s="288"/>
      <c r="AC384" s="280"/>
    </row>
    <row r="385" ht="30" customHeight="1" spans="1:29">
      <c r="A385" s="273"/>
      <c r="B385" s="274" t="s">
        <v>2114</v>
      </c>
      <c r="C385" s="275" t="s">
        <v>1124</v>
      </c>
      <c r="D385" s="274" t="s">
        <v>147</v>
      </c>
      <c r="E385" s="274"/>
      <c r="F385" s="276">
        <v>2</v>
      </c>
      <c r="G385" s="276">
        <v>2</v>
      </c>
      <c r="H385" s="276">
        <v>2</v>
      </c>
      <c r="I385" s="276">
        <v>2</v>
      </c>
      <c r="J385" s="274" t="s">
        <v>2397</v>
      </c>
      <c r="K385" s="274">
        <v>0</v>
      </c>
      <c r="L385" s="274">
        <v>0</v>
      </c>
      <c r="M385" s="274">
        <v>2018</v>
      </c>
      <c r="N385" s="274">
        <v>2020</v>
      </c>
      <c r="O385" s="280">
        <f t="shared" si="249"/>
        <v>3.79197</v>
      </c>
      <c r="P385" s="280">
        <f t="shared" si="260"/>
        <v>1.092</v>
      </c>
      <c r="Q385" s="280">
        <f t="shared" si="261"/>
        <v>1.2558</v>
      </c>
      <c r="R385" s="280">
        <f t="shared" si="262"/>
        <v>1.44417</v>
      </c>
      <c r="S385" s="280"/>
      <c r="T385" s="280"/>
      <c r="U385" s="280"/>
      <c r="V385" s="280"/>
      <c r="W385" s="280"/>
      <c r="X385" s="274"/>
      <c r="Y385" s="274"/>
      <c r="Z385" s="288"/>
      <c r="AA385" s="274"/>
      <c r="AB385" s="288"/>
      <c r="AC385" s="280"/>
    </row>
    <row r="386" ht="30" customHeight="1" spans="1:29">
      <c r="A386" s="273"/>
      <c r="B386" s="274" t="s">
        <v>2116</v>
      </c>
      <c r="C386" s="275" t="s">
        <v>1124</v>
      </c>
      <c r="D386" s="274" t="s">
        <v>147</v>
      </c>
      <c r="E386" s="274"/>
      <c r="F386" s="276">
        <v>1</v>
      </c>
      <c r="G386" s="276">
        <v>1</v>
      </c>
      <c r="H386" s="276">
        <v>1</v>
      </c>
      <c r="I386" s="276">
        <v>1</v>
      </c>
      <c r="J386" s="274" t="s">
        <v>2396</v>
      </c>
      <c r="K386" s="274">
        <v>0</v>
      </c>
      <c r="L386" s="274">
        <v>0</v>
      </c>
      <c r="M386" s="274">
        <v>2018</v>
      </c>
      <c r="N386" s="274">
        <v>2020</v>
      </c>
      <c r="O386" s="280">
        <f t="shared" si="249"/>
        <v>1.895985</v>
      </c>
      <c r="P386" s="280">
        <f t="shared" si="260"/>
        <v>0.546</v>
      </c>
      <c r="Q386" s="280">
        <f t="shared" si="261"/>
        <v>0.6279</v>
      </c>
      <c r="R386" s="280">
        <f t="shared" si="262"/>
        <v>0.722085</v>
      </c>
      <c r="S386" s="280"/>
      <c r="T386" s="280"/>
      <c r="U386" s="280"/>
      <c r="V386" s="280"/>
      <c r="W386" s="280"/>
      <c r="X386" s="274"/>
      <c r="Y386" s="274"/>
      <c r="Z386" s="288"/>
      <c r="AA386" s="274"/>
      <c r="AB386" s="288"/>
      <c r="AC386" s="280"/>
    </row>
    <row r="387" ht="30" customHeight="1" spans="1:29">
      <c r="A387" s="273"/>
      <c r="B387" s="274" t="s">
        <v>2118</v>
      </c>
      <c r="C387" s="275" t="s">
        <v>1124</v>
      </c>
      <c r="D387" s="274" t="s">
        <v>147</v>
      </c>
      <c r="E387" s="274"/>
      <c r="F387" s="276">
        <v>3</v>
      </c>
      <c r="G387" s="276">
        <v>3</v>
      </c>
      <c r="H387" s="276">
        <v>3</v>
      </c>
      <c r="I387" s="276">
        <v>3</v>
      </c>
      <c r="J387" s="274" t="s">
        <v>2398</v>
      </c>
      <c r="K387" s="274">
        <v>1</v>
      </c>
      <c r="L387" s="274">
        <v>1</v>
      </c>
      <c r="M387" s="274">
        <v>2018</v>
      </c>
      <c r="N387" s="274">
        <v>2020</v>
      </c>
      <c r="O387" s="280">
        <f t="shared" si="249"/>
        <v>5.687955</v>
      </c>
      <c r="P387" s="280">
        <f t="shared" si="260"/>
        <v>1.638</v>
      </c>
      <c r="Q387" s="280">
        <f t="shared" si="261"/>
        <v>1.8837</v>
      </c>
      <c r="R387" s="280">
        <f t="shared" si="262"/>
        <v>2.166255</v>
      </c>
      <c r="S387" s="280"/>
      <c r="T387" s="280"/>
      <c r="U387" s="280"/>
      <c r="V387" s="280"/>
      <c r="W387" s="280"/>
      <c r="X387" s="288"/>
      <c r="Y387" s="288"/>
      <c r="Z387" s="288"/>
      <c r="AA387" s="274"/>
      <c r="AB387" s="288"/>
      <c r="AC387" s="280"/>
    </row>
    <row r="388" ht="30" customHeight="1" spans="1:29">
      <c r="A388" s="273"/>
      <c r="B388" s="274" t="s">
        <v>2124</v>
      </c>
      <c r="C388" s="275" t="s">
        <v>1124</v>
      </c>
      <c r="D388" s="274" t="s">
        <v>147</v>
      </c>
      <c r="E388" s="274"/>
      <c r="F388" s="276">
        <v>2</v>
      </c>
      <c r="G388" s="276">
        <v>2</v>
      </c>
      <c r="H388" s="276">
        <v>2</v>
      </c>
      <c r="I388" s="276">
        <v>2</v>
      </c>
      <c r="J388" s="274" t="s">
        <v>2397</v>
      </c>
      <c r="K388" s="274">
        <v>1</v>
      </c>
      <c r="L388" s="274">
        <v>1</v>
      </c>
      <c r="M388" s="274">
        <v>2018</v>
      </c>
      <c r="N388" s="274">
        <v>2020</v>
      </c>
      <c r="O388" s="280">
        <f t="shared" si="249"/>
        <v>3.79197</v>
      </c>
      <c r="P388" s="280">
        <f t="shared" si="260"/>
        <v>1.092</v>
      </c>
      <c r="Q388" s="280">
        <f t="shared" si="261"/>
        <v>1.2558</v>
      </c>
      <c r="R388" s="280">
        <f t="shared" si="262"/>
        <v>1.44417</v>
      </c>
      <c r="S388" s="280"/>
      <c r="T388" s="280"/>
      <c r="U388" s="280"/>
      <c r="V388" s="280"/>
      <c r="W388" s="280"/>
      <c r="X388" s="288"/>
      <c r="Y388" s="288"/>
      <c r="Z388" s="288"/>
      <c r="AA388" s="274"/>
      <c r="AB388" s="288"/>
      <c r="AC388" s="280"/>
    </row>
    <row r="389" ht="30" customHeight="1" spans="1:29">
      <c r="A389" s="273"/>
      <c r="B389" s="274" t="s">
        <v>2125</v>
      </c>
      <c r="C389" s="275" t="s">
        <v>1124</v>
      </c>
      <c r="D389" s="274" t="s">
        <v>147</v>
      </c>
      <c r="E389" s="274"/>
      <c r="F389" s="276">
        <v>5</v>
      </c>
      <c r="G389" s="276">
        <v>5</v>
      </c>
      <c r="H389" s="276">
        <v>5</v>
      </c>
      <c r="I389" s="276">
        <v>5</v>
      </c>
      <c r="J389" s="274" t="s">
        <v>2399</v>
      </c>
      <c r="K389" s="274">
        <v>0</v>
      </c>
      <c r="L389" s="274">
        <v>0</v>
      </c>
      <c r="M389" s="274">
        <v>2018</v>
      </c>
      <c r="N389" s="274">
        <v>2020</v>
      </c>
      <c r="O389" s="280">
        <f t="shared" si="249"/>
        <v>9.479925</v>
      </c>
      <c r="P389" s="280">
        <f t="shared" si="260"/>
        <v>2.73</v>
      </c>
      <c r="Q389" s="280">
        <f t="shared" si="261"/>
        <v>3.1395</v>
      </c>
      <c r="R389" s="280">
        <f t="shared" si="262"/>
        <v>3.610425</v>
      </c>
      <c r="S389" s="280"/>
      <c r="T389" s="280"/>
      <c r="U389" s="280"/>
      <c r="V389" s="280"/>
      <c r="W389" s="280"/>
      <c r="X389" s="274"/>
      <c r="Y389" s="274"/>
      <c r="Z389" s="288"/>
      <c r="AA389" s="274"/>
      <c r="AB389" s="288"/>
      <c r="AC389" s="280"/>
    </row>
    <row r="390" ht="30" customHeight="1" spans="1:29">
      <c r="A390" s="273">
        <v>97</v>
      </c>
      <c r="B390" s="277" t="s">
        <v>448</v>
      </c>
      <c r="C390" s="275" t="s">
        <v>320</v>
      </c>
      <c r="D390" s="274" t="s">
        <v>320</v>
      </c>
      <c r="E390" s="274"/>
      <c r="F390" s="276" t="s">
        <v>320</v>
      </c>
      <c r="G390" s="276" t="s">
        <v>320</v>
      </c>
      <c r="H390" s="276" t="s">
        <v>320</v>
      </c>
      <c r="I390" s="276" t="s">
        <v>320</v>
      </c>
      <c r="J390" s="274" t="s">
        <v>320</v>
      </c>
      <c r="K390" s="274" t="s">
        <v>320</v>
      </c>
      <c r="L390" s="274" t="s">
        <v>320</v>
      </c>
      <c r="M390" s="274" t="s">
        <v>320</v>
      </c>
      <c r="N390" s="274" t="s">
        <v>320</v>
      </c>
      <c r="O390" s="280" t="s">
        <v>320</v>
      </c>
      <c r="P390" s="280" t="s">
        <v>320</v>
      </c>
      <c r="Q390" s="280" t="s">
        <v>320</v>
      </c>
      <c r="R390" s="280" t="s">
        <v>320</v>
      </c>
      <c r="S390" s="280" t="s">
        <v>320</v>
      </c>
      <c r="T390" s="280" t="s">
        <v>320</v>
      </c>
      <c r="U390" s="280" t="s">
        <v>320</v>
      </c>
      <c r="V390" s="280" t="s">
        <v>320</v>
      </c>
      <c r="W390" s="280" t="s">
        <v>320</v>
      </c>
      <c r="X390" s="274" t="s">
        <v>320</v>
      </c>
      <c r="Y390" s="274" t="s">
        <v>320</v>
      </c>
      <c r="Z390" s="274" t="s">
        <v>320</v>
      </c>
      <c r="AA390" s="274" t="s">
        <v>320</v>
      </c>
      <c r="AB390" s="274" t="s">
        <v>2128</v>
      </c>
      <c r="AC390" s="274" t="s">
        <v>320</v>
      </c>
    </row>
    <row r="391" ht="72" spans="1:29">
      <c r="A391" s="273">
        <v>98</v>
      </c>
      <c r="B391" s="277" t="s">
        <v>449</v>
      </c>
      <c r="C391" s="275" t="s">
        <v>1124</v>
      </c>
      <c r="D391" s="274" t="s">
        <v>147</v>
      </c>
      <c r="E391" s="274"/>
      <c r="F391" s="276">
        <f t="shared" ref="F391:I391" si="263">SUM(F392:F398)</f>
        <v>142</v>
      </c>
      <c r="G391" s="276">
        <f t="shared" si="263"/>
        <v>142</v>
      </c>
      <c r="H391" s="276">
        <f t="shared" si="263"/>
        <v>142</v>
      </c>
      <c r="I391" s="276">
        <f t="shared" si="263"/>
        <v>142</v>
      </c>
      <c r="J391" s="274" t="s">
        <v>2400</v>
      </c>
      <c r="K391" s="276">
        <v>78</v>
      </c>
      <c r="L391" s="276">
        <v>78</v>
      </c>
      <c r="M391" s="274">
        <v>2018</v>
      </c>
      <c r="N391" s="274">
        <v>2020</v>
      </c>
      <c r="O391" s="280">
        <f t="shared" ref="O391:O398" si="264">SUM(P391:R391)</f>
        <v>49.968</v>
      </c>
      <c r="P391" s="280">
        <f t="shared" ref="P391:R391" si="265">SUM(P392:P398)</f>
        <v>16.656</v>
      </c>
      <c r="Q391" s="280">
        <f t="shared" si="265"/>
        <v>16.656</v>
      </c>
      <c r="R391" s="280">
        <f t="shared" si="265"/>
        <v>16.656</v>
      </c>
      <c r="S391" s="280">
        <f>SUM(P391:R391)</f>
        <v>49.968</v>
      </c>
      <c r="T391" s="280"/>
      <c r="U391" s="280"/>
      <c r="V391" s="280"/>
      <c r="W391" s="280"/>
      <c r="X391" s="288" t="s">
        <v>2108</v>
      </c>
      <c r="Y391" s="274" t="s">
        <v>2132</v>
      </c>
      <c r="Z391" s="288" t="s">
        <v>452</v>
      </c>
      <c r="AA391" s="274" t="s">
        <v>2401</v>
      </c>
      <c r="AB391" s="288" t="s">
        <v>2402</v>
      </c>
      <c r="AC391" s="274" t="s">
        <v>1073</v>
      </c>
    </row>
    <row r="392" ht="30" customHeight="1" spans="1:29">
      <c r="A392" s="273"/>
      <c r="B392" s="274" t="s">
        <v>2123</v>
      </c>
      <c r="C392" s="275" t="s">
        <v>1124</v>
      </c>
      <c r="D392" s="274" t="s">
        <v>147</v>
      </c>
      <c r="E392" s="274"/>
      <c r="F392" s="276">
        <v>43</v>
      </c>
      <c r="G392" s="276">
        <v>43</v>
      </c>
      <c r="H392" s="276">
        <v>43</v>
      </c>
      <c r="I392" s="276">
        <v>43</v>
      </c>
      <c r="J392" s="274" t="s">
        <v>2403</v>
      </c>
      <c r="K392" s="274">
        <v>22</v>
      </c>
      <c r="L392" s="274">
        <v>22</v>
      </c>
      <c r="M392" s="274">
        <v>2018</v>
      </c>
      <c r="N392" s="274">
        <v>2020</v>
      </c>
      <c r="O392" s="280">
        <f t="shared" si="264"/>
        <v>15.264</v>
      </c>
      <c r="P392" s="280">
        <v>5.088</v>
      </c>
      <c r="Q392" s="280">
        <v>5.088</v>
      </c>
      <c r="R392" s="280">
        <v>5.088</v>
      </c>
      <c r="S392" s="280"/>
      <c r="T392" s="280"/>
      <c r="U392" s="280"/>
      <c r="V392" s="280"/>
      <c r="W392" s="280"/>
      <c r="X392" s="288"/>
      <c r="Y392" s="274"/>
      <c r="Z392" s="288"/>
      <c r="AA392" s="274"/>
      <c r="AB392" s="288" t="s">
        <v>2404</v>
      </c>
      <c r="AC392" s="274"/>
    </row>
    <row r="393" ht="30" customHeight="1" spans="1:29">
      <c r="A393" s="273"/>
      <c r="B393" s="274" t="s">
        <v>2112</v>
      </c>
      <c r="C393" s="275" t="s">
        <v>1124</v>
      </c>
      <c r="D393" s="274" t="s">
        <v>147</v>
      </c>
      <c r="E393" s="274"/>
      <c r="F393" s="276">
        <v>8</v>
      </c>
      <c r="G393" s="276">
        <v>8</v>
      </c>
      <c r="H393" s="276">
        <v>8</v>
      </c>
      <c r="I393" s="276">
        <v>8</v>
      </c>
      <c r="J393" s="274" t="s">
        <v>2405</v>
      </c>
      <c r="K393" s="274">
        <v>5</v>
      </c>
      <c r="L393" s="274">
        <v>5</v>
      </c>
      <c r="M393" s="274">
        <v>2018</v>
      </c>
      <c r="N393" s="274">
        <v>2020</v>
      </c>
      <c r="O393" s="280">
        <f t="shared" si="264"/>
        <v>3.456</v>
      </c>
      <c r="P393" s="280">
        <v>1.152</v>
      </c>
      <c r="Q393" s="280">
        <v>1.152</v>
      </c>
      <c r="R393" s="280">
        <v>1.152</v>
      </c>
      <c r="S393" s="280"/>
      <c r="T393" s="280"/>
      <c r="U393" s="280"/>
      <c r="V393" s="280"/>
      <c r="W393" s="280"/>
      <c r="X393" s="288"/>
      <c r="Y393" s="274"/>
      <c r="Z393" s="288"/>
      <c r="AA393" s="274"/>
      <c r="AB393" s="288"/>
      <c r="AC393" s="274"/>
    </row>
    <row r="394" ht="30" customHeight="1" spans="1:29">
      <c r="A394" s="273"/>
      <c r="B394" s="274" t="s">
        <v>2114</v>
      </c>
      <c r="C394" s="275" t="s">
        <v>1124</v>
      </c>
      <c r="D394" s="274" t="s">
        <v>147</v>
      </c>
      <c r="E394" s="274"/>
      <c r="F394" s="276">
        <v>21</v>
      </c>
      <c r="G394" s="276">
        <v>21</v>
      </c>
      <c r="H394" s="276">
        <v>21</v>
      </c>
      <c r="I394" s="276">
        <v>21</v>
      </c>
      <c r="J394" s="274" t="s">
        <v>2406</v>
      </c>
      <c r="K394" s="274">
        <v>6</v>
      </c>
      <c r="L394" s="274">
        <v>14</v>
      </c>
      <c r="M394" s="274">
        <v>2018</v>
      </c>
      <c r="N394" s="274">
        <v>2020</v>
      </c>
      <c r="O394" s="280">
        <f t="shared" si="264"/>
        <v>8.244</v>
      </c>
      <c r="P394" s="280">
        <v>2.748</v>
      </c>
      <c r="Q394" s="280">
        <v>2.748</v>
      </c>
      <c r="R394" s="280">
        <v>2.748</v>
      </c>
      <c r="S394" s="280"/>
      <c r="T394" s="280"/>
      <c r="U394" s="280"/>
      <c r="V394" s="280"/>
      <c r="W394" s="280"/>
      <c r="X394" s="288"/>
      <c r="Y394" s="274"/>
      <c r="Z394" s="288"/>
      <c r="AA394" s="274"/>
      <c r="AB394" s="288"/>
      <c r="AC394" s="274"/>
    </row>
    <row r="395" ht="30" customHeight="1" spans="1:29">
      <c r="A395" s="273"/>
      <c r="B395" s="274" t="s">
        <v>2116</v>
      </c>
      <c r="C395" s="275" t="s">
        <v>1124</v>
      </c>
      <c r="D395" s="274" t="s">
        <v>147</v>
      </c>
      <c r="E395" s="274"/>
      <c r="F395" s="276">
        <v>33</v>
      </c>
      <c r="G395" s="276">
        <v>33</v>
      </c>
      <c r="H395" s="276">
        <v>33</v>
      </c>
      <c r="I395" s="276">
        <v>33</v>
      </c>
      <c r="J395" s="274" t="s">
        <v>2407</v>
      </c>
      <c r="K395" s="274">
        <v>17</v>
      </c>
      <c r="L395" s="274">
        <v>17</v>
      </c>
      <c r="M395" s="274">
        <v>2018</v>
      </c>
      <c r="N395" s="274">
        <v>2020</v>
      </c>
      <c r="O395" s="280">
        <f t="shared" si="264"/>
        <v>11.088</v>
      </c>
      <c r="P395" s="280">
        <v>3.696</v>
      </c>
      <c r="Q395" s="280">
        <v>3.696</v>
      </c>
      <c r="R395" s="280">
        <v>3.696</v>
      </c>
      <c r="S395" s="280"/>
      <c r="T395" s="280"/>
      <c r="U395" s="280"/>
      <c r="V395" s="280"/>
      <c r="W395" s="280"/>
      <c r="X395" s="288"/>
      <c r="Y395" s="274"/>
      <c r="Z395" s="288"/>
      <c r="AA395" s="274"/>
      <c r="AB395" s="288"/>
      <c r="AC395" s="274"/>
    </row>
    <row r="396" ht="30" customHeight="1" spans="1:29">
      <c r="A396" s="273"/>
      <c r="B396" s="274" t="s">
        <v>2118</v>
      </c>
      <c r="C396" s="275" t="s">
        <v>1124</v>
      </c>
      <c r="D396" s="274" t="s">
        <v>147</v>
      </c>
      <c r="E396" s="274"/>
      <c r="F396" s="276">
        <v>3</v>
      </c>
      <c r="G396" s="276">
        <v>3</v>
      </c>
      <c r="H396" s="276">
        <v>3</v>
      </c>
      <c r="I396" s="276">
        <v>3</v>
      </c>
      <c r="J396" s="274" t="s">
        <v>2408</v>
      </c>
      <c r="K396" s="274">
        <v>2</v>
      </c>
      <c r="L396" s="274">
        <v>2</v>
      </c>
      <c r="M396" s="274">
        <v>2018</v>
      </c>
      <c r="N396" s="274">
        <v>2020</v>
      </c>
      <c r="O396" s="280">
        <f t="shared" si="264"/>
        <v>1.116</v>
      </c>
      <c r="P396" s="280">
        <v>0.372</v>
      </c>
      <c r="Q396" s="280">
        <v>0.372</v>
      </c>
      <c r="R396" s="280">
        <v>0.372</v>
      </c>
      <c r="S396" s="280"/>
      <c r="T396" s="280"/>
      <c r="U396" s="280"/>
      <c r="V396" s="280"/>
      <c r="W396" s="280"/>
      <c r="X396" s="288"/>
      <c r="Y396" s="274"/>
      <c r="Z396" s="288"/>
      <c r="AA396" s="274"/>
      <c r="AB396" s="288"/>
      <c r="AC396" s="274"/>
    </row>
    <row r="397" ht="30" customHeight="1" spans="1:29">
      <c r="A397" s="273"/>
      <c r="B397" s="274" t="s">
        <v>2124</v>
      </c>
      <c r="C397" s="275" t="s">
        <v>1124</v>
      </c>
      <c r="D397" s="274" t="s">
        <v>147</v>
      </c>
      <c r="E397" s="274"/>
      <c r="F397" s="276">
        <v>9</v>
      </c>
      <c r="G397" s="276">
        <v>9</v>
      </c>
      <c r="H397" s="276">
        <v>9</v>
      </c>
      <c r="I397" s="276">
        <v>9</v>
      </c>
      <c r="J397" s="274" t="s">
        <v>2409</v>
      </c>
      <c r="K397" s="274">
        <v>4</v>
      </c>
      <c r="L397" s="274">
        <v>4</v>
      </c>
      <c r="M397" s="274">
        <v>2018</v>
      </c>
      <c r="N397" s="274">
        <v>2020</v>
      </c>
      <c r="O397" s="280">
        <f t="shared" si="264"/>
        <v>2.88</v>
      </c>
      <c r="P397" s="280">
        <v>0.96</v>
      </c>
      <c r="Q397" s="280">
        <v>0.96</v>
      </c>
      <c r="R397" s="280">
        <v>0.96</v>
      </c>
      <c r="S397" s="280"/>
      <c r="T397" s="280"/>
      <c r="U397" s="280"/>
      <c r="V397" s="280"/>
      <c r="W397" s="280"/>
      <c r="X397" s="288"/>
      <c r="Y397" s="274"/>
      <c r="Z397" s="288"/>
      <c r="AA397" s="274"/>
      <c r="AB397" s="288"/>
      <c r="AC397" s="274"/>
    </row>
    <row r="398" ht="30" customHeight="1" spans="1:29">
      <c r="A398" s="273"/>
      <c r="B398" s="274" t="s">
        <v>2125</v>
      </c>
      <c r="C398" s="275" t="s">
        <v>1124</v>
      </c>
      <c r="D398" s="274" t="s">
        <v>147</v>
      </c>
      <c r="E398" s="274"/>
      <c r="F398" s="276">
        <v>25</v>
      </c>
      <c r="G398" s="276">
        <v>25</v>
      </c>
      <c r="H398" s="276">
        <v>25</v>
      </c>
      <c r="I398" s="276">
        <v>25</v>
      </c>
      <c r="J398" s="274" t="s">
        <v>2410</v>
      </c>
      <c r="K398" s="274">
        <v>12</v>
      </c>
      <c r="L398" s="274">
        <v>12</v>
      </c>
      <c r="M398" s="274">
        <v>2018</v>
      </c>
      <c r="N398" s="274">
        <v>2020</v>
      </c>
      <c r="O398" s="280">
        <f t="shared" si="264"/>
        <v>7.92</v>
      </c>
      <c r="P398" s="280">
        <v>2.64</v>
      </c>
      <c r="Q398" s="280">
        <v>2.64</v>
      </c>
      <c r="R398" s="280">
        <v>2.64</v>
      </c>
      <c r="S398" s="280"/>
      <c r="T398" s="280"/>
      <c r="U398" s="280"/>
      <c r="V398" s="280"/>
      <c r="W398" s="280"/>
      <c r="X398" s="288"/>
      <c r="Y398" s="274"/>
      <c r="Z398" s="288"/>
      <c r="AA398" s="274"/>
      <c r="AB398" s="288"/>
      <c r="AC398" s="274"/>
    </row>
    <row r="399" ht="30" customHeight="1" spans="1:29">
      <c r="A399" s="273">
        <v>99</v>
      </c>
      <c r="B399" s="277" t="s">
        <v>457</v>
      </c>
      <c r="C399" s="279" t="s">
        <v>320</v>
      </c>
      <c r="D399" s="280" t="s">
        <v>320</v>
      </c>
      <c r="E399" s="280"/>
      <c r="F399" s="276" t="s">
        <v>320</v>
      </c>
      <c r="G399" s="276" t="s">
        <v>320</v>
      </c>
      <c r="H399" s="276" t="s">
        <v>320</v>
      </c>
      <c r="I399" s="276" t="s">
        <v>320</v>
      </c>
      <c r="J399" s="274" t="s">
        <v>320</v>
      </c>
      <c r="K399" s="280" t="s">
        <v>320</v>
      </c>
      <c r="L399" s="274" t="s">
        <v>320</v>
      </c>
      <c r="M399" s="274" t="s">
        <v>320</v>
      </c>
      <c r="N399" s="274" t="s">
        <v>320</v>
      </c>
      <c r="O399" s="280" t="s">
        <v>320</v>
      </c>
      <c r="P399" s="280" t="s">
        <v>320</v>
      </c>
      <c r="Q399" s="280" t="s">
        <v>320</v>
      </c>
      <c r="R399" s="280" t="s">
        <v>320</v>
      </c>
      <c r="S399" s="280" t="s">
        <v>320</v>
      </c>
      <c r="T399" s="280" t="s">
        <v>320</v>
      </c>
      <c r="U399" s="280" t="s">
        <v>320</v>
      </c>
      <c r="V399" s="280" t="s">
        <v>320</v>
      </c>
      <c r="W399" s="280" t="s">
        <v>320</v>
      </c>
      <c r="X399" s="274" t="s">
        <v>320</v>
      </c>
      <c r="Y399" s="274" t="s">
        <v>320</v>
      </c>
      <c r="Z399" s="274" t="s">
        <v>320</v>
      </c>
      <c r="AA399" s="274" t="s">
        <v>320</v>
      </c>
      <c r="AB399" s="274" t="s">
        <v>2128</v>
      </c>
      <c r="AC399" s="274" t="s">
        <v>320</v>
      </c>
    </row>
    <row r="400" ht="30" customHeight="1" spans="1:29">
      <c r="A400" s="273">
        <v>100</v>
      </c>
      <c r="B400" s="277" t="s">
        <v>458</v>
      </c>
      <c r="C400" s="279" t="s">
        <v>320</v>
      </c>
      <c r="D400" s="280" t="s">
        <v>320</v>
      </c>
      <c r="E400" s="280"/>
      <c r="F400" s="276" t="s">
        <v>320</v>
      </c>
      <c r="G400" s="276" t="s">
        <v>320</v>
      </c>
      <c r="H400" s="276" t="s">
        <v>320</v>
      </c>
      <c r="I400" s="276" t="s">
        <v>320</v>
      </c>
      <c r="J400" s="274" t="s">
        <v>320</v>
      </c>
      <c r="K400" s="280" t="s">
        <v>320</v>
      </c>
      <c r="L400" s="274" t="s">
        <v>320</v>
      </c>
      <c r="M400" s="274" t="s">
        <v>320</v>
      </c>
      <c r="N400" s="274" t="s">
        <v>320</v>
      </c>
      <c r="O400" s="280" t="s">
        <v>320</v>
      </c>
      <c r="P400" s="280" t="s">
        <v>320</v>
      </c>
      <c r="Q400" s="280" t="s">
        <v>320</v>
      </c>
      <c r="R400" s="280" t="s">
        <v>320</v>
      </c>
      <c r="S400" s="280" t="s">
        <v>320</v>
      </c>
      <c r="T400" s="280" t="s">
        <v>320</v>
      </c>
      <c r="U400" s="280" t="s">
        <v>320</v>
      </c>
      <c r="V400" s="280" t="s">
        <v>320</v>
      </c>
      <c r="W400" s="280" t="s">
        <v>320</v>
      </c>
      <c r="X400" s="274" t="s">
        <v>320</v>
      </c>
      <c r="Y400" s="274" t="s">
        <v>320</v>
      </c>
      <c r="Z400" s="274" t="s">
        <v>320</v>
      </c>
      <c r="AA400" s="274" t="s">
        <v>320</v>
      </c>
      <c r="AB400" s="274" t="s">
        <v>2128</v>
      </c>
      <c r="AC400" s="274" t="s">
        <v>320</v>
      </c>
    </row>
    <row r="401" ht="30" customHeight="1" spans="1:29">
      <c r="A401" s="273">
        <v>101</v>
      </c>
      <c r="B401" s="277" t="s">
        <v>459</v>
      </c>
      <c r="C401" s="279" t="s">
        <v>320</v>
      </c>
      <c r="D401" s="280" t="s">
        <v>320</v>
      </c>
      <c r="E401" s="280"/>
      <c r="F401" s="276" t="s">
        <v>320</v>
      </c>
      <c r="G401" s="276" t="s">
        <v>320</v>
      </c>
      <c r="H401" s="276" t="s">
        <v>320</v>
      </c>
      <c r="I401" s="276" t="s">
        <v>320</v>
      </c>
      <c r="J401" s="274" t="s">
        <v>320</v>
      </c>
      <c r="K401" s="280" t="s">
        <v>320</v>
      </c>
      <c r="L401" s="274" t="s">
        <v>320</v>
      </c>
      <c r="M401" s="274" t="s">
        <v>320</v>
      </c>
      <c r="N401" s="274" t="s">
        <v>320</v>
      </c>
      <c r="O401" s="280" t="s">
        <v>320</v>
      </c>
      <c r="P401" s="280" t="s">
        <v>320</v>
      </c>
      <c r="Q401" s="280" t="s">
        <v>320</v>
      </c>
      <c r="R401" s="280" t="s">
        <v>320</v>
      </c>
      <c r="S401" s="280" t="s">
        <v>320</v>
      </c>
      <c r="T401" s="280" t="s">
        <v>320</v>
      </c>
      <c r="U401" s="280" t="s">
        <v>320</v>
      </c>
      <c r="V401" s="280" t="s">
        <v>320</v>
      </c>
      <c r="W401" s="280" t="s">
        <v>320</v>
      </c>
      <c r="X401" s="274" t="s">
        <v>320</v>
      </c>
      <c r="Y401" s="274" t="s">
        <v>320</v>
      </c>
      <c r="Z401" s="274" t="s">
        <v>320</v>
      </c>
      <c r="AA401" s="274" t="s">
        <v>320</v>
      </c>
      <c r="AB401" s="274" t="s">
        <v>2128</v>
      </c>
      <c r="AC401" s="274" t="s">
        <v>320</v>
      </c>
    </row>
    <row r="402" ht="30" customHeight="1" spans="1:29">
      <c r="A402" s="273">
        <v>102</v>
      </c>
      <c r="B402" s="292" t="s">
        <v>951</v>
      </c>
      <c r="C402" s="275" t="s">
        <v>320</v>
      </c>
      <c r="D402" s="274" t="s">
        <v>320</v>
      </c>
      <c r="E402" s="274"/>
      <c r="F402" s="276" t="s">
        <v>320</v>
      </c>
      <c r="G402" s="276" t="s">
        <v>320</v>
      </c>
      <c r="H402" s="276" t="s">
        <v>320</v>
      </c>
      <c r="I402" s="276" t="s">
        <v>320</v>
      </c>
      <c r="J402" s="274" t="s">
        <v>320</v>
      </c>
      <c r="K402" s="274">
        <v>1351</v>
      </c>
      <c r="L402" s="274">
        <v>4888</v>
      </c>
      <c r="M402" s="274">
        <v>2018</v>
      </c>
      <c r="N402" s="274">
        <v>2020</v>
      </c>
      <c r="O402" s="280">
        <f t="shared" ref="O402:O416" si="266">SUM(P402:R402)</f>
        <v>1906.3128</v>
      </c>
      <c r="P402" s="280">
        <f t="shared" ref="P402:W402" si="267">SUM(P403,P404,P406,P410,P417,P421,P432,P440,P444,P453)</f>
        <v>883.5128</v>
      </c>
      <c r="Q402" s="280">
        <f t="shared" si="267"/>
        <v>1022.8</v>
      </c>
      <c r="R402" s="280">
        <f t="shared" si="267"/>
        <v>0</v>
      </c>
      <c r="S402" s="280">
        <f t="shared" si="267"/>
        <v>153.03</v>
      </c>
      <c r="T402" s="280">
        <f t="shared" si="267"/>
        <v>1733.2828</v>
      </c>
      <c r="U402" s="280">
        <f t="shared" si="267"/>
        <v>20</v>
      </c>
      <c r="V402" s="280">
        <f t="shared" si="267"/>
        <v>0</v>
      </c>
      <c r="W402" s="280">
        <f t="shared" si="267"/>
        <v>0</v>
      </c>
      <c r="X402" s="274" t="s">
        <v>320</v>
      </c>
      <c r="Y402" s="274" t="s">
        <v>320</v>
      </c>
      <c r="Z402" s="274" t="s">
        <v>320</v>
      </c>
      <c r="AA402" s="274" t="s">
        <v>320</v>
      </c>
      <c r="AB402" s="274" t="s">
        <v>320</v>
      </c>
      <c r="AC402" s="274" t="s">
        <v>2106</v>
      </c>
    </row>
    <row r="403" ht="30" customHeight="1" spans="1:29">
      <c r="A403" s="273">
        <v>103</v>
      </c>
      <c r="B403" s="292" t="s">
        <v>1175</v>
      </c>
      <c r="C403" s="275" t="s">
        <v>320</v>
      </c>
      <c r="D403" s="274" t="s">
        <v>320</v>
      </c>
      <c r="E403" s="274"/>
      <c r="F403" s="276" t="s">
        <v>320</v>
      </c>
      <c r="G403" s="276" t="s">
        <v>320</v>
      </c>
      <c r="H403" s="276" t="s">
        <v>320</v>
      </c>
      <c r="I403" s="276" t="s">
        <v>320</v>
      </c>
      <c r="J403" s="274" t="s">
        <v>320</v>
      </c>
      <c r="K403" s="274" t="s">
        <v>320</v>
      </c>
      <c r="L403" s="274" t="s">
        <v>320</v>
      </c>
      <c r="M403" s="274" t="s">
        <v>320</v>
      </c>
      <c r="N403" s="274" t="s">
        <v>320</v>
      </c>
      <c r="O403" s="280" t="s">
        <v>320</v>
      </c>
      <c r="P403" s="280" t="s">
        <v>320</v>
      </c>
      <c r="Q403" s="280" t="s">
        <v>320</v>
      </c>
      <c r="R403" s="280" t="s">
        <v>320</v>
      </c>
      <c r="S403" s="280" t="s">
        <v>320</v>
      </c>
      <c r="T403" s="280" t="s">
        <v>320</v>
      </c>
      <c r="U403" s="280" t="s">
        <v>320</v>
      </c>
      <c r="V403" s="280" t="s">
        <v>320</v>
      </c>
      <c r="W403" s="280" t="s">
        <v>320</v>
      </c>
      <c r="X403" s="274" t="s">
        <v>320</v>
      </c>
      <c r="Y403" s="274" t="s">
        <v>320</v>
      </c>
      <c r="Z403" s="274" t="s">
        <v>320</v>
      </c>
      <c r="AA403" s="274" t="s">
        <v>320</v>
      </c>
      <c r="AB403" s="274" t="s">
        <v>320</v>
      </c>
      <c r="AC403" s="274" t="s">
        <v>320</v>
      </c>
    </row>
    <row r="404" ht="30" customHeight="1" spans="1:29">
      <c r="A404" s="273">
        <v>104</v>
      </c>
      <c r="B404" s="292" t="s">
        <v>462</v>
      </c>
      <c r="C404" s="294" t="s">
        <v>320</v>
      </c>
      <c r="D404" s="276" t="s">
        <v>320</v>
      </c>
      <c r="E404" s="276"/>
      <c r="F404" s="276" t="s">
        <v>320</v>
      </c>
      <c r="G404" s="276" t="s">
        <v>320</v>
      </c>
      <c r="H404" s="276" t="s">
        <v>320</v>
      </c>
      <c r="I404" s="276" t="s">
        <v>320</v>
      </c>
      <c r="J404" s="274" t="s">
        <v>320</v>
      </c>
      <c r="K404" s="274" t="s">
        <v>320</v>
      </c>
      <c r="L404" s="274" t="s">
        <v>320</v>
      </c>
      <c r="M404" s="274" t="s">
        <v>320</v>
      </c>
      <c r="N404" s="274" t="s">
        <v>320</v>
      </c>
      <c r="O404" s="280" t="s">
        <v>320</v>
      </c>
      <c r="P404" s="280" t="s">
        <v>320</v>
      </c>
      <c r="Q404" s="280" t="s">
        <v>320</v>
      </c>
      <c r="R404" s="280" t="s">
        <v>320</v>
      </c>
      <c r="S404" s="280" t="s">
        <v>320</v>
      </c>
      <c r="T404" s="280" t="s">
        <v>320</v>
      </c>
      <c r="U404" s="280" t="s">
        <v>320</v>
      </c>
      <c r="V404" s="280" t="s">
        <v>320</v>
      </c>
      <c r="W404" s="280" t="s">
        <v>320</v>
      </c>
      <c r="X404" s="274" t="s">
        <v>320</v>
      </c>
      <c r="Y404" s="274" t="s">
        <v>320</v>
      </c>
      <c r="Z404" s="274" t="s">
        <v>320</v>
      </c>
      <c r="AA404" s="274" t="s">
        <v>320</v>
      </c>
      <c r="AB404" s="274" t="s">
        <v>320</v>
      </c>
      <c r="AC404" s="274" t="s">
        <v>320</v>
      </c>
    </row>
    <row r="405" ht="36" spans="1:29">
      <c r="A405" s="273">
        <v>105</v>
      </c>
      <c r="B405" s="292" t="s">
        <v>464</v>
      </c>
      <c r="C405" s="275" t="s">
        <v>320</v>
      </c>
      <c r="D405" s="274" t="s">
        <v>320</v>
      </c>
      <c r="E405" s="274"/>
      <c r="F405" s="276" t="s">
        <v>320</v>
      </c>
      <c r="G405" s="276" t="s">
        <v>320</v>
      </c>
      <c r="H405" s="276" t="s">
        <v>320</v>
      </c>
      <c r="I405" s="276" t="s">
        <v>320</v>
      </c>
      <c r="J405" s="274" t="s">
        <v>320</v>
      </c>
      <c r="K405" s="274" t="s">
        <v>320</v>
      </c>
      <c r="L405" s="274" t="s">
        <v>320</v>
      </c>
      <c r="M405" s="274" t="s">
        <v>320</v>
      </c>
      <c r="N405" s="274" t="s">
        <v>320</v>
      </c>
      <c r="O405" s="280" t="s">
        <v>320</v>
      </c>
      <c r="P405" s="280" t="s">
        <v>320</v>
      </c>
      <c r="Q405" s="280" t="s">
        <v>320</v>
      </c>
      <c r="R405" s="280" t="s">
        <v>320</v>
      </c>
      <c r="S405" s="280" t="s">
        <v>320</v>
      </c>
      <c r="T405" s="280" t="s">
        <v>320</v>
      </c>
      <c r="U405" s="280" t="s">
        <v>320</v>
      </c>
      <c r="V405" s="280" t="s">
        <v>320</v>
      </c>
      <c r="W405" s="280" t="s">
        <v>320</v>
      </c>
      <c r="X405" s="274" t="s">
        <v>320</v>
      </c>
      <c r="Y405" s="274" t="s">
        <v>320</v>
      </c>
      <c r="Z405" s="274" t="s">
        <v>320</v>
      </c>
      <c r="AA405" s="274" t="s">
        <v>320</v>
      </c>
      <c r="AB405" s="274" t="s">
        <v>2128</v>
      </c>
      <c r="AC405" s="274" t="s">
        <v>320</v>
      </c>
    </row>
    <row r="406" ht="30" customHeight="1" spans="1:29">
      <c r="A406" s="273">
        <v>106</v>
      </c>
      <c r="B406" s="292" t="s">
        <v>495</v>
      </c>
      <c r="C406" s="275" t="s">
        <v>1124</v>
      </c>
      <c r="D406" s="276" t="s">
        <v>496</v>
      </c>
      <c r="E406" s="276"/>
      <c r="F406" s="276">
        <f t="shared" ref="F406:F416" si="268">SUM(G406:I406)</f>
        <v>3</v>
      </c>
      <c r="G406" s="276">
        <f t="shared" ref="G406:I406" si="269">SUM(G407:G409)</f>
        <v>1</v>
      </c>
      <c r="H406" s="276">
        <f t="shared" si="269"/>
        <v>2</v>
      </c>
      <c r="I406" s="276">
        <f t="shared" si="269"/>
        <v>0</v>
      </c>
      <c r="J406" s="274" t="s">
        <v>320</v>
      </c>
      <c r="K406" s="274">
        <f t="shared" ref="K406:R406" si="270">SUM(K407:K409)</f>
        <v>27</v>
      </c>
      <c r="L406" s="274">
        <f t="shared" si="270"/>
        <v>112</v>
      </c>
      <c r="M406" s="274">
        <v>2018</v>
      </c>
      <c r="N406" s="274">
        <v>2019</v>
      </c>
      <c r="O406" s="280">
        <f t="shared" si="266"/>
        <v>111.99</v>
      </c>
      <c r="P406" s="280">
        <f t="shared" si="270"/>
        <v>43.24</v>
      </c>
      <c r="Q406" s="280">
        <f t="shared" si="270"/>
        <v>68.75</v>
      </c>
      <c r="R406" s="280">
        <f t="shared" si="270"/>
        <v>0</v>
      </c>
      <c r="S406" s="280">
        <f>SUM(P406:R406)</f>
        <v>111.99</v>
      </c>
      <c r="T406" s="280"/>
      <c r="U406" s="280"/>
      <c r="V406" s="280"/>
      <c r="W406" s="280"/>
      <c r="X406" s="288" t="s">
        <v>2108</v>
      </c>
      <c r="Y406" s="274" t="s">
        <v>2109</v>
      </c>
      <c r="Z406" s="274" t="s">
        <v>320</v>
      </c>
      <c r="AA406" s="274" t="s">
        <v>320</v>
      </c>
      <c r="AB406" s="274" t="s">
        <v>2411</v>
      </c>
      <c r="AC406" s="274" t="s">
        <v>320</v>
      </c>
    </row>
    <row r="407" s="258" customFormat="1" ht="30" customHeight="1" spans="1:29">
      <c r="A407" s="273"/>
      <c r="B407" s="273" t="s">
        <v>2412</v>
      </c>
      <c r="C407" s="275" t="s">
        <v>1124</v>
      </c>
      <c r="D407" s="276" t="s">
        <v>496</v>
      </c>
      <c r="E407" s="276"/>
      <c r="F407" s="276">
        <f t="shared" si="268"/>
        <v>1</v>
      </c>
      <c r="G407" s="276">
        <v>1</v>
      </c>
      <c r="H407" s="276">
        <v>0</v>
      </c>
      <c r="I407" s="276">
        <v>0</v>
      </c>
      <c r="J407" s="274" t="s">
        <v>2413</v>
      </c>
      <c r="K407" s="141">
        <v>10</v>
      </c>
      <c r="L407" s="141">
        <v>38</v>
      </c>
      <c r="M407" s="274">
        <v>2018</v>
      </c>
      <c r="N407" s="274">
        <v>2018</v>
      </c>
      <c r="O407" s="280">
        <f t="shared" si="266"/>
        <v>43.24</v>
      </c>
      <c r="P407" s="280">
        <v>43.24</v>
      </c>
      <c r="Q407" s="280">
        <v>0</v>
      </c>
      <c r="R407" s="280">
        <v>0</v>
      </c>
      <c r="S407" s="280"/>
      <c r="T407" s="280"/>
      <c r="U407" s="280"/>
      <c r="V407" s="280"/>
      <c r="W407" s="280"/>
      <c r="X407" s="274"/>
      <c r="Y407" s="274"/>
      <c r="Z407" s="274"/>
      <c r="AA407" s="274"/>
      <c r="AB407" s="274"/>
      <c r="AC407" s="274" t="s">
        <v>1073</v>
      </c>
    </row>
    <row r="408" s="258" customFormat="1" ht="30" customHeight="1" spans="1:29">
      <c r="A408" s="273"/>
      <c r="B408" s="303" t="s">
        <v>2414</v>
      </c>
      <c r="C408" s="275" t="s">
        <v>1124</v>
      </c>
      <c r="D408" s="276" t="s">
        <v>496</v>
      </c>
      <c r="E408" s="276"/>
      <c r="F408" s="276">
        <f t="shared" si="268"/>
        <v>1</v>
      </c>
      <c r="G408" s="276">
        <v>0</v>
      </c>
      <c r="H408" s="276">
        <v>1</v>
      </c>
      <c r="I408" s="276">
        <v>0</v>
      </c>
      <c r="J408" s="274" t="s">
        <v>2413</v>
      </c>
      <c r="K408" s="274">
        <v>10</v>
      </c>
      <c r="L408" s="274">
        <v>44</v>
      </c>
      <c r="M408" s="274">
        <v>2019</v>
      </c>
      <c r="N408" s="274">
        <v>2019</v>
      </c>
      <c r="O408" s="280">
        <f t="shared" si="266"/>
        <v>28.47</v>
      </c>
      <c r="P408" s="280">
        <v>0</v>
      </c>
      <c r="Q408" s="304">
        <v>28.47</v>
      </c>
      <c r="R408" s="280">
        <v>0</v>
      </c>
      <c r="S408" s="280"/>
      <c r="T408" s="280"/>
      <c r="U408" s="280"/>
      <c r="V408" s="280"/>
      <c r="W408" s="280"/>
      <c r="X408" s="274"/>
      <c r="Y408" s="274"/>
      <c r="Z408" s="274"/>
      <c r="AA408" s="274"/>
      <c r="AB408" s="274" t="s">
        <v>2415</v>
      </c>
      <c r="AC408" s="274"/>
    </row>
    <row r="409" s="258" customFormat="1" ht="30" customHeight="1" spans="1:29">
      <c r="A409" s="273"/>
      <c r="B409" s="303" t="s">
        <v>2416</v>
      </c>
      <c r="C409" s="275" t="s">
        <v>1124</v>
      </c>
      <c r="D409" s="276" t="s">
        <v>496</v>
      </c>
      <c r="E409" s="276"/>
      <c r="F409" s="276">
        <f t="shared" si="268"/>
        <v>1</v>
      </c>
      <c r="G409" s="276">
        <v>0</v>
      </c>
      <c r="H409" s="276">
        <v>1</v>
      </c>
      <c r="I409" s="276">
        <v>0</v>
      </c>
      <c r="J409" s="274" t="s">
        <v>2413</v>
      </c>
      <c r="K409" s="274">
        <v>7</v>
      </c>
      <c r="L409" s="274">
        <v>30</v>
      </c>
      <c r="M409" s="274">
        <v>2019</v>
      </c>
      <c r="N409" s="274">
        <v>2019</v>
      </c>
      <c r="O409" s="280">
        <f t="shared" si="266"/>
        <v>40.28</v>
      </c>
      <c r="P409" s="280">
        <v>0</v>
      </c>
      <c r="Q409" s="280">
        <v>40.28</v>
      </c>
      <c r="R409" s="280">
        <v>0</v>
      </c>
      <c r="S409" s="280"/>
      <c r="T409" s="280"/>
      <c r="U409" s="280"/>
      <c r="V409" s="280"/>
      <c r="W409" s="280"/>
      <c r="X409" s="274"/>
      <c r="Y409" s="274"/>
      <c r="Z409" s="274"/>
      <c r="AA409" s="274"/>
      <c r="AB409" s="274"/>
      <c r="AC409" s="274"/>
    </row>
    <row r="410" ht="36" spans="1:29">
      <c r="A410" s="273">
        <v>107</v>
      </c>
      <c r="B410" s="292" t="s">
        <v>499</v>
      </c>
      <c r="C410" s="275" t="s">
        <v>1124</v>
      </c>
      <c r="D410" s="274" t="s">
        <v>384</v>
      </c>
      <c r="E410" s="274"/>
      <c r="F410" s="276">
        <f t="shared" si="268"/>
        <v>66</v>
      </c>
      <c r="G410" s="276">
        <f t="shared" ref="G410:I410" si="271">SUM(G411:G416)</f>
        <v>0</v>
      </c>
      <c r="H410" s="276">
        <f t="shared" si="271"/>
        <v>66</v>
      </c>
      <c r="I410" s="276">
        <f t="shared" si="271"/>
        <v>0</v>
      </c>
      <c r="J410" s="274" t="s">
        <v>2417</v>
      </c>
      <c r="K410" s="276">
        <f>SUM(K411:K416)</f>
        <v>66</v>
      </c>
      <c r="L410" s="276" t="s">
        <v>320</v>
      </c>
      <c r="M410" s="274">
        <v>2019</v>
      </c>
      <c r="N410" s="274">
        <v>2019</v>
      </c>
      <c r="O410" s="280">
        <f t="shared" si="266"/>
        <v>2.31</v>
      </c>
      <c r="P410" s="280">
        <f t="shared" ref="P410:R410" si="272">SUM(P411:P416)</f>
        <v>0</v>
      </c>
      <c r="Q410" s="280">
        <f t="shared" si="272"/>
        <v>2.31</v>
      </c>
      <c r="R410" s="280">
        <f t="shared" si="272"/>
        <v>0</v>
      </c>
      <c r="S410" s="280">
        <f>SUM(P410:R410)</f>
        <v>2.31</v>
      </c>
      <c r="T410" s="280"/>
      <c r="U410" s="280"/>
      <c r="V410" s="280"/>
      <c r="W410" s="280"/>
      <c r="X410" s="288" t="s">
        <v>2108</v>
      </c>
      <c r="Y410" s="274" t="s">
        <v>2132</v>
      </c>
      <c r="Z410" s="288" t="s">
        <v>500</v>
      </c>
      <c r="AA410" s="274" t="s">
        <v>2418</v>
      </c>
      <c r="AB410" s="288" t="s">
        <v>2419</v>
      </c>
      <c r="AC410" s="274" t="s">
        <v>2233</v>
      </c>
    </row>
    <row r="411" s="258" customFormat="1" ht="30" customHeight="1" spans="1:29">
      <c r="A411" s="273"/>
      <c r="B411" s="274" t="s">
        <v>2123</v>
      </c>
      <c r="C411" s="275" t="s">
        <v>1124</v>
      </c>
      <c r="D411" s="274" t="s">
        <v>384</v>
      </c>
      <c r="E411" s="274"/>
      <c r="F411" s="276">
        <f t="shared" si="268"/>
        <v>9</v>
      </c>
      <c r="G411" s="276">
        <v>0</v>
      </c>
      <c r="H411" s="276">
        <v>9</v>
      </c>
      <c r="I411" s="276">
        <v>0</v>
      </c>
      <c r="J411" s="274" t="s">
        <v>2420</v>
      </c>
      <c r="K411" s="276">
        <v>9</v>
      </c>
      <c r="L411" s="276" t="s">
        <v>320</v>
      </c>
      <c r="M411" s="274">
        <v>2019</v>
      </c>
      <c r="N411" s="274">
        <v>2019</v>
      </c>
      <c r="O411" s="280">
        <f t="shared" si="266"/>
        <v>0.315</v>
      </c>
      <c r="P411" s="280">
        <f t="shared" ref="P411:P416" si="273">SUM(G411*0.035)</f>
        <v>0</v>
      </c>
      <c r="Q411" s="280">
        <f t="shared" ref="Q411:Q416" si="274">H411*0.035</f>
        <v>0.315</v>
      </c>
      <c r="R411" s="280">
        <f t="shared" ref="R411:R416" si="275">I411*0.035</f>
        <v>0</v>
      </c>
      <c r="S411" s="280"/>
      <c r="T411" s="280"/>
      <c r="U411" s="280"/>
      <c r="V411" s="280"/>
      <c r="W411" s="280"/>
      <c r="X411" s="289"/>
      <c r="Y411" s="289"/>
      <c r="Z411" s="288"/>
      <c r="AA411" s="274"/>
      <c r="AB411" s="275"/>
      <c r="AC411" s="274"/>
    </row>
    <row r="412" s="258" customFormat="1" ht="30" customHeight="1" spans="1:29">
      <c r="A412" s="273"/>
      <c r="B412" s="274" t="s">
        <v>2114</v>
      </c>
      <c r="C412" s="275" t="s">
        <v>1124</v>
      </c>
      <c r="D412" s="274" t="s">
        <v>384</v>
      </c>
      <c r="E412" s="274"/>
      <c r="F412" s="276">
        <f t="shared" si="268"/>
        <v>23</v>
      </c>
      <c r="G412" s="276">
        <v>0</v>
      </c>
      <c r="H412" s="276">
        <v>23</v>
      </c>
      <c r="I412" s="276">
        <v>0</v>
      </c>
      <c r="J412" s="274" t="s">
        <v>2421</v>
      </c>
      <c r="K412" s="276">
        <v>23</v>
      </c>
      <c r="L412" s="276" t="s">
        <v>320</v>
      </c>
      <c r="M412" s="274">
        <v>2019</v>
      </c>
      <c r="N412" s="274">
        <v>2019</v>
      </c>
      <c r="O412" s="280">
        <f t="shared" si="266"/>
        <v>0.805</v>
      </c>
      <c r="P412" s="280">
        <f t="shared" si="273"/>
        <v>0</v>
      </c>
      <c r="Q412" s="280">
        <f t="shared" si="274"/>
        <v>0.805</v>
      </c>
      <c r="R412" s="280">
        <f t="shared" si="275"/>
        <v>0</v>
      </c>
      <c r="S412" s="280"/>
      <c r="T412" s="280"/>
      <c r="U412" s="280"/>
      <c r="V412" s="280"/>
      <c r="W412" s="280"/>
      <c r="X412" s="288"/>
      <c r="Y412" s="288"/>
      <c r="Z412" s="288"/>
      <c r="AA412" s="274"/>
      <c r="AB412" s="288"/>
      <c r="AC412" s="274"/>
    </row>
    <row r="413" s="258" customFormat="1" ht="30" customHeight="1" spans="1:29">
      <c r="A413" s="273"/>
      <c r="B413" s="274" t="s">
        <v>2116</v>
      </c>
      <c r="C413" s="275" t="s">
        <v>1124</v>
      </c>
      <c r="D413" s="274" t="s">
        <v>384</v>
      </c>
      <c r="E413" s="274"/>
      <c r="F413" s="276">
        <f t="shared" si="268"/>
        <v>5</v>
      </c>
      <c r="G413" s="276">
        <v>0</v>
      </c>
      <c r="H413" s="276">
        <v>5</v>
      </c>
      <c r="I413" s="276">
        <v>0</v>
      </c>
      <c r="J413" s="274" t="s">
        <v>2422</v>
      </c>
      <c r="K413" s="276">
        <v>5</v>
      </c>
      <c r="L413" s="276" t="s">
        <v>320</v>
      </c>
      <c r="M413" s="274">
        <v>2019</v>
      </c>
      <c r="N413" s="274">
        <v>2019</v>
      </c>
      <c r="O413" s="280">
        <f t="shared" si="266"/>
        <v>0.175</v>
      </c>
      <c r="P413" s="280">
        <f t="shared" si="273"/>
        <v>0</v>
      </c>
      <c r="Q413" s="280">
        <f t="shared" si="274"/>
        <v>0.175</v>
      </c>
      <c r="R413" s="280">
        <f t="shared" si="275"/>
        <v>0</v>
      </c>
      <c r="S413" s="280"/>
      <c r="T413" s="280"/>
      <c r="U413" s="280"/>
      <c r="V413" s="280"/>
      <c r="W413" s="280"/>
      <c r="X413" s="274"/>
      <c r="Y413" s="274"/>
      <c r="Z413" s="288"/>
      <c r="AA413" s="274"/>
      <c r="AB413" s="288"/>
      <c r="AC413" s="274"/>
    </row>
    <row r="414" s="258" customFormat="1" ht="30" customHeight="1" spans="1:29">
      <c r="A414" s="273"/>
      <c r="B414" s="274" t="s">
        <v>2118</v>
      </c>
      <c r="C414" s="275" t="s">
        <v>1124</v>
      </c>
      <c r="D414" s="274" t="s">
        <v>384</v>
      </c>
      <c r="E414" s="274"/>
      <c r="F414" s="276">
        <f t="shared" si="268"/>
        <v>10</v>
      </c>
      <c r="G414" s="276">
        <v>0</v>
      </c>
      <c r="H414" s="276">
        <v>10</v>
      </c>
      <c r="I414" s="276">
        <v>0</v>
      </c>
      <c r="J414" s="274" t="s">
        <v>2423</v>
      </c>
      <c r="K414" s="276">
        <v>10</v>
      </c>
      <c r="L414" s="276" t="s">
        <v>320</v>
      </c>
      <c r="M414" s="274">
        <v>2019</v>
      </c>
      <c r="N414" s="274">
        <v>2019</v>
      </c>
      <c r="O414" s="280">
        <f t="shared" si="266"/>
        <v>0.35</v>
      </c>
      <c r="P414" s="280">
        <f t="shared" si="273"/>
        <v>0</v>
      </c>
      <c r="Q414" s="280">
        <f t="shared" si="274"/>
        <v>0.35</v>
      </c>
      <c r="R414" s="280">
        <f t="shared" si="275"/>
        <v>0</v>
      </c>
      <c r="S414" s="280"/>
      <c r="T414" s="280"/>
      <c r="U414" s="280"/>
      <c r="V414" s="280"/>
      <c r="W414" s="280"/>
      <c r="X414" s="288"/>
      <c r="Y414" s="288"/>
      <c r="Z414" s="288"/>
      <c r="AA414" s="274"/>
      <c r="AB414" s="288"/>
      <c r="AC414" s="274"/>
    </row>
    <row r="415" s="258" customFormat="1" ht="30" customHeight="1" spans="1:29">
      <c r="A415" s="273"/>
      <c r="B415" s="274" t="s">
        <v>2124</v>
      </c>
      <c r="C415" s="275" t="s">
        <v>1124</v>
      </c>
      <c r="D415" s="274" t="s">
        <v>384</v>
      </c>
      <c r="E415" s="274"/>
      <c r="F415" s="276">
        <f t="shared" si="268"/>
        <v>1</v>
      </c>
      <c r="G415" s="276">
        <v>0</v>
      </c>
      <c r="H415" s="276">
        <v>1</v>
      </c>
      <c r="I415" s="276">
        <v>0</v>
      </c>
      <c r="J415" s="274" t="s">
        <v>2424</v>
      </c>
      <c r="K415" s="276">
        <v>1</v>
      </c>
      <c r="L415" s="276" t="s">
        <v>320</v>
      </c>
      <c r="M415" s="274">
        <v>2019</v>
      </c>
      <c r="N415" s="274">
        <v>2019</v>
      </c>
      <c r="O415" s="280">
        <f t="shared" si="266"/>
        <v>0.035</v>
      </c>
      <c r="P415" s="280">
        <f t="shared" si="273"/>
        <v>0</v>
      </c>
      <c r="Q415" s="280">
        <f t="shared" si="274"/>
        <v>0.035</v>
      </c>
      <c r="R415" s="280">
        <f t="shared" si="275"/>
        <v>0</v>
      </c>
      <c r="S415" s="280"/>
      <c r="T415" s="280"/>
      <c r="U415" s="280"/>
      <c r="V415" s="280"/>
      <c r="W415" s="280"/>
      <c r="X415" s="288"/>
      <c r="Y415" s="288"/>
      <c r="Z415" s="288"/>
      <c r="AA415" s="274"/>
      <c r="AB415" s="288"/>
      <c r="AC415" s="274"/>
    </row>
    <row r="416" s="258" customFormat="1" ht="30" customHeight="1" spans="1:29">
      <c r="A416" s="273"/>
      <c r="B416" s="274" t="s">
        <v>2125</v>
      </c>
      <c r="C416" s="275" t="s">
        <v>1124</v>
      </c>
      <c r="D416" s="274" t="s">
        <v>384</v>
      </c>
      <c r="E416" s="274"/>
      <c r="F416" s="276">
        <f t="shared" si="268"/>
        <v>18</v>
      </c>
      <c r="G416" s="276">
        <v>0</v>
      </c>
      <c r="H416" s="276">
        <v>18</v>
      </c>
      <c r="I416" s="276">
        <v>0</v>
      </c>
      <c r="J416" s="274" t="s">
        <v>2425</v>
      </c>
      <c r="K416" s="276">
        <v>18</v>
      </c>
      <c r="L416" s="276" t="s">
        <v>320</v>
      </c>
      <c r="M416" s="274">
        <v>2019</v>
      </c>
      <c r="N416" s="274">
        <v>2019</v>
      </c>
      <c r="O416" s="280">
        <f t="shared" si="266"/>
        <v>0.63</v>
      </c>
      <c r="P416" s="280">
        <f t="shared" si="273"/>
        <v>0</v>
      </c>
      <c r="Q416" s="280">
        <f t="shared" si="274"/>
        <v>0.63</v>
      </c>
      <c r="R416" s="280">
        <f t="shared" si="275"/>
        <v>0</v>
      </c>
      <c r="S416" s="280"/>
      <c r="T416" s="280"/>
      <c r="U416" s="280"/>
      <c r="V416" s="280"/>
      <c r="W416" s="280"/>
      <c r="X416" s="274"/>
      <c r="Y416" s="274"/>
      <c r="Z416" s="288"/>
      <c r="AA416" s="274"/>
      <c r="AB416" s="288"/>
      <c r="AC416" s="274"/>
    </row>
    <row r="417" ht="30" customHeight="1" spans="1:29">
      <c r="A417" s="273">
        <v>108</v>
      </c>
      <c r="B417" s="292" t="s">
        <v>501</v>
      </c>
      <c r="C417" s="279" t="s">
        <v>320</v>
      </c>
      <c r="D417" s="280" t="s">
        <v>320</v>
      </c>
      <c r="E417" s="280"/>
      <c r="F417" s="276" t="s">
        <v>320</v>
      </c>
      <c r="G417" s="276" t="s">
        <v>320</v>
      </c>
      <c r="H417" s="276" t="s">
        <v>320</v>
      </c>
      <c r="I417" s="276" t="s">
        <v>320</v>
      </c>
      <c r="J417" s="274" t="s">
        <v>320</v>
      </c>
      <c r="K417" s="280" t="s">
        <v>320</v>
      </c>
      <c r="L417" s="274" t="s">
        <v>320</v>
      </c>
      <c r="M417" s="274" t="s">
        <v>320</v>
      </c>
      <c r="N417" s="274" t="s">
        <v>320</v>
      </c>
      <c r="O417" s="280" t="s">
        <v>320</v>
      </c>
      <c r="P417" s="280" t="s">
        <v>320</v>
      </c>
      <c r="Q417" s="280" t="s">
        <v>320</v>
      </c>
      <c r="R417" s="280" t="s">
        <v>320</v>
      </c>
      <c r="S417" s="280" t="s">
        <v>320</v>
      </c>
      <c r="T417" s="280" t="s">
        <v>320</v>
      </c>
      <c r="U417" s="280" t="s">
        <v>320</v>
      </c>
      <c r="V417" s="280" t="s">
        <v>320</v>
      </c>
      <c r="W417" s="280" t="s">
        <v>320</v>
      </c>
      <c r="X417" s="274" t="s">
        <v>320</v>
      </c>
      <c r="Y417" s="274" t="s">
        <v>320</v>
      </c>
      <c r="Z417" s="274" t="s">
        <v>320</v>
      </c>
      <c r="AA417" s="274" t="s">
        <v>320</v>
      </c>
      <c r="AB417" s="288" t="s">
        <v>2426</v>
      </c>
      <c r="AC417" s="274" t="s">
        <v>320</v>
      </c>
    </row>
    <row r="418" ht="35.25" customHeight="1" spans="1:29">
      <c r="A418" s="273">
        <v>109</v>
      </c>
      <c r="B418" s="292" t="s">
        <v>502</v>
      </c>
      <c r="C418" s="279" t="s">
        <v>320</v>
      </c>
      <c r="D418" s="280" t="s">
        <v>320</v>
      </c>
      <c r="E418" s="280"/>
      <c r="F418" s="276" t="s">
        <v>320</v>
      </c>
      <c r="G418" s="276" t="s">
        <v>320</v>
      </c>
      <c r="H418" s="276" t="s">
        <v>320</v>
      </c>
      <c r="I418" s="276" t="s">
        <v>320</v>
      </c>
      <c r="J418" s="274" t="s">
        <v>320</v>
      </c>
      <c r="K418" s="280" t="s">
        <v>320</v>
      </c>
      <c r="L418" s="274" t="s">
        <v>320</v>
      </c>
      <c r="M418" s="274" t="s">
        <v>320</v>
      </c>
      <c r="N418" s="274" t="s">
        <v>320</v>
      </c>
      <c r="O418" s="280" t="s">
        <v>320</v>
      </c>
      <c r="P418" s="280" t="s">
        <v>320</v>
      </c>
      <c r="Q418" s="280" t="s">
        <v>320</v>
      </c>
      <c r="R418" s="280" t="s">
        <v>320</v>
      </c>
      <c r="S418" s="280" t="s">
        <v>320</v>
      </c>
      <c r="T418" s="280" t="s">
        <v>320</v>
      </c>
      <c r="U418" s="280" t="s">
        <v>320</v>
      </c>
      <c r="V418" s="280" t="s">
        <v>320</v>
      </c>
      <c r="W418" s="280" t="s">
        <v>320</v>
      </c>
      <c r="X418" s="274" t="s">
        <v>320</v>
      </c>
      <c r="Y418" s="274" t="s">
        <v>320</v>
      </c>
      <c r="Z418" s="274" t="s">
        <v>320</v>
      </c>
      <c r="AA418" s="274" t="s">
        <v>320</v>
      </c>
      <c r="AB418" s="274" t="s">
        <v>2128</v>
      </c>
      <c r="AC418" s="274" t="s">
        <v>320</v>
      </c>
    </row>
    <row r="419" ht="30" customHeight="1" spans="1:29">
      <c r="A419" s="273">
        <v>110</v>
      </c>
      <c r="B419" s="292" t="s">
        <v>503</v>
      </c>
      <c r="C419" s="279" t="s">
        <v>320</v>
      </c>
      <c r="D419" s="280" t="s">
        <v>320</v>
      </c>
      <c r="E419" s="280"/>
      <c r="F419" s="276" t="s">
        <v>320</v>
      </c>
      <c r="G419" s="276" t="s">
        <v>320</v>
      </c>
      <c r="H419" s="276" t="s">
        <v>320</v>
      </c>
      <c r="I419" s="276" t="s">
        <v>320</v>
      </c>
      <c r="J419" s="274" t="s">
        <v>320</v>
      </c>
      <c r="K419" s="280" t="s">
        <v>320</v>
      </c>
      <c r="L419" s="274" t="s">
        <v>320</v>
      </c>
      <c r="M419" s="274" t="s">
        <v>320</v>
      </c>
      <c r="N419" s="274" t="s">
        <v>320</v>
      </c>
      <c r="O419" s="280" t="s">
        <v>320</v>
      </c>
      <c r="P419" s="280" t="s">
        <v>320</v>
      </c>
      <c r="Q419" s="280" t="s">
        <v>320</v>
      </c>
      <c r="R419" s="280" t="s">
        <v>320</v>
      </c>
      <c r="S419" s="280" t="s">
        <v>320</v>
      </c>
      <c r="T419" s="280" t="s">
        <v>320</v>
      </c>
      <c r="U419" s="280" t="s">
        <v>320</v>
      </c>
      <c r="V419" s="280" t="s">
        <v>320</v>
      </c>
      <c r="W419" s="280" t="s">
        <v>320</v>
      </c>
      <c r="X419" s="274" t="s">
        <v>320</v>
      </c>
      <c r="Y419" s="274" t="s">
        <v>320</v>
      </c>
      <c r="Z419" s="274" t="s">
        <v>320</v>
      </c>
      <c r="AA419" s="274" t="s">
        <v>320</v>
      </c>
      <c r="AB419" s="274" t="s">
        <v>2128</v>
      </c>
      <c r="AC419" s="274" t="s">
        <v>320</v>
      </c>
    </row>
    <row r="420" ht="30" customHeight="1" spans="1:29">
      <c r="A420" s="273">
        <v>111</v>
      </c>
      <c r="B420" s="292" t="s">
        <v>504</v>
      </c>
      <c r="C420" s="279" t="s">
        <v>320</v>
      </c>
      <c r="D420" s="280" t="s">
        <v>320</v>
      </c>
      <c r="E420" s="280"/>
      <c r="F420" s="276" t="s">
        <v>320</v>
      </c>
      <c r="G420" s="276" t="s">
        <v>320</v>
      </c>
      <c r="H420" s="276" t="s">
        <v>320</v>
      </c>
      <c r="I420" s="276" t="s">
        <v>320</v>
      </c>
      <c r="J420" s="274" t="s">
        <v>320</v>
      </c>
      <c r="K420" s="280" t="s">
        <v>320</v>
      </c>
      <c r="L420" s="274" t="s">
        <v>320</v>
      </c>
      <c r="M420" s="274" t="s">
        <v>320</v>
      </c>
      <c r="N420" s="274" t="s">
        <v>320</v>
      </c>
      <c r="O420" s="280" t="s">
        <v>320</v>
      </c>
      <c r="P420" s="280" t="s">
        <v>320</v>
      </c>
      <c r="Q420" s="280" t="s">
        <v>320</v>
      </c>
      <c r="R420" s="280" t="s">
        <v>320</v>
      </c>
      <c r="S420" s="280" t="s">
        <v>320</v>
      </c>
      <c r="T420" s="280" t="s">
        <v>320</v>
      </c>
      <c r="U420" s="280" t="s">
        <v>320</v>
      </c>
      <c r="V420" s="280" t="s">
        <v>320</v>
      </c>
      <c r="W420" s="280" t="s">
        <v>320</v>
      </c>
      <c r="X420" s="274" t="s">
        <v>320</v>
      </c>
      <c r="Y420" s="274" t="s">
        <v>320</v>
      </c>
      <c r="Z420" s="274" t="s">
        <v>320</v>
      </c>
      <c r="AA420" s="274" t="s">
        <v>320</v>
      </c>
      <c r="AB420" s="274" t="s">
        <v>2128</v>
      </c>
      <c r="AC420" s="274" t="s">
        <v>320</v>
      </c>
    </row>
    <row r="421" ht="30" customHeight="1" spans="1:29">
      <c r="A421" s="273">
        <v>112</v>
      </c>
      <c r="B421" s="277" t="s">
        <v>505</v>
      </c>
      <c r="C421" s="279" t="s">
        <v>320</v>
      </c>
      <c r="D421" s="280" t="s">
        <v>320</v>
      </c>
      <c r="E421" s="280"/>
      <c r="F421" s="276" t="s">
        <v>320</v>
      </c>
      <c r="G421" s="276" t="s">
        <v>320</v>
      </c>
      <c r="H421" s="276" t="s">
        <v>320</v>
      </c>
      <c r="I421" s="276" t="s">
        <v>320</v>
      </c>
      <c r="J421" s="276" t="s">
        <v>320</v>
      </c>
      <c r="K421" s="274">
        <f t="shared" ref="K421:T421" si="276">SUM(K422:K431)</f>
        <v>222</v>
      </c>
      <c r="L421" s="274">
        <f t="shared" si="276"/>
        <v>849</v>
      </c>
      <c r="M421" s="274">
        <v>2018</v>
      </c>
      <c r="N421" s="274">
        <v>2019</v>
      </c>
      <c r="O421" s="280">
        <f t="shared" ref="O421:O432" si="277">SUM(P421:R421)</f>
        <v>340.55</v>
      </c>
      <c r="P421" s="280">
        <f t="shared" si="276"/>
        <v>138.81</v>
      </c>
      <c r="Q421" s="280">
        <f t="shared" si="276"/>
        <v>201.74</v>
      </c>
      <c r="R421" s="280">
        <f t="shared" si="276"/>
        <v>0</v>
      </c>
      <c r="S421" s="280">
        <f t="shared" si="276"/>
        <v>38.73</v>
      </c>
      <c r="T421" s="280">
        <f t="shared" si="276"/>
        <v>301.82</v>
      </c>
      <c r="U421" s="280"/>
      <c r="V421" s="280"/>
      <c r="W421" s="280"/>
      <c r="X421" s="288" t="s">
        <v>2108</v>
      </c>
      <c r="Y421" s="274" t="s">
        <v>2109</v>
      </c>
      <c r="Z421" s="276" t="s">
        <v>2427</v>
      </c>
      <c r="AA421" s="276" t="s">
        <v>320</v>
      </c>
      <c r="AB421" s="288" t="s">
        <v>2428</v>
      </c>
      <c r="AC421" s="274" t="s">
        <v>320</v>
      </c>
    </row>
    <row r="422" ht="36" spans="1:29">
      <c r="A422" s="273"/>
      <c r="B422" s="274" t="s">
        <v>2429</v>
      </c>
      <c r="C422" s="275" t="s">
        <v>52</v>
      </c>
      <c r="D422" s="274" t="s">
        <v>2078</v>
      </c>
      <c r="E422" s="274"/>
      <c r="F422" s="276">
        <f t="shared" ref="F422:F432" si="278">SUM(G422:I422)</f>
        <v>1</v>
      </c>
      <c r="G422" s="276">
        <v>1</v>
      </c>
      <c r="H422" s="276">
        <v>0</v>
      </c>
      <c r="I422" s="276">
        <v>0</v>
      </c>
      <c r="J422" s="274" t="s">
        <v>2430</v>
      </c>
      <c r="K422" s="274">
        <v>20</v>
      </c>
      <c r="L422" s="274">
        <v>72</v>
      </c>
      <c r="M422" s="274">
        <v>2018</v>
      </c>
      <c r="N422" s="274">
        <v>2018</v>
      </c>
      <c r="O422" s="280">
        <f t="shared" si="277"/>
        <v>40.15</v>
      </c>
      <c r="P422" s="280">
        <v>40.15</v>
      </c>
      <c r="Q422" s="280">
        <v>0</v>
      </c>
      <c r="R422" s="280">
        <v>0</v>
      </c>
      <c r="S422" s="280"/>
      <c r="T422" s="280">
        <f t="shared" ref="T422:T431" si="279">SUM(P422:R422)</f>
        <v>40.15</v>
      </c>
      <c r="U422" s="280"/>
      <c r="V422" s="280"/>
      <c r="W422" s="280"/>
      <c r="X422" s="288"/>
      <c r="Y422" s="274"/>
      <c r="Z422" s="288" t="s">
        <v>201</v>
      </c>
      <c r="AA422" s="274"/>
      <c r="AB422" s="275" t="s">
        <v>2350</v>
      </c>
      <c r="AC422" s="274" t="s">
        <v>1441</v>
      </c>
    </row>
    <row r="423" ht="48" spans="1:29">
      <c r="A423" s="273"/>
      <c r="B423" s="274" t="s">
        <v>2431</v>
      </c>
      <c r="C423" s="275" t="s">
        <v>52</v>
      </c>
      <c r="D423" s="274" t="s">
        <v>2078</v>
      </c>
      <c r="E423" s="274"/>
      <c r="F423" s="276">
        <f t="shared" si="278"/>
        <v>1</v>
      </c>
      <c r="G423" s="276">
        <v>1</v>
      </c>
      <c r="H423" s="276">
        <v>0</v>
      </c>
      <c r="I423" s="276">
        <v>0</v>
      </c>
      <c r="J423" s="274" t="s">
        <v>2432</v>
      </c>
      <c r="K423" s="274">
        <v>5</v>
      </c>
      <c r="L423" s="274">
        <v>27</v>
      </c>
      <c r="M423" s="274">
        <v>2018</v>
      </c>
      <c r="N423" s="274">
        <v>2018</v>
      </c>
      <c r="O423" s="280">
        <f t="shared" si="277"/>
        <v>10.5</v>
      </c>
      <c r="P423" s="280">
        <v>10.5</v>
      </c>
      <c r="Q423" s="280">
        <v>0</v>
      </c>
      <c r="R423" s="280">
        <v>0</v>
      </c>
      <c r="S423" s="280">
        <f>SUM(P423:R423)</f>
        <v>10.5</v>
      </c>
      <c r="T423" s="280"/>
      <c r="U423" s="280"/>
      <c r="V423" s="280"/>
      <c r="W423" s="280"/>
      <c r="X423" s="288"/>
      <c r="Y423" s="274"/>
      <c r="Z423" s="288" t="s">
        <v>275</v>
      </c>
      <c r="AA423" s="274"/>
      <c r="AB423" s="275" t="s">
        <v>2350</v>
      </c>
      <c r="AC423" s="274" t="s">
        <v>1441</v>
      </c>
    </row>
    <row r="424" ht="36" spans="1:29">
      <c r="A424" s="273"/>
      <c r="B424" s="274" t="s">
        <v>2433</v>
      </c>
      <c r="C424" s="275" t="s">
        <v>1124</v>
      </c>
      <c r="D424" s="274" t="s">
        <v>147</v>
      </c>
      <c r="E424" s="274"/>
      <c r="F424" s="276">
        <f t="shared" si="278"/>
        <v>536</v>
      </c>
      <c r="G424" s="276">
        <v>536</v>
      </c>
      <c r="H424" s="276">
        <v>0</v>
      </c>
      <c r="I424" s="276">
        <v>0</v>
      </c>
      <c r="J424" s="289" t="s">
        <v>2434</v>
      </c>
      <c r="K424" s="274">
        <v>42</v>
      </c>
      <c r="L424" s="274">
        <v>177</v>
      </c>
      <c r="M424" s="274">
        <v>2018</v>
      </c>
      <c r="N424" s="274">
        <v>2018</v>
      </c>
      <c r="O424" s="280">
        <f t="shared" si="277"/>
        <v>28.23</v>
      </c>
      <c r="P424" s="280">
        <v>28.23</v>
      </c>
      <c r="Q424" s="280">
        <f>H424*0.125</f>
        <v>0</v>
      </c>
      <c r="R424" s="280">
        <f t="shared" ref="R424:R430" si="280">I424*0.125</f>
        <v>0</v>
      </c>
      <c r="S424" s="280">
        <f>SUM(P424:R424)</f>
        <v>28.23</v>
      </c>
      <c r="T424" s="280"/>
      <c r="U424" s="280"/>
      <c r="V424" s="280"/>
      <c r="W424" s="280"/>
      <c r="X424" s="289"/>
      <c r="Y424" s="289"/>
      <c r="Z424" s="288" t="s">
        <v>275</v>
      </c>
      <c r="AA424" s="274"/>
      <c r="AB424" s="275" t="s">
        <v>2350</v>
      </c>
      <c r="AC424" s="274" t="s">
        <v>1441</v>
      </c>
    </row>
    <row r="425" ht="30" customHeight="1" spans="1:29">
      <c r="A425" s="273"/>
      <c r="B425" s="274" t="s">
        <v>2435</v>
      </c>
      <c r="C425" s="275" t="s">
        <v>1124</v>
      </c>
      <c r="D425" s="274" t="s">
        <v>147</v>
      </c>
      <c r="E425" s="274"/>
      <c r="F425" s="276">
        <f t="shared" si="278"/>
        <v>104</v>
      </c>
      <c r="G425" s="276">
        <v>0</v>
      </c>
      <c r="H425" s="276">
        <v>104</v>
      </c>
      <c r="I425" s="276">
        <v>0</v>
      </c>
      <c r="J425" s="289" t="s">
        <v>2436</v>
      </c>
      <c r="K425" s="275">
        <v>8</v>
      </c>
      <c r="L425" s="275">
        <v>39</v>
      </c>
      <c r="M425" s="274">
        <v>2019</v>
      </c>
      <c r="N425" s="274">
        <v>2019</v>
      </c>
      <c r="O425" s="280">
        <f t="shared" si="277"/>
        <v>14.56</v>
      </c>
      <c r="P425" s="280">
        <f t="shared" ref="P425:P430" si="281">G425*0.125</f>
        <v>0</v>
      </c>
      <c r="Q425" s="280">
        <f t="shared" ref="Q425:Q430" si="282">F425*0.14</f>
        <v>14.56</v>
      </c>
      <c r="R425" s="280">
        <f t="shared" si="280"/>
        <v>0</v>
      </c>
      <c r="S425" s="280"/>
      <c r="T425" s="280">
        <f t="shared" si="279"/>
        <v>14.56</v>
      </c>
      <c r="U425" s="280"/>
      <c r="V425" s="280"/>
      <c r="W425" s="280"/>
      <c r="X425" s="289"/>
      <c r="Y425" s="289"/>
      <c r="Z425" s="288" t="s">
        <v>275</v>
      </c>
      <c r="AA425" s="274" t="s">
        <v>2437</v>
      </c>
      <c r="AB425" s="275" t="s">
        <v>2438</v>
      </c>
      <c r="AC425" s="274" t="s">
        <v>2233</v>
      </c>
    </row>
    <row r="426" ht="30" customHeight="1" spans="1:29">
      <c r="A426" s="273"/>
      <c r="B426" s="274" t="s">
        <v>2439</v>
      </c>
      <c r="C426" s="275" t="s">
        <v>1124</v>
      </c>
      <c r="D426" s="274" t="s">
        <v>147</v>
      </c>
      <c r="E426" s="274"/>
      <c r="F426" s="276">
        <f t="shared" si="278"/>
        <v>147</v>
      </c>
      <c r="G426" s="276">
        <v>0</v>
      </c>
      <c r="H426" s="276">
        <v>147</v>
      </c>
      <c r="I426" s="276">
        <v>0</v>
      </c>
      <c r="J426" s="289" t="s">
        <v>2440</v>
      </c>
      <c r="K426" s="274">
        <v>9</v>
      </c>
      <c r="L426" s="274">
        <v>45</v>
      </c>
      <c r="M426" s="274">
        <v>2019</v>
      </c>
      <c r="N426" s="274">
        <v>2019</v>
      </c>
      <c r="O426" s="280">
        <f t="shared" si="277"/>
        <v>20.58</v>
      </c>
      <c r="P426" s="280">
        <f t="shared" si="281"/>
        <v>0</v>
      </c>
      <c r="Q426" s="280">
        <f t="shared" si="282"/>
        <v>20.58</v>
      </c>
      <c r="R426" s="280">
        <f t="shared" si="280"/>
        <v>0</v>
      </c>
      <c r="S426" s="280"/>
      <c r="T426" s="280">
        <f t="shared" si="279"/>
        <v>20.58</v>
      </c>
      <c r="U426" s="280"/>
      <c r="V426" s="280"/>
      <c r="W426" s="280"/>
      <c r="X426" s="289"/>
      <c r="Y426" s="289"/>
      <c r="Z426" s="288" t="s">
        <v>275</v>
      </c>
      <c r="AA426" s="274" t="s">
        <v>2437</v>
      </c>
      <c r="AB426" s="275" t="s">
        <v>2438</v>
      </c>
      <c r="AC426" s="274" t="s">
        <v>2233</v>
      </c>
    </row>
    <row r="427" ht="30" customHeight="1" spans="1:29">
      <c r="A427" s="273"/>
      <c r="B427" s="274" t="s">
        <v>2441</v>
      </c>
      <c r="C427" s="275" t="s">
        <v>1124</v>
      </c>
      <c r="D427" s="274" t="s">
        <v>147</v>
      </c>
      <c r="E427" s="274"/>
      <c r="F427" s="276">
        <f t="shared" si="278"/>
        <v>278</v>
      </c>
      <c r="G427" s="276">
        <v>0</v>
      </c>
      <c r="H427" s="276">
        <v>278</v>
      </c>
      <c r="I427" s="276">
        <v>0</v>
      </c>
      <c r="J427" s="289" t="s">
        <v>2442</v>
      </c>
      <c r="K427" s="274">
        <v>35</v>
      </c>
      <c r="L427" s="274">
        <v>146</v>
      </c>
      <c r="M427" s="274">
        <v>2019</v>
      </c>
      <c r="N427" s="274">
        <v>2019</v>
      </c>
      <c r="O427" s="280">
        <f t="shared" si="277"/>
        <v>38.92</v>
      </c>
      <c r="P427" s="280">
        <f t="shared" si="281"/>
        <v>0</v>
      </c>
      <c r="Q427" s="280">
        <f t="shared" si="282"/>
        <v>38.92</v>
      </c>
      <c r="R427" s="280">
        <f t="shared" si="280"/>
        <v>0</v>
      </c>
      <c r="S427" s="280"/>
      <c r="T427" s="280">
        <f t="shared" si="279"/>
        <v>38.92</v>
      </c>
      <c r="U427" s="280"/>
      <c r="V427" s="280"/>
      <c r="W427" s="280"/>
      <c r="X427" s="274"/>
      <c r="Y427" s="274"/>
      <c r="Z427" s="288" t="s">
        <v>275</v>
      </c>
      <c r="AA427" s="274" t="s">
        <v>2437</v>
      </c>
      <c r="AB427" s="275" t="s">
        <v>2438</v>
      </c>
      <c r="AC427" s="274" t="s">
        <v>2233</v>
      </c>
    </row>
    <row r="428" ht="36" spans="1:29">
      <c r="A428" s="273"/>
      <c r="B428" s="274" t="s">
        <v>2443</v>
      </c>
      <c r="C428" s="275" t="s">
        <v>1124</v>
      </c>
      <c r="D428" s="274" t="s">
        <v>147</v>
      </c>
      <c r="E428" s="274"/>
      <c r="F428" s="276">
        <f t="shared" si="278"/>
        <v>202</v>
      </c>
      <c r="G428" s="276">
        <v>0</v>
      </c>
      <c r="H428" s="276">
        <v>202</v>
      </c>
      <c r="I428" s="276">
        <v>0</v>
      </c>
      <c r="J428" s="289" t="s">
        <v>2444</v>
      </c>
      <c r="K428" s="274">
        <v>22</v>
      </c>
      <c r="L428" s="274">
        <v>64</v>
      </c>
      <c r="M428" s="274">
        <v>2019</v>
      </c>
      <c r="N428" s="274">
        <v>2019</v>
      </c>
      <c r="O428" s="280">
        <f t="shared" si="277"/>
        <v>28.28</v>
      </c>
      <c r="P428" s="280">
        <f t="shared" si="281"/>
        <v>0</v>
      </c>
      <c r="Q428" s="280">
        <f t="shared" si="282"/>
        <v>28.28</v>
      </c>
      <c r="R428" s="280">
        <f t="shared" si="280"/>
        <v>0</v>
      </c>
      <c r="S428" s="280"/>
      <c r="T428" s="280">
        <f t="shared" si="279"/>
        <v>28.28</v>
      </c>
      <c r="U428" s="280"/>
      <c r="V428" s="280"/>
      <c r="W428" s="280"/>
      <c r="X428" s="288"/>
      <c r="Y428" s="288"/>
      <c r="Z428" s="288" t="s">
        <v>275</v>
      </c>
      <c r="AA428" s="274" t="s">
        <v>2437</v>
      </c>
      <c r="AB428" s="275" t="s">
        <v>2438</v>
      </c>
      <c r="AC428" s="274" t="s">
        <v>2233</v>
      </c>
    </row>
    <row r="429" ht="30" customHeight="1" spans="1:29">
      <c r="A429" s="273"/>
      <c r="B429" s="274" t="s">
        <v>2445</v>
      </c>
      <c r="C429" s="275" t="s">
        <v>1124</v>
      </c>
      <c r="D429" s="274" t="s">
        <v>147</v>
      </c>
      <c r="E429" s="274"/>
      <c r="F429" s="276">
        <f t="shared" si="278"/>
        <v>460</v>
      </c>
      <c r="G429" s="276">
        <v>0</v>
      </c>
      <c r="H429" s="276">
        <v>460</v>
      </c>
      <c r="I429" s="276">
        <v>0</v>
      </c>
      <c r="J429" s="289" t="s">
        <v>2446</v>
      </c>
      <c r="K429" s="274">
        <v>41</v>
      </c>
      <c r="L429" s="274">
        <v>139</v>
      </c>
      <c r="M429" s="274">
        <v>2019</v>
      </c>
      <c r="N429" s="274">
        <v>2019</v>
      </c>
      <c r="O429" s="280">
        <f t="shared" si="277"/>
        <v>64.4</v>
      </c>
      <c r="P429" s="280">
        <f t="shared" si="281"/>
        <v>0</v>
      </c>
      <c r="Q429" s="280">
        <f t="shared" si="282"/>
        <v>64.4</v>
      </c>
      <c r="R429" s="280">
        <f t="shared" si="280"/>
        <v>0</v>
      </c>
      <c r="S429" s="280"/>
      <c r="T429" s="280">
        <f t="shared" si="279"/>
        <v>64.4</v>
      </c>
      <c r="U429" s="280"/>
      <c r="V429" s="280"/>
      <c r="W429" s="280"/>
      <c r="X429" s="288"/>
      <c r="Y429" s="288"/>
      <c r="Z429" s="288" t="s">
        <v>275</v>
      </c>
      <c r="AA429" s="274" t="s">
        <v>2437</v>
      </c>
      <c r="AB429" s="275" t="s">
        <v>2438</v>
      </c>
      <c r="AC429" s="274" t="s">
        <v>2233</v>
      </c>
    </row>
    <row r="430" ht="30" customHeight="1" spans="1:29">
      <c r="A430" s="273"/>
      <c r="B430" s="274" t="s">
        <v>2447</v>
      </c>
      <c r="C430" s="275" t="s">
        <v>1124</v>
      </c>
      <c r="D430" s="274" t="s">
        <v>147</v>
      </c>
      <c r="E430" s="274"/>
      <c r="F430" s="276">
        <f t="shared" si="278"/>
        <v>250</v>
      </c>
      <c r="G430" s="276">
        <v>0</v>
      </c>
      <c r="H430" s="276">
        <v>250</v>
      </c>
      <c r="I430" s="276">
        <v>0</v>
      </c>
      <c r="J430" s="289" t="s">
        <v>2448</v>
      </c>
      <c r="K430" s="274">
        <v>15</v>
      </c>
      <c r="L430" s="274">
        <v>54</v>
      </c>
      <c r="M430" s="274">
        <v>2019</v>
      </c>
      <c r="N430" s="274">
        <v>2019</v>
      </c>
      <c r="O430" s="280">
        <f t="shared" si="277"/>
        <v>35</v>
      </c>
      <c r="P430" s="280">
        <f t="shared" si="281"/>
        <v>0</v>
      </c>
      <c r="Q430" s="280">
        <f t="shared" si="282"/>
        <v>35</v>
      </c>
      <c r="R430" s="280">
        <f t="shared" si="280"/>
        <v>0</v>
      </c>
      <c r="S430" s="280"/>
      <c r="T430" s="280">
        <f t="shared" si="279"/>
        <v>35</v>
      </c>
      <c r="U430" s="280"/>
      <c r="V430" s="280"/>
      <c r="W430" s="280"/>
      <c r="X430" s="274"/>
      <c r="Y430" s="274"/>
      <c r="Z430" s="288" t="s">
        <v>275</v>
      </c>
      <c r="AA430" s="274" t="s">
        <v>2437</v>
      </c>
      <c r="AB430" s="275" t="s">
        <v>2438</v>
      </c>
      <c r="AC430" s="274" t="s">
        <v>2233</v>
      </c>
    </row>
    <row r="431" ht="36" spans="1:29">
      <c r="A431" s="273"/>
      <c r="B431" s="274" t="s">
        <v>2449</v>
      </c>
      <c r="C431" s="275" t="s">
        <v>52</v>
      </c>
      <c r="D431" s="274" t="s">
        <v>2078</v>
      </c>
      <c r="E431" s="274"/>
      <c r="F431" s="276">
        <f t="shared" si="278"/>
        <v>1</v>
      </c>
      <c r="G431" s="276">
        <v>1</v>
      </c>
      <c r="H431" s="276">
        <v>0</v>
      </c>
      <c r="I431" s="276">
        <v>0</v>
      </c>
      <c r="J431" s="274" t="s">
        <v>2450</v>
      </c>
      <c r="K431" s="274">
        <v>25</v>
      </c>
      <c r="L431" s="274">
        <v>86</v>
      </c>
      <c r="M431" s="274">
        <v>2018</v>
      </c>
      <c r="N431" s="274">
        <v>2018</v>
      </c>
      <c r="O431" s="280">
        <f t="shared" si="277"/>
        <v>59.93</v>
      </c>
      <c r="P431" s="280">
        <v>59.93</v>
      </c>
      <c r="Q431" s="280">
        <v>0</v>
      </c>
      <c r="R431" s="280">
        <v>0</v>
      </c>
      <c r="S431" s="280"/>
      <c r="T431" s="280">
        <f t="shared" si="279"/>
        <v>59.93</v>
      </c>
      <c r="U431" s="280"/>
      <c r="V431" s="280"/>
      <c r="W431" s="280"/>
      <c r="X431" s="274"/>
      <c r="Y431" s="274"/>
      <c r="Z431" s="288" t="s">
        <v>201</v>
      </c>
      <c r="AA431" s="274"/>
      <c r="AB431" s="275" t="s">
        <v>2350</v>
      </c>
      <c r="AC431" s="274" t="s">
        <v>1441</v>
      </c>
    </row>
    <row r="432" ht="30" customHeight="1" spans="1:29">
      <c r="A432" s="273">
        <v>113</v>
      </c>
      <c r="B432" s="292" t="s">
        <v>537</v>
      </c>
      <c r="C432" s="275" t="s">
        <v>320</v>
      </c>
      <c r="D432" s="274" t="s">
        <v>320</v>
      </c>
      <c r="E432" s="274"/>
      <c r="F432" s="276">
        <f t="shared" si="278"/>
        <v>5</v>
      </c>
      <c r="G432" s="276">
        <f t="shared" ref="G432:I432" si="283">SUM(G433:G434)</f>
        <v>5</v>
      </c>
      <c r="H432" s="276">
        <f t="shared" si="283"/>
        <v>0</v>
      </c>
      <c r="I432" s="276">
        <f t="shared" si="283"/>
        <v>0</v>
      </c>
      <c r="J432" s="274" t="s">
        <v>320</v>
      </c>
      <c r="K432" s="276">
        <f>SUM(K433:K434)</f>
        <v>1132</v>
      </c>
      <c r="L432" s="276">
        <f>SUM(L433:L434)</f>
        <v>4116</v>
      </c>
      <c r="M432" s="274">
        <v>2018</v>
      </c>
      <c r="N432" s="274">
        <v>2019</v>
      </c>
      <c r="O432" s="280">
        <f t="shared" si="277"/>
        <v>20</v>
      </c>
      <c r="P432" s="280">
        <f t="shared" ref="P432:W432" si="284">SUM(P433,P434)</f>
        <v>20</v>
      </c>
      <c r="Q432" s="280">
        <f t="shared" si="284"/>
        <v>0</v>
      </c>
      <c r="R432" s="280">
        <f t="shared" si="284"/>
        <v>0</v>
      </c>
      <c r="S432" s="280">
        <f t="shared" si="284"/>
        <v>0</v>
      </c>
      <c r="T432" s="280">
        <f t="shared" si="284"/>
        <v>0</v>
      </c>
      <c r="U432" s="280">
        <f t="shared" si="284"/>
        <v>20</v>
      </c>
      <c r="V432" s="280">
        <f t="shared" si="284"/>
        <v>0</v>
      </c>
      <c r="W432" s="280">
        <f t="shared" si="284"/>
        <v>0</v>
      </c>
      <c r="X432" s="288" t="s">
        <v>2108</v>
      </c>
      <c r="Y432" s="274" t="s">
        <v>2132</v>
      </c>
      <c r="Z432" s="288" t="s">
        <v>358</v>
      </c>
      <c r="AA432" s="274" t="s">
        <v>320</v>
      </c>
      <c r="AB432" s="274" t="s">
        <v>320</v>
      </c>
      <c r="AC432" s="274" t="s">
        <v>320</v>
      </c>
    </row>
    <row r="433" ht="30" customHeight="1" spans="1:29">
      <c r="A433" s="273">
        <v>114</v>
      </c>
      <c r="B433" s="292" t="s">
        <v>2451</v>
      </c>
      <c r="C433" s="275" t="s">
        <v>320</v>
      </c>
      <c r="D433" s="274" t="s">
        <v>320</v>
      </c>
      <c r="E433" s="274"/>
      <c r="F433" s="276" t="s">
        <v>320</v>
      </c>
      <c r="G433" s="276" t="s">
        <v>320</v>
      </c>
      <c r="H433" s="276" t="s">
        <v>320</v>
      </c>
      <c r="I433" s="276" t="s">
        <v>320</v>
      </c>
      <c r="J433" s="274" t="s">
        <v>320</v>
      </c>
      <c r="K433" s="274" t="s">
        <v>320</v>
      </c>
      <c r="L433" s="274" t="s">
        <v>320</v>
      </c>
      <c r="M433" s="274" t="s">
        <v>320</v>
      </c>
      <c r="N433" s="274" t="s">
        <v>320</v>
      </c>
      <c r="O433" s="280" t="s">
        <v>320</v>
      </c>
      <c r="P433" s="280" t="s">
        <v>320</v>
      </c>
      <c r="Q433" s="280" t="s">
        <v>320</v>
      </c>
      <c r="R433" s="280" t="s">
        <v>320</v>
      </c>
      <c r="S433" s="280" t="s">
        <v>320</v>
      </c>
      <c r="T433" s="280" t="s">
        <v>320</v>
      </c>
      <c r="U433" s="280" t="s">
        <v>320</v>
      </c>
      <c r="V433" s="280" t="s">
        <v>320</v>
      </c>
      <c r="W433" s="280" t="s">
        <v>320</v>
      </c>
      <c r="X433" s="274" t="s">
        <v>320</v>
      </c>
      <c r="Y433" s="274" t="s">
        <v>320</v>
      </c>
      <c r="Z433" s="274" t="s">
        <v>320</v>
      </c>
      <c r="AA433" s="274" t="s">
        <v>320</v>
      </c>
      <c r="AB433" s="274" t="s">
        <v>2128</v>
      </c>
      <c r="AC433" s="274" t="s">
        <v>320</v>
      </c>
    </row>
    <row r="434" ht="30" customHeight="1" spans="1:29">
      <c r="A434" s="273">
        <v>115</v>
      </c>
      <c r="B434" s="278" t="s">
        <v>2452</v>
      </c>
      <c r="C434" s="275" t="s">
        <v>1688</v>
      </c>
      <c r="D434" s="274" t="s">
        <v>1023</v>
      </c>
      <c r="E434" s="274"/>
      <c r="F434" s="276">
        <f t="shared" ref="F434:F452" si="285">SUM(G434:I434)</f>
        <v>5</v>
      </c>
      <c r="G434" s="276">
        <f t="shared" ref="G434:I434" si="286">SUM(G435:G439)</f>
        <v>5</v>
      </c>
      <c r="H434" s="276">
        <f t="shared" si="286"/>
        <v>0</v>
      </c>
      <c r="I434" s="276">
        <f t="shared" si="286"/>
        <v>0</v>
      </c>
      <c r="J434" s="274" t="s">
        <v>2453</v>
      </c>
      <c r="K434" s="276">
        <f t="shared" ref="K434:R434" si="287">SUM(K435:K439)</f>
        <v>1132</v>
      </c>
      <c r="L434" s="276">
        <f t="shared" si="287"/>
        <v>4116</v>
      </c>
      <c r="M434" s="274">
        <v>2018</v>
      </c>
      <c r="N434" s="274">
        <v>2018</v>
      </c>
      <c r="O434" s="280">
        <f t="shared" ref="O434:O443" si="288">SUM(P434:R434)</f>
        <v>20</v>
      </c>
      <c r="P434" s="280">
        <f t="shared" si="287"/>
        <v>20</v>
      </c>
      <c r="Q434" s="280">
        <f t="shared" si="287"/>
        <v>0</v>
      </c>
      <c r="R434" s="280">
        <f t="shared" si="287"/>
        <v>0</v>
      </c>
      <c r="S434" s="280"/>
      <c r="T434" s="280"/>
      <c r="U434" s="280">
        <f>SUM(P434:R434)</f>
        <v>20</v>
      </c>
      <c r="V434" s="280"/>
      <c r="W434" s="280"/>
      <c r="X434" s="288" t="s">
        <v>2108</v>
      </c>
      <c r="Y434" s="274" t="s">
        <v>2132</v>
      </c>
      <c r="Z434" s="288" t="s">
        <v>358</v>
      </c>
      <c r="AA434" s="274" t="s">
        <v>2454</v>
      </c>
      <c r="AB434" s="288" t="s">
        <v>2455</v>
      </c>
      <c r="AC434" s="274" t="s">
        <v>1073</v>
      </c>
    </row>
    <row r="435" ht="30" customHeight="1" spans="1:29">
      <c r="A435" s="273"/>
      <c r="B435" s="274" t="s">
        <v>2123</v>
      </c>
      <c r="C435" s="275" t="s">
        <v>1688</v>
      </c>
      <c r="D435" s="274" t="s">
        <v>1023</v>
      </c>
      <c r="E435" s="274"/>
      <c r="F435" s="276">
        <f t="shared" si="285"/>
        <v>1</v>
      </c>
      <c r="G435" s="276">
        <v>1</v>
      </c>
      <c r="H435" s="276">
        <v>0</v>
      </c>
      <c r="I435" s="276">
        <v>0</v>
      </c>
      <c r="J435" s="274" t="s">
        <v>2456</v>
      </c>
      <c r="K435" s="141">
        <v>429</v>
      </c>
      <c r="L435" s="141">
        <v>1660</v>
      </c>
      <c r="M435" s="274">
        <v>2018</v>
      </c>
      <c r="N435" s="274">
        <v>2018</v>
      </c>
      <c r="O435" s="280">
        <f t="shared" si="288"/>
        <v>4</v>
      </c>
      <c r="P435" s="280">
        <f t="shared" ref="P435:P439" si="289">G435*4</f>
        <v>4</v>
      </c>
      <c r="Q435" s="280">
        <f t="shared" ref="Q435:Q439" si="290">H435*3</f>
        <v>0</v>
      </c>
      <c r="R435" s="280">
        <f t="shared" ref="R435:R439" si="291">I435*12</f>
        <v>0</v>
      </c>
      <c r="S435" s="280"/>
      <c r="T435" s="280"/>
      <c r="U435" s="280"/>
      <c r="V435" s="280"/>
      <c r="W435" s="280"/>
      <c r="X435" s="288"/>
      <c r="Y435" s="288"/>
      <c r="Z435" s="288"/>
      <c r="AA435" s="274"/>
      <c r="AB435" s="288"/>
      <c r="AC435" s="274"/>
    </row>
    <row r="436" ht="30" customHeight="1" spans="1:29">
      <c r="A436" s="273"/>
      <c r="B436" s="274" t="s">
        <v>2112</v>
      </c>
      <c r="C436" s="275" t="s">
        <v>1688</v>
      </c>
      <c r="D436" s="274" t="s">
        <v>1023</v>
      </c>
      <c r="E436" s="274"/>
      <c r="F436" s="276">
        <f t="shared" si="285"/>
        <v>1</v>
      </c>
      <c r="G436" s="276">
        <v>1</v>
      </c>
      <c r="H436" s="276">
        <v>0</v>
      </c>
      <c r="I436" s="276">
        <v>0</v>
      </c>
      <c r="J436" s="274" t="s">
        <v>2456</v>
      </c>
      <c r="K436" s="141">
        <v>118</v>
      </c>
      <c r="L436" s="141">
        <v>461</v>
      </c>
      <c r="M436" s="274">
        <v>2018</v>
      </c>
      <c r="N436" s="274">
        <v>2018</v>
      </c>
      <c r="O436" s="280">
        <f t="shared" si="288"/>
        <v>4</v>
      </c>
      <c r="P436" s="280">
        <f t="shared" si="289"/>
        <v>4</v>
      </c>
      <c r="Q436" s="280">
        <f t="shared" si="290"/>
        <v>0</v>
      </c>
      <c r="R436" s="280">
        <f t="shared" si="291"/>
        <v>0</v>
      </c>
      <c r="S436" s="280"/>
      <c r="T436" s="280"/>
      <c r="U436" s="280"/>
      <c r="V436" s="280"/>
      <c r="W436" s="280"/>
      <c r="X436" s="274"/>
      <c r="Y436" s="274"/>
      <c r="Z436" s="288"/>
      <c r="AA436" s="274"/>
      <c r="AB436" s="288"/>
      <c r="AC436" s="274"/>
    </row>
    <row r="437" ht="30" customHeight="1" spans="1:29">
      <c r="A437" s="273"/>
      <c r="B437" s="274" t="s">
        <v>2114</v>
      </c>
      <c r="C437" s="275" t="s">
        <v>1688</v>
      </c>
      <c r="D437" s="274" t="s">
        <v>1023</v>
      </c>
      <c r="E437" s="274"/>
      <c r="F437" s="276">
        <f t="shared" si="285"/>
        <v>1</v>
      </c>
      <c r="G437" s="276">
        <v>1</v>
      </c>
      <c r="H437" s="276">
        <v>0</v>
      </c>
      <c r="I437" s="276">
        <v>0</v>
      </c>
      <c r="J437" s="274" t="s">
        <v>2456</v>
      </c>
      <c r="K437" s="141">
        <v>206</v>
      </c>
      <c r="L437" s="141">
        <v>689</v>
      </c>
      <c r="M437" s="274">
        <v>2018</v>
      </c>
      <c r="N437" s="274">
        <v>2018</v>
      </c>
      <c r="O437" s="280">
        <f t="shared" si="288"/>
        <v>4</v>
      </c>
      <c r="P437" s="280">
        <f t="shared" si="289"/>
        <v>4</v>
      </c>
      <c r="Q437" s="280">
        <f t="shared" si="290"/>
        <v>0</v>
      </c>
      <c r="R437" s="280">
        <f t="shared" si="291"/>
        <v>0</v>
      </c>
      <c r="S437" s="280"/>
      <c r="T437" s="280"/>
      <c r="U437" s="280"/>
      <c r="V437" s="280"/>
      <c r="W437" s="280"/>
      <c r="X437" s="288"/>
      <c r="Y437" s="288"/>
      <c r="Z437" s="288"/>
      <c r="AA437" s="274"/>
      <c r="AB437" s="275"/>
      <c r="AC437" s="274"/>
    </row>
    <row r="438" ht="30" customHeight="1" spans="1:29">
      <c r="A438" s="273"/>
      <c r="B438" s="274" t="s">
        <v>2116</v>
      </c>
      <c r="C438" s="275" t="s">
        <v>1688</v>
      </c>
      <c r="D438" s="274" t="s">
        <v>1023</v>
      </c>
      <c r="E438" s="274"/>
      <c r="F438" s="276">
        <f t="shared" si="285"/>
        <v>1</v>
      </c>
      <c r="G438" s="276">
        <v>1</v>
      </c>
      <c r="H438" s="276">
        <v>0</v>
      </c>
      <c r="I438" s="276">
        <v>0</v>
      </c>
      <c r="J438" s="274" t="s">
        <v>2456</v>
      </c>
      <c r="K438" s="141">
        <v>189</v>
      </c>
      <c r="L438" s="141">
        <v>677</v>
      </c>
      <c r="M438" s="274">
        <v>2018</v>
      </c>
      <c r="N438" s="274">
        <v>2018</v>
      </c>
      <c r="O438" s="280">
        <f t="shared" si="288"/>
        <v>4</v>
      </c>
      <c r="P438" s="280">
        <f t="shared" si="289"/>
        <v>4</v>
      </c>
      <c r="Q438" s="280">
        <f t="shared" si="290"/>
        <v>0</v>
      </c>
      <c r="R438" s="280">
        <f t="shared" si="291"/>
        <v>0</v>
      </c>
      <c r="S438" s="280"/>
      <c r="T438" s="280"/>
      <c r="U438" s="280"/>
      <c r="V438" s="280"/>
      <c r="W438" s="280"/>
      <c r="X438" s="288"/>
      <c r="Y438" s="288"/>
      <c r="Z438" s="288"/>
      <c r="AA438" s="274"/>
      <c r="AB438" s="288"/>
      <c r="AC438" s="274"/>
    </row>
    <row r="439" ht="30" customHeight="1" spans="1:29">
      <c r="A439" s="273"/>
      <c r="B439" s="274" t="s">
        <v>2125</v>
      </c>
      <c r="C439" s="275" t="s">
        <v>1688</v>
      </c>
      <c r="D439" s="274" t="s">
        <v>1023</v>
      </c>
      <c r="E439" s="274"/>
      <c r="F439" s="276">
        <f t="shared" si="285"/>
        <v>1</v>
      </c>
      <c r="G439" s="276">
        <v>1</v>
      </c>
      <c r="H439" s="276">
        <v>0</v>
      </c>
      <c r="I439" s="276">
        <v>0</v>
      </c>
      <c r="J439" s="274" t="s">
        <v>2456</v>
      </c>
      <c r="K439" s="141">
        <v>190</v>
      </c>
      <c r="L439" s="141">
        <v>629</v>
      </c>
      <c r="M439" s="274">
        <v>2018</v>
      </c>
      <c r="N439" s="274">
        <v>2018</v>
      </c>
      <c r="O439" s="280">
        <f t="shared" si="288"/>
        <v>4</v>
      </c>
      <c r="P439" s="280">
        <f t="shared" si="289"/>
        <v>4</v>
      </c>
      <c r="Q439" s="280">
        <f t="shared" si="290"/>
        <v>0</v>
      </c>
      <c r="R439" s="280">
        <f t="shared" si="291"/>
        <v>0</v>
      </c>
      <c r="S439" s="280"/>
      <c r="T439" s="280"/>
      <c r="U439" s="280"/>
      <c r="V439" s="280"/>
      <c r="W439" s="280"/>
      <c r="X439" s="274"/>
      <c r="Y439" s="274"/>
      <c r="Z439" s="288"/>
      <c r="AA439" s="274"/>
      <c r="AB439" s="288"/>
      <c r="AC439" s="274"/>
    </row>
    <row r="440" ht="30" customHeight="1" spans="1:29">
      <c r="A440" s="273">
        <v>116</v>
      </c>
      <c r="B440" s="292" t="s">
        <v>552</v>
      </c>
      <c r="C440" s="275" t="s">
        <v>52</v>
      </c>
      <c r="D440" s="274" t="s">
        <v>150</v>
      </c>
      <c r="E440" s="274"/>
      <c r="F440" s="276">
        <f t="shared" si="285"/>
        <v>2</v>
      </c>
      <c r="G440" s="276">
        <f t="shared" ref="G440:I440" si="292">SUM(G441)</f>
        <v>2</v>
      </c>
      <c r="H440" s="276">
        <f t="shared" si="292"/>
        <v>0</v>
      </c>
      <c r="I440" s="276">
        <f t="shared" si="292"/>
        <v>0</v>
      </c>
      <c r="J440" s="274" t="s">
        <v>320</v>
      </c>
      <c r="K440" s="276">
        <f t="shared" ref="K440:W440" si="293">SUM(K441)</f>
        <v>45</v>
      </c>
      <c r="L440" s="276">
        <f t="shared" si="293"/>
        <v>158</v>
      </c>
      <c r="M440" s="274">
        <v>2018</v>
      </c>
      <c r="N440" s="274">
        <v>2018</v>
      </c>
      <c r="O440" s="280">
        <f t="shared" si="288"/>
        <v>58</v>
      </c>
      <c r="P440" s="280">
        <f t="shared" si="293"/>
        <v>58</v>
      </c>
      <c r="Q440" s="280">
        <f t="shared" si="293"/>
        <v>0</v>
      </c>
      <c r="R440" s="280">
        <f t="shared" si="293"/>
        <v>0</v>
      </c>
      <c r="S440" s="280">
        <f t="shared" si="293"/>
        <v>0</v>
      </c>
      <c r="T440" s="280">
        <f t="shared" si="293"/>
        <v>58</v>
      </c>
      <c r="U440" s="280">
        <f t="shared" si="293"/>
        <v>0</v>
      </c>
      <c r="V440" s="280">
        <f t="shared" si="293"/>
        <v>0</v>
      </c>
      <c r="W440" s="280">
        <f t="shared" si="293"/>
        <v>0</v>
      </c>
      <c r="X440" s="288" t="s">
        <v>2108</v>
      </c>
      <c r="Y440" s="274" t="s">
        <v>2457</v>
      </c>
      <c r="Z440" s="274" t="s">
        <v>2458</v>
      </c>
      <c r="AA440" s="274" t="s">
        <v>320</v>
      </c>
      <c r="AB440" s="274" t="s">
        <v>320</v>
      </c>
      <c r="AC440" s="274" t="s">
        <v>1441</v>
      </c>
    </row>
    <row r="441" ht="30" customHeight="1" spans="1:29">
      <c r="A441" s="273">
        <v>117</v>
      </c>
      <c r="B441" s="292" t="s">
        <v>554</v>
      </c>
      <c r="C441" s="275" t="s">
        <v>52</v>
      </c>
      <c r="D441" s="274" t="s">
        <v>150</v>
      </c>
      <c r="E441" s="274"/>
      <c r="F441" s="276">
        <f t="shared" si="285"/>
        <v>2</v>
      </c>
      <c r="G441" s="276">
        <f t="shared" ref="G441:I441" si="294">SUM(G442:G443)</f>
        <v>2</v>
      </c>
      <c r="H441" s="276">
        <f t="shared" si="294"/>
        <v>0</v>
      </c>
      <c r="I441" s="276">
        <f t="shared" si="294"/>
        <v>0</v>
      </c>
      <c r="J441" s="274" t="s">
        <v>320</v>
      </c>
      <c r="K441" s="274">
        <f t="shared" ref="K441:S441" si="295">SUM(K442:K443)</f>
        <v>45</v>
      </c>
      <c r="L441" s="274">
        <f t="shared" si="295"/>
        <v>158</v>
      </c>
      <c r="M441" s="274">
        <v>2018</v>
      </c>
      <c r="N441" s="274">
        <v>2018</v>
      </c>
      <c r="O441" s="280">
        <f t="shared" si="288"/>
        <v>58</v>
      </c>
      <c r="P441" s="280">
        <f t="shared" si="295"/>
        <v>58</v>
      </c>
      <c r="Q441" s="280">
        <f t="shared" si="295"/>
        <v>0</v>
      </c>
      <c r="R441" s="280">
        <f t="shared" si="295"/>
        <v>0</v>
      </c>
      <c r="S441" s="280">
        <f t="shared" si="295"/>
        <v>0</v>
      </c>
      <c r="T441" s="280">
        <f>SUM(P441:R441)</f>
        <v>58</v>
      </c>
      <c r="U441" s="280">
        <f t="shared" ref="U441:W441" si="296">SUM(U442:U443)</f>
        <v>0</v>
      </c>
      <c r="V441" s="280">
        <f t="shared" si="296"/>
        <v>0</v>
      </c>
      <c r="W441" s="280">
        <f t="shared" si="296"/>
        <v>0</v>
      </c>
      <c r="X441" s="288" t="s">
        <v>2108</v>
      </c>
      <c r="Y441" s="274" t="s">
        <v>2457</v>
      </c>
      <c r="Z441" s="274" t="s">
        <v>2458</v>
      </c>
      <c r="AA441" s="274" t="s">
        <v>320</v>
      </c>
      <c r="AB441" s="274" t="s">
        <v>2459</v>
      </c>
      <c r="AC441" s="274" t="s">
        <v>1441</v>
      </c>
    </row>
    <row r="442" ht="36" spans="1:29">
      <c r="A442" s="273"/>
      <c r="B442" s="303" t="s">
        <v>2460</v>
      </c>
      <c r="C442" s="275" t="s">
        <v>52</v>
      </c>
      <c r="D442" s="274" t="s">
        <v>150</v>
      </c>
      <c r="E442" s="274"/>
      <c r="F442" s="276">
        <f t="shared" si="285"/>
        <v>1</v>
      </c>
      <c r="G442" s="276">
        <v>1</v>
      </c>
      <c r="H442" s="276">
        <v>0</v>
      </c>
      <c r="I442" s="276">
        <v>0</v>
      </c>
      <c r="J442" s="303" t="s">
        <v>2461</v>
      </c>
      <c r="K442" s="274">
        <v>20</v>
      </c>
      <c r="L442" s="274">
        <v>72</v>
      </c>
      <c r="M442" s="274">
        <v>2018</v>
      </c>
      <c r="N442" s="274">
        <v>2018</v>
      </c>
      <c r="O442" s="280">
        <f t="shared" si="288"/>
        <v>12</v>
      </c>
      <c r="P442" s="280">
        <v>12</v>
      </c>
      <c r="Q442" s="280">
        <v>0</v>
      </c>
      <c r="R442" s="280">
        <v>0</v>
      </c>
      <c r="S442" s="280"/>
      <c r="T442" s="280"/>
      <c r="U442" s="280"/>
      <c r="V442" s="280"/>
      <c r="W442" s="280"/>
      <c r="X442" s="288"/>
      <c r="Y442" s="274"/>
      <c r="Z442" s="274"/>
      <c r="AA442" s="274"/>
      <c r="AB442" s="275" t="s">
        <v>2350</v>
      </c>
      <c r="AC442" s="274" t="s">
        <v>1441</v>
      </c>
    </row>
    <row r="443" ht="36" spans="1:29">
      <c r="A443" s="273"/>
      <c r="B443" s="303" t="s">
        <v>2462</v>
      </c>
      <c r="C443" s="275" t="s">
        <v>52</v>
      </c>
      <c r="D443" s="274" t="s">
        <v>150</v>
      </c>
      <c r="E443" s="274"/>
      <c r="F443" s="276">
        <f t="shared" si="285"/>
        <v>1</v>
      </c>
      <c r="G443" s="276">
        <v>1</v>
      </c>
      <c r="H443" s="276">
        <v>0</v>
      </c>
      <c r="I443" s="276">
        <v>0</v>
      </c>
      <c r="J443" s="303" t="s">
        <v>2463</v>
      </c>
      <c r="K443" s="274">
        <v>25</v>
      </c>
      <c r="L443" s="274">
        <v>86</v>
      </c>
      <c r="M443" s="274">
        <v>2018</v>
      </c>
      <c r="N443" s="274">
        <v>2018</v>
      </c>
      <c r="O443" s="280">
        <f t="shared" si="288"/>
        <v>46</v>
      </c>
      <c r="P443" s="280">
        <v>46</v>
      </c>
      <c r="Q443" s="280">
        <v>0</v>
      </c>
      <c r="R443" s="280">
        <v>0</v>
      </c>
      <c r="S443" s="280"/>
      <c r="T443" s="280"/>
      <c r="U443" s="280"/>
      <c r="V443" s="280"/>
      <c r="W443" s="280"/>
      <c r="X443" s="288"/>
      <c r="Y443" s="274"/>
      <c r="Z443" s="274"/>
      <c r="AA443" s="274"/>
      <c r="AB443" s="275" t="s">
        <v>2350</v>
      </c>
      <c r="AC443" s="274" t="s">
        <v>1441</v>
      </c>
    </row>
    <row r="444" ht="30" customHeight="1" spans="1:29">
      <c r="A444" s="273">
        <v>118</v>
      </c>
      <c r="B444" s="292" t="s">
        <v>555</v>
      </c>
      <c r="C444" s="275" t="s">
        <v>1124</v>
      </c>
      <c r="D444" s="274" t="s">
        <v>194</v>
      </c>
      <c r="E444" s="274"/>
      <c r="F444" s="276">
        <f t="shared" si="285"/>
        <v>1654</v>
      </c>
      <c r="G444" s="276">
        <f t="shared" ref="G444:I444" si="297">SUM(G445)</f>
        <v>562</v>
      </c>
      <c r="H444" s="276">
        <f t="shared" si="297"/>
        <v>536</v>
      </c>
      <c r="I444" s="276">
        <f t="shared" si="297"/>
        <v>556</v>
      </c>
      <c r="J444" s="280" t="s">
        <v>320</v>
      </c>
      <c r="K444" s="276">
        <f>SUM(K445)</f>
        <v>0</v>
      </c>
      <c r="L444" s="276">
        <f>SUM(L445)</f>
        <v>583</v>
      </c>
      <c r="M444" s="274">
        <v>2018</v>
      </c>
      <c r="N444" s="274">
        <v>2020</v>
      </c>
      <c r="O444" s="280" t="s">
        <v>320</v>
      </c>
      <c r="P444" s="280" t="s">
        <v>320</v>
      </c>
      <c r="Q444" s="280" t="s">
        <v>320</v>
      </c>
      <c r="R444" s="280" t="s">
        <v>320</v>
      </c>
      <c r="S444" s="280"/>
      <c r="T444" s="280"/>
      <c r="U444" s="280"/>
      <c r="V444" s="280"/>
      <c r="W444" s="280"/>
      <c r="X444" s="288" t="s">
        <v>2108</v>
      </c>
      <c r="Y444" s="274" t="s">
        <v>2132</v>
      </c>
      <c r="Z444" s="288" t="s">
        <v>294</v>
      </c>
      <c r="AA444" s="274" t="s">
        <v>320</v>
      </c>
      <c r="AB444" s="288" t="s">
        <v>2464</v>
      </c>
      <c r="AC444" s="274" t="s">
        <v>1073</v>
      </c>
    </row>
    <row r="445" ht="48" spans="1:29">
      <c r="A445" s="273">
        <v>119</v>
      </c>
      <c r="B445" s="292" t="s">
        <v>1225</v>
      </c>
      <c r="C445" s="275" t="s">
        <v>1124</v>
      </c>
      <c r="D445" s="274" t="s">
        <v>194</v>
      </c>
      <c r="E445" s="274"/>
      <c r="F445" s="276">
        <f t="shared" si="285"/>
        <v>1654</v>
      </c>
      <c r="G445" s="276">
        <f t="shared" ref="G445:I445" si="298">SUM(G446:G452)</f>
        <v>562</v>
      </c>
      <c r="H445" s="276">
        <f t="shared" si="298"/>
        <v>536</v>
      </c>
      <c r="I445" s="276">
        <f t="shared" si="298"/>
        <v>556</v>
      </c>
      <c r="J445" s="274" t="s">
        <v>2465</v>
      </c>
      <c r="K445" s="280" t="s">
        <v>320</v>
      </c>
      <c r="L445" s="276">
        <f>SUM(L446:L452)</f>
        <v>583</v>
      </c>
      <c r="M445" s="274">
        <v>2018</v>
      </c>
      <c r="N445" s="274">
        <v>2020</v>
      </c>
      <c r="O445" s="280" t="s">
        <v>320</v>
      </c>
      <c r="P445" s="280" t="s">
        <v>320</v>
      </c>
      <c r="Q445" s="280" t="s">
        <v>320</v>
      </c>
      <c r="R445" s="280" t="s">
        <v>320</v>
      </c>
      <c r="S445" s="280"/>
      <c r="T445" s="280"/>
      <c r="U445" s="280"/>
      <c r="V445" s="280"/>
      <c r="W445" s="280"/>
      <c r="X445" s="288" t="s">
        <v>2108</v>
      </c>
      <c r="Y445" s="274" t="s">
        <v>2132</v>
      </c>
      <c r="Z445" s="288" t="s">
        <v>294</v>
      </c>
      <c r="AA445" s="274" t="s">
        <v>320</v>
      </c>
      <c r="AB445" s="288"/>
      <c r="AC445" s="274" t="s">
        <v>1073</v>
      </c>
    </row>
    <row r="446" ht="30" customHeight="1" spans="1:29">
      <c r="A446" s="293"/>
      <c r="B446" s="275" t="s">
        <v>2123</v>
      </c>
      <c r="C446" s="275" t="s">
        <v>1124</v>
      </c>
      <c r="D446" s="275" t="s">
        <v>194</v>
      </c>
      <c r="E446" s="275"/>
      <c r="F446" s="294">
        <f t="shared" si="285"/>
        <v>546</v>
      </c>
      <c r="G446" s="294">
        <v>187</v>
      </c>
      <c r="H446" s="294">
        <v>177</v>
      </c>
      <c r="I446" s="294">
        <v>182</v>
      </c>
      <c r="J446" s="274" t="s">
        <v>2466</v>
      </c>
      <c r="K446" s="279" t="s">
        <v>320</v>
      </c>
      <c r="L446" s="275">
        <v>187</v>
      </c>
      <c r="M446" s="275">
        <v>2018</v>
      </c>
      <c r="N446" s="275">
        <v>2020</v>
      </c>
      <c r="O446" s="279" t="s">
        <v>320</v>
      </c>
      <c r="P446" s="279" t="s">
        <v>320</v>
      </c>
      <c r="Q446" s="279" t="s">
        <v>320</v>
      </c>
      <c r="R446" s="279" t="s">
        <v>320</v>
      </c>
      <c r="S446" s="279"/>
      <c r="T446" s="279"/>
      <c r="U446" s="279"/>
      <c r="V446" s="279"/>
      <c r="W446" s="279"/>
      <c r="X446" s="275"/>
      <c r="Y446" s="275"/>
      <c r="Z446" s="275"/>
      <c r="AA446" s="275"/>
      <c r="AB446" s="275"/>
      <c r="AC446" s="275"/>
    </row>
    <row r="447" ht="30" customHeight="1" spans="1:29">
      <c r="A447" s="293"/>
      <c r="B447" s="275" t="s">
        <v>2112</v>
      </c>
      <c r="C447" s="275" t="s">
        <v>1124</v>
      </c>
      <c r="D447" s="275" t="s">
        <v>194</v>
      </c>
      <c r="E447" s="275"/>
      <c r="F447" s="294">
        <f t="shared" si="285"/>
        <v>160</v>
      </c>
      <c r="G447" s="294">
        <v>54</v>
      </c>
      <c r="H447" s="294">
        <v>55</v>
      </c>
      <c r="I447" s="294">
        <v>51</v>
      </c>
      <c r="J447" s="274" t="s">
        <v>2467</v>
      </c>
      <c r="K447" s="279" t="s">
        <v>320</v>
      </c>
      <c r="L447" s="275">
        <v>55</v>
      </c>
      <c r="M447" s="275">
        <v>2018</v>
      </c>
      <c r="N447" s="275">
        <v>2020</v>
      </c>
      <c r="O447" s="279" t="s">
        <v>320</v>
      </c>
      <c r="P447" s="279" t="s">
        <v>320</v>
      </c>
      <c r="Q447" s="279" t="s">
        <v>320</v>
      </c>
      <c r="R447" s="279" t="s">
        <v>320</v>
      </c>
      <c r="S447" s="279"/>
      <c r="T447" s="279"/>
      <c r="U447" s="279"/>
      <c r="V447" s="279"/>
      <c r="W447" s="279"/>
      <c r="X447" s="275"/>
      <c r="Y447" s="275"/>
      <c r="Z447" s="275"/>
      <c r="AA447" s="275"/>
      <c r="AB447" s="274" t="s">
        <v>2468</v>
      </c>
      <c r="AC447" s="275"/>
    </row>
    <row r="448" ht="30" customHeight="1" spans="1:29">
      <c r="A448" s="293"/>
      <c r="B448" s="275" t="s">
        <v>2114</v>
      </c>
      <c r="C448" s="275" t="s">
        <v>1124</v>
      </c>
      <c r="D448" s="275" t="s">
        <v>194</v>
      </c>
      <c r="E448" s="275"/>
      <c r="F448" s="294">
        <f t="shared" si="285"/>
        <v>213</v>
      </c>
      <c r="G448" s="294">
        <v>79</v>
      </c>
      <c r="H448" s="294">
        <v>66</v>
      </c>
      <c r="I448" s="294">
        <v>68</v>
      </c>
      <c r="J448" s="274" t="s">
        <v>2469</v>
      </c>
      <c r="K448" s="279" t="s">
        <v>320</v>
      </c>
      <c r="L448" s="275">
        <v>79</v>
      </c>
      <c r="M448" s="275">
        <v>2018</v>
      </c>
      <c r="N448" s="275">
        <v>2020</v>
      </c>
      <c r="O448" s="279" t="s">
        <v>320</v>
      </c>
      <c r="P448" s="279" t="s">
        <v>320</v>
      </c>
      <c r="Q448" s="279" t="s">
        <v>320</v>
      </c>
      <c r="R448" s="279" t="s">
        <v>320</v>
      </c>
      <c r="S448" s="279"/>
      <c r="T448" s="279"/>
      <c r="U448" s="279"/>
      <c r="V448" s="279"/>
      <c r="W448" s="279"/>
      <c r="X448" s="275"/>
      <c r="Y448" s="275"/>
      <c r="Z448" s="275"/>
      <c r="AA448" s="275"/>
      <c r="AB448" s="275" t="s">
        <v>2470</v>
      </c>
      <c r="AC448" s="275"/>
    </row>
    <row r="449" ht="30" customHeight="1" spans="1:29">
      <c r="A449" s="293"/>
      <c r="B449" s="275" t="s">
        <v>2116</v>
      </c>
      <c r="C449" s="275" t="s">
        <v>1124</v>
      </c>
      <c r="D449" s="275" t="s">
        <v>194</v>
      </c>
      <c r="E449" s="275"/>
      <c r="F449" s="294">
        <f t="shared" si="285"/>
        <v>249</v>
      </c>
      <c r="G449" s="294">
        <v>74</v>
      </c>
      <c r="H449" s="294">
        <v>83</v>
      </c>
      <c r="I449" s="294">
        <v>92</v>
      </c>
      <c r="J449" s="274" t="s">
        <v>2471</v>
      </c>
      <c r="K449" s="279" t="s">
        <v>320</v>
      </c>
      <c r="L449" s="275">
        <v>92</v>
      </c>
      <c r="M449" s="275">
        <v>2018</v>
      </c>
      <c r="N449" s="275">
        <v>2020</v>
      </c>
      <c r="O449" s="279" t="s">
        <v>320</v>
      </c>
      <c r="P449" s="279" t="s">
        <v>320</v>
      </c>
      <c r="Q449" s="279" t="s">
        <v>320</v>
      </c>
      <c r="R449" s="279" t="s">
        <v>320</v>
      </c>
      <c r="S449" s="279"/>
      <c r="T449" s="279"/>
      <c r="U449" s="279"/>
      <c r="V449" s="279"/>
      <c r="W449" s="279"/>
      <c r="X449" s="275"/>
      <c r="Y449" s="275"/>
      <c r="Z449" s="275"/>
      <c r="AA449" s="275"/>
      <c r="AB449" s="275"/>
      <c r="AC449" s="275"/>
    </row>
    <row r="450" ht="30" customHeight="1" spans="1:29">
      <c r="A450" s="293"/>
      <c r="B450" s="275" t="s">
        <v>2118</v>
      </c>
      <c r="C450" s="275" t="s">
        <v>1124</v>
      </c>
      <c r="D450" s="275" t="s">
        <v>194</v>
      </c>
      <c r="E450" s="275"/>
      <c r="F450" s="294">
        <f t="shared" si="285"/>
        <v>160</v>
      </c>
      <c r="G450" s="294">
        <v>52</v>
      </c>
      <c r="H450" s="294">
        <v>54</v>
      </c>
      <c r="I450" s="294">
        <v>54</v>
      </c>
      <c r="J450" s="274" t="s">
        <v>2472</v>
      </c>
      <c r="K450" s="279" t="s">
        <v>320</v>
      </c>
      <c r="L450" s="275">
        <v>54</v>
      </c>
      <c r="M450" s="275">
        <v>2018</v>
      </c>
      <c r="N450" s="275">
        <v>2020</v>
      </c>
      <c r="O450" s="279" t="s">
        <v>320</v>
      </c>
      <c r="P450" s="279" t="s">
        <v>320</v>
      </c>
      <c r="Q450" s="279" t="s">
        <v>320</v>
      </c>
      <c r="R450" s="279" t="s">
        <v>320</v>
      </c>
      <c r="S450" s="279"/>
      <c r="T450" s="279"/>
      <c r="U450" s="279"/>
      <c r="V450" s="279"/>
      <c r="W450" s="279"/>
      <c r="X450" s="275"/>
      <c r="Y450" s="275"/>
      <c r="Z450" s="275"/>
      <c r="AA450" s="275"/>
      <c r="AB450" s="275"/>
      <c r="AC450" s="275"/>
    </row>
    <row r="451" ht="30" customHeight="1" spans="1:29">
      <c r="A451" s="293"/>
      <c r="B451" s="275" t="s">
        <v>2124</v>
      </c>
      <c r="C451" s="275" t="s">
        <v>1124</v>
      </c>
      <c r="D451" s="275" t="s">
        <v>194</v>
      </c>
      <c r="E451" s="275"/>
      <c r="F451" s="294">
        <f t="shared" si="285"/>
        <v>129</v>
      </c>
      <c r="G451" s="294">
        <v>46</v>
      </c>
      <c r="H451" s="294">
        <v>39</v>
      </c>
      <c r="I451" s="294">
        <v>44</v>
      </c>
      <c r="J451" s="274" t="s">
        <v>2473</v>
      </c>
      <c r="K451" s="279" t="s">
        <v>320</v>
      </c>
      <c r="L451" s="275">
        <v>46</v>
      </c>
      <c r="M451" s="275">
        <v>2018</v>
      </c>
      <c r="N451" s="275">
        <v>2020</v>
      </c>
      <c r="O451" s="279" t="s">
        <v>320</v>
      </c>
      <c r="P451" s="279" t="s">
        <v>320</v>
      </c>
      <c r="Q451" s="279" t="s">
        <v>320</v>
      </c>
      <c r="R451" s="279" t="s">
        <v>320</v>
      </c>
      <c r="S451" s="279"/>
      <c r="T451" s="279"/>
      <c r="U451" s="279"/>
      <c r="V451" s="279"/>
      <c r="W451" s="279"/>
      <c r="X451" s="275"/>
      <c r="Y451" s="275"/>
      <c r="Z451" s="275"/>
      <c r="AA451" s="275"/>
      <c r="AB451" s="275"/>
      <c r="AC451" s="275"/>
    </row>
    <row r="452" ht="30" customHeight="1" spans="1:29">
      <c r="A452" s="293"/>
      <c r="B452" s="275" t="s">
        <v>2125</v>
      </c>
      <c r="C452" s="275" t="s">
        <v>1124</v>
      </c>
      <c r="D452" s="275" t="s">
        <v>194</v>
      </c>
      <c r="E452" s="275"/>
      <c r="F452" s="294">
        <f t="shared" si="285"/>
        <v>197</v>
      </c>
      <c r="G452" s="294">
        <v>70</v>
      </c>
      <c r="H452" s="294">
        <v>62</v>
      </c>
      <c r="I452" s="294">
        <v>65</v>
      </c>
      <c r="J452" s="274" t="s">
        <v>2474</v>
      </c>
      <c r="K452" s="279" t="s">
        <v>320</v>
      </c>
      <c r="L452" s="275">
        <v>70</v>
      </c>
      <c r="M452" s="275">
        <v>2018</v>
      </c>
      <c r="N452" s="275">
        <v>2020</v>
      </c>
      <c r="O452" s="279" t="s">
        <v>320</v>
      </c>
      <c r="P452" s="279" t="s">
        <v>320</v>
      </c>
      <c r="Q452" s="279" t="s">
        <v>320</v>
      </c>
      <c r="R452" s="279" t="s">
        <v>320</v>
      </c>
      <c r="S452" s="279"/>
      <c r="T452" s="279"/>
      <c r="U452" s="279"/>
      <c r="V452" s="279"/>
      <c r="W452" s="279"/>
      <c r="X452" s="275"/>
      <c r="Y452" s="275"/>
      <c r="Z452" s="275"/>
      <c r="AA452" s="275"/>
      <c r="AB452" s="275"/>
      <c r="AC452" s="275"/>
    </row>
    <row r="453" s="260" customFormat="1" ht="30" customHeight="1" spans="1:29">
      <c r="A453" s="291">
        <v>120</v>
      </c>
      <c r="B453" s="305" t="s">
        <v>570</v>
      </c>
      <c r="C453" s="275" t="s">
        <v>320</v>
      </c>
      <c r="D453" s="274" t="s">
        <v>320</v>
      </c>
      <c r="E453" s="274"/>
      <c r="F453" s="276" t="s">
        <v>320</v>
      </c>
      <c r="G453" s="276" t="s">
        <v>320</v>
      </c>
      <c r="H453" s="276" t="s">
        <v>320</v>
      </c>
      <c r="I453" s="276" t="s">
        <v>320</v>
      </c>
      <c r="J453" s="274" t="s">
        <v>320</v>
      </c>
      <c r="K453" s="274">
        <f t="shared" ref="K453:S453" si="299">SUM(K454:K461)</f>
        <v>249</v>
      </c>
      <c r="L453" s="274">
        <f t="shared" si="299"/>
        <v>393</v>
      </c>
      <c r="M453" s="274">
        <v>2018</v>
      </c>
      <c r="N453" s="274">
        <v>2019</v>
      </c>
      <c r="O453" s="280">
        <f t="shared" ref="O453:O458" si="300">SUM(P453:R453)</f>
        <v>1373.4628</v>
      </c>
      <c r="P453" s="280">
        <f t="shared" si="299"/>
        <v>623.4628</v>
      </c>
      <c r="Q453" s="280">
        <f t="shared" si="299"/>
        <v>750</v>
      </c>
      <c r="R453" s="280">
        <f t="shared" si="299"/>
        <v>0</v>
      </c>
      <c r="S453" s="280">
        <f t="shared" si="299"/>
        <v>0</v>
      </c>
      <c r="T453" s="280">
        <f>SUM(P453:R453)</f>
        <v>1373.4628</v>
      </c>
      <c r="U453" s="280">
        <f t="shared" ref="U453:W453" si="301">SUM(U454:U461)</f>
        <v>0</v>
      </c>
      <c r="V453" s="280">
        <f t="shared" si="301"/>
        <v>0</v>
      </c>
      <c r="W453" s="280">
        <f t="shared" si="301"/>
        <v>0</v>
      </c>
      <c r="X453" s="303" t="s">
        <v>2108</v>
      </c>
      <c r="Y453" s="303" t="s">
        <v>2109</v>
      </c>
      <c r="Z453" s="288" t="s">
        <v>2475</v>
      </c>
      <c r="AA453" s="274" t="s">
        <v>320</v>
      </c>
      <c r="AB453" s="274" t="s">
        <v>2459</v>
      </c>
      <c r="AC453" s="274" t="s">
        <v>320</v>
      </c>
    </row>
    <row r="454" s="260" customFormat="1" ht="36" spans="1:29">
      <c r="A454" s="291"/>
      <c r="B454" s="303" t="s">
        <v>2476</v>
      </c>
      <c r="C454" s="275" t="s">
        <v>52</v>
      </c>
      <c r="D454" s="274" t="s">
        <v>2078</v>
      </c>
      <c r="E454" s="274"/>
      <c r="F454" s="276">
        <v>1</v>
      </c>
      <c r="G454" s="276">
        <v>0</v>
      </c>
      <c r="H454" s="276">
        <v>1</v>
      </c>
      <c r="I454" s="276">
        <v>0</v>
      </c>
      <c r="J454" s="274" t="s">
        <v>2477</v>
      </c>
      <c r="K454" s="274">
        <v>117</v>
      </c>
      <c r="L454" s="274" t="s">
        <v>2478</v>
      </c>
      <c r="M454" s="274">
        <v>2019</v>
      </c>
      <c r="N454" s="274">
        <v>2019</v>
      </c>
      <c r="O454" s="280">
        <v>250</v>
      </c>
      <c r="P454" s="280">
        <v>0</v>
      </c>
      <c r="Q454" s="280">
        <v>250</v>
      </c>
      <c r="R454" s="280">
        <v>0</v>
      </c>
      <c r="S454" s="280"/>
      <c r="T454" s="280"/>
      <c r="U454" s="280"/>
      <c r="V454" s="280"/>
      <c r="W454" s="280"/>
      <c r="X454" s="303"/>
      <c r="Y454" s="303"/>
      <c r="Z454" s="288" t="s">
        <v>2479</v>
      </c>
      <c r="AA454" s="274"/>
      <c r="AB454" s="275" t="s">
        <v>2350</v>
      </c>
      <c r="AC454" s="274" t="s">
        <v>1073</v>
      </c>
    </row>
    <row r="455" s="261" customFormat="1" ht="39" customHeight="1" spans="1:29">
      <c r="A455" s="273"/>
      <c r="B455" s="303" t="s">
        <v>2480</v>
      </c>
      <c r="C455" s="306" t="s">
        <v>52</v>
      </c>
      <c r="D455" s="303" t="s">
        <v>560</v>
      </c>
      <c r="E455" s="303"/>
      <c r="F455" s="294">
        <f t="shared" ref="F455:F457" si="302">SUM(G455:I455)</f>
        <v>6965</v>
      </c>
      <c r="G455" s="307">
        <v>6965</v>
      </c>
      <c r="H455" s="307">
        <v>0</v>
      </c>
      <c r="I455" s="307">
        <v>0</v>
      </c>
      <c r="J455" s="303" t="s">
        <v>2481</v>
      </c>
      <c r="K455" s="303">
        <v>31</v>
      </c>
      <c r="L455" s="303">
        <v>111</v>
      </c>
      <c r="M455" s="274">
        <v>2018</v>
      </c>
      <c r="N455" s="274">
        <v>2018</v>
      </c>
      <c r="O455" s="312">
        <v>200</v>
      </c>
      <c r="P455" s="312">
        <v>200</v>
      </c>
      <c r="Q455" s="312">
        <v>0</v>
      </c>
      <c r="R455" s="312">
        <v>0</v>
      </c>
      <c r="S455" s="312"/>
      <c r="T455" s="312"/>
      <c r="U455" s="312"/>
      <c r="V455" s="312"/>
      <c r="W455" s="312"/>
      <c r="X455" s="303"/>
      <c r="Y455" s="303"/>
      <c r="Z455" s="303"/>
      <c r="AA455" s="303"/>
      <c r="AB455" s="275" t="s">
        <v>2350</v>
      </c>
      <c r="AC455" s="274" t="s">
        <v>1073</v>
      </c>
    </row>
    <row r="456" s="261" customFormat="1" ht="39" customHeight="1" spans="1:29">
      <c r="A456" s="273"/>
      <c r="B456" s="303" t="s">
        <v>2482</v>
      </c>
      <c r="C456" s="306" t="s">
        <v>52</v>
      </c>
      <c r="D456" s="303" t="s">
        <v>560</v>
      </c>
      <c r="E456" s="303"/>
      <c r="F456" s="294">
        <f t="shared" si="302"/>
        <v>1827</v>
      </c>
      <c r="G456" s="307">
        <v>1827</v>
      </c>
      <c r="H456" s="307">
        <v>0</v>
      </c>
      <c r="I456" s="307">
        <v>0</v>
      </c>
      <c r="J456" s="303" t="s">
        <v>2483</v>
      </c>
      <c r="K456" s="303">
        <v>20</v>
      </c>
      <c r="L456" s="303">
        <v>72</v>
      </c>
      <c r="M456" s="274">
        <v>2018</v>
      </c>
      <c r="N456" s="274">
        <v>2018</v>
      </c>
      <c r="O456" s="312">
        <v>128.0149</v>
      </c>
      <c r="P456" s="312">
        <v>128.0149</v>
      </c>
      <c r="Q456" s="312">
        <v>0</v>
      </c>
      <c r="R456" s="312">
        <v>0</v>
      </c>
      <c r="S456" s="312"/>
      <c r="T456" s="312"/>
      <c r="U456" s="312"/>
      <c r="V456" s="312"/>
      <c r="W456" s="312"/>
      <c r="X456" s="303"/>
      <c r="Y456" s="303"/>
      <c r="Z456" s="288"/>
      <c r="AA456" s="303"/>
      <c r="AB456" s="275" t="s">
        <v>2350</v>
      </c>
      <c r="AC456" s="303" t="s">
        <v>1441</v>
      </c>
    </row>
    <row r="457" s="261" customFormat="1" ht="39" customHeight="1" spans="1:29">
      <c r="A457" s="273"/>
      <c r="B457" s="303" t="s">
        <v>2484</v>
      </c>
      <c r="C457" s="306" t="s">
        <v>52</v>
      </c>
      <c r="D457" s="303" t="s">
        <v>1504</v>
      </c>
      <c r="E457" s="303"/>
      <c r="F457" s="294">
        <f t="shared" si="302"/>
        <v>900</v>
      </c>
      <c r="G457" s="307">
        <v>900</v>
      </c>
      <c r="H457" s="307">
        <v>0</v>
      </c>
      <c r="I457" s="307">
        <v>0</v>
      </c>
      <c r="J457" s="303">
        <v>900</v>
      </c>
      <c r="K457" s="303">
        <v>7</v>
      </c>
      <c r="L457" s="303">
        <v>30</v>
      </c>
      <c r="M457" s="303">
        <v>2018</v>
      </c>
      <c r="N457" s="303">
        <v>2018</v>
      </c>
      <c r="O457" s="312">
        <f t="shared" si="300"/>
        <v>20</v>
      </c>
      <c r="P457" s="280">
        <v>20</v>
      </c>
      <c r="Q457" s="312">
        <v>0</v>
      </c>
      <c r="R457" s="312">
        <v>0</v>
      </c>
      <c r="S457" s="312"/>
      <c r="T457" s="312"/>
      <c r="U457" s="312"/>
      <c r="V457" s="312"/>
      <c r="W457" s="312"/>
      <c r="X457" s="303"/>
      <c r="Y457" s="303"/>
      <c r="Z457" s="288"/>
      <c r="AA457" s="303"/>
      <c r="AB457" s="275" t="s">
        <v>2350</v>
      </c>
      <c r="AC457" s="303" t="s">
        <v>1441</v>
      </c>
    </row>
    <row r="458" s="261" customFormat="1" ht="36" spans="1:29">
      <c r="A458" s="273"/>
      <c r="B458" s="303" t="s">
        <v>2485</v>
      </c>
      <c r="C458" s="306" t="s">
        <v>52</v>
      </c>
      <c r="D458" s="274" t="s">
        <v>2078</v>
      </c>
      <c r="E458" s="274"/>
      <c r="F458" s="276">
        <v>1</v>
      </c>
      <c r="G458" s="276">
        <v>0</v>
      </c>
      <c r="H458" s="276">
        <v>1</v>
      </c>
      <c r="I458" s="276">
        <v>0</v>
      </c>
      <c r="J458" s="303" t="s">
        <v>2486</v>
      </c>
      <c r="K458" s="303">
        <v>24</v>
      </c>
      <c r="L458" s="303" t="s">
        <v>2487</v>
      </c>
      <c r="M458" s="274">
        <v>2019</v>
      </c>
      <c r="N458" s="274">
        <v>2019</v>
      </c>
      <c r="O458" s="312">
        <f t="shared" si="300"/>
        <v>500</v>
      </c>
      <c r="P458" s="280">
        <v>0</v>
      </c>
      <c r="Q458" s="312">
        <v>500</v>
      </c>
      <c r="R458" s="312">
        <v>0</v>
      </c>
      <c r="S458" s="312"/>
      <c r="T458" s="312"/>
      <c r="U458" s="312"/>
      <c r="V458" s="312"/>
      <c r="W458" s="312"/>
      <c r="X458" s="303"/>
      <c r="Y458" s="303"/>
      <c r="Z458" s="288" t="s">
        <v>2479</v>
      </c>
      <c r="AA458" s="303"/>
      <c r="AB458" s="275" t="s">
        <v>2488</v>
      </c>
      <c r="AC458" s="274" t="s">
        <v>1073</v>
      </c>
    </row>
    <row r="459" s="261" customFormat="1" ht="39" customHeight="1" spans="1:29">
      <c r="A459" s="273"/>
      <c r="B459" s="303" t="s">
        <v>2489</v>
      </c>
      <c r="C459" s="306" t="s">
        <v>52</v>
      </c>
      <c r="D459" s="303" t="s">
        <v>560</v>
      </c>
      <c r="E459" s="303"/>
      <c r="F459" s="294">
        <f t="shared" ref="F459:F461" si="303">SUM(G459:I459)</f>
        <v>10800</v>
      </c>
      <c r="G459" s="307">
        <v>10800</v>
      </c>
      <c r="H459" s="307">
        <v>0</v>
      </c>
      <c r="I459" s="307">
        <v>0</v>
      </c>
      <c r="J459" s="303" t="s">
        <v>2490</v>
      </c>
      <c r="K459" s="303">
        <v>10</v>
      </c>
      <c r="L459" s="303">
        <v>37</v>
      </c>
      <c r="M459" s="274">
        <v>2018</v>
      </c>
      <c r="N459" s="274">
        <v>2018</v>
      </c>
      <c r="O459" s="312">
        <v>205.6579</v>
      </c>
      <c r="P459" s="312">
        <v>205.6579</v>
      </c>
      <c r="Q459" s="312">
        <v>0</v>
      </c>
      <c r="R459" s="312">
        <v>0</v>
      </c>
      <c r="S459" s="312"/>
      <c r="T459" s="312"/>
      <c r="U459" s="312"/>
      <c r="V459" s="312"/>
      <c r="W459" s="312"/>
      <c r="X459" s="303"/>
      <c r="Y459" s="303"/>
      <c r="Z459" s="288"/>
      <c r="AA459" s="303"/>
      <c r="AB459" s="275" t="s">
        <v>2350</v>
      </c>
      <c r="AC459" s="303" t="s">
        <v>1441</v>
      </c>
    </row>
    <row r="460" s="261" customFormat="1" ht="39" customHeight="1" spans="1:29">
      <c r="A460" s="273"/>
      <c r="B460" s="303" t="s">
        <v>2491</v>
      </c>
      <c r="C460" s="306" t="s">
        <v>52</v>
      </c>
      <c r="D460" s="303" t="s">
        <v>1504</v>
      </c>
      <c r="E460" s="303"/>
      <c r="F460" s="294">
        <f t="shared" si="303"/>
        <v>300</v>
      </c>
      <c r="G460" s="307">
        <v>300</v>
      </c>
      <c r="H460" s="307">
        <v>0</v>
      </c>
      <c r="I460" s="307">
        <v>0</v>
      </c>
      <c r="J460" s="303">
        <v>300</v>
      </c>
      <c r="K460" s="303">
        <v>15</v>
      </c>
      <c r="L460" s="303">
        <v>57</v>
      </c>
      <c r="M460" s="303">
        <v>2018</v>
      </c>
      <c r="N460" s="303">
        <v>2018</v>
      </c>
      <c r="O460" s="312">
        <f>SUM(P460:R460)</f>
        <v>8</v>
      </c>
      <c r="P460" s="280">
        <v>8</v>
      </c>
      <c r="Q460" s="312">
        <v>0</v>
      </c>
      <c r="R460" s="312">
        <v>0</v>
      </c>
      <c r="S460" s="312"/>
      <c r="T460" s="312"/>
      <c r="U460" s="312"/>
      <c r="V460" s="312"/>
      <c r="W460" s="312"/>
      <c r="X460" s="303"/>
      <c r="Y460" s="303"/>
      <c r="Z460" s="288"/>
      <c r="AA460" s="303"/>
      <c r="AB460" s="275" t="s">
        <v>2350</v>
      </c>
      <c r="AC460" s="274" t="s">
        <v>1073</v>
      </c>
    </row>
    <row r="461" s="261" customFormat="1" ht="39" customHeight="1" spans="1:29">
      <c r="A461" s="273"/>
      <c r="B461" s="303" t="s">
        <v>2492</v>
      </c>
      <c r="C461" s="306" t="s">
        <v>52</v>
      </c>
      <c r="D461" s="303" t="s">
        <v>560</v>
      </c>
      <c r="E461" s="303"/>
      <c r="F461" s="294">
        <f t="shared" si="303"/>
        <v>3500</v>
      </c>
      <c r="G461" s="307">
        <v>3500</v>
      </c>
      <c r="H461" s="307">
        <v>0</v>
      </c>
      <c r="I461" s="307">
        <v>0</v>
      </c>
      <c r="J461" s="303" t="s">
        <v>2493</v>
      </c>
      <c r="K461" s="303">
        <v>25</v>
      </c>
      <c r="L461" s="303">
        <v>86</v>
      </c>
      <c r="M461" s="274">
        <v>2018</v>
      </c>
      <c r="N461" s="274">
        <v>2018</v>
      </c>
      <c r="O461" s="312">
        <v>61.79</v>
      </c>
      <c r="P461" s="312">
        <v>61.79</v>
      </c>
      <c r="Q461" s="312">
        <v>0</v>
      </c>
      <c r="R461" s="312">
        <v>0</v>
      </c>
      <c r="S461" s="312"/>
      <c r="T461" s="312"/>
      <c r="U461" s="312"/>
      <c r="V461" s="312"/>
      <c r="W461" s="312"/>
      <c r="X461" s="303"/>
      <c r="Y461" s="303"/>
      <c r="Z461" s="288"/>
      <c r="AA461" s="303"/>
      <c r="AB461" s="275" t="s">
        <v>2350</v>
      </c>
      <c r="AC461" s="303" t="s">
        <v>1441</v>
      </c>
    </row>
    <row r="462" ht="30" customHeight="1" spans="1:29">
      <c r="A462" s="273">
        <v>121</v>
      </c>
      <c r="B462" s="292" t="s">
        <v>1048</v>
      </c>
      <c r="C462" s="275" t="s">
        <v>320</v>
      </c>
      <c r="D462" s="274" t="s">
        <v>320</v>
      </c>
      <c r="E462" s="274"/>
      <c r="F462" s="276" t="s">
        <v>320</v>
      </c>
      <c r="G462" s="276" t="s">
        <v>320</v>
      </c>
      <c r="H462" s="276" t="s">
        <v>320</v>
      </c>
      <c r="I462" s="276" t="s">
        <v>320</v>
      </c>
      <c r="J462" s="274" t="s">
        <v>320</v>
      </c>
      <c r="K462" s="274">
        <f t="shared" ref="K462:W462" si="304">SUM(K463,K468)</f>
        <v>206</v>
      </c>
      <c r="L462" s="274">
        <f t="shared" si="304"/>
        <v>689</v>
      </c>
      <c r="M462" s="274">
        <v>2018</v>
      </c>
      <c r="N462" s="274">
        <v>2020</v>
      </c>
      <c r="O462" s="280">
        <f t="shared" ref="O462:O467" si="305">SUM(P462:R462)</f>
        <v>15.35</v>
      </c>
      <c r="P462" s="280">
        <f t="shared" si="304"/>
        <v>15.35</v>
      </c>
      <c r="Q462" s="280">
        <f t="shared" si="304"/>
        <v>0</v>
      </c>
      <c r="R462" s="280">
        <f t="shared" si="304"/>
        <v>0</v>
      </c>
      <c r="S462" s="280">
        <f t="shared" si="304"/>
        <v>0</v>
      </c>
      <c r="T462" s="280">
        <f t="shared" si="304"/>
        <v>15.35</v>
      </c>
      <c r="U462" s="280">
        <f t="shared" si="304"/>
        <v>0</v>
      </c>
      <c r="V462" s="280">
        <f t="shared" si="304"/>
        <v>0</v>
      </c>
      <c r="W462" s="280">
        <f t="shared" si="304"/>
        <v>0</v>
      </c>
      <c r="X462" s="274" t="s">
        <v>320</v>
      </c>
      <c r="Y462" s="274" t="s">
        <v>320</v>
      </c>
      <c r="Z462" s="274" t="s">
        <v>320</v>
      </c>
      <c r="AA462" s="274" t="s">
        <v>320</v>
      </c>
      <c r="AB462" s="274" t="s">
        <v>320</v>
      </c>
      <c r="AC462" s="274" t="s">
        <v>2106</v>
      </c>
    </row>
    <row r="463" ht="30" customHeight="1" spans="1:29">
      <c r="A463" s="273">
        <v>122</v>
      </c>
      <c r="B463" s="292" t="s">
        <v>1049</v>
      </c>
      <c r="C463" s="275" t="s">
        <v>320</v>
      </c>
      <c r="D463" s="274" t="s">
        <v>320</v>
      </c>
      <c r="E463" s="274"/>
      <c r="F463" s="276" t="s">
        <v>320</v>
      </c>
      <c r="G463" s="276" t="s">
        <v>320</v>
      </c>
      <c r="H463" s="276" t="s">
        <v>320</v>
      </c>
      <c r="I463" s="276" t="s">
        <v>320</v>
      </c>
      <c r="J463" s="274" t="s">
        <v>320</v>
      </c>
      <c r="K463" s="274">
        <f t="shared" ref="K463:O463" si="306">SUM(K464:K466)</f>
        <v>206</v>
      </c>
      <c r="L463" s="274">
        <f t="shared" si="306"/>
        <v>689</v>
      </c>
      <c r="M463" s="274">
        <v>2018</v>
      </c>
      <c r="N463" s="274">
        <v>2020</v>
      </c>
      <c r="O463" s="280">
        <f t="shared" si="306"/>
        <v>15.35</v>
      </c>
      <c r="P463" s="280">
        <f>SUM(P464,P465,P466)</f>
        <v>15.35</v>
      </c>
      <c r="Q463" s="280">
        <f t="shared" ref="Q463:W463" si="307">SUM(Q464:Q466)</f>
        <v>0</v>
      </c>
      <c r="R463" s="280">
        <f t="shared" si="307"/>
        <v>0</v>
      </c>
      <c r="S463" s="280">
        <f t="shared" si="307"/>
        <v>0</v>
      </c>
      <c r="T463" s="280">
        <f t="shared" si="307"/>
        <v>15.35</v>
      </c>
      <c r="U463" s="280">
        <f t="shared" si="307"/>
        <v>0</v>
      </c>
      <c r="V463" s="280">
        <f t="shared" si="307"/>
        <v>0</v>
      </c>
      <c r="W463" s="280">
        <f t="shared" si="307"/>
        <v>0</v>
      </c>
      <c r="X463" s="288" t="s">
        <v>2108</v>
      </c>
      <c r="Y463" s="274" t="s">
        <v>2457</v>
      </c>
      <c r="Z463" s="274" t="s">
        <v>2458</v>
      </c>
      <c r="AA463" s="274" t="s">
        <v>320</v>
      </c>
      <c r="AB463" s="274" t="s">
        <v>320</v>
      </c>
      <c r="AC463" s="274" t="s">
        <v>320</v>
      </c>
    </row>
    <row r="464" ht="30" customHeight="1" spans="1:29">
      <c r="A464" s="273">
        <v>123</v>
      </c>
      <c r="B464" s="292" t="s">
        <v>1237</v>
      </c>
      <c r="C464" s="275" t="s">
        <v>320</v>
      </c>
      <c r="D464" s="274" t="s">
        <v>320</v>
      </c>
      <c r="E464" s="274"/>
      <c r="F464" s="276" t="s">
        <v>320</v>
      </c>
      <c r="G464" s="276" t="s">
        <v>320</v>
      </c>
      <c r="H464" s="276" t="s">
        <v>320</v>
      </c>
      <c r="I464" s="276" t="s">
        <v>320</v>
      </c>
      <c r="J464" s="274" t="s">
        <v>320</v>
      </c>
      <c r="K464" s="274" t="s">
        <v>320</v>
      </c>
      <c r="L464" s="274" t="s">
        <v>320</v>
      </c>
      <c r="M464" s="274" t="s">
        <v>320</v>
      </c>
      <c r="N464" s="274" t="s">
        <v>320</v>
      </c>
      <c r="O464" s="280" t="s">
        <v>320</v>
      </c>
      <c r="P464" s="280" t="s">
        <v>320</v>
      </c>
      <c r="Q464" s="280" t="s">
        <v>320</v>
      </c>
      <c r="R464" s="280" t="s">
        <v>320</v>
      </c>
      <c r="S464" s="280" t="s">
        <v>320</v>
      </c>
      <c r="T464" s="280" t="s">
        <v>320</v>
      </c>
      <c r="U464" s="280" t="s">
        <v>320</v>
      </c>
      <c r="V464" s="280" t="s">
        <v>320</v>
      </c>
      <c r="W464" s="280" t="s">
        <v>320</v>
      </c>
      <c r="X464" s="274" t="s">
        <v>320</v>
      </c>
      <c r="Y464" s="274" t="s">
        <v>320</v>
      </c>
      <c r="Z464" s="274" t="s">
        <v>320</v>
      </c>
      <c r="AA464" s="274" t="s">
        <v>320</v>
      </c>
      <c r="AB464" s="274" t="s">
        <v>2128</v>
      </c>
      <c r="AC464" s="274" t="s">
        <v>320</v>
      </c>
    </row>
    <row r="465" ht="30" customHeight="1" spans="1:29">
      <c r="A465" s="273">
        <v>124</v>
      </c>
      <c r="B465" s="277" t="s">
        <v>1238</v>
      </c>
      <c r="C465" s="275" t="s">
        <v>320</v>
      </c>
      <c r="D465" s="274" t="s">
        <v>320</v>
      </c>
      <c r="E465" s="274"/>
      <c r="F465" s="276" t="s">
        <v>320</v>
      </c>
      <c r="G465" s="276" t="s">
        <v>320</v>
      </c>
      <c r="H465" s="276" t="s">
        <v>320</v>
      </c>
      <c r="I465" s="276" t="s">
        <v>320</v>
      </c>
      <c r="J465" s="274" t="s">
        <v>320</v>
      </c>
      <c r="K465" s="274" t="s">
        <v>320</v>
      </c>
      <c r="L465" s="274" t="s">
        <v>320</v>
      </c>
      <c r="M465" s="274" t="s">
        <v>320</v>
      </c>
      <c r="N465" s="274" t="s">
        <v>320</v>
      </c>
      <c r="O465" s="280" t="s">
        <v>320</v>
      </c>
      <c r="P465" s="280" t="s">
        <v>320</v>
      </c>
      <c r="Q465" s="280" t="s">
        <v>320</v>
      </c>
      <c r="R465" s="280" t="s">
        <v>320</v>
      </c>
      <c r="S465" s="280" t="s">
        <v>320</v>
      </c>
      <c r="T465" s="280" t="s">
        <v>320</v>
      </c>
      <c r="U465" s="280" t="s">
        <v>320</v>
      </c>
      <c r="V465" s="280" t="s">
        <v>320</v>
      </c>
      <c r="W465" s="280" t="s">
        <v>320</v>
      </c>
      <c r="X465" s="274" t="s">
        <v>320</v>
      </c>
      <c r="Y465" s="274" t="s">
        <v>320</v>
      </c>
      <c r="Z465" s="274" t="s">
        <v>320</v>
      </c>
      <c r="AA465" s="274" t="s">
        <v>320</v>
      </c>
      <c r="AB465" s="274" t="s">
        <v>2128</v>
      </c>
      <c r="AC465" s="274" t="s">
        <v>320</v>
      </c>
    </row>
    <row r="466" ht="30" customHeight="1" spans="1:29">
      <c r="A466" s="273">
        <v>125</v>
      </c>
      <c r="B466" s="277" t="s">
        <v>1239</v>
      </c>
      <c r="C466" s="275" t="s">
        <v>52</v>
      </c>
      <c r="D466" s="274" t="s">
        <v>2078</v>
      </c>
      <c r="E466" s="274"/>
      <c r="F466" s="276">
        <f>SUM(G466:I466)</f>
        <v>1</v>
      </c>
      <c r="G466" s="276">
        <f t="shared" ref="G466:I466" si="308">SUM(G467:G467)</f>
        <v>1</v>
      </c>
      <c r="H466" s="276">
        <f t="shared" si="308"/>
        <v>0</v>
      </c>
      <c r="I466" s="276">
        <f t="shared" si="308"/>
        <v>0</v>
      </c>
      <c r="J466" s="276" t="s">
        <v>320</v>
      </c>
      <c r="K466" s="274">
        <f t="shared" ref="K466:S466" si="309">SUM(K467:K467)</f>
        <v>206</v>
      </c>
      <c r="L466" s="274">
        <f t="shared" si="309"/>
        <v>689</v>
      </c>
      <c r="M466" s="274">
        <v>2018</v>
      </c>
      <c r="N466" s="274">
        <v>2018</v>
      </c>
      <c r="O466" s="280">
        <f t="shared" si="305"/>
        <v>15.35</v>
      </c>
      <c r="P466" s="280">
        <f t="shared" si="309"/>
        <v>15.35</v>
      </c>
      <c r="Q466" s="280">
        <f t="shared" si="309"/>
        <v>0</v>
      </c>
      <c r="R466" s="280">
        <f t="shared" si="309"/>
        <v>0</v>
      </c>
      <c r="S466" s="280">
        <f t="shared" si="309"/>
        <v>0</v>
      </c>
      <c r="T466" s="280">
        <f>SUM(P466:R466)</f>
        <v>15.35</v>
      </c>
      <c r="U466" s="280">
        <f t="shared" ref="U466:W466" si="310">SUM(U467:U467)</f>
        <v>0</v>
      </c>
      <c r="V466" s="280">
        <f t="shared" si="310"/>
        <v>0</v>
      </c>
      <c r="W466" s="280">
        <f t="shared" si="310"/>
        <v>0</v>
      </c>
      <c r="X466" s="288" t="s">
        <v>2108</v>
      </c>
      <c r="Y466" s="274" t="s">
        <v>2494</v>
      </c>
      <c r="Z466" s="288" t="s">
        <v>160</v>
      </c>
      <c r="AA466" s="274" t="s">
        <v>320</v>
      </c>
      <c r="AB466" s="274" t="s">
        <v>2495</v>
      </c>
      <c r="AC466" s="274" t="s">
        <v>1073</v>
      </c>
    </row>
    <row r="467" ht="36" spans="1:29">
      <c r="A467" s="273"/>
      <c r="B467" s="274" t="s">
        <v>2496</v>
      </c>
      <c r="C467" s="275" t="s">
        <v>52</v>
      </c>
      <c r="D467" s="274" t="s">
        <v>2078</v>
      </c>
      <c r="E467" s="274"/>
      <c r="F467" s="276">
        <f>SUM(G467:I467)</f>
        <v>1</v>
      </c>
      <c r="G467" s="276">
        <v>1</v>
      </c>
      <c r="H467" s="276">
        <v>0</v>
      </c>
      <c r="I467" s="276">
        <v>0</v>
      </c>
      <c r="J467" s="274" t="s">
        <v>2497</v>
      </c>
      <c r="K467" s="274">
        <v>206</v>
      </c>
      <c r="L467" s="141">
        <v>689</v>
      </c>
      <c r="M467" s="274">
        <v>2018</v>
      </c>
      <c r="N467" s="274">
        <v>2018</v>
      </c>
      <c r="O467" s="280">
        <f t="shared" si="305"/>
        <v>15.35</v>
      </c>
      <c r="P467" s="280">
        <v>15.35</v>
      </c>
      <c r="Q467" s="280">
        <v>0</v>
      </c>
      <c r="R467" s="280">
        <v>0</v>
      </c>
      <c r="S467" s="280"/>
      <c r="T467" s="312"/>
      <c r="U467" s="280"/>
      <c r="V467" s="280"/>
      <c r="W467" s="280"/>
      <c r="X467" s="288"/>
      <c r="Y467" s="274"/>
      <c r="Z467" s="288"/>
      <c r="AA467" s="280"/>
      <c r="AB467" s="275" t="s">
        <v>2350</v>
      </c>
      <c r="AC467" s="274" t="s">
        <v>1073</v>
      </c>
    </row>
    <row r="468" ht="30" customHeight="1" spans="1:29">
      <c r="A468" s="273">
        <v>126</v>
      </c>
      <c r="B468" s="277" t="s">
        <v>1059</v>
      </c>
      <c r="C468" s="275" t="s">
        <v>320</v>
      </c>
      <c r="D468" s="274" t="s">
        <v>320</v>
      </c>
      <c r="E468" s="274"/>
      <c r="F468" s="276" t="s">
        <v>320</v>
      </c>
      <c r="G468" s="276" t="s">
        <v>320</v>
      </c>
      <c r="H468" s="276" t="s">
        <v>320</v>
      </c>
      <c r="I468" s="276" t="s">
        <v>320</v>
      </c>
      <c r="J468" s="274" t="s">
        <v>320</v>
      </c>
      <c r="K468" s="274" t="s">
        <v>320</v>
      </c>
      <c r="L468" s="274" t="s">
        <v>320</v>
      </c>
      <c r="M468" s="274" t="s">
        <v>320</v>
      </c>
      <c r="N468" s="274" t="s">
        <v>320</v>
      </c>
      <c r="O468" s="280" t="s">
        <v>320</v>
      </c>
      <c r="P468" s="280" t="s">
        <v>320</v>
      </c>
      <c r="Q468" s="280" t="s">
        <v>320</v>
      </c>
      <c r="R468" s="280" t="s">
        <v>320</v>
      </c>
      <c r="S468" s="280" t="s">
        <v>320</v>
      </c>
      <c r="T468" s="280" t="s">
        <v>320</v>
      </c>
      <c r="U468" s="280" t="s">
        <v>320</v>
      </c>
      <c r="V468" s="280" t="s">
        <v>320</v>
      </c>
      <c r="W468" s="280" t="s">
        <v>320</v>
      </c>
      <c r="X468" s="274" t="s">
        <v>320</v>
      </c>
      <c r="Y468" s="274" t="s">
        <v>320</v>
      </c>
      <c r="Z468" s="274" t="s">
        <v>320</v>
      </c>
      <c r="AA468" s="274" t="s">
        <v>320</v>
      </c>
      <c r="AB468" s="274" t="s">
        <v>2128</v>
      </c>
      <c r="AC468" s="274" t="s">
        <v>320</v>
      </c>
    </row>
    <row r="469" ht="30" customHeight="1" spans="1:29">
      <c r="A469" s="273"/>
      <c r="B469" s="277"/>
      <c r="C469" s="275"/>
      <c r="D469" s="274"/>
      <c r="E469" s="274"/>
      <c r="F469" s="276"/>
      <c r="G469" s="276"/>
      <c r="H469" s="276"/>
      <c r="I469" s="276"/>
      <c r="J469" s="274"/>
      <c r="K469" s="274"/>
      <c r="L469" s="274"/>
      <c r="M469" s="274"/>
      <c r="N469" s="274"/>
      <c r="O469" s="280"/>
      <c r="P469" s="280"/>
      <c r="Q469" s="280"/>
      <c r="R469" s="280"/>
      <c r="S469" s="280"/>
      <c r="T469" s="280"/>
      <c r="U469" s="280"/>
      <c r="V469" s="280"/>
      <c r="W469" s="280"/>
      <c r="X469" s="274"/>
      <c r="Y469" s="274"/>
      <c r="Z469" s="274"/>
      <c r="AA469" s="274"/>
      <c r="AB469" s="274"/>
      <c r="AC469" s="274"/>
    </row>
    <row r="470" ht="30" customHeight="1" spans="1:29">
      <c r="A470" s="308" t="s">
        <v>1256</v>
      </c>
      <c r="B470" s="308"/>
      <c r="C470" s="309"/>
      <c r="D470" s="308"/>
      <c r="E470" s="308"/>
      <c r="F470" s="310"/>
      <c r="G470" s="310"/>
      <c r="H470" s="310"/>
      <c r="I470" s="310"/>
      <c r="J470" s="308"/>
      <c r="K470" s="308"/>
      <c r="L470" s="308"/>
      <c r="M470" s="308"/>
      <c r="N470" s="308"/>
      <c r="O470" s="313"/>
      <c r="P470" s="313"/>
      <c r="Q470" s="313"/>
      <c r="R470" s="313"/>
      <c r="S470" s="313"/>
      <c r="T470" s="313"/>
      <c r="U470" s="313"/>
      <c r="V470" s="313"/>
      <c r="W470" s="313"/>
      <c r="X470" s="308"/>
      <c r="Y470" s="308"/>
      <c r="Z470" s="308"/>
      <c r="AA470" s="308"/>
      <c r="AB470" s="308"/>
      <c r="AC470" s="308"/>
    </row>
    <row r="471" ht="30" customHeight="1" spans="1:29">
      <c r="A471" s="308" t="s">
        <v>1416</v>
      </c>
      <c r="B471" s="308"/>
      <c r="C471" s="309"/>
      <c r="D471" s="308"/>
      <c r="E471" s="308"/>
      <c r="F471" s="310"/>
      <c r="G471" s="310"/>
      <c r="H471" s="310"/>
      <c r="I471" s="310"/>
      <c r="J471" s="308"/>
      <c r="K471" s="308"/>
      <c r="L471" s="308"/>
      <c r="M471" s="308"/>
      <c r="N471" s="308"/>
      <c r="O471" s="313"/>
      <c r="P471" s="313"/>
      <c r="Q471" s="313"/>
      <c r="R471" s="313"/>
      <c r="S471" s="313"/>
      <c r="T471" s="313"/>
      <c r="U471" s="313"/>
      <c r="V471" s="313"/>
      <c r="W471" s="313"/>
      <c r="X471" s="308"/>
      <c r="Y471" s="308"/>
      <c r="Z471" s="308"/>
      <c r="AA471" s="308"/>
      <c r="AB471" s="308"/>
      <c r="AC471" s="308"/>
    </row>
    <row r="472" ht="30" customHeight="1" spans="1:29">
      <c r="A472" s="308" t="s">
        <v>1258</v>
      </c>
      <c r="B472" s="308"/>
      <c r="C472" s="309"/>
      <c r="D472" s="308"/>
      <c r="E472" s="308"/>
      <c r="F472" s="310"/>
      <c r="G472" s="310"/>
      <c r="H472" s="310"/>
      <c r="I472" s="310"/>
      <c r="J472" s="308"/>
      <c r="K472" s="308"/>
      <c r="L472" s="308"/>
      <c r="M472" s="308"/>
      <c r="N472" s="308"/>
      <c r="O472" s="313"/>
      <c r="P472" s="313"/>
      <c r="Q472" s="313"/>
      <c r="R472" s="313"/>
      <c r="S472" s="313"/>
      <c r="T472" s="313"/>
      <c r="U472" s="313"/>
      <c r="V472" s="313"/>
      <c r="W472" s="313"/>
      <c r="X472" s="308"/>
      <c r="Y472" s="308"/>
      <c r="Z472" s="308"/>
      <c r="AA472" s="308"/>
      <c r="AB472" s="308"/>
      <c r="AC472" s="308"/>
    </row>
    <row r="473" spans="3:29">
      <c r="C473" s="311"/>
      <c r="K473" s="262"/>
      <c r="L473" s="262"/>
      <c r="M473" s="262"/>
      <c r="N473" s="262"/>
      <c r="O473" s="314"/>
      <c r="P473" s="314"/>
      <c r="Q473" s="314"/>
      <c r="R473" s="314"/>
      <c r="S473" s="314"/>
      <c r="T473" s="314"/>
      <c r="U473" s="314"/>
      <c r="V473" s="314"/>
      <c r="W473" s="314"/>
      <c r="X473" s="262"/>
      <c r="Y473" s="262"/>
      <c r="Z473" s="262"/>
      <c r="AC473" s="262"/>
    </row>
  </sheetData>
  <mergeCells count="27">
    <mergeCell ref="A1:B1"/>
    <mergeCell ref="A2:AC2"/>
    <mergeCell ref="A3:AC3"/>
    <mergeCell ref="F4:I4"/>
    <mergeCell ref="K4:L4"/>
    <mergeCell ref="M4:N4"/>
    <mergeCell ref="O4:R4"/>
    <mergeCell ref="S4:W4"/>
    <mergeCell ref="AA4:AC4"/>
    <mergeCell ref="A470:AC470"/>
    <mergeCell ref="A471:AC471"/>
    <mergeCell ref="A472:AC472"/>
    <mergeCell ref="A4:A6"/>
    <mergeCell ref="B4:B6"/>
    <mergeCell ref="C4:C6"/>
    <mergeCell ref="D4:D5"/>
    <mergeCell ref="J4:J5"/>
    <mergeCell ref="J93:J94"/>
    <mergeCell ref="X93:X94"/>
    <mergeCell ref="Y93:Y94"/>
    <mergeCell ref="Z4:Z5"/>
    <mergeCell ref="Z93:Z94"/>
    <mergeCell ref="AA93:AA94"/>
    <mergeCell ref="AB93:AB94"/>
    <mergeCell ref="AB444:AB445"/>
    <mergeCell ref="AC93:AC94"/>
    <mergeCell ref="X4:Y5"/>
  </mergeCells>
  <dataValidations count="1">
    <dataValidation allowBlank="1" showInputMessage="1" showErrorMessage="1" sqref="A2"/>
  </dataValidations>
  <printOptions horizontalCentered="1"/>
  <pageMargins left="0.196527777777778" right="0.275" top="0.2" bottom="0.2" header="0.388888888888889" footer="0.388888888888889"/>
  <pageSetup paperSize="9" scale="52"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autoPageBreaks="0"/>
  </sheetPr>
  <dimension ref="A1:AL569"/>
  <sheetViews>
    <sheetView view="pageBreakPreview" zoomScaleNormal="100" workbookViewId="0">
      <pane xSplit="4" ySplit="6" topLeftCell="E513" activePane="bottomRight" state="frozen"/>
      <selection/>
      <selection pane="topRight"/>
      <selection pane="bottomLeft"/>
      <selection pane="bottomRight" activeCell="M513" sqref="M513"/>
    </sheetView>
  </sheetViews>
  <sheetFormatPr defaultColWidth="9" defaultRowHeight="13.5"/>
  <cols>
    <col min="1" max="1" width="3.5" style="68" customWidth="1"/>
    <col min="2" max="2" width="11.3833333333333" style="68" customWidth="1"/>
    <col min="3" max="3" width="5.5" style="68" customWidth="1"/>
    <col min="4" max="4" width="3.75" style="201" customWidth="1"/>
    <col min="5" max="5" width="7.63333333333333" style="68" customWidth="1"/>
    <col min="6" max="6" width="7.5" style="68" customWidth="1"/>
    <col min="7" max="7" width="7.38333333333333" style="68" customWidth="1"/>
    <col min="8" max="8" width="6.63333333333333" style="68" customWidth="1"/>
    <col min="9" max="9" width="5.5" style="68" customWidth="1"/>
    <col min="10" max="10" width="14.5" style="68" customWidth="1"/>
    <col min="11" max="11" width="8.88333333333333" style="68" customWidth="1"/>
    <col min="12" max="12" width="9.13333333333333" style="68" customWidth="1"/>
    <col min="13" max="13" width="9.38333333333333" style="68" customWidth="1"/>
    <col min="14" max="15" width="9.25" style="68" customWidth="1"/>
    <col min="16" max="16" width="8.13333333333333" style="68" customWidth="1"/>
    <col min="17" max="17" width="7" style="68" customWidth="1"/>
    <col min="18" max="18" width="3.88333333333333" style="68" customWidth="1"/>
    <col min="19" max="19" width="7.63333333333333" style="202" customWidth="1"/>
    <col min="20" max="20" width="5.25" style="202" customWidth="1"/>
    <col min="21" max="21" width="4.13333333333333" style="202" customWidth="1"/>
    <col min="22" max="25" width="9" style="202" hidden="1" customWidth="1"/>
    <col min="26" max="26" width="9.63333333333333" style="202" customWidth="1"/>
    <col min="27" max="27" width="7.75" style="67" hidden="1" customWidth="1"/>
    <col min="28" max="28" width="9.88333333333333" style="68" customWidth="1"/>
    <col min="29" max="29" width="11" style="68" customWidth="1"/>
    <col min="30" max="32" width="9" style="68"/>
    <col min="33" max="33" width="10.6333333333333" style="68"/>
    <col min="34" max="34" width="10.6333333333333" style="68" hidden="1" customWidth="1"/>
    <col min="35" max="39" width="9" style="68" hidden="1" customWidth="1"/>
    <col min="40" max="16384" width="9" style="68"/>
  </cols>
  <sheetData>
    <row r="1" ht="19.5" customHeight="1" spans="1:26">
      <c r="A1" s="203" t="s">
        <v>1417</v>
      </c>
      <c r="B1" s="203"/>
      <c r="C1" s="203"/>
      <c r="D1" s="204"/>
      <c r="E1" s="203"/>
      <c r="F1" s="203"/>
      <c r="G1" s="203"/>
      <c r="H1" s="203"/>
      <c r="I1" s="203"/>
      <c r="J1" s="203"/>
      <c r="K1" s="203"/>
      <c r="L1" s="203"/>
      <c r="M1" s="203"/>
      <c r="N1" s="203"/>
      <c r="O1" s="203"/>
      <c r="P1" s="203"/>
      <c r="Q1" s="203"/>
      <c r="R1" s="203"/>
      <c r="S1" s="217"/>
      <c r="T1" s="217"/>
      <c r="U1" s="217"/>
      <c r="V1" s="217"/>
      <c r="W1" s="217"/>
      <c r="X1" s="217"/>
      <c r="Y1" s="217"/>
      <c r="Z1" s="217"/>
    </row>
    <row r="2" ht="33.95" customHeight="1" spans="1:26">
      <c r="A2" s="205" t="s">
        <v>2498</v>
      </c>
      <c r="B2" s="205"/>
      <c r="C2" s="205"/>
      <c r="D2" s="206"/>
      <c r="E2" s="205"/>
      <c r="F2" s="205"/>
      <c r="G2" s="205"/>
      <c r="H2" s="205"/>
      <c r="I2" s="205"/>
      <c r="J2" s="205"/>
      <c r="K2" s="205"/>
      <c r="L2" s="205"/>
      <c r="M2" s="205"/>
      <c r="N2" s="205"/>
      <c r="O2" s="205"/>
      <c r="P2" s="205"/>
      <c r="Q2" s="205"/>
      <c r="R2" s="205"/>
      <c r="S2" s="218"/>
      <c r="T2" s="218"/>
      <c r="U2" s="218"/>
      <c r="V2" s="218"/>
      <c r="W2" s="218"/>
      <c r="X2" s="218"/>
      <c r="Y2" s="218"/>
      <c r="Z2" s="218"/>
    </row>
    <row r="3" ht="23.1" customHeight="1" spans="1:26">
      <c r="A3" s="207" t="s">
        <v>2499</v>
      </c>
      <c r="B3" s="207"/>
      <c r="C3" s="207"/>
      <c r="D3" s="208"/>
      <c r="E3" s="207"/>
      <c r="F3" s="207"/>
      <c r="G3" s="207"/>
      <c r="H3" s="207"/>
      <c r="I3" s="207"/>
      <c r="J3" s="207"/>
      <c r="K3" s="207"/>
      <c r="L3" s="207"/>
      <c r="M3" s="207"/>
      <c r="N3" s="207"/>
      <c r="O3" s="207"/>
      <c r="P3" s="207"/>
      <c r="Q3" s="207"/>
      <c r="R3" s="207"/>
      <c r="S3" s="219"/>
      <c r="T3" s="219"/>
      <c r="U3" s="219"/>
      <c r="V3" s="219"/>
      <c r="W3" s="219"/>
      <c r="X3" s="219"/>
      <c r="Y3" s="219"/>
      <c r="Z3" s="219"/>
    </row>
    <row r="4" ht="32.1" customHeight="1" spans="1:27">
      <c r="A4" s="101" t="s">
        <v>3</v>
      </c>
      <c r="B4" s="209" t="s">
        <v>4</v>
      </c>
      <c r="C4" s="139" t="s">
        <v>1066</v>
      </c>
      <c r="D4" s="139" t="s">
        <v>6</v>
      </c>
      <c r="E4" s="139" t="s">
        <v>736</v>
      </c>
      <c r="F4" s="139" t="s">
        <v>737</v>
      </c>
      <c r="G4" s="139"/>
      <c r="H4" s="139" t="s">
        <v>11</v>
      </c>
      <c r="I4" s="139"/>
      <c r="J4" s="139" t="s">
        <v>12</v>
      </c>
      <c r="K4" s="139"/>
      <c r="L4" s="139"/>
      <c r="M4" s="139"/>
      <c r="N4" s="139" t="s">
        <v>13</v>
      </c>
      <c r="O4" s="139"/>
      <c r="P4" s="139"/>
      <c r="Q4" s="139"/>
      <c r="R4" s="139"/>
      <c r="S4" s="56" t="s">
        <v>18</v>
      </c>
      <c r="T4" s="56"/>
      <c r="U4" s="56" t="s">
        <v>19</v>
      </c>
      <c r="V4" s="56"/>
      <c r="W4" s="56"/>
      <c r="X4" s="56"/>
      <c r="Y4" s="56"/>
      <c r="Z4" s="56" t="s">
        <v>20</v>
      </c>
      <c r="AA4" s="164"/>
    </row>
    <row r="5" ht="53.25" customHeight="1" spans="1:27">
      <c r="A5" s="101"/>
      <c r="B5" s="210"/>
      <c r="C5" s="139"/>
      <c r="D5" s="139"/>
      <c r="E5" s="139"/>
      <c r="F5" s="71" t="s">
        <v>384</v>
      </c>
      <c r="G5" s="71" t="s">
        <v>147</v>
      </c>
      <c r="H5" s="71" t="s">
        <v>22</v>
      </c>
      <c r="I5" s="71" t="s">
        <v>23</v>
      </c>
      <c r="J5" s="71" t="s">
        <v>38</v>
      </c>
      <c r="K5" s="71" t="s">
        <v>591</v>
      </c>
      <c r="L5" s="71" t="s">
        <v>592</v>
      </c>
      <c r="M5" s="71" t="s">
        <v>593</v>
      </c>
      <c r="N5" s="71" t="s">
        <v>25</v>
      </c>
      <c r="O5" s="71" t="s">
        <v>26</v>
      </c>
      <c r="P5" s="71" t="s">
        <v>27</v>
      </c>
      <c r="Q5" s="71" t="s">
        <v>28</v>
      </c>
      <c r="R5" s="71" t="s">
        <v>29</v>
      </c>
      <c r="S5" s="56"/>
      <c r="T5" s="56"/>
      <c r="U5" s="56"/>
      <c r="V5" s="56"/>
      <c r="W5" s="56"/>
      <c r="X5" s="56"/>
      <c r="Y5" s="56"/>
      <c r="Z5" s="56"/>
      <c r="AA5" s="164"/>
    </row>
    <row r="6" ht="22.5" customHeight="1" spans="1:29">
      <c r="A6" s="101"/>
      <c r="B6" s="211"/>
      <c r="C6" s="139"/>
      <c r="D6" s="139">
        <v>1</v>
      </c>
      <c r="E6" s="101">
        <v>2</v>
      </c>
      <c r="F6" s="101">
        <v>3</v>
      </c>
      <c r="G6" s="101">
        <v>4</v>
      </c>
      <c r="H6" s="101">
        <v>5</v>
      </c>
      <c r="I6" s="101">
        <v>6</v>
      </c>
      <c r="J6" s="101" t="s">
        <v>2500</v>
      </c>
      <c r="K6" s="101"/>
      <c r="L6" s="101">
        <v>9</v>
      </c>
      <c r="M6" s="101">
        <v>10</v>
      </c>
      <c r="N6" s="101">
        <v>11</v>
      </c>
      <c r="O6" s="101">
        <v>12</v>
      </c>
      <c r="P6" s="101">
        <v>13</v>
      </c>
      <c r="Q6" s="101">
        <v>14</v>
      </c>
      <c r="R6" s="101">
        <v>15</v>
      </c>
      <c r="S6" s="112">
        <v>16</v>
      </c>
      <c r="T6" s="112">
        <v>17</v>
      </c>
      <c r="U6" s="56">
        <v>18</v>
      </c>
      <c r="V6" s="112"/>
      <c r="W6" s="112"/>
      <c r="X6" s="112"/>
      <c r="Y6" s="112"/>
      <c r="Z6" s="112"/>
      <c r="AC6" s="212"/>
    </row>
    <row r="7" ht="23.25" customHeight="1" spans="1:26">
      <c r="A7" s="212">
        <v>0</v>
      </c>
      <c r="B7" s="71" t="s">
        <v>39</v>
      </c>
      <c r="C7" s="71" t="s">
        <v>320</v>
      </c>
      <c r="D7" s="71" t="s">
        <v>320</v>
      </c>
      <c r="E7" s="212"/>
      <c r="F7" s="212"/>
      <c r="G7" s="212"/>
      <c r="H7" s="212"/>
      <c r="I7" s="212"/>
      <c r="J7" s="112">
        <f t="shared" ref="J7:R7" si="0">J8+J62+J122+J178+J311+J400+J426+J468+J552</f>
        <v>10117.87268596</v>
      </c>
      <c r="K7" s="112">
        <f t="shared" si="0"/>
        <v>4525.246016</v>
      </c>
      <c r="L7" s="112">
        <f t="shared" si="0"/>
        <v>4111.2485306</v>
      </c>
      <c r="M7" s="112">
        <f t="shared" si="0"/>
        <v>1481.37813936</v>
      </c>
      <c r="N7" s="112">
        <f t="shared" si="0"/>
        <v>3496.13556696</v>
      </c>
      <c r="O7" s="112">
        <f t="shared" si="0"/>
        <v>5034.014719</v>
      </c>
      <c r="P7" s="112">
        <f t="shared" si="0"/>
        <v>1463.9292</v>
      </c>
      <c r="Q7" s="112">
        <f t="shared" si="0"/>
        <v>123.7932</v>
      </c>
      <c r="R7" s="112">
        <f t="shared" si="0"/>
        <v>0</v>
      </c>
      <c r="S7" s="112"/>
      <c r="T7" s="112"/>
      <c r="U7" s="56" t="s">
        <v>320</v>
      </c>
      <c r="V7" s="112">
        <v>19</v>
      </c>
      <c r="W7" s="112">
        <v>32</v>
      </c>
      <c r="X7" s="112">
        <v>45</v>
      </c>
      <c r="Y7" s="113"/>
      <c r="Z7" s="113"/>
    </row>
    <row r="8" ht="23.25" customHeight="1" spans="1:26">
      <c r="A8" s="212">
        <v>1</v>
      </c>
      <c r="B8" s="71" t="s">
        <v>742</v>
      </c>
      <c r="C8" s="71" t="s">
        <v>52</v>
      </c>
      <c r="D8" s="71" t="s">
        <v>384</v>
      </c>
      <c r="E8" s="212">
        <f t="shared" ref="E8:G8" si="1">E9+E17+E51</f>
        <v>1204</v>
      </c>
      <c r="F8" s="212">
        <f t="shared" si="1"/>
        <v>520</v>
      </c>
      <c r="G8" s="212">
        <f t="shared" si="1"/>
        <v>1747</v>
      </c>
      <c r="H8" s="212">
        <v>2018</v>
      </c>
      <c r="I8" s="212">
        <v>2019</v>
      </c>
      <c r="J8" s="212">
        <f t="shared" ref="J8:R8" si="2">J9+J17+J51</f>
        <v>2860.6</v>
      </c>
      <c r="K8" s="212">
        <f t="shared" si="2"/>
        <v>1795</v>
      </c>
      <c r="L8" s="212">
        <f t="shared" si="2"/>
        <v>1065.6</v>
      </c>
      <c r="M8" s="212">
        <f t="shared" si="2"/>
        <v>0</v>
      </c>
      <c r="N8" s="212">
        <f t="shared" si="2"/>
        <v>296.4</v>
      </c>
      <c r="O8" s="212">
        <f t="shared" si="2"/>
        <v>2404</v>
      </c>
      <c r="P8" s="212">
        <f t="shared" si="2"/>
        <v>160.2</v>
      </c>
      <c r="Q8" s="212">
        <f t="shared" si="2"/>
        <v>0</v>
      </c>
      <c r="R8" s="212">
        <f t="shared" si="2"/>
        <v>0</v>
      </c>
      <c r="S8" s="112"/>
      <c r="T8" s="112"/>
      <c r="U8" s="56"/>
      <c r="V8" s="113"/>
      <c r="W8" s="113"/>
      <c r="X8" s="113"/>
      <c r="Y8" s="113"/>
      <c r="Z8" s="113"/>
    </row>
    <row r="9" ht="23.25" customHeight="1" spans="1:26">
      <c r="A9" s="212">
        <v>2</v>
      </c>
      <c r="B9" s="71" t="s">
        <v>380</v>
      </c>
      <c r="C9" s="71" t="s">
        <v>52</v>
      </c>
      <c r="D9" s="71" t="s">
        <v>384</v>
      </c>
      <c r="E9" s="212">
        <f t="shared" ref="E9:G9" si="3">SUM(E10:E16)</f>
        <v>15</v>
      </c>
      <c r="F9" s="212">
        <f t="shared" si="3"/>
        <v>15</v>
      </c>
      <c r="G9" s="212">
        <f t="shared" si="3"/>
        <v>38</v>
      </c>
      <c r="H9" s="212">
        <v>2018</v>
      </c>
      <c r="I9" s="212">
        <v>2019</v>
      </c>
      <c r="J9" s="212">
        <f t="shared" ref="J9:J16" si="4">K9+L9+M9</f>
        <v>296.4</v>
      </c>
      <c r="K9" s="212">
        <v>0</v>
      </c>
      <c r="L9" s="212">
        <f t="shared" ref="L9:L16" si="5">G9*7.8</f>
        <v>296.4</v>
      </c>
      <c r="M9" s="212"/>
      <c r="N9" s="212">
        <v>296.4</v>
      </c>
      <c r="O9" s="212"/>
      <c r="P9" s="212"/>
      <c r="Q9" s="212"/>
      <c r="R9" s="212"/>
      <c r="S9" s="220" t="s">
        <v>2501</v>
      </c>
      <c r="T9" s="220" t="s">
        <v>2502</v>
      </c>
      <c r="U9" s="220" t="s">
        <v>201</v>
      </c>
      <c r="V9" s="113"/>
      <c r="W9" s="113"/>
      <c r="X9" s="113"/>
      <c r="Y9" s="113"/>
      <c r="Z9" s="113" t="s">
        <v>1474</v>
      </c>
    </row>
    <row r="10" ht="23.25" customHeight="1" spans="1:26">
      <c r="A10" s="212"/>
      <c r="B10" s="71" t="s">
        <v>2503</v>
      </c>
      <c r="C10" s="71" t="s">
        <v>52</v>
      </c>
      <c r="D10" s="71" t="s">
        <v>384</v>
      </c>
      <c r="E10" s="212">
        <v>1</v>
      </c>
      <c r="F10" s="212">
        <v>1</v>
      </c>
      <c r="G10" s="212">
        <v>1</v>
      </c>
      <c r="H10" s="212">
        <v>2018</v>
      </c>
      <c r="I10" s="212">
        <v>2019</v>
      </c>
      <c r="J10" s="212">
        <f t="shared" si="4"/>
        <v>7.8</v>
      </c>
      <c r="K10" s="212"/>
      <c r="L10" s="212">
        <f t="shared" si="5"/>
        <v>7.8</v>
      </c>
      <c r="M10" s="212"/>
      <c r="N10" s="212">
        <v>7.8</v>
      </c>
      <c r="O10" s="212"/>
      <c r="P10" s="212"/>
      <c r="Q10" s="212"/>
      <c r="R10" s="212"/>
      <c r="S10" s="220" t="s">
        <v>2504</v>
      </c>
      <c r="T10" s="220" t="s">
        <v>2505</v>
      </c>
      <c r="U10" s="220"/>
      <c r="V10" s="113"/>
      <c r="W10" s="113"/>
      <c r="X10" s="113"/>
      <c r="Y10" s="113"/>
      <c r="Z10" s="113" t="s">
        <v>1474</v>
      </c>
    </row>
    <row r="11" ht="23.25" customHeight="1" spans="1:26">
      <c r="A11" s="212"/>
      <c r="B11" s="71" t="s">
        <v>2506</v>
      </c>
      <c r="C11" s="71" t="s">
        <v>52</v>
      </c>
      <c r="D11" s="71" t="s">
        <v>384</v>
      </c>
      <c r="E11" s="212">
        <v>2</v>
      </c>
      <c r="F11" s="212">
        <v>2</v>
      </c>
      <c r="G11" s="212">
        <v>4</v>
      </c>
      <c r="H11" s="212">
        <v>2018</v>
      </c>
      <c r="I11" s="212">
        <v>2019</v>
      </c>
      <c r="J11" s="212">
        <f t="shared" si="4"/>
        <v>31.2</v>
      </c>
      <c r="K11" s="212"/>
      <c r="L11" s="212">
        <f t="shared" si="5"/>
        <v>31.2</v>
      </c>
      <c r="M11" s="212"/>
      <c r="N11" s="212">
        <v>31.2</v>
      </c>
      <c r="O11" s="212"/>
      <c r="P11" s="212"/>
      <c r="Q11" s="212"/>
      <c r="R11" s="212"/>
      <c r="S11" s="220" t="s">
        <v>2507</v>
      </c>
      <c r="T11" s="220" t="s">
        <v>2508</v>
      </c>
      <c r="U11" s="220"/>
      <c r="V11" s="113"/>
      <c r="W11" s="113"/>
      <c r="X11" s="113"/>
      <c r="Y11" s="113"/>
      <c r="Z11" s="113" t="s">
        <v>1474</v>
      </c>
    </row>
    <row r="12" ht="23.25" customHeight="1" spans="1:26">
      <c r="A12" s="212"/>
      <c r="B12" s="71" t="s">
        <v>2509</v>
      </c>
      <c r="C12" s="71" t="s">
        <v>52</v>
      </c>
      <c r="D12" s="71" t="s">
        <v>384</v>
      </c>
      <c r="E12" s="212">
        <v>4</v>
      </c>
      <c r="F12" s="212">
        <v>4</v>
      </c>
      <c r="G12" s="212">
        <v>11</v>
      </c>
      <c r="H12" s="212">
        <v>2018</v>
      </c>
      <c r="I12" s="212">
        <v>2019</v>
      </c>
      <c r="J12" s="212">
        <f t="shared" si="4"/>
        <v>85.8</v>
      </c>
      <c r="K12" s="212"/>
      <c r="L12" s="212">
        <f t="shared" si="5"/>
        <v>85.8</v>
      </c>
      <c r="M12" s="212"/>
      <c r="N12" s="212">
        <v>85.8</v>
      </c>
      <c r="O12" s="212"/>
      <c r="P12" s="212"/>
      <c r="Q12" s="212"/>
      <c r="R12" s="212"/>
      <c r="S12" s="220" t="s">
        <v>2510</v>
      </c>
      <c r="T12" s="220" t="s">
        <v>2511</v>
      </c>
      <c r="U12" s="220"/>
      <c r="V12" s="113"/>
      <c r="W12" s="113"/>
      <c r="X12" s="113"/>
      <c r="Y12" s="113"/>
      <c r="Z12" s="113" t="s">
        <v>1474</v>
      </c>
    </row>
    <row r="13" ht="23.25" customHeight="1" spans="1:26">
      <c r="A13" s="212"/>
      <c r="B13" s="71" t="s">
        <v>2512</v>
      </c>
      <c r="C13" s="71" t="s">
        <v>52</v>
      </c>
      <c r="D13" s="71" t="s">
        <v>384</v>
      </c>
      <c r="E13" s="212">
        <v>2</v>
      </c>
      <c r="F13" s="212">
        <v>2</v>
      </c>
      <c r="G13" s="212">
        <v>4</v>
      </c>
      <c r="H13" s="212">
        <v>2018</v>
      </c>
      <c r="I13" s="212">
        <v>2019</v>
      </c>
      <c r="J13" s="212">
        <f t="shared" si="4"/>
        <v>31.2</v>
      </c>
      <c r="K13" s="212"/>
      <c r="L13" s="212">
        <f t="shared" si="5"/>
        <v>31.2</v>
      </c>
      <c r="M13" s="212"/>
      <c r="N13" s="212">
        <v>31.2</v>
      </c>
      <c r="O13" s="212"/>
      <c r="P13" s="212"/>
      <c r="Q13" s="212"/>
      <c r="R13" s="212"/>
      <c r="S13" s="220" t="s">
        <v>2513</v>
      </c>
      <c r="T13" s="220" t="s">
        <v>2514</v>
      </c>
      <c r="U13" s="220"/>
      <c r="V13" s="113"/>
      <c r="W13" s="113"/>
      <c r="X13" s="113"/>
      <c r="Y13" s="113"/>
      <c r="Z13" s="113" t="s">
        <v>1474</v>
      </c>
    </row>
    <row r="14" ht="23.25" customHeight="1" spans="1:26">
      <c r="A14" s="212"/>
      <c r="B14" s="71" t="s">
        <v>2515</v>
      </c>
      <c r="C14" s="71" t="s">
        <v>52</v>
      </c>
      <c r="D14" s="71" t="s">
        <v>384</v>
      </c>
      <c r="E14" s="212">
        <v>1</v>
      </c>
      <c r="F14" s="212">
        <v>1</v>
      </c>
      <c r="G14" s="212">
        <v>2</v>
      </c>
      <c r="H14" s="212">
        <v>2018</v>
      </c>
      <c r="I14" s="212">
        <v>2019</v>
      </c>
      <c r="J14" s="212">
        <f t="shared" si="4"/>
        <v>15.6</v>
      </c>
      <c r="K14" s="212"/>
      <c r="L14" s="212">
        <f t="shared" si="5"/>
        <v>15.6</v>
      </c>
      <c r="M14" s="212"/>
      <c r="N14" s="212">
        <v>15.6</v>
      </c>
      <c r="O14" s="212"/>
      <c r="P14" s="212"/>
      <c r="Q14" s="212"/>
      <c r="R14" s="212"/>
      <c r="S14" s="220" t="s">
        <v>2516</v>
      </c>
      <c r="T14" s="220" t="s">
        <v>2517</v>
      </c>
      <c r="U14" s="220"/>
      <c r="V14" s="113"/>
      <c r="W14" s="113"/>
      <c r="X14" s="113"/>
      <c r="Y14" s="113"/>
      <c r="Z14" s="113" t="s">
        <v>1474</v>
      </c>
    </row>
    <row r="15" ht="23.25" customHeight="1" spans="1:26">
      <c r="A15" s="212"/>
      <c r="B15" s="71" t="s">
        <v>2518</v>
      </c>
      <c r="C15" s="71" t="s">
        <v>52</v>
      </c>
      <c r="D15" s="71" t="s">
        <v>384</v>
      </c>
      <c r="E15" s="212">
        <v>2</v>
      </c>
      <c r="F15" s="212">
        <v>2</v>
      </c>
      <c r="G15" s="212">
        <v>7</v>
      </c>
      <c r="H15" s="212">
        <v>2018</v>
      </c>
      <c r="I15" s="212">
        <v>2019</v>
      </c>
      <c r="J15" s="212">
        <f t="shared" si="4"/>
        <v>54.6</v>
      </c>
      <c r="K15" s="212"/>
      <c r="L15" s="212">
        <f t="shared" si="5"/>
        <v>54.6</v>
      </c>
      <c r="M15" s="212"/>
      <c r="N15" s="212">
        <v>54.6</v>
      </c>
      <c r="O15" s="212"/>
      <c r="P15" s="212"/>
      <c r="Q15" s="212"/>
      <c r="R15" s="212"/>
      <c r="S15" s="220" t="s">
        <v>2519</v>
      </c>
      <c r="T15" s="220" t="s">
        <v>2520</v>
      </c>
      <c r="U15" s="220"/>
      <c r="V15" s="113"/>
      <c r="W15" s="113"/>
      <c r="X15" s="113"/>
      <c r="Y15" s="113"/>
      <c r="Z15" s="113" t="s">
        <v>1474</v>
      </c>
    </row>
    <row r="16" ht="23.25" customHeight="1" spans="1:26">
      <c r="A16" s="212"/>
      <c r="B16" s="71" t="s">
        <v>2521</v>
      </c>
      <c r="C16" s="71" t="s">
        <v>52</v>
      </c>
      <c r="D16" s="71" t="s">
        <v>384</v>
      </c>
      <c r="E16" s="212">
        <v>3</v>
      </c>
      <c r="F16" s="212">
        <v>3</v>
      </c>
      <c r="G16" s="212">
        <v>9</v>
      </c>
      <c r="H16" s="212">
        <v>2018</v>
      </c>
      <c r="I16" s="212">
        <v>2019</v>
      </c>
      <c r="J16" s="212">
        <f t="shared" si="4"/>
        <v>70.2</v>
      </c>
      <c r="K16" s="212"/>
      <c r="L16" s="212">
        <f t="shared" si="5"/>
        <v>70.2</v>
      </c>
      <c r="M16" s="212"/>
      <c r="N16" s="212">
        <v>70.2</v>
      </c>
      <c r="O16" s="212"/>
      <c r="P16" s="212"/>
      <c r="Q16" s="212"/>
      <c r="R16" s="212"/>
      <c r="S16" s="220" t="s">
        <v>2522</v>
      </c>
      <c r="T16" s="220" t="s">
        <v>2523</v>
      </c>
      <c r="U16" s="220"/>
      <c r="V16" s="113"/>
      <c r="W16" s="113"/>
      <c r="X16" s="113"/>
      <c r="Y16" s="113"/>
      <c r="Z16" s="113" t="s">
        <v>1474</v>
      </c>
    </row>
    <row r="17" ht="23.25" customHeight="1" spans="1:26">
      <c r="A17" s="212">
        <v>3</v>
      </c>
      <c r="B17" s="71" t="s">
        <v>761</v>
      </c>
      <c r="C17" s="71" t="s">
        <v>52</v>
      </c>
      <c r="D17" s="71" t="s">
        <v>384</v>
      </c>
      <c r="E17" s="212">
        <f t="shared" ref="E17:G17" si="6">E18+E29+E40</f>
        <v>1100</v>
      </c>
      <c r="F17" s="212">
        <f t="shared" si="6"/>
        <v>505</v>
      </c>
      <c r="G17" s="212">
        <f t="shared" si="6"/>
        <v>1709</v>
      </c>
      <c r="H17" s="212">
        <v>2018</v>
      </c>
      <c r="I17" s="212">
        <v>2018</v>
      </c>
      <c r="J17" s="212">
        <f t="shared" ref="J17:R17" si="7">J18+J29+J40</f>
        <v>2404</v>
      </c>
      <c r="K17" s="212">
        <f t="shared" si="7"/>
        <v>1795</v>
      </c>
      <c r="L17" s="212">
        <f t="shared" si="7"/>
        <v>609</v>
      </c>
      <c r="M17" s="212">
        <f t="shared" si="7"/>
        <v>0</v>
      </c>
      <c r="N17" s="212">
        <f t="shared" si="7"/>
        <v>0</v>
      </c>
      <c r="O17" s="212">
        <f t="shared" si="7"/>
        <v>2404</v>
      </c>
      <c r="P17" s="212">
        <f t="shared" si="7"/>
        <v>0</v>
      </c>
      <c r="Q17" s="212">
        <f t="shared" si="7"/>
        <v>0</v>
      </c>
      <c r="R17" s="212">
        <f t="shared" si="7"/>
        <v>0</v>
      </c>
      <c r="S17" s="220" t="s">
        <v>2501</v>
      </c>
      <c r="T17" s="220" t="s">
        <v>2502</v>
      </c>
      <c r="U17" s="220"/>
      <c r="V17" s="113"/>
      <c r="W17" s="113"/>
      <c r="X17" s="113"/>
      <c r="Y17" s="113"/>
      <c r="Z17" s="113" t="s">
        <v>1441</v>
      </c>
    </row>
    <row r="18" ht="23.25" customHeight="1" spans="1:26">
      <c r="A18" s="212">
        <v>4</v>
      </c>
      <c r="B18" s="71" t="s">
        <v>1072</v>
      </c>
      <c r="C18" s="71" t="s">
        <v>52</v>
      </c>
      <c r="D18" s="71" t="s">
        <v>384</v>
      </c>
      <c r="E18" s="212">
        <f t="shared" ref="E18:G18" si="8">SUM(E19:E28)</f>
        <v>203</v>
      </c>
      <c r="F18" s="212">
        <f t="shared" si="8"/>
        <v>100</v>
      </c>
      <c r="G18" s="212">
        <f t="shared" si="8"/>
        <v>379</v>
      </c>
      <c r="H18" s="212">
        <v>2018</v>
      </c>
      <c r="I18" s="212">
        <v>2018</v>
      </c>
      <c r="J18" s="212">
        <f t="shared" ref="J18:J61" si="9">K18+L18+M18</f>
        <v>609</v>
      </c>
      <c r="K18" s="212">
        <f>SUM(K19:K28)</f>
        <v>0</v>
      </c>
      <c r="L18" s="212">
        <f t="shared" ref="L18:R18" si="10">SUM(L19:L28)</f>
        <v>609</v>
      </c>
      <c r="M18" s="212">
        <f t="shared" si="10"/>
        <v>0</v>
      </c>
      <c r="N18" s="212">
        <f t="shared" si="10"/>
        <v>0</v>
      </c>
      <c r="O18" s="212">
        <f t="shared" si="10"/>
        <v>609</v>
      </c>
      <c r="P18" s="212">
        <f t="shared" si="10"/>
        <v>0</v>
      </c>
      <c r="Q18" s="212">
        <f t="shared" si="10"/>
        <v>0</v>
      </c>
      <c r="R18" s="212">
        <f t="shared" si="10"/>
        <v>0</v>
      </c>
      <c r="S18" s="220"/>
      <c r="T18" s="220"/>
      <c r="U18" s="220" t="s">
        <v>273</v>
      </c>
      <c r="V18" s="113"/>
      <c r="W18" s="113"/>
      <c r="X18" s="113"/>
      <c r="Y18" s="113"/>
      <c r="Z18" s="113" t="s">
        <v>1441</v>
      </c>
    </row>
    <row r="19" ht="23.25" customHeight="1" spans="1:26">
      <c r="A19" s="212"/>
      <c r="B19" s="213" t="s">
        <v>2503</v>
      </c>
      <c r="C19" s="213" t="s">
        <v>52</v>
      </c>
      <c r="D19" s="213" t="s">
        <v>384</v>
      </c>
      <c r="E19" s="214">
        <v>27</v>
      </c>
      <c r="F19" s="214">
        <v>18</v>
      </c>
      <c r="G19" s="214">
        <v>65</v>
      </c>
      <c r="H19" s="212">
        <v>2018</v>
      </c>
      <c r="I19" s="212">
        <v>2018</v>
      </c>
      <c r="J19" s="212">
        <f t="shared" si="9"/>
        <v>81</v>
      </c>
      <c r="K19" s="212"/>
      <c r="L19" s="212">
        <v>81</v>
      </c>
      <c r="M19" s="212"/>
      <c r="N19" s="212"/>
      <c r="O19" s="212">
        <v>81</v>
      </c>
      <c r="P19" s="212"/>
      <c r="Q19" s="212"/>
      <c r="R19" s="212"/>
      <c r="S19" s="220" t="s">
        <v>2504</v>
      </c>
      <c r="T19" s="220" t="s">
        <v>2505</v>
      </c>
      <c r="U19" s="220"/>
      <c r="V19" s="113"/>
      <c r="W19" s="113"/>
      <c r="X19" s="113"/>
      <c r="Y19" s="113"/>
      <c r="Z19" s="113" t="s">
        <v>1441</v>
      </c>
    </row>
    <row r="20" ht="23.25" customHeight="1" spans="1:26">
      <c r="A20" s="212"/>
      <c r="B20" s="213" t="s">
        <v>2506</v>
      </c>
      <c r="C20" s="213" t="s">
        <v>52</v>
      </c>
      <c r="D20" s="213" t="s">
        <v>384</v>
      </c>
      <c r="E20" s="214">
        <v>26</v>
      </c>
      <c r="F20" s="214">
        <v>14</v>
      </c>
      <c r="G20" s="214">
        <v>52</v>
      </c>
      <c r="H20" s="212">
        <v>2018</v>
      </c>
      <c r="I20" s="212">
        <v>2018</v>
      </c>
      <c r="J20" s="212">
        <f t="shared" si="9"/>
        <v>78</v>
      </c>
      <c r="K20" s="212"/>
      <c r="L20" s="212">
        <v>78</v>
      </c>
      <c r="M20" s="212"/>
      <c r="N20" s="212"/>
      <c r="O20" s="212">
        <v>78</v>
      </c>
      <c r="P20" s="212"/>
      <c r="Q20" s="212"/>
      <c r="R20" s="212"/>
      <c r="S20" s="220" t="s">
        <v>2524</v>
      </c>
      <c r="T20" s="220" t="s">
        <v>2525</v>
      </c>
      <c r="U20" s="220"/>
      <c r="V20" s="113"/>
      <c r="W20" s="113"/>
      <c r="X20" s="113"/>
      <c r="Y20" s="113"/>
      <c r="Z20" s="113" t="s">
        <v>1441</v>
      </c>
    </row>
    <row r="21" ht="23.25" customHeight="1" spans="1:26">
      <c r="A21" s="212"/>
      <c r="B21" s="213" t="s">
        <v>2509</v>
      </c>
      <c r="C21" s="213" t="s">
        <v>52</v>
      </c>
      <c r="D21" s="213" t="s">
        <v>384</v>
      </c>
      <c r="E21" s="214">
        <v>18</v>
      </c>
      <c r="F21" s="214">
        <v>11</v>
      </c>
      <c r="G21" s="214">
        <v>40</v>
      </c>
      <c r="H21" s="212">
        <v>2018</v>
      </c>
      <c r="I21" s="212">
        <v>2018</v>
      </c>
      <c r="J21" s="212">
        <f t="shared" si="9"/>
        <v>54</v>
      </c>
      <c r="K21" s="212"/>
      <c r="L21" s="212">
        <v>54</v>
      </c>
      <c r="M21" s="212"/>
      <c r="N21" s="212"/>
      <c r="O21" s="212">
        <v>54</v>
      </c>
      <c r="P21" s="212"/>
      <c r="Q21" s="212"/>
      <c r="R21" s="212"/>
      <c r="S21" s="220" t="s">
        <v>2510</v>
      </c>
      <c r="T21" s="220" t="s">
        <v>2511</v>
      </c>
      <c r="U21" s="220"/>
      <c r="V21" s="113"/>
      <c r="W21" s="113"/>
      <c r="X21" s="113"/>
      <c r="Y21" s="113"/>
      <c r="Z21" s="113" t="s">
        <v>1441</v>
      </c>
    </row>
    <row r="22" ht="23.25" customHeight="1" spans="1:26">
      <c r="A22" s="212"/>
      <c r="B22" s="213" t="s">
        <v>2512</v>
      </c>
      <c r="C22" s="213" t="s">
        <v>52</v>
      </c>
      <c r="D22" s="213" t="s">
        <v>384</v>
      </c>
      <c r="E22" s="214">
        <v>6</v>
      </c>
      <c r="F22" s="214">
        <v>1</v>
      </c>
      <c r="G22" s="214">
        <v>4</v>
      </c>
      <c r="H22" s="212">
        <v>2018</v>
      </c>
      <c r="I22" s="212">
        <v>2018</v>
      </c>
      <c r="J22" s="212">
        <f t="shared" si="9"/>
        <v>18</v>
      </c>
      <c r="K22" s="212"/>
      <c r="L22" s="212">
        <v>18</v>
      </c>
      <c r="M22" s="212"/>
      <c r="N22" s="212"/>
      <c r="O22" s="212">
        <v>18</v>
      </c>
      <c r="P22" s="212"/>
      <c r="Q22" s="212"/>
      <c r="R22" s="212"/>
      <c r="S22" s="220" t="s">
        <v>2513</v>
      </c>
      <c r="T22" s="220" t="s">
        <v>2514</v>
      </c>
      <c r="U22" s="220"/>
      <c r="V22" s="113"/>
      <c r="W22" s="113"/>
      <c r="X22" s="113"/>
      <c r="Y22" s="113"/>
      <c r="Z22" s="113" t="s">
        <v>1441</v>
      </c>
    </row>
    <row r="23" ht="23.25" customHeight="1" spans="1:26">
      <c r="A23" s="212"/>
      <c r="B23" s="213" t="s">
        <v>2515</v>
      </c>
      <c r="C23" s="213" t="s">
        <v>52</v>
      </c>
      <c r="D23" s="213" t="s">
        <v>384</v>
      </c>
      <c r="E23" s="214">
        <v>39</v>
      </c>
      <c r="F23" s="214">
        <v>35</v>
      </c>
      <c r="G23" s="214">
        <v>150</v>
      </c>
      <c r="H23" s="212">
        <v>2018</v>
      </c>
      <c r="I23" s="212">
        <v>2018</v>
      </c>
      <c r="J23" s="212">
        <f t="shared" si="9"/>
        <v>117</v>
      </c>
      <c r="K23" s="212"/>
      <c r="L23" s="212">
        <v>117</v>
      </c>
      <c r="M23" s="212"/>
      <c r="N23" s="212"/>
      <c r="O23" s="212">
        <v>117</v>
      </c>
      <c r="P23" s="212"/>
      <c r="Q23" s="212"/>
      <c r="R23" s="212"/>
      <c r="S23" s="220" t="s">
        <v>2516</v>
      </c>
      <c r="T23" s="220" t="s">
        <v>2517</v>
      </c>
      <c r="U23" s="220"/>
      <c r="V23" s="113"/>
      <c r="W23" s="113"/>
      <c r="X23" s="113"/>
      <c r="Y23" s="113"/>
      <c r="Z23" s="113" t="s">
        <v>1441</v>
      </c>
    </row>
    <row r="24" ht="23.25" customHeight="1" spans="1:26">
      <c r="A24" s="212">
        <v>9</v>
      </c>
      <c r="B24" s="213" t="s">
        <v>2518</v>
      </c>
      <c r="C24" s="213" t="s">
        <v>52</v>
      </c>
      <c r="D24" s="213" t="s">
        <v>384</v>
      </c>
      <c r="E24" s="214">
        <v>11</v>
      </c>
      <c r="F24" s="214">
        <v>4</v>
      </c>
      <c r="G24" s="214">
        <v>14</v>
      </c>
      <c r="H24" s="212">
        <v>2018</v>
      </c>
      <c r="I24" s="212">
        <v>2018</v>
      </c>
      <c r="J24" s="212">
        <f t="shared" si="9"/>
        <v>33</v>
      </c>
      <c r="K24" s="212"/>
      <c r="L24" s="212">
        <v>33</v>
      </c>
      <c r="M24" s="212"/>
      <c r="N24" s="212"/>
      <c r="O24" s="212">
        <v>33</v>
      </c>
      <c r="P24" s="212"/>
      <c r="Q24" s="212"/>
      <c r="R24" s="212"/>
      <c r="S24" s="220" t="s">
        <v>2519</v>
      </c>
      <c r="T24" s="220" t="s">
        <v>2520</v>
      </c>
      <c r="U24" s="220"/>
      <c r="V24" s="113"/>
      <c r="W24" s="113"/>
      <c r="X24" s="113"/>
      <c r="Y24" s="113"/>
      <c r="Z24" s="113" t="s">
        <v>1441</v>
      </c>
    </row>
    <row r="25" ht="23.25" customHeight="1" spans="1:26">
      <c r="A25" s="212"/>
      <c r="B25" s="213" t="s">
        <v>2521</v>
      </c>
      <c r="C25" s="213" t="s">
        <v>52</v>
      </c>
      <c r="D25" s="213" t="s">
        <v>384</v>
      </c>
      <c r="E25" s="214">
        <v>2</v>
      </c>
      <c r="F25" s="214">
        <v>1</v>
      </c>
      <c r="G25" s="214">
        <v>4</v>
      </c>
      <c r="H25" s="212">
        <v>2018</v>
      </c>
      <c r="I25" s="212">
        <v>2018</v>
      </c>
      <c r="J25" s="212">
        <f t="shared" si="9"/>
        <v>6</v>
      </c>
      <c r="K25" s="212"/>
      <c r="L25" s="212">
        <v>6</v>
      </c>
      <c r="M25" s="212"/>
      <c r="N25" s="212"/>
      <c r="O25" s="212">
        <v>6</v>
      </c>
      <c r="P25" s="212"/>
      <c r="Q25" s="212"/>
      <c r="R25" s="212"/>
      <c r="S25" s="220" t="s">
        <v>2522</v>
      </c>
      <c r="T25" s="220" t="s">
        <v>2523</v>
      </c>
      <c r="U25" s="220"/>
      <c r="V25" s="113"/>
      <c r="W25" s="113"/>
      <c r="X25" s="113"/>
      <c r="Y25" s="113"/>
      <c r="Z25" s="113" t="s">
        <v>1441</v>
      </c>
    </row>
    <row r="26" ht="23.25" customHeight="1" spans="1:26">
      <c r="A26" s="212"/>
      <c r="B26" s="213" t="s">
        <v>2526</v>
      </c>
      <c r="C26" s="213" t="s">
        <v>52</v>
      </c>
      <c r="D26" s="213" t="s">
        <v>384</v>
      </c>
      <c r="E26" s="214">
        <v>45</v>
      </c>
      <c r="F26" s="214">
        <v>9</v>
      </c>
      <c r="G26" s="214">
        <v>25</v>
      </c>
      <c r="H26" s="212">
        <v>2018</v>
      </c>
      <c r="I26" s="212">
        <v>2018</v>
      </c>
      <c r="J26" s="212">
        <f t="shared" si="9"/>
        <v>135</v>
      </c>
      <c r="K26" s="212"/>
      <c r="L26" s="212">
        <v>135</v>
      </c>
      <c r="M26" s="212"/>
      <c r="N26" s="212"/>
      <c r="O26" s="212">
        <v>135</v>
      </c>
      <c r="P26" s="212"/>
      <c r="Q26" s="212"/>
      <c r="R26" s="212"/>
      <c r="S26" s="220" t="s">
        <v>2527</v>
      </c>
      <c r="T26" s="220" t="s">
        <v>2528</v>
      </c>
      <c r="U26" s="220"/>
      <c r="V26" s="113"/>
      <c r="W26" s="113"/>
      <c r="X26" s="113"/>
      <c r="Y26" s="113"/>
      <c r="Z26" s="113" t="s">
        <v>1441</v>
      </c>
    </row>
    <row r="27" ht="23.25" customHeight="1" spans="1:26">
      <c r="A27" s="212"/>
      <c r="B27" s="213" t="s">
        <v>2529</v>
      </c>
      <c r="C27" s="213" t="s">
        <v>52</v>
      </c>
      <c r="D27" s="213" t="s">
        <v>384</v>
      </c>
      <c r="E27" s="214">
        <v>14</v>
      </c>
      <c r="F27" s="214">
        <v>3</v>
      </c>
      <c r="G27" s="214">
        <v>8</v>
      </c>
      <c r="H27" s="212">
        <v>2018</v>
      </c>
      <c r="I27" s="212">
        <v>2018</v>
      </c>
      <c r="J27" s="212">
        <f t="shared" si="9"/>
        <v>42</v>
      </c>
      <c r="K27" s="212"/>
      <c r="L27" s="212">
        <v>42</v>
      </c>
      <c r="M27" s="212"/>
      <c r="N27" s="212"/>
      <c r="O27" s="212">
        <v>42</v>
      </c>
      <c r="P27" s="212"/>
      <c r="Q27" s="212"/>
      <c r="R27" s="212"/>
      <c r="S27" s="220" t="s">
        <v>2530</v>
      </c>
      <c r="T27" s="220" t="s">
        <v>2531</v>
      </c>
      <c r="U27" s="220"/>
      <c r="V27" s="113"/>
      <c r="W27" s="113"/>
      <c r="X27" s="113"/>
      <c r="Y27" s="113"/>
      <c r="Z27" s="113" t="s">
        <v>1441</v>
      </c>
    </row>
    <row r="28" ht="23.25" customHeight="1" spans="1:26">
      <c r="A28" s="212"/>
      <c r="B28" s="213" t="s">
        <v>2532</v>
      </c>
      <c r="C28" s="213" t="s">
        <v>52</v>
      </c>
      <c r="D28" s="213" t="s">
        <v>384</v>
      </c>
      <c r="E28" s="214">
        <v>15</v>
      </c>
      <c r="F28" s="214">
        <v>4</v>
      </c>
      <c r="G28" s="214">
        <v>17</v>
      </c>
      <c r="H28" s="212">
        <v>2018</v>
      </c>
      <c r="I28" s="212">
        <v>2018</v>
      </c>
      <c r="J28" s="212">
        <f t="shared" si="9"/>
        <v>45</v>
      </c>
      <c r="K28" s="212"/>
      <c r="L28" s="212">
        <v>45</v>
      </c>
      <c r="M28" s="212"/>
      <c r="N28" s="212"/>
      <c r="O28" s="212">
        <v>45</v>
      </c>
      <c r="P28" s="212"/>
      <c r="Q28" s="212"/>
      <c r="R28" s="212"/>
      <c r="S28" s="220" t="s">
        <v>2533</v>
      </c>
      <c r="T28" s="220" t="s">
        <v>2534</v>
      </c>
      <c r="U28" s="220"/>
      <c r="V28" s="113"/>
      <c r="W28" s="113"/>
      <c r="X28" s="113"/>
      <c r="Y28" s="113"/>
      <c r="Z28" s="113" t="s">
        <v>1441</v>
      </c>
    </row>
    <row r="29" ht="23.25" customHeight="1" spans="1:26">
      <c r="A29" s="212">
        <v>5</v>
      </c>
      <c r="B29" s="71" t="s">
        <v>1074</v>
      </c>
      <c r="C29" s="71" t="s">
        <v>52</v>
      </c>
      <c r="D29" s="71" t="s">
        <v>384</v>
      </c>
      <c r="E29" s="212">
        <f t="shared" ref="E29:G29" si="11">SUM(E30:E39)</f>
        <v>815</v>
      </c>
      <c r="F29" s="212">
        <f t="shared" si="11"/>
        <v>351</v>
      </c>
      <c r="G29" s="212">
        <f t="shared" si="11"/>
        <v>1208</v>
      </c>
      <c r="H29" s="212">
        <v>2018</v>
      </c>
      <c r="I29" s="212">
        <v>2018</v>
      </c>
      <c r="J29" s="212">
        <f t="shared" si="9"/>
        <v>1467</v>
      </c>
      <c r="K29" s="212">
        <f t="shared" ref="K29:K39" si="12">E29*1.8</f>
        <v>1467</v>
      </c>
      <c r="L29" s="212"/>
      <c r="M29" s="212"/>
      <c r="N29" s="212"/>
      <c r="O29" s="212">
        <v>1467</v>
      </c>
      <c r="P29" s="212"/>
      <c r="Q29" s="212"/>
      <c r="R29" s="212"/>
      <c r="S29" s="220"/>
      <c r="T29" s="220"/>
      <c r="U29" s="220" t="s">
        <v>273</v>
      </c>
      <c r="V29" s="113"/>
      <c r="W29" s="113"/>
      <c r="X29" s="113"/>
      <c r="Y29" s="113"/>
      <c r="Z29" s="113" t="s">
        <v>1441</v>
      </c>
    </row>
    <row r="30" ht="23.25" customHeight="1" spans="1:26">
      <c r="A30" s="212"/>
      <c r="B30" s="215" t="s">
        <v>2503</v>
      </c>
      <c r="C30" s="215" t="s">
        <v>52</v>
      </c>
      <c r="D30" s="215" t="s">
        <v>384</v>
      </c>
      <c r="E30" s="216">
        <v>49</v>
      </c>
      <c r="F30" s="216">
        <v>26</v>
      </c>
      <c r="G30" s="216">
        <v>101</v>
      </c>
      <c r="H30" s="212">
        <v>2018</v>
      </c>
      <c r="I30" s="212">
        <v>2018</v>
      </c>
      <c r="J30" s="212">
        <f t="shared" si="9"/>
        <v>88.2</v>
      </c>
      <c r="K30" s="212">
        <f t="shared" si="12"/>
        <v>88.2</v>
      </c>
      <c r="L30" s="212"/>
      <c r="M30" s="212"/>
      <c r="N30" s="212"/>
      <c r="O30" s="212">
        <v>88.2</v>
      </c>
      <c r="P30" s="212"/>
      <c r="Q30" s="212"/>
      <c r="R30" s="212"/>
      <c r="S30" s="220" t="s">
        <v>2504</v>
      </c>
      <c r="T30" s="220" t="s">
        <v>2505</v>
      </c>
      <c r="U30" s="220"/>
      <c r="V30" s="113"/>
      <c r="W30" s="113"/>
      <c r="X30" s="113"/>
      <c r="Y30" s="113"/>
      <c r="Z30" s="113" t="s">
        <v>1441</v>
      </c>
    </row>
    <row r="31" ht="23.25" customHeight="1" spans="1:26">
      <c r="A31" s="212"/>
      <c r="B31" s="215" t="s">
        <v>2506</v>
      </c>
      <c r="C31" s="215" t="s">
        <v>52</v>
      </c>
      <c r="D31" s="215" t="s">
        <v>384</v>
      </c>
      <c r="E31" s="216">
        <v>102</v>
      </c>
      <c r="F31" s="216">
        <v>76</v>
      </c>
      <c r="G31" s="216">
        <v>277</v>
      </c>
      <c r="H31" s="212">
        <v>2018</v>
      </c>
      <c r="I31" s="212">
        <v>2018</v>
      </c>
      <c r="J31" s="212">
        <f t="shared" si="9"/>
        <v>183.6</v>
      </c>
      <c r="K31" s="212">
        <f t="shared" si="12"/>
        <v>183.6</v>
      </c>
      <c r="L31" s="212"/>
      <c r="M31" s="212"/>
      <c r="N31" s="212"/>
      <c r="O31" s="212">
        <v>183.6</v>
      </c>
      <c r="P31" s="212"/>
      <c r="Q31" s="212"/>
      <c r="R31" s="212"/>
      <c r="S31" s="220" t="s">
        <v>2524</v>
      </c>
      <c r="T31" s="220" t="s">
        <v>2525</v>
      </c>
      <c r="U31" s="220"/>
      <c r="V31" s="113"/>
      <c r="W31" s="113"/>
      <c r="X31" s="113"/>
      <c r="Y31" s="113"/>
      <c r="Z31" s="113" t="s">
        <v>1441</v>
      </c>
    </row>
    <row r="32" ht="23.25" customHeight="1" spans="1:26">
      <c r="A32" s="212"/>
      <c r="B32" s="215" t="s">
        <v>2509</v>
      </c>
      <c r="C32" s="215" t="s">
        <v>52</v>
      </c>
      <c r="D32" s="215" t="s">
        <v>384</v>
      </c>
      <c r="E32" s="216">
        <v>141</v>
      </c>
      <c r="F32" s="216">
        <v>63</v>
      </c>
      <c r="G32" s="216">
        <v>216</v>
      </c>
      <c r="H32" s="212">
        <v>2018</v>
      </c>
      <c r="I32" s="212">
        <v>2018</v>
      </c>
      <c r="J32" s="212">
        <f t="shared" si="9"/>
        <v>253.8</v>
      </c>
      <c r="K32" s="212">
        <f t="shared" si="12"/>
        <v>253.8</v>
      </c>
      <c r="L32" s="212"/>
      <c r="M32" s="212"/>
      <c r="N32" s="212"/>
      <c r="O32" s="212">
        <v>253.8</v>
      </c>
      <c r="P32" s="212"/>
      <c r="Q32" s="212"/>
      <c r="R32" s="212"/>
      <c r="S32" s="220" t="s">
        <v>2510</v>
      </c>
      <c r="T32" s="220" t="s">
        <v>2511</v>
      </c>
      <c r="U32" s="220"/>
      <c r="V32" s="113"/>
      <c r="W32" s="113"/>
      <c r="X32" s="113"/>
      <c r="Y32" s="113"/>
      <c r="Z32" s="113" t="s">
        <v>1441</v>
      </c>
    </row>
    <row r="33" ht="23.25" customHeight="1" spans="1:26">
      <c r="A33" s="212"/>
      <c r="B33" s="215" t="s">
        <v>2512</v>
      </c>
      <c r="C33" s="215" t="s">
        <v>52</v>
      </c>
      <c r="D33" s="215" t="s">
        <v>384</v>
      </c>
      <c r="E33" s="216">
        <v>73</v>
      </c>
      <c r="F33" s="216">
        <v>34</v>
      </c>
      <c r="G33" s="216">
        <v>118</v>
      </c>
      <c r="H33" s="212">
        <v>2018</v>
      </c>
      <c r="I33" s="212">
        <v>2018</v>
      </c>
      <c r="J33" s="212">
        <f t="shared" si="9"/>
        <v>131.4</v>
      </c>
      <c r="K33" s="212">
        <f t="shared" si="12"/>
        <v>131.4</v>
      </c>
      <c r="L33" s="212"/>
      <c r="M33" s="212"/>
      <c r="N33" s="212"/>
      <c r="O33" s="212">
        <v>131.4</v>
      </c>
      <c r="P33" s="212"/>
      <c r="Q33" s="212"/>
      <c r="R33" s="212"/>
      <c r="S33" s="220" t="s">
        <v>2513</v>
      </c>
      <c r="T33" s="220" t="s">
        <v>2514</v>
      </c>
      <c r="U33" s="220"/>
      <c r="V33" s="113"/>
      <c r="W33" s="113"/>
      <c r="X33" s="113"/>
      <c r="Y33" s="113"/>
      <c r="Z33" s="113" t="s">
        <v>1441</v>
      </c>
    </row>
    <row r="34" ht="23.25" customHeight="1" spans="1:26">
      <c r="A34" s="212"/>
      <c r="B34" s="215" t="s">
        <v>2515</v>
      </c>
      <c r="C34" s="215" t="s">
        <v>52</v>
      </c>
      <c r="D34" s="215" t="s">
        <v>384</v>
      </c>
      <c r="E34" s="216">
        <v>73</v>
      </c>
      <c r="F34" s="216">
        <v>42</v>
      </c>
      <c r="G34" s="216">
        <v>147</v>
      </c>
      <c r="H34" s="212">
        <v>2018</v>
      </c>
      <c r="I34" s="212">
        <v>2018</v>
      </c>
      <c r="J34" s="212">
        <f t="shared" si="9"/>
        <v>131.4</v>
      </c>
      <c r="K34" s="212">
        <f t="shared" si="12"/>
        <v>131.4</v>
      </c>
      <c r="L34" s="212"/>
      <c r="M34" s="212"/>
      <c r="N34" s="212"/>
      <c r="O34" s="212">
        <v>131.4</v>
      </c>
      <c r="P34" s="212"/>
      <c r="Q34" s="212"/>
      <c r="R34" s="212"/>
      <c r="S34" s="220" t="s">
        <v>2516</v>
      </c>
      <c r="T34" s="220" t="s">
        <v>2517</v>
      </c>
      <c r="U34" s="220"/>
      <c r="V34" s="113"/>
      <c r="W34" s="113"/>
      <c r="X34" s="113"/>
      <c r="Y34" s="113"/>
      <c r="Z34" s="113" t="s">
        <v>1441</v>
      </c>
    </row>
    <row r="35" ht="23.25" customHeight="1" spans="1:26">
      <c r="A35" s="212"/>
      <c r="B35" s="215" t="s">
        <v>2518</v>
      </c>
      <c r="C35" s="215" t="s">
        <v>52</v>
      </c>
      <c r="D35" s="215" t="s">
        <v>384</v>
      </c>
      <c r="E35" s="216">
        <v>33</v>
      </c>
      <c r="F35" s="216">
        <v>7</v>
      </c>
      <c r="G35" s="216">
        <v>20</v>
      </c>
      <c r="H35" s="212">
        <v>2018</v>
      </c>
      <c r="I35" s="212">
        <v>2018</v>
      </c>
      <c r="J35" s="212">
        <f t="shared" si="9"/>
        <v>59.4</v>
      </c>
      <c r="K35" s="212">
        <f t="shared" si="12"/>
        <v>59.4</v>
      </c>
      <c r="L35" s="212"/>
      <c r="M35" s="212"/>
      <c r="N35" s="212"/>
      <c r="O35" s="212">
        <v>59.4</v>
      </c>
      <c r="P35" s="212"/>
      <c r="Q35" s="212"/>
      <c r="R35" s="212"/>
      <c r="S35" s="220" t="s">
        <v>2519</v>
      </c>
      <c r="T35" s="220" t="s">
        <v>2520</v>
      </c>
      <c r="U35" s="220"/>
      <c r="V35" s="113"/>
      <c r="W35" s="113"/>
      <c r="X35" s="113"/>
      <c r="Y35" s="113"/>
      <c r="Z35" s="113" t="s">
        <v>1441</v>
      </c>
    </row>
    <row r="36" ht="23.25" customHeight="1" spans="1:26">
      <c r="A36" s="212"/>
      <c r="B36" s="215" t="s">
        <v>2521</v>
      </c>
      <c r="C36" s="215" t="s">
        <v>52</v>
      </c>
      <c r="D36" s="215" t="s">
        <v>384</v>
      </c>
      <c r="E36" s="212">
        <v>126</v>
      </c>
      <c r="F36" s="212">
        <v>54</v>
      </c>
      <c r="G36" s="212">
        <v>183</v>
      </c>
      <c r="H36" s="212">
        <v>2018</v>
      </c>
      <c r="I36" s="212">
        <v>2018</v>
      </c>
      <c r="J36" s="212">
        <f t="shared" si="9"/>
        <v>226.8</v>
      </c>
      <c r="K36" s="212">
        <f t="shared" si="12"/>
        <v>226.8</v>
      </c>
      <c r="L36" s="212"/>
      <c r="M36" s="212"/>
      <c r="N36" s="212"/>
      <c r="O36" s="212">
        <v>226.8</v>
      </c>
      <c r="P36" s="212"/>
      <c r="Q36" s="212"/>
      <c r="R36" s="212"/>
      <c r="S36" s="220" t="s">
        <v>2522</v>
      </c>
      <c r="T36" s="220" t="s">
        <v>2523</v>
      </c>
      <c r="U36" s="220"/>
      <c r="V36" s="113"/>
      <c r="W36" s="113"/>
      <c r="X36" s="113"/>
      <c r="Y36" s="113"/>
      <c r="Z36" s="113" t="s">
        <v>1441</v>
      </c>
    </row>
    <row r="37" ht="23.25" customHeight="1" spans="1:26">
      <c r="A37" s="212"/>
      <c r="B37" s="215" t="s">
        <v>2526</v>
      </c>
      <c r="C37" s="215" t="s">
        <v>52</v>
      </c>
      <c r="D37" s="215" t="s">
        <v>384</v>
      </c>
      <c r="E37" s="216">
        <v>134</v>
      </c>
      <c r="F37" s="216">
        <v>25</v>
      </c>
      <c r="G37" s="216">
        <v>83</v>
      </c>
      <c r="H37" s="212">
        <v>2018</v>
      </c>
      <c r="I37" s="212">
        <v>2018</v>
      </c>
      <c r="J37" s="212">
        <f t="shared" si="9"/>
        <v>241.2</v>
      </c>
      <c r="K37" s="212">
        <f t="shared" si="12"/>
        <v>241.2</v>
      </c>
      <c r="L37" s="212"/>
      <c r="M37" s="212"/>
      <c r="N37" s="212"/>
      <c r="O37" s="212">
        <v>241.2</v>
      </c>
      <c r="P37" s="212"/>
      <c r="Q37" s="212"/>
      <c r="R37" s="212"/>
      <c r="S37" s="220" t="s">
        <v>2527</v>
      </c>
      <c r="T37" s="220" t="s">
        <v>2528</v>
      </c>
      <c r="U37" s="220"/>
      <c r="V37" s="113"/>
      <c r="W37" s="113"/>
      <c r="X37" s="113"/>
      <c r="Y37" s="113"/>
      <c r="Z37" s="113" t="s">
        <v>1441</v>
      </c>
    </row>
    <row r="38" ht="23.25" customHeight="1" spans="1:26">
      <c r="A38" s="212"/>
      <c r="B38" s="215" t="s">
        <v>2529</v>
      </c>
      <c r="C38" s="215" t="s">
        <v>52</v>
      </c>
      <c r="D38" s="215" t="s">
        <v>384</v>
      </c>
      <c r="E38" s="216">
        <v>46</v>
      </c>
      <c r="F38" s="216">
        <v>12</v>
      </c>
      <c r="G38" s="216">
        <v>36</v>
      </c>
      <c r="H38" s="212">
        <v>2018</v>
      </c>
      <c r="I38" s="212">
        <v>2018</v>
      </c>
      <c r="J38" s="212">
        <f t="shared" si="9"/>
        <v>82.8</v>
      </c>
      <c r="K38" s="212">
        <f t="shared" si="12"/>
        <v>82.8</v>
      </c>
      <c r="L38" s="212"/>
      <c r="M38" s="212"/>
      <c r="N38" s="212"/>
      <c r="O38" s="212">
        <v>82.8</v>
      </c>
      <c r="P38" s="212"/>
      <c r="Q38" s="212"/>
      <c r="R38" s="212"/>
      <c r="S38" s="220" t="s">
        <v>2530</v>
      </c>
      <c r="T38" s="220" t="s">
        <v>2531</v>
      </c>
      <c r="U38" s="220"/>
      <c r="V38" s="113"/>
      <c r="W38" s="113"/>
      <c r="X38" s="113"/>
      <c r="Y38" s="113"/>
      <c r="Z38" s="113" t="s">
        <v>1441</v>
      </c>
    </row>
    <row r="39" ht="23.25" customHeight="1" spans="1:26">
      <c r="A39" s="212"/>
      <c r="B39" s="215" t="s">
        <v>2532</v>
      </c>
      <c r="C39" s="215" t="s">
        <v>52</v>
      </c>
      <c r="D39" s="215" t="s">
        <v>384</v>
      </c>
      <c r="E39" s="216">
        <v>38</v>
      </c>
      <c r="F39" s="216">
        <v>12</v>
      </c>
      <c r="G39" s="216">
        <v>27</v>
      </c>
      <c r="H39" s="212">
        <v>2018</v>
      </c>
      <c r="I39" s="212">
        <v>2018</v>
      </c>
      <c r="J39" s="212">
        <f t="shared" si="9"/>
        <v>68.4</v>
      </c>
      <c r="K39" s="212">
        <f t="shared" si="12"/>
        <v>68.4</v>
      </c>
      <c r="L39" s="212"/>
      <c r="M39" s="212"/>
      <c r="N39" s="212"/>
      <c r="O39" s="212">
        <v>68.4</v>
      </c>
      <c r="P39" s="212"/>
      <c r="Q39" s="212"/>
      <c r="R39" s="212"/>
      <c r="S39" s="220" t="s">
        <v>2533</v>
      </c>
      <c r="T39" s="220" t="s">
        <v>2534</v>
      </c>
      <c r="U39" s="220"/>
      <c r="V39" s="113"/>
      <c r="W39" s="113"/>
      <c r="X39" s="113"/>
      <c r="Y39" s="113"/>
      <c r="Z39" s="113" t="s">
        <v>1441</v>
      </c>
    </row>
    <row r="40" ht="23.25" customHeight="1" spans="1:26">
      <c r="A40" s="212"/>
      <c r="B40" s="71" t="s">
        <v>1075</v>
      </c>
      <c r="C40" s="71" t="s">
        <v>52</v>
      </c>
      <c r="D40" s="71" t="s">
        <v>384</v>
      </c>
      <c r="E40" s="212">
        <f t="shared" ref="E40:G40" si="13">SUM(E41:E50)</f>
        <v>82</v>
      </c>
      <c r="F40" s="212">
        <f t="shared" si="13"/>
        <v>54</v>
      </c>
      <c r="G40" s="212">
        <f t="shared" si="13"/>
        <v>122</v>
      </c>
      <c r="H40" s="212">
        <v>2018</v>
      </c>
      <c r="I40" s="212">
        <v>2018</v>
      </c>
      <c r="J40" s="212">
        <f t="shared" si="9"/>
        <v>328</v>
      </c>
      <c r="K40" s="212">
        <f t="shared" ref="K40:K50" si="14">E40*4</f>
        <v>328</v>
      </c>
      <c r="L40" s="212">
        <f t="shared" ref="L40:N40" si="15">SUM(L41:L50)</f>
        <v>0</v>
      </c>
      <c r="M40" s="212">
        <f t="shared" si="15"/>
        <v>0</v>
      </c>
      <c r="N40" s="212">
        <f t="shared" si="15"/>
        <v>0</v>
      </c>
      <c r="O40" s="212">
        <v>328</v>
      </c>
      <c r="P40" s="212"/>
      <c r="Q40" s="212"/>
      <c r="R40" s="212"/>
      <c r="S40" s="220"/>
      <c r="T40" s="220"/>
      <c r="U40" s="220" t="s">
        <v>273</v>
      </c>
      <c r="V40" s="113"/>
      <c r="W40" s="113"/>
      <c r="X40" s="113"/>
      <c r="Y40" s="113"/>
      <c r="Z40" s="113" t="s">
        <v>1441</v>
      </c>
    </row>
    <row r="41" ht="23.25" customHeight="1" spans="1:26">
      <c r="A41" s="212"/>
      <c r="B41" s="215" t="s">
        <v>2503</v>
      </c>
      <c r="C41" s="215" t="s">
        <v>52</v>
      </c>
      <c r="D41" s="215" t="s">
        <v>384</v>
      </c>
      <c r="E41" s="216">
        <v>10</v>
      </c>
      <c r="F41" s="216">
        <v>4</v>
      </c>
      <c r="G41" s="216">
        <v>8</v>
      </c>
      <c r="H41" s="212">
        <v>2018</v>
      </c>
      <c r="I41" s="212">
        <v>2018</v>
      </c>
      <c r="J41" s="212">
        <f t="shared" si="9"/>
        <v>40</v>
      </c>
      <c r="K41" s="212">
        <f t="shared" si="14"/>
        <v>40</v>
      </c>
      <c r="L41" s="212"/>
      <c r="M41" s="212"/>
      <c r="N41" s="212"/>
      <c r="O41" s="212">
        <v>40</v>
      </c>
      <c r="P41" s="212"/>
      <c r="Q41" s="212"/>
      <c r="R41" s="212"/>
      <c r="S41" s="220" t="s">
        <v>2504</v>
      </c>
      <c r="T41" s="220" t="s">
        <v>2505</v>
      </c>
      <c r="U41" s="220"/>
      <c r="V41" s="113"/>
      <c r="W41" s="113"/>
      <c r="X41" s="113"/>
      <c r="Y41" s="113"/>
      <c r="Z41" s="113" t="s">
        <v>1441</v>
      </c>
    </row>
    <row r="42" ht="23.25" customHeight="1" spans="1:26">
      <c r="A42" s="212"/>
      <c r="B42" s="215" t="s">
        <v>2506</v>
      </c>
      <c r="C42" s="215" t="s">
        <v>52</v>
      </c>
      <c r="D42" s="215" t="s">
        <v>384</v>
      </c>
      <c r="E42" s="216">
        <v>26</v>
      </c>
      <c r="F42" s="216">
        <v>21</v>
      </c>
      <c r="G42" s="216">
        <v>52</v>
      </c>
      <c r="H42" s="212">
        <v>2018</v>
      </c>
      <c r="I42" s="212">
        <v>2018</v>
      </c>
      <c r="J42" s="212">
        <f t="shared" si="9"/>
        <v>104</v>
      </c>
      <c r="K42" s="212">
        <f t="shared" si="14"/>
        <v>104</v>
      </c>
      <c r="L42" s="212"/>
      <c r="M42" s="212"/>
      <c r="N42" s="212"/>
      <c r="O42" s="212">
        <v>104</v>
      </c>
      <c r="P42" s="212"/>
      <c r="Q42" s="212"/>
      <c r="R42" s="212"/>
      <c r="S42" s="220" t="s">
        <v>2524</v>
      </c>
      <c r="T42" s="220" t="s">
        <v>2525</v>
      </c>
      <c r="U42" s="220"/>
      <c r="V42" s="113"/>
      <c r="W42" s="113"/>
      <c r="X42" s="113"/>
      <c r="Y42" s="113"/>
      <c r="Z42" s="113" t="s">
        <v>1441</v>
      </c>
    </row>
    <row r="43" ht="23.25" customHeight="1" spans="1:26">
      <c r="A43" s="212"/>
      <c r="B43" s="215" t="s">
        <v>2509</v>
      </c>
      <c r="C43" s="215" t="s">
        <v>52</v>
      </c>
      <c r="D43" s="215" t="s">
        <v>384</v>
      </c>
      <c r="E43" s="216">
        <v>12</v>
      </c>
      <c r="F43" s="216">
        <v>8</v>
      </c>
      <c r="G43" s="216">
        <v>15</v>
      </c>
      <c r="H43" s="212">
        <v>2018</v>
      </c>
      <c r="I43" s="212">
        <v>2018</v>
      </c>
      <c r="J43" s="212">
        <f t="shared" si="9"/>
        <v>48</v>
      </c>
      <c r="K43" s="212">
        <f t="shared" si="14"/>
        <v>48</v>
      </c>
      <c r="L43" s="212"/>
      <c r="M43" s="212"/>
      <c r="N43" s="212"/>
      <c r="O43" s="212">
        <v>48</v>
      </c>
      <c r="P43" s="212"/>
      <c r="Q43" s="212"/>
      <c r="R43" s="212"/>
      <c r="S43" s="220" t="s">
        <v>2510</v>
      </c>
      <c r="T43" s="220" t="s">
        <v>2511</v>
      </c>
      <c r="U43" s="220"/>
      <c r="V43" s="113"/>
      <c r="W43" s="113"/>
      <c r="X43" s="113"/>
      <c r="Y43" s="113"/>
      <c r="Z43" s="113" t="s">
        <v>1441</v>
      </c>
    </row>
    <row r="44" ht="23.25" customHeight="1" spans="1:26">
      <c r="A44" s="212"/>
      <c r="B44" s="215" t="s">
        <v>2512</v>
      </c>
      <c r="C44" s="215" t="s">
        <v>52</v>
      </c>
      <c r="D44" s="215" t="s">
        <v>384</v>
      </c>
      <c r="E44" s="216">
        <v>8</v>
      </c>
      <c r="F44" s="216">
        <v>1</v>
      </c>
      <c r="G44" s="216">
        <v>4</v>
      </c>
      <c r="H44" s="212">
        <v>2018</v>
      </c>
      <c r="I44" s="212">
        <v>2018</v>
      </c>
      <c r="J44" s="212">
        <f t="shared" si="9"/>
        <v>32</v>
      </c>
      <c r="K44" s="212">
        <f t="shared" si="14"/>
        <v>32</v>
      </c>
      <c r="L44" s="212"/>
      <c r="M44" s="212"/>
      <c r="N44" s="212"/>
      <c r="O44" s="212">
        <v>32</v>
      </c>
      <c r="P44" s="212"/>
      <c r="Q44" s="212"/>
      <c r="R44" s="212"/>
      <c r="S44" s="220" t="s">
        <v>2513</v>
      </c>
      <c r="T44" s="220" t="s">
        <v>2514</v>
      </c>
      <c r="U44" s="220"/>
      <c r="V44" s="113"/>
      <c r="W44" s="113"/>
      <c r="X44" s="113"/>
      <c r="Y44" s="113"/>
      <c r="Z44" s="113" t="s">
        <v>1441</v>
      </c>
    </row>
    <row r="45" ht="23.25" customHeight="1" spans="1:26">
      <c r="A45" s="212"/>
      <c r="B45" s="215" t="s">
        <v>2515</v>
      </c>
      <c r="C45" s="215" t="s">
        <v>52</v>
      </c>
      <c r="D45" s="215" t="s">
        <v>384</v>
      </c>
      <c r="E45" s="216">
        <v>4</v>
      </c>
      <c r="F45" s="216">
        <v>4</v>
      </c>
      <c r="G45" s="216">
        <v>7</v>
      </c>
      <c r="H45" s="212">
        <v>2018</v>
      </c>
      <c r="I45" s="212">
        <v>2018</v>
      </c>
      <c r="J45" s="212">
        <f t="shared" si="9"/>
        <v>16</v>
      </c>
      <c r="K45" s="212">
        <f t="shared" si="14"/>
        <v>16</v>
      </c>
      <c r="L45" s="212"/>
      <c r="M45" s="212"/>
      <c r="N45" s="212"/>
      <c r="O45" s="212">
        <v>16</v>
      </c>
      <c r="P45" s="212"/>
      <c r="Q45" s="212"/>
      <c r="R45" s="212"/>
      <c r="S45" s="220" t="s">
        <v>2516</v>
      </c>
      <c r="T45" s="220" t="s">
        <v>2517</v>
      </c>
      <c r="U45" s="220"/>
      <c r="V45" s="113"/>
      <c r="W45" s="113"/>
      <c r="X45" s="113"/>
      <c r="Y45" s="113"/>
      <c r="Z45" s="113" t="s">
        <v>1441</v>
      </c>
    </row>
    <row r="46" ht="23.25" customHeight="1" spans="1:29">
      <c r="A46" s="212"/>
      <c r="B46" s="215" t="s">
        <v>2518</v>
      </c>
      <c r="C46" s="215" t="s">
        <v>52</v>
      </c>
      <c r="D46" s="215" t="s">
        <v>384</v>
      </c>
      <c r="E46" s="216">
        <v>6</v>
      </c>
      <c r="F46" s="216">
        <v>5</v>
      </c>
      <c r="G46" s="216">
        <v>8</v>
      </c>
      <c r="H46" s="212">
        <v>2018</v>
      </c>
      <c r="I46" s="212">
        <v>2018</v>
      </c>
      <c r="J46" s="212">
        <f t="shared" si="9"/>
        <v>24</v>
      </c>
      <c r="K46" s="212">
        <f t="shared" si="14"/>
        <v>24</v>
      </c>
      <c r="L46" s="212"/>
      <c r="M46" s="212"/>
      <c r="N46" s="212"/>
      <c r="O46" s="212">
        <v>24</v>
      </c>
      <c r="P46" s="212"/>
      <c r="Q46" s="212"/>
      <c r="R46" s="212"/>
      <c r="S46" s="220" t="s">
        <v>2519</v>
      </c>
      <c r="T46" s="220" t="s">
        <v>2520</v>
      </c>
      <c r="U46" s="220"/>
      <c r="V46" s="113"/>
      <c r="W46" s="113"/>
      <c r="X46" s="113"/>
      <c r="Y46" s="113"/>
      <c r="Z46" s="113" t="s">
        <v>1441</v>
      </c>
      <c r="AC46" s="212">
        <f>W46*1.8</f>
        <v>0</v>
      </c>
    </row>
    <row r="47" ht="23.25" customHeight="1" spans="1:26">
      <c r="A47" s="212"/>
      <c r="B47" s="215" t="s">
        <v>2526</v>
      </c>
      <c r="C47" s="215" t="s">
        <v>52</v>
      </c>
      <c r="D47" s="215" t="s">
        <v>384</v>
      </c>
      <c r="E47" s="216">
        <v>5</v>
      </c>
      <c r="F47" s="216">
        <v>4</v>
      </c>
      <c r="G47" s="216">
        <v>16</v>
      </c>
      <c r="H47" s="212">
        <v>2018</v>
      </c>
      <c r="I47" s="212">
        <v>2018</v>
      </c>
      <c r="J47" s="212">
        <f t="shared" si="9"/>
        <v>20</v>
      </c>
      <c r="K47" s="212">
        <f t="shared" si="14"/>
        <v>20</v>
      </c>
      <c r="L47" s="212"/>
      <c r="M47" s="212"/>
      <c r="N47" s="212"/>
      <c r="O47" s="212">
        <v>20</v>
      </c>
      <c r="P47" s="212"/>
      <c r="Q47" s="212"/>
      <c r="R47" s="212"/>
      <c r="S47" s="220" t="s">
        <v>2527</v>
      </c>
      <c r="T47" s="220" t="s">
        <v>2528</v>
      </c>
      <c r="U47" s="220"/>
      <c r="V47" s="113"/>
      <c r="W47" s="113"/>
      <c r="X47" s="113"/>
      <c r="Y47" s="113"/>
      <c r="Z47" s="113" t="s">
        <v>1441</v>
      </c>
    </row>
    <row r="48" ht="23.25" customHeight="1" spans="1:26">
      <c r="A48" s="212"/>
      <c r="B48" s="215" t="s">
        <v>2529</v>
      </c>
      <c r="C48" s="215" t="s">
        <v>52</v>
      </c>
      <c r="D48" s="215" t="s">
        <v>384</v>
      </c>
      <c r="E48" s="216">
        <v>5</v>
      </c>
      <c r="F48" s="216">
        <v>2</v>
      </c>
      <c r="G48" s="216">
        <v>3</v>
      </c>
      <c r="H48" s="212">
        <v>2018</v>
      </c>
      <c r="I48" s="212">
        <v>2018</v>
      </c>
      <c r="J48" s="212">
        <f t="shared" si="9"/>
        <v>20</v>
      </c>
      <c r="K48" s="212">
        <f t="shared" si="14"/>
        <v>20</v>
      </c>
      <c r="L48" s="212"/>
      <c r="M48" s="212"/>
      <c r="N48" s="212"/>
      <c r="O48" s="212">
        <v>20</v>
      </c>
      <c r="P48" s="212"/>
      <c r="Q48" s="212"/>
      <c r="R48" s="212"/>
      <c r="S48" s="220" t="s">
        <v>2530</v>
      </c>
      <c r="T48" s="220" t="s">
        <v>2531</v>
      </c>
      <c r="U48" s="220"/>
      <c r="V48" s="113"/>
      <c r="W48" s="113"/>
      <c r="X48" s="113"/>
      <c r="Y48" s="113"/>
      <c r="Z48" s="113" t="s">
        <v>1441</v>
      </c>
    </row>
    <row r="49" ht="23.25" customHeight="1" spans="1:26">
      <c r="A49" s="212"/>
      <c r="B49" s="215" t="s">
        <v>2532</v>
      </c>
      <c r="C49" s="215" t="s">
        <v>52</v>
      </c>
      <c r="D49" s="215" t="s">
        <v>384</v>
      </c>
      <c r="E49" s="216">
        <v>1</v>
      </c>
      <c r="F49" s="216">
        <v>1</v>
      </c>
      <c r="G49" s="216">
        <v>2</v>
      </c>
      <c r="H49" s="212">
        <v>2018</v>
      </c>
      <c r="I49" s="212">
        <v>2018</v>
      </c>
      <c r="J49" s="212">
        <f t="shared" si="9"/>
        <v>4</v>
      </c>
      <c r="K49" s="212">
        <f t="shared" si="14"/>
        <v>4</v>
      </c>
      <c r="L49" s="212"/>
      <c r="M49" s="212"/>
      <c r="N49" s="212"/>
      <c r="O49" s="212">
        <v>4</v>
      </c>
      <c r="P49" s="212"/>
      <c r="Q49" s="212"/>
      <c r="R49" s="212"/>
      <c r="S49" s="220" t="s">
        <v>2533</v>
      </c>
      <c r="T49" s="220" t="s">
        <v>2534</v>
      </c>
      <c r="U49" s="220"/>
      <c r="V49" s="113"/>
      <c r="W49" s="113"/>
      <c r="X49" s="113"/>
      <c r="Y49" s="113"/>
      <c r="Z49" s="113" t="s">
        <v>1441</v>
      </c>
    </row>
    <row r="50" ht="23.25" customHeight="1" spans="1:26">
      <c r="A50" s="212"/>
      <c r="B50" s="215" t="s">
        <v>2521</v>
      </c>
      <c r="C50" s="215" t="s">
        <v>52</v>
      </c>
      <c r="D50" s="215" t="s">
        <v>384</v>
      </c>
      <c r="E50" s="212">
        <v>5</v>
      </c>
      <c r="F50" s="212">
        <v>4</v>
      </c>
      <c r="G50" s="212">
        <v>7</v>
      </c>
      <c r="H50" s="212">
        <v>2018</v>
      </c>
      <c r="I50" s="212">
        <v>2018</v>
      </c>
      <c r="J50" s="212">
        <f t="shared" si="9"/>
        <v>20</v>
      </c>
      <c r="K50" s="212">
        <f t="shared" si="14"/>
        <v>20</v>
      </c>
      <c r="L50" s="212"/>
      <c r="M50" s="212"/>
      <c r="N50" s="212"/>
      <c r="O50" s="212">
        <v>20</v>
      </c>
      <c r="P50" s="212"/>
      <c r="Q50" s="212"/>
      <c r="R50" s="212"/>
      <c r="S50" s="220" t="s">
        <v>2522</v>
      </c>
      <c r="T50" s="220" t="s">
        <v>2523</v>
      </c>
      <c r="U50" s="220"/>
      <c r="V50" s="113"/>
      <c r="W50" s="113"/>
      <c r="X50" s="113"/>
      <c r="Y50" s="113"/>
      <c r="Z50" s="113" t="s">
        <v>1441</v>
      </c>
    </row>
    <row r="51" ht="23.25" customHeight="1" spans="1:26">
      <c r="A51" s="212">
        <v>7</v>
      </c>
      <c r="B51" s="71" t="s">
        <v>1076</v>
      </c>
      <c r="C51" s="71" t="s">
        <v>52</v>
      </c>
      <c r="D51" s="71" t="s">
        <v>384</v>
      </c>
      <c r="E51" s="212">
        <f t="shared" ref="E51:G51" si="16">SUM(E52:E61)</f>
        <v>89</v>
      </c>
      <c r="F51" s="212">
        <f t="shared" si="16"/>
        <v>0</v>
      </c>
      <c r="G51" s="212">
        <f t="shared" si="16"/>
        <v>0</v>
      </c>
      <c r="H51" s="212">
        <v>2018</v>
      </c>
      <c r="I51" s="212">
        <v>2018</v>
      </c>
      <c r="J51" s="212">
        <f t="shared" si="9"/>
        <v>160.2</v>
      </c>
      <c r="K51" s="212">
        <f>SUM(K52:K61)</f>
        <v>0</v>
      </c>
      <c r="L51" s="212">
        <f t="shared" ref="L51:R51" si="17">SUM(L52:L61)</f>
        <v>160.2</v>
      </c>
      <c r="M51" s="212">
        <f t="shared" si="17"/>
        <v>0</v>
      </c>
      <c r="N51" s="212">
        <f t="shared" si="17"/>
        <v>0</v>
      </c>
      <c r="O51" s="212">
        <f t="shared" si="17"/>
        <v>0</v>
      </c>
      <c r="P51" s="212">
        <f t="shared" si="17"/>
        <v>160.2</v>
      </c>
      <c r="Q51" s="212">
        <f t="shared" si="17"/>
        <v>0</v>
      </c>
      <c r="R51" s="212">
        <f t="shared" si="17"/>
        <v>0</v>
      </c>
      <c r="S51" s="220" t="s">
        <v>2501</v>
      </c>
      <c r="T51" s="220" t="s">
        <v>2502</v>
      </c>
      <c r="U51" s="220" t="s">
        <v>273</v>
      </c>
      <c r="V51" s="113"/>
      <c r="W51" s="113"/>
      <c r="X51" s="113"/>
      <c r="Y51" s="113"/>
      <c r="Z51" s="113" t="s">
        <v>1441</v>
      </c>
    </row>
    <row r="52" ht="23.25" customHeight="1" spans="1:26">
      <c r="A52" s="212"/>
      <c r="B52" s="215" t="s">
        <v>2503</v>
      </c>
      <c r="C52" s="215" t="s">
        <v>52</v>
      </c>
      <c r="D52" s="215" t="s">
        <v>384</v>
      </c>
      <c r="E52" s="216">
        <v>13</v>
      </c>
      <c r="F52" s="212"/>
      <c r="G52" s="212"/>
      <c r="H52" s="212">
        <v>2018</v>
      </c>
      <c r="I52" s="212">
        <v>2018</v>
      </c>
      <c r="J52" s="212">
        <f t="shared" si="9"/>
        <v>23.4</v>
      </c>
      <c r="K52" s="212"/>
      <c r="L52" s="212">
        <v>23.4</v>
      </c>
      <c r="M52" s="212"/>
      <c r="N52" s="212"/>
      <c r="O52" s="212"/>
      <c r="P52" s="212">
        <v>23.4</v>
      </c>
      <c r="Q52" s="212"/>
      <c r="R52" s="212"/>
      <c r="S52" s="220" t="s">
        <v>2504</v>
      </c>
      <c r="T52" s="220" t="s">
        <v>2505</v>
      </c>
      <c r="U52" s="220"/>
      <c r="V52" s="113"/>
      <c r="W52" s="113"/>
      <c r="X52" s="113"/>
      <c r="Y52" s="113"/>
      <c r="Z52" s="113" t="s">
        <v>1441</v>
      </c>
    </row>
    <row r="53" ht="23.25" customHeight="1" spans="1:26">
      <c r="A53" s="212"/>
      <c r="B53" s="215" t="s">
        <v>2506</v>
      </c>
      <c r="C53" s="215" t="s">
        <v>52</v>
      </c>
      <c r="D53" s="215" t="s">
        <v>384</v>
      </c>
      <c r="E53" s="216">
        <v>18</v>
      </c>
      <c r="F53" s="212"/>
      <c r="G53" s="212"/>
      <c r="H53" s="212">
        <v>2018</v>
      </c>
      <c r="I53" s="212">
        <v>2018</v>
      </c>
      <c r="J53" s="212">
        <f t="shared" si="9"/>
        <v>32.4</v>
      </c>
      <c r="K53" s="212"/>
      <c r="L53" s="212">
        <v>32.4</v>
      </c>
      <c r="M53" s="212"/>
      <c r="N53" s="212"/>
      <c r="O53" s="212"/>
      <c r="P53" s="212">
        <v>32.4</v>
      </c>
      <c r="Q53" s="212"/>
      <c r="R53" s="212"/>
      <c r="S53" s="220" t="s">
        <v>2524</v>
      </c>
      <c r="T53" s="220" t="s">
        <v>2525</v>
      </c>
      <c r="U53" s="220"/>
      <c r="V53" s="113"/>
      <c r="W53" s="113"/>
      <c r="X53" s="113"/>
      <c r="Y53" s="113"/>
      <c r="Z53" s="113" t="s">
        <v>1441</v>
      </c>
    </row>
    <row r="54" ht="23.25" customHeight="1" spans="1:26">
      <c r="A54" s="212"/>
      <c r="B54" s="215" t="s">
        <v>2509</v>
      </c>
      <c r="C54" s="215" t="s">
        <v>52</v>
      </c>
      <c r="D54" s="215" t="s">
        <v>384</v>
      </c>
      <c r="E54" s="216">
        <v>6</v>
      </c>
      <c r="F54" s="212"/>
      <c r="G54" s="212"/>
      <c r="H54" s="212">
        <v>2018</v>
      </c>
      <c r="I54" s="212">
        <v>2018</v>
      </c>
      <c r="J54" s="212">
        <f t="shared" si="9"/>
        <v>10.8</v>
      </c>
      <c r="K54" s="212"/>
      <c r="L54" s="212">
        <v>10.8</v>
      </c>
      <c r="M54" s="212"/>
      <c r="N54" s="212"/>
      <c r="O54" s="212"/>
      <c r="P54" s="212">
        <v>9</v>
      </c>
      <c r="Q54" s="212"/>
      <c r="R54" s="212"/>
      <c r="S54" s="220" t="s">
        <v>2510</v>
      </c>
      <c r="T54" s="220" t="s">
        <v>2511</v>
      </c>
      <c r="U54" s="220"/>
      <c r="V54" s="113"/>
      <c r="W54" s="113"/>
      <c r="X54" s="113"/>
      <c r="Y54" s="113"/>
      <c r="Z54" s="113" t="s">
        <v>1441</v>
      </c>
    </row>
    <row r="55" ht="23.25" customHeight="1" spans="1:26">
      <c r="A55" s="212"/>
      <c r="B55" s="215" t="s">
        <v>2512</v>
      </c>
      <c r="C55" s="215" t="s">
        <v>52</v>
      </c>
      <c r="D55" s="215" t="s">
        <v>384</v>
      </c>
      <c r="E55" s="216">
        <v>5</v>
      </c>
      <c r="F55" s="212"/>
      <c r="G55" s="212"/>
      <c r="H55" s="212">
        <v>2018</v>
      </c>
      <c r="I55" s="212">
        <v>2018</v>
      </c>
      <c r="J55" s="212">
        <f t="shared" si="9"/>
        <v>9</v>
      </c>
      <c r="K55" s="212"/>
      <c r="L55" s="212">
        <v>9</v>
      </c>
      <c r="M55" s="212"/>
      <c r="N55" s="212"/>
      <c r="O55" s="212"/>
      <c r="P55" s="212">
        <v>10.8</v>
      </c>
      <c r="Q55" s="212"/>
      <c r="R55" s="212"/>
      <c r="S55" s="220" t="s">
        <v>2513</v>
      </c>
      <c r="T55" s="220" t="s">
        <v>2514</v>
      </c>
      <c r="U55" s="220"/>
      <c r="V55" s="113"/>
      <c r="W55" s="113"/>
      <c r="X55" s="113"/>
      <c r="Y55" s="113"/>
      <c r="Z55" s="113" t="s">
        <v>1441</v>
      </c>
    </row>
    <row r="56" ht="23.25" customHeight="1" spans="1:26">
      <c r="A56" s="212"/>
      <c r="B56" s="215" t="s">
        <v>2515</v>
      </c>
      <c r="C56" s="215" t="s">
        <v>52</v>
      </c>
      <c r="D56" s="215" t="s">
        <v>384</v>
      </c>
      <c r="E56" s="216">
        <v>15</v>
      </c>
      <c r="F56" s="212"/>
      <c r="G56" s="212"/>
      <c r="H56" s="212">
        <v>2018</v>
      </c>
      <c r="I56" s="212">
        <v>2018</v>
      </c>
      <c r="J56" s="212">
        <f t="shared" si="9"/>
        <v>27</v>
      </c>
      <c r="K56" s="212"/>
      <c r="L56" s="212">
        <v>27</v>
      </c>
      <c r="M56" s="212"/>
      <c r="N56" s="212"/>
      <c r="O56" s="212"/>
      <c r="P56" s="212">
        <v>27</v>
      </c>
      <c r="Q56" s="212"/>
      <c r="R56" s="212"/>
      <c r="S56" s="220" t="s">
        <v>2516</v>
      </c>
      <c r="T56" s="220" t="s">
        <v>2517</v>
      </c>
      <c r="U56" s="220"/>
      <c r="V56" s="113"/>
      <c r="W56" s="113"/>
      <c r="X56" s="113"/>
      <c r="Y56" s="113"/>
      <c r="Z56" s="113" t="s">
        <v>1441</v>
      </c>
    </row>
    <row r="57" ht="23.25" customHeight="1" spans="1:26">
      <c r="A57" s="212"/>
      <c r="B57" s="215" t="s">
        <v>2518</v>
      </c>
      <c r="C57" s="215" t="s">
        <v>52</v>
      </c>
      <c r="D57" s="215" t="s">
        <v>384</v>
      </c>
      <c r="E57" s="216">
        <v>16</v>
      </c>
      <c r="F57" s="212"/>
      <c r="G57" s="212"/>
      <c r="H57" s="212">
        <v>2018</v>
      </c>
      <c r="I57" s="212">
        <v>2018</v>
      </c>
      <c r="J57" s="212">
        <f t="shared" si="9"/>
        <v>28.8</v>
      </c>
      <c r="K57" s="212"/>
      <c r="L57" s="212">
        <v>28.8</v>
      </c>
      <c r="M57" s="212"/>
      <c r="N57" s="212"/>
      <c r="O57" s="212"/>
      <c r="P57" s="212">
        <v>28.8</v>
      </c>
      <c r="Q57" s="212"/>
      <c r="R57" s="212"/>
      <c r="S57" s="220" t="s">
        <v>2519</v>
      </c>
      <c r="T57" s="220" t="s">
        <v>2520</v>
      </c>
      <c r="U57" s="220"/>
      <c r="V57" s="113"/>
      <c r="W57" s="113"/>
      <c r="X57" s="113"/>
      <c r="Y57" s="113"/>
      <c r="Z57" s="113" t="s">
        <v>1441</v>
      </c>
    </row>
    <row r="58" ht="23.25" customHeight="1" spans="1:26">
      <c r="A58" s="212"/>
      <c r="B58" s="215" t="s">
        <v>2521</v>
      </c>
      <c r="C58" s="215" t="s">
        <v>52</v>
      </c>
      <c r="D58" s="215" t="s">
        <v>384</v>
      </c>
      <c r="E58" s="216">
        <v>6</v>
      </c>
      <c r="F58" s="212"/>
      <c r="G58" s="212"/>
      <c r="H58" s="212">
        <v>2018</v>
      </c>
      <c r="I58" s="212">
        <v>2018</v>
      </c>
      <c r="J58" s="212">
        <f t="shared" si="9"/>
        <v>10.8</v>
      </c>
      <c r="K58" s="212"/>
      <c r="L58" s="212">
        <v>10.8</v>
      </c>
      <c r="M58" s="212"/>
      <c r="N58" s="212"/>
      <c r="O58" s="212"/>
      <c r="P58" s="212">
        <v>10.8</v>
      </c>
      <c r="Q58" s="212"/>
      <c r="R58" s="212"/>
      <c r="S58" s="220" t="s">
        <v>2522</v>
      </c>
      <c r="T58" s="220" t="s">
        <v>2523</v>
      </c>
      <c r="U58" s="220"/>
      <c r="V58" s="113"/>
      <c r="W58" s="113"/>
      <c r="X58" s="113"/>
      <c r="Y58" s="113"/>
      <c r="Z58" s="113" t="s">
        <v>1441</v>
      </c>
    </row>
    <row r="59" ht="23.25" customHeight="1" spans="1:26">
      <c r="A59" s="212"/>
      <c r="B59" s="215" t="s">
        <v>2526</v>
      </c>
      <c r="C59" s="215" t="s">
        <v>52</v>
      </c>
      <c r="D59" s="215" t="s">
        <v>384</v>
      </c>
      <c r="E59" s="216">
        <v>5</v>
      </c>
      <c r="F59" s="212"/>
      <c r="G59" s="212"/>
      <c r="H59" s="212">
        <v>2018</v>
      </c>
      <c r="I59" s="212">
        <v>2018</v>
      </c>
      <c r="J59" s="212">
        <f t="shared" si="9"/>
        <v>9</v>
      </c>
      <c r="K59" s="212"/>
      <c r="L59" s="212">
        <v>9</v>
      </c>
      <c r="M59" s="212"/>
      <c r="N59" s="212"/>
      <c r="O59" s="212"/>
      <c r="P59" s="212">
        <v>9</v>
      </c>
      <c r="Q59" s="212"/>
      <c r="R59" s="212"/>
      <c r="S59" s="220" t="s">
        <v>2527</v>
      </c>
      <c r="T59" s="220" t="s">
        <v>2528</v>
      </c>
      <c r="U59" s="220"/>
      <c r="V59" s="113"/>
      <c r="W59" s="113"/>
      <c r="X59" s="113"/>
      <c r="Y59" s="113"/>
      <c r="Z59" s="113" t="s">
        <v>1441</v>
      </c>
    </row>
    <row r="60" ht="23.25" customHeight="1" spans="1:26">
      <c r="A60" s="212"/>
      <c r="B60" s="215" t="s">
        <v>2529</v>
      </c>
      <c r="C60" s="215" t="s">
        <v>52</v>
      </c>
      <c r="D60" s="215" t="s">
        <v>384</v>
      </c>
      <c r="E60" s="216">
        <v>4</v>
      </c>
      <c r="F60" s="212"/>
      <c r="G60" s="212"/>
      <c r="H60" s="212">
        <v>2018</v>
      </c>
      <c r="I60" s="212">
        <v>2018</v>
      </c>
      <c r="J60" s="212">
        <f t="shared" si="9"/>
        <v>7.2</v>
      </c>
      <c r="K60" s="212"/>
      <c r="L60" s="212">
        <v>7.2</v>
      </c>
      <c r="M60" s="212"/>
      <c r="N60" s="212"/>
      <c r="O60" s="212"/>
      <c r="P60" s="212">
        <v>7.2</v>
      </c>
      <c r="Q60" s="212"/>
      <c r="R60" s="212"/>
      <c r="S60" s="220" t="s">
        <v>2530</v>
      </c>
      <c r="T60" s="220" t="s">
        <v>2531</v>
      </c>
      <c r="U60" s="220"/>
      <c r="V60" s="113"/>
      <c r="W60" s="113"/>
      <c r="X60" s="113"/>
      <c r="Y60" s="113"/>
      <c r="Z60" s="113" t="s">
        <v>1441</v>
      </c>
    </row>
    <row r="61" ht="23.25" customHeight="1" spans="1:26">
      <c r="A61" s="212"/>
      <c r="B61" s="215" t="s">
        <v>2532</v>
      </c>
      <c r="C61" s="215" t="s">
        <v>52</v>
      </c>
      <c r="D61" s="215" t="s">
        <v>384</v>
      </c>
      <c r="E61" s="216">
        <v>1</v>
      </c>
      <c r="F61" s="212"/>
      <c r="G61" s="212"/>
      <c r="H61" s="212">
        <v>2018</v>
      </c>
      <c r="I61" s="212">
        <v>2018</v>
      </c>
      <c r="J61" s="212">
        <f t="shared" si="9"/>
        <v>1.8</v>
      </c>
      <c r="K61" s="212"/>
      <c r="L61" s="212">
        <v>1.8</v>
      </c>
      <c r="M61" s="212"/>
      <c r="N61" s="212"/>
      <c r="O61" s="212"/>
      <c r="P61" s="212">
        <v>1.8</v>
      </c>
      <c r="Q61" s="212"/>
      <c r="R61" s="212"/>
      <c r="S61" s="220" t="s">
        <v>2533</v>
      </c>
      <c r="T61" s="220" t="s">
        <v>2534</v>
      </c>
      <c r="U61" s="220"/>
      <c r="V61" s="113"/>
      <c r="W61" s="113"/>
      <c r="X61" s="113"/>
      <c r="Y61" s="113"/>
      <c r="Z61" s="113" t="s">
        <v>1441</v>
      </c>
    </row>
    <row r="62" ht="23.25" customHeight="1" spans="1:26">
      <c r="A62" s="212">
        <v>8</v>
      </c>
      <c r="B62" s="71" t="s">
        <v>779</v>
      </c>
      <c r="C62" s="71" t="s">
        <v>320</v>
      </c>
      <c r="D62" s="71" t="s">
        <v>147</v>
      </c>
      <c r="E62" s="212">
        <f t="shared" ref="E62:G62" si="18">E63+E66+E77+E87+E98+E121</f>
        <v>296</v>
      </c>
      <c r="F62" s="212">
        <f t="shared" si="18"/>
        <v>295</v>
      </c>
      <c r="G62" s="212">
        <f t="shared" si="18"/>
        <v>296</v>
      </c>
      <c r="H62" s="212">
        <v>2018</v>
      </c>
      <c r="I62" s="212">
        <v>2020</v>
      </c>
      <c r="J62" s="212">
        <f t="shared" ref="J62:R62" si="19">J63+J66+J77+J87+J98+J121</f>
        <v>386.775</v>
      </c>
      <c r="K62" s="212">
        <f t="shared" si="19"/>
        <v>128.925</v>
      </c>
      <c r="L62" s="212">
        <f t="shared" si="19"/>
        <v>128.925</v>
      </c>
      <c r="M62" s="212">
        <f t="shared" si="19"/>
        <v>128.925</v>
      </c>
      <c r="N62" s="212">
        <f t="shared" si="19"/>
        <v>193.8</v>
      </c>
      <c r="O62" s="212">
        <f t="shared" si="19"/>
        <v>85.5</v>
      </c>
      <c r="P62" s="212">
        <f t="shared" si="19"/>
        <v>107.475</v>
      </c>
      <c r="Q62" s="212">
        <f t="shared" si="19"/>
        <v>0</v>
      </c>
      <c r="R62" s="212">
        <f t="shared" si="19"/>
        <v>0</v>
      </c>
      <c r="S62" s="220"/>
      <c r="T62" s="220"/>
      <c r="U62" s="220"/>
      <c r="V62" s="113"/>
      <c r="W62" s="113"/>
      <c r="X62" s="113"/>
      <c r="Y62" s="113"/>
      <c r="Z62" s="113">
        <v>0</v>
      </c>
    </row>
    <row r="63" ht="39" customHeight="1" spans="1:26">
      <c r="A63" s="212">
        <v>9</v>
      </c>
      <c r="B63" s="71" t="s">
        <v>295</v>
      </c>
      <c r="C63" s="71" t="s">
        <v>320</v>
      </c>
      <c r="D63" s="71" t="s">
        <v>147</v>
      </c>
      <c r="E63" s="212"/>
      <c r="F63" s="212"/>
      <c r="G63" s="212"/>
      <c r="H63" s="212">
        <v>2018</v>
      </c>
      <c r="I63" s="212">
        <v>2020</v>
      </c>
      <c r="J63" s="212"/>
      <c r="K63" s="212"/>
      <c r="L63" s="212"/>
      <c r="M63" s="212"/>
      <c r="N63" s="212"/>
      <c r="O63" s="212"/>
      <c r="P63" s="212"/>
      <c r="Q63" s="212"/>
      <c r="R63" s="212"/>
      <c r="S63" s="220" t="s">
        <v>2501</v>
      </c>
      <c r="T63" s="220" t="s">
        <v>2535</v>
      </c>
      <c r="U63" s="220" t="s">
        <v>294</v>
      </c>
      <c r="V63" s="113"/>
      <c r="W63" s="113"/>
      <c r="X63" s="113"/>
      <c r="Y63" s="113"/>
      <c r="Z63" s="113"/>
    </row>
    <row r="64" ht="31.5" customHeight="1" spans="1:26">
      <c r="A64" s="212"/>
      <c r="B64" s="71" t="s">
        <v>783</v>
      </c>
      <c r="C64" s="71" t="s">
        <v>320</v>
      </c>
      <c r="D64" s="71" t="s">
        <v>147</v>
      </c>
      <c r="E64" s="212"/>
      <c r="F64" s="212"/>
      <c r="G64" s="212"/>
      <c r="H64" s="212">
        <v>2018</v>
      </c>
      <c r="I64" s="212">
        <v>2020</v>
      </c>
      <c r="J64" s="212"/>
      <c r="K64" s="212"/>
      <c r="L64" s="212"/>
      <c r="M64" s="212"/>
      <c r="N64" s="212"/>
      <c r="O64" s="212"/>
      <c r="P64" s="212"/>
      <c r="Q64" s="212"/>
      <c r="R64" s="212"/>
      <c r="S64" s="220"/>
      <c r="T64" s="220"/>
      <c r="U64" s="220"/>
      <c r="V64" s="113"/>
      <c r="W64" s="113"/>
      <c r="X64" s="113"/>
      <c r="Y64" s="113"/>
      <c r="Z64" s="113"/>
    </row>
    <row r="65" ht="31.5" customHeight="1" spans="1:26">
      <c r="A65" s="212"/>
      <c r="B65" s="71" t="s">
        <v>784</v>
      </c>
      <c r="C65" s="71" t="s">
        <v>320</v>
      </c>
      <c r="D65" s="71" t="s">
        <v>147</v>
      </c>
      <c r="E65" s="212"/>
      <c r="F65" s="212"/>
      <c r="G65" s="212"/>
      <c r="H65" s="212">
        <v>2018</v>
      </c>
      <c r="I65" s="212">
        <v>2020</v>
      </c>
      <c r="J65" s="212"/>
      <c r="K65" s="212"/>
      <c r="L65" s="212"/>
      <c r="M65" s="212"/>
      <c r="N65" s="212"/>
      <c r="O65" s="212"/>
      <c r="P65" s="212"/>
      <c r="Q65" s="212"/>
      <c r="R65" s="212"/>
      <c r="S65" s="220"/>
      <c r="T65" s="220"/>
      <c r="U65" s="220"/>
      <c r="V65" s="113"/>
      <c r="W65" s="113"/>
      <c r="X65" s="113"/>
      <c r="Y65" s="113"/>
      <c r="Z65" s="113"/>
    </row>
    <row r="66" ht="23.25" customHeight="1" spans="1:26">
      <c r="A66" s="212">
        <v>10</v>
      </c>
      <c r="B66" s="71" t="s">
        <v>319</v>
      </c>
      <c r="C66" s="71" t="s">
        <v>320</v>
      </c>
      <c r="D66" s="71" t="s">
        <v>147</v>
      </c>
      <c r="E66" s="212">
        <v>45</v>
      </c>
      <c r="F66" s="212">
        <v>45</v>
      </c>
      <c r="G66" s="212">
        <v>45</v>
      </c>
      <c r="H66" s="212">
        <v>2018</v>
      </c>
      <c r="I66" s="212">
        <v>2020</v>
      </c>
      <c r="J66" s="212">
        <f t="shared" ref="J66:J71" si="20">K66+L66+M66</f>
        <v>16.875</v>
      </c>
      <c r="K66" s="212">
        <f t="shared" ref="K66:K71" si="21">E66*0.125</f>
        <v>5.625</v>
      </c>
      <c r="L66" s="212">
        <f t="shared" ref="L66:L69" si="22">E66*0.125</f>
        <v>5.625</v>
      </c>
      <c r="M66" s="212">
        <f t="shared" ref="M66:M69" si="23">E66*0.125</f>
        <v>5.625</v>
      </c>
      <c r="N66" s="212"/>
      <c r="O66" s="212"/>
      <c r="P66" s="212">
        <v>16.875</v>
      </c>
      <c r="Q66" s="212"/>
      <c r="R66" s="212"/>
      <c r="S66" s="220" t="s">
        <v>2501</v>
      </c>
      <c r="T66" s="220" t="s">
        <v>2535</v>
      </c>
      <c r="U66" s="220">
        <v>1250</v>
      </c>
      <c r="V66" s="113"/>
      <c r="W66" s="113"/>
      <c r="X66" s="113"/>
      <c r="Y66" s="113"/>
      <c r="Z66" s="113" t="s">
        <v>1474</v>
      </c>
    </row>
    <row r="67" ht="23.25" customHeight="1" spans="1:26">
      <c r="A67" s="212"/>
      <c r="B67" s="71" t="s">
        <v>2503</v>
      </c>
      <c r="C67" s="71" t="s">
        <v>320</v>
      </c>
      <c r="D67" s="71" t="s">
        <v>147</v>
      </c>
      <c r="E67" s="212">
        <v>5</v>
      </c>
      <c r="F67" s="212">
        <v>5</v>
      </c>
      <c r="G67" s="212">
        <v>5</v>
      </c>
      <c r="H67" s="212">
        <v>2018</v>
      </c>
      <c r="I67" s="212">
        <v>2020</v>
      </c>
      <c r="J67" s="212">
        <f t="shared" si="20"/>
        <v>1.875</v>
      </c>
      <c r="K67" s="212">
        <f t="shared" si="21"/>
        <v>0.625</v>
      </c>
      <c r="L67" s="212">
        <f t="shared" si="22"/>
        <v>0.625</v>
      </c>
      <c r="M67" s="212">
        <f t="shared" si="23"/>
        <v>0.625</v>
      </c>
      <c r="N67" s="212"/>
      <c r="O67" s="212"/>
      <c r="P67" s="212">
        <v>1.875</v>
      </c>
      <c r="Q67" s="212"/>
      <c r="R67" s="212"/>
      <c r="S67" s="220" t="s">
        <v>2504</v>
      </c>
      <c r="T67" s="220" t="s">
        <v>2505</v>
      </c>
      <c r="U67" s="220"/>
      <c r="V67" s="113"/>
      <c r="W67" s="113"/>
      <c r="X67" s="113"/>
      <c r="Y67" s="113"/>
      <c r="Z67" s="113"/>
    </row>
    <row r="68" ht="23.25" customHeight="1" spans="1:26">
      <c r="A68" s="212"/>
      <c r="B68" s="71" t="s">
        <v>2506</v>
      </c>
      <c r="C68" s="71" t="s">
        <v>320</v>
      </c>
      <c r="D68" s="71" t="s">
        <v>147</v>
      </c>
      <c r="E68" s="212">
        <v>7</v>
      </c>
      <c r="F68" s="212"/>
      <c r="G68" s="212"/>
      <c r="H68" s="212">
        <v>2018</v>
      </c>
      <c r="I68" s="212">
        <v>2020</v>
      </c>
      <c r="J68" s="212">
        <f t="shared" si="20"/>
        <v>2.625</v>
      </c>
      <c r="K68" s="212">
        <f t="shared" si="21"/>
        <v>0.875</v>
      </c>
      <c r="L68" s="212">
        <f t="shared" si="22"/>
        <v>0.875</v>
      </c>
      <c r="M68" s="212">
        <f t="shared" si="23"/>
        <v>0.875</v>
      </c>
      <c r="N68" s="212"/>
      <c r="O68" s="212"/>
      <c r="P68" s="212">
        <v>2.625</v>
      </c>
      <c r="Q68" s="212"/>
      <c r="R68" s="212"/>
      <c r="S68" s="220" t="s">
        <v>2507</v>
      </c>
      <c r="T68" s="220" t="s">
        <v>2508</v>
      </c>
      <c r="U68" s="220"/>
      <c r="V68" s="113"/>
      <c r="W68" s="113"/>
      <c r="X68" s="113"/>
      <c r="Y68" s="113"/>
      <c r="Z68" s="113"/>
    </row>
    <row r="69" ht="23.25" customHeight="1" spans="1:26">
      <c r="A69" s="212"/>
      <c r="B69" s="71" t="s">
        <v>2509</v>
      </c>
      <c r="C69" s="71" t="s">
        <v>320</v>
      </c>
      <c r="D69" s="71" t="s">
        <v>147</v>
      </c>
      <c r="E69" s="212">
        <v>6</v>
      </c>
      <c r="F69" s="212">
        <v>2</v>
      </c>
      <c r="G69" s="212">
        <v>2</v>
      </c>
      <c r="H69" s="212">
        <v>2018</v>
      </c>
      <c r="I69" s="212">
        <v>2020</v>
      </c>
      <c r="J69" s="212">
        <f t="shared" si="20"/>
        <v>2.25</v>
      </c>
      <c r="K69" s="212">
        <f t="shared" si="21"/>
        <v>0.75</v>
      </c>
      <c r="L69" s="212">
        <f t="shared" si="22"/>
        <v>0.75</v>
      </c>
      <c r="M69" s="212">
        <f t="shared" si="23"/>
        <v>0.75</v>
      </c>
      <c r="N69" s="212"/>
      <c r="O69" s="212"/>
      <c r="P69" s="212">
        <v>2.25</v>
      </c>
      <c r="Q69" s="212"/>
      <c r="R69" s="212"/>
      <c r="S69" s="220" t="s">
        <v>2536</v>
      </c>
      <c r="T69" s="220" t="s">
        <v>2537</v>
      </c>
      <c r="U69" s="220"/>
      <c r="V69" s="113"/>
      <c r="W69" s="113"/>
      <c r="X69" s="113"/>
      <c r="Y69" s="113"/>
      <c r="Z69" s="113"/>
    </row>
    <row r="70" ht="23.25" customHeight="1" spans="1:26">
      <c r="A70" s="212"/>
      <c r="B70" s="71" t="s">
        <v>2512</v>
      </c>
      <c r="C70" s="71" t="s">
        <v>320</v>
      </c>
      <c r="D70" s="71" t="s">
        <v>147</v>
      </c>
      <c r="E70" s="212">
        <v>1</v>
      </c>
      <c r="F70" s="212">
        <v>1</v>
      </c>
      <c r="G70" s="212">
        <v>1</v>
      </c>
      <c r="H70" s="212">
        <v>2018</v>
      </c>
      <c r="I70" s="212">
        <v>2020</v>
      </c>
      <c r="J70" s="212">
        <f t="shared" si="20"/>
        <v>0.375</v>
      </c>
      <c r="K70" s="212">
        <f t="shared" si="21"/>
        <v>0.125</v>
      </c>
      <c r="L70" s="212">
        <f t="shared" ref="L70:L76" si="24">F70*0.125</f>
        <v>0.125</v>
      </c>
      <c r="M70" s="212">
        <f t="shared" ref="M70:M76" si="25">G70*0.125</f>
        <v>0.125</v>
      </c>
      <c r="N70" s="212"/>
      <c r="O70" s="212"/>
      <c r="P70" s="212">
        <v>0.375</v>
      </c>
      <c r="Q70" s="212"/>
      <c r="R70" s="212"/>
      <c r="S70" s="220" t="s">
        <v>2513</v>
      </c>
      <c r="T70" s="220" t="s">
        <v>2514</v>
      </c>
      <c r="U70" s="220"/>
      <c r="V70" s="113"/>
      <c r="W70" s="113"/>
      <c r="X70" s="113"/>
      <c r="Y70" s="113"/>
      <c r="Z70" s="113"/>
    </row>
    <row r="71" ht="23.25" customHeight="1" spans="1:26">
      <c r="A71" s="212"/>
      <c r="B71" s="71" t="s">
        <v>2515</v>
      </c>
      <c r="C71" s="71" t="s">
        <v>320</v>
      </c>
      <c r="D71" s="71" t="s">
        <v>147</v>
      </c>
      <c r="E71" s="212">
        <v>5</v>
      </c>
      <c r="F71" s="212">
        <v>5</v>
      </c>
      <c r="G71" s="212">
        <v>5</v>
      </c>
      <c r="H71" s="212">
        <v>2018</v>
      </c>
      <c r="I71" s="212">
        <v>2020</v>
      </c>
      <c r="J71" s="212">
        <f t="shared" si="20"/>
        <v>1.875</v>
      </c>
      <c r="K71" s="212">
        <f t="shared" si="21"/>
        <v>0.625</v>
      </c>
      <c r="L71" s="212">
        <f t="shared" si="24"/>
        <v>0.625</v>
      </c>
      <c r="M71" s="212">
        <f t="shared" si="25"/>
        <v>0.625</v>
      </c>
      <c r="N71" s="212"/>
      <c r="O71" s="212"/>
      <c r="P71" s="212">
        <v>1.875</v>
      </c>
      <c r="Q71" s="212"/>
      <c r="R71" s="212"/>
      <c r="S71" s="220" t="s">
        <v>2538</v>
      </c>
      <c r="T71" s="220" t="s">
        <v>2539</v>
      </c>
      <c r="U71" s="220"/>
      <c r="V71" s="113"/>
      <c r="W71" s="113"/>
      <c r="X71" s="113"/>
      <c r="Y71" s="113"/>
      <c r="Z71" s="113"/>
    </row>
    <row r="72" ht="23.25" customHeight="1" spans="1:26">
      <c r="A72" s="212"/>
      <c r="B72" s="71" t="s">
        <v>2518</v>
      </c>
      <c r="C72" s="71" t="s">
        <v>320</v>
      </c>
      <c r="D72" s="71" t="s">
        <v>147</v>
      </c>
      <c r="E72" s="212">
        <v>5</v>
      </c>
      <c r="F72" s="212">
        <v>5</v>
      </c>
      <c r="G72" s="212">
        <v>5</v>
      </c>
      <c r="H72" s="212">
        <v>2018</v>
      </c>
      <c r="I72" s="212">
        <v>2020</v>
      </c>
      <c r="J72" s="212">
        <v>1.875</v>
      </c>
      <c r="K72" s="212">
        <v>0.625</v>
      </c>
      <c r="L72" s="212">
        <v>0.625</v>
      </c>
      <c r="M72" s="212">
        <v>0.625</v>
      </c>
      <c r="N72" s="212"/>
      <c r="O72" s="212"/>
      <c r="P72" s="212">
        <v>1.875</v>
      </c>
      <c r="Q72" s="212"/>
      <c r="R72" s="212"/>
      <c r="S72" s="220" t="s">
        <v>2540</v>
      </c>
      <c r="T72" s="220" t="s">
        <v>2541</v>
      </c>
      <c r="U72" s="220"/>
      <c r="V72" s="113"/>
      <c r="W72" s="113"/>
      <c r="X72" s="113"/>
      <c r="Y72" s="113"/>
      <c r="Z72" s="113"/>
    </row>
    <row r="73" ht="23.25" customHeight="1" spans="1:26">
      <c r="A73" s="212"/>
      <c r="B73" s="71" t="s">
        <v>2521</v>
      </c>
      <c r="C73" s="71" t="s">
        <v>320</v>
      </c>
      <c r="D73" s="71" t="s">
        <v>147</v>
      </c>
      <c r="E73" s="212">
        <v>5</v>
      </c>
      <c r="F73" s="212">
        <v>5</v>
      </c>
      <c r="G73" s="212">
        <v>5</v>
      </c>
      <c r="H73" s="212">
        <v>2018</v>
      </c>
      <c r="I73" s="212">
        <v>2020</v>
      </c>
      <c r="J73" s="212">
        <f t="shared" ref="J73:J76" si="26">K73+L73+M73</f>
        <v>1.875</v>
      </c>
      <c r="K73" s="212">
        <f t="shared" ref="K73:K76" si="27">E73*0.125</f>
        <v>0.625</v>
      </c>
      <c r="L73" s="212">
        <f>E73*0.125</f>
        <v>0.625</v>
      </c>
      <c r="M73" s="212">
        <f>E73*0.125</f>
        <v>0.625</v>
      </c>
      <c r="N73" s="212"/>
      <c r="O73" s="212"/>
      <c r="P73" s="212">
        <v>2.25</v>
      </c>
      <c r="Q73" s="212"/>
      <c r="R73" s="212"/>
      <c r="S73" s="220" t="s">
        <v>2523</v>
      </c>
      <c r="T73" s="220" t="s">
        <v>2522</v>
      </c>
      <c r="U73" s="220"/>
      <c r="V73" s="113"/>
      <c r="W73" s="113"/>
      <c r="X73" s="113"/>
      <c r="Y73" s="113"/>
      <c r="Z73" s="113"/>
    </row>
    <row r="74" ht="23.25" customHeight="1" spans="1:26">
      <c r="A74" s="212"/>
      <c r="B74" s="221" t="s">
        <v>2526</v>
      </c>
      <c r="C74" s="71" t="s">
        <v>320</v>
      </c>
      <c r="D74" s="71" t="s">
        <v>147</v>
      </c>
      <c r="E74" s="212">
        <v>4</v>
      </c>
      <c r="F74" s="212">
        <v>4</v>
      </c>
      <c r="G74" s="212">
        <v>4</v>
      </c>
      <c r="H74" s="212">
        <v>2018</v>
      </c>
      <c r="I74" s="212">
        <v>2020</v>
      </c>
      <c r="J74" s="212">
        <f t="shared" si="26"/>
        <v>1.5</v>
      </c>
      <c r="K74" s="212">
        <f t="shared" si="27"/>
        <v>0.5</v>
      </c>
      <c r="L74" s="212">
        <f t="shared" si="24"/>
        <v>0.5</v>
      </c>
      <c r="M74" s="212">
        <f t="shared" si="25"/>
        <v>0.5</v>
      </c>
      <c r="N74" s="212"/>
      <c r="O74" s="212"/>
      <c r="P74" s="212">
        <v>1.5</v>
      </c>
      <c r="Q74" s="212"/>
      <c r="R74" s="212"/>
      <c r="S74" s="220" t="s">
        <v>2542</v>
      </c>
      <c r="T74" s="220" t="s">
        <v>2528</v>
      </c>
      <c r="U74" s="220"/>
      <c r="V74" s="113"/>
      <c r="W74" s="113"/>
      <c r="X74" s="113"/>
      <c r="Y74" s="113"/>
      <c r="Z74" s="113"/>
    </row>
    <row r="75" ht="23.25" customHeight="1" spans="1:26">
      <c r="A75" s="212"/>
      <c r="B75" s="71" t="s">
        <v>2532</v>
      </c>
      <c r="C75" s="71" t="s">
        <v>320</v>
      </c>
      <c r="D75" s="71" t="s">
        <v>147</v>
      </c>
      <c r="E75" s="212">
        <v>3</v>
      </c>
      <c r="F75" s="212">
        <v>3</v>
      </c>
      <c r="G75" s="212">
        <v>3</v>
      </c>
      <c r="H75" s="212">
        <v>2018</v>
      </c>
      <c r="I75" s="212">
        <v>2020</v>
      </c>
      <c r="J75" s="212">
        <f t="shared" si="26"/>
        <v>1.125</v>
      </c>
      <c r="K75" s="212">
        <f t="shared" si="27"/>
        <v>0.375</v>
      </c>
      <c r="L75" s="212">
        <f t="shared" si="24"/>
        <v>0.375</v>
      </c>
      <c r="M75" s="212">
        <f t="shared" si="25"/>
        <v>0.375</v>
      </c>
      <c r="N75" s="212"/>
      <c r="O75" s="212"/>
      <c r="P75" s="212">
        <v>1.125</v>
      </c>
      <c r="Q75" s="212"/>
      <c r="R75" s="212"/>
      <c r="S75" s="220" t="s">
        <v>2543</v>
      </c>
      <c r="T75" s="220" t="s">
        <v>2534</v>
      </c>
      <c r="U75" s="220"/>
      <c r="V75" s="113"/>
      <c r="W75" s="113"/>
      <c r="X75" s="113"/>
      <c r="Y75" s="113"/>
      <c r="Z75" s="113"/>
    </row>
    <row r="76" ht="23.25" customHeight="1" spans="1:26">
      <c r="A76" s="212"/>
      <c r="B76" s="71" t="s">
        <v>870</v>
      </c>
      <c r="C76" s="71" t="s">
        <v>320</v>
      </c>
      <c r="D76" s="71" t="s">
        <v>147</v>
      </c>
      <c r="E76" s="212">
        <v>4</v>
      </c>
      <c r="F76" s="212">
        <v>4</v>
      </c>
      <c r="G76" s="212">
        <v>4</v>
      </c>
      <c r="H76" s="212">
        <v>2018</v>
      </c>
      <c r="I76" s="212">
        <v>2020</v>
      </c>
      <c r="J76" s="212">
        <f t="shared" si="26"/>
        <v>1.5</v>
      </c>
      <c r="K76" s="212">
        <f t="shared" si="27"/>
        <v>0.5</v>
      </c>
      <c r="L76" s="212">
        <f t="shared" si="24"/>
        <v>0.5</v>
      </c>
      <c r="M76" s="212">
        <f t="shared" si="25"/>
        <v>0.5</v>
      </c>
      <c r="N76" s="212"/>
      <c r="O76" s="212"/>
      <c r="P76" s="212">
        <v>1.5</v>
      </c>
      <c r="Q76" s="212"/>
      <c r="R76" s="212"/>
      <c r="S76" s="220"/>
      <c r="T76" s="220"/>
      <c r="U76" s="220"/>
      <c r="V76" s="113"/>
      <c r="W76" s="113"/>
      <c r="X76" s="113"/>
      <c r="Y76" s="113"/>
      <c r="Z76" s="113"/>
    </row>
    <row r="77" ht="23.25" customHeight="1" spans="1:26">
      <c r="A77" s="212">
        <v>11</v>
      </c>
      <c r="B77" s="71" t="s">
        <v>321</v>
      </c>
      <c r="C77" s="71" t="s">
        <v>320</v>
      </c>
      <c r="D77" s="71" t="s">
        <v>147</v>
      </c>
      <c r="E77" s="212">
        <f t="shared" ref="E77:G77" si="28">SUM(E78:E86)</f>
        <v>94</v>
      </c>
      <c r="F77" s="212">
        <f t="shared" si="28"/>
        <v>94</v>
      </c>
      <c r="G77" s="212">
        <f t="shared" si="28"/>
        <v>94</v>
      </c>
      <c r="H77" s="212">
        <v>2018</v>
      </c>
      <c r="I77" s="212">
        <v>2020</v>
      </c>
      <c r="J77" s="212">
        <f t="shared" ref="J77:M77" si="29">SUM(J78:J86)</f>
        <v>155.1</v>
      </c>
      <c r="K77" s="212">
        <f t="shared" si="29"/>
        <v>51.7</v>
      </c>
      <c r="L77" s="212">
        <f t="shared" si="29"/>
        <v>51.7</v>
      </c>
      <c r="M77" s="212">
        <f t="shared" si="29"/>
        <v>51.7</v>
      </c>
      <c r="N77" s="212">
        <f t="shared" ref="N77:N86" si="30">E77*0.425*3</f>
        <v>119.85</v>
      </c>
      <c r="O77" s="212"/>
      <c r="P77" s="212">
        <f t="shared" ref="P77:P86" si="31">E77*0.125*3</f>
        <v>35.25</v>
      </c>
      <c r="Q77" s="212"/>
      <c r="R77" s="212"/>
      <c r="S77" s="220" t="s">
        <v>2501</v>
      </c>
      <c r="T77" s="220" t="s">
        <v>2535</v>
      </c>
      <c r="U77" s="220" t="s">
        <v>294</v>
      </c>
      <c r="V77" s="113"/>
      <c r="W77" s="113"/>
      <c r="X77" s="113"/>
      <c r="Y77" s="113"/>
      <c r="Z77" s="113" t="s">
        <v>1474</v>
      </c>
    </row>
    <row r="78" ht="23.25" customHeight="1" spans="1:26">
      <c r="A78" s="212"/>
      <c r="B78" s="71" t="s">
        <v>2503</v>
      </c>
      <c r="C78" s="71" t="s">
        <v>320</v>
      </c>
      <c r="D78" s="71" t="s">
        <v>147</v>
      </c>
      <c r="E78" s="212">
        <v>15</v>
      </c>
      <c r="F78" s="212">
        <v>15</v>
      </c>
      <c r="G78" s="212">
        <v>15</v>
      </c>
      <c r="H78" s="212">
        <v>2018</v>
      </c>
      <c r="I78" s="212">
        <v>2020</v>
      </c>
      <c r="J78" s="212">
        <f t="shared" ref="J78:J86" si="32">SUM(K78:M78)</f>
        <v>24.75</v>
      </c>
      <c r="K78" s="212">
        <f t="shared" ref="K78:M78" si="33">E78*0.55</f>
        <v>8.25</v>
      </c>
      <c r="L78" s="212">
        <f t="shared" si="33"/>
        <v>8.25</v>
      </c>
      <c r="M78" s="212">
        <f t="shared" si="33"/>
        <v>8.25</v>
      </c>
      <c r="N78" s="212">
        <f t="shared" si="30"/>
        <v>19.125</v>
      </c>
      <c r="O78" s="212"/>
      <c r="P78" s="212">
        <f t="shared" si="31"/>
        <v>5.625</v>
      </c>
      <c r="Q78" s="212"/>
      <c r="R78" s="212"/>
      <c r="S78" s="220" t="s">
        <v>2504</v>
      </c>
      <c r="T78" s="220" t="s">
        <v>2505</v>
      </c>
      <c r="U78" s="220"/>
      <c r="V78" s="113"/>
      <c r="W78" s="113"/>
      <c r="X78" s="113"/>
      <c r="Y78" s="113"/>
      <c r="Z78" s="113" t="s">
        <v>1474</v>
      </c>
    </row>
    <row r="79" ht="23.25" customHeight="1" spans="1:26">
      <c r="A79" s="212"/>
      <c r="B79" s="71" t="s">
        <v>2506</v>
      </c>
      <c r="C79" s="71" t="s">
        <v>320</v>
      </c>
      <c r="D79" s="71" t="s">
        <v>147</v>
      </c>
      <c r="E79" s="212">
        <v>23</v>
      </c>
      <c r="F79" s="212">
        <v>23</v>
      </c>
      <c r="G79" s="212">
        <v>23</v>
      </c>
      <c r="H79" s="212">
        <v>2018</v>
      </c>
      <c r="I79" s="212">
        <v>2020</v>
      </c>
      <c r="J79" s="212">
        <f t="shared" si="32"/>
        <v>37.95</v>
      </c>
      <c r="K79" s="212">
        <f t="shared" ref="K79:M79" si="34">E79*0.55</f>
        <v>12.65</v>
      </c>
      <c r="L79" s="212">
        <f t="shared" si="34"/>
        <v>12.65</v>
      </c>
      <c r="M79" s="212">
        <f t="shared" si="34"/>
        <v>12.65</v>
      </c>
      <c r="N79" s="212">
        <f t="shared" si="30"/>
        <v>29.325</v>
      </c>
      <c r="O79" s="212"/>
      <c r="P79" s="212">
        <f t="shared" si="31"/>
        <v>8.625</v>
      </c>
      <c r="Q79" s="212"/>
      <c r="R79" s="212"/>
      <c r="S79" s="220" t="s">
        <v>2544</v>
      </c>
      <c r="T79" s="220" t="s">
        <v>2545</v>
      </c>
      <c r="U79" s="220"/>
      <c r="V79" s="113"/>
      <c r="W79" s="113"/>
      <c r="X79" s="113"/>
      <c r="Y79" s="113"/>
      <c r="Z79" s="113" t="s">
        <v>1474</v>
      </c>
    </row>
    <row r="80" ht="23.25" customHeight="1" spans="1:26">
      <c r="A80" s="212"/>
      <c r="B80" s="71" t="s">
        <v>2509</v>
      </c>
      <c r="C80" s="71" t="s">
        <v>320</v>
      </c>
      <c r="D80" s="71" t="s">
        <v>147</v>
      </c>
      <c r="E80" s="212">
        <v>12</v>
      </c>
      <c r="F80" s="212">
        <v>12</v>
      </c>
      <c r="G80" s="212">
        <v>12</v>
      </c>
      <c r="H80" s="212">
        <v>2018</v>
      </c>
      <c r="I80" s="212">
        <v>2020</v>
      </c>
      <c r="J80" s="212">
        <f t="shared" si="32"/>
        <v>19.8</v>
      </c>
      <c r="K80" s="212">
        <f t="shared" ref="K80:M80" si="35">E80*0.55</f>
        <v>6.6</v>
      </c>
      <c r="L80" s="212">
        <f t="shared" si="35"/>
        <v>6.6</v>
      </c>
      <c r="M80" s="212">
        <f t="shared" si="35"/>
        <v>6.6</v>
      </c>
      <c r="N80" s="212">
        <f t="shared" si="30"/>
        <v>15.3</v>
      </c>
      <c r="O80" s="212"/>
      <c r="P80" s="212">
        <f t="shared" si="31"/>
        <v>4.5</v>
      </c>
      <c r="Q80" s="212"/>
      <c r="R80" s="212"/>
      <c r="S80" s="220" t="s">
        <v>2546</v>
      </c>
      <c r="T80" s="220" t="s">
        <v>2547</v>
      </c>
      <c r="U80" s="220"/>
      <c r="V80" s="113"/>
      <c r="W80" s="113"/>
      <c r="X80" s="113"/>
      <c r="Y80" s="113"/>
      <c r="Z80" s="113" t="s">
        <v>1474</v>
      </c>
    </row>
    <row r="81" ht="23.25" customHeight="1" spans="1:26">
      <c r="A81" s="212"/>
      <c r="B81" s="71" t="s">
        <v>2512</v>
      </c>
      <c r="C81" s="71" t="s">
        <v>320</v>
      </c>
      <c r="D81" s="71" t="s">
        <v>147</v>
      </c>
      <c r="E81" s="212">
        <v>17</v>
      </c>
      <c r="F81" s="212">
        <v>17</v>
      </c>
      <c r="G81" s="212">
        <v>17</v>
      </c>
      <c r="H81" s="212">
        <v>2018</v>
      </c>
      <c r="I81" s="212">
        <v>2020</v>
      </c>
      <c r="J81" s="212">
        <f t="shared" si="32"/>
        <v>28.05</v>
      </c>
      <c r="K81" s="212">
        <f t="shared" ref="K81:M81" si="36">E81*0.55</f>
        <v>9.35</v>
      </c>
      <c r="L81" s="212">
        <f t="shared" si="36"/>
        <v>9.35</v>
      </c>
      <c r="M81" s="212">
        <f t="shared" si="36"/>
        <v>9.35</v>
      </c>
      <c r="N81" s="212">
        <f t="shared" si="30"/>
        <v>21.675</v>
      </c>
      <c r="O81" s="212"/>
      <c r="P81" s="212">
        <f t="shared" si="31"/>
        <v>6.375</v>
      </c>
      <c r="Q81" s="212"/>
      <c r="R81" s="212"/>
      <c r="S81" s="220" t="s">
        <v>2548</v>
      </c>
      <c r="T81" s="220" t="s">
        <v>2549</v>
      </c>
      <c r="U81" s="220"/>
      <c r="V81" s="113"/>
      <c r="W81" s="113"/>
      <c r="X81" s="113"/>
      <c r="Y81" s="113"/>
      <c r="Z81" s="113" t="s">
        <v>1474</v>
      </c>
    </row>
    <row r="82" ht="23.25" customHeight="1" spans="1:26">
      <c r="A82" s="212"/>
      <c r="B82" s="71" t="s">
        <v>2515</v>
      </c>
      <c r="C82" s="71" t="s">
        <v>320</v>
      </c>
      <c r="D82" s="71" t="s">
        <v>147</v>
      </c>
      <c r="E82" s="212">
        <v>13</v>
      </c>
      <c r="F82" s="212">
        <v>13</v>
      </c>
      <c r="G82" s="212">
        <v>13</v>
      </c>
      <c r="H82" s="212">
        <v>2018</v>
      </c>
      <c r="I82" s="212">
        <v>2020</v>
      </c>
      <c r="J82" s="212">
        <f t="shared" si="32"/>
        <v>21.45</v>
      </c>
      <c r="K82" s="212">
        <f t="shared" ref="K82:M82" si="37">E82*0.55</f>
        <v>7.15</v>
      </c>
      <c r="L82" s="212">
        <f t="shared" si="37"/>
        <v>7.15</v>
      </c>
      <c r="M82" s="212">
        <f t="shared" si="37"/>
        <v>7.15</v>
      </c>
      <c r="N82" s="212">
        <f t="shared" si="30"/>
        <v>16.575</v>
      </c>
      <c r="O82" s="212"/>
      <c r="P82" s="212">
        <f t="shared" si="31"/>
        <v>4.875</v>
      </c>
      <c r="Q82" s="212"/>
      <c r="R82" s="212"/>
      <c r="S82" s="220" t="s">
        <v>2550</v>
      </c>
      <c r="T82" s="220" t="s">
        <v>2551</v>
      </c>
      <c r="U82" s="220"/>
      <c r="V82" s="113"/>
      <c r="W82" s="113"/>
      <c r="X82" s="113"/>
      <c r="Y82" s="113"/>
      <c r="Z82" s="113" t="s">
        <v>1474</v>
      </c>
    </row>
    <row r="83" ht="23.25" customHeight="1" spans="1:26">
      <c r="A83" s="212"/>
      <c r="B83" s="71" t="s">
        <v>2518</v>
      </c>
      <c r="C83" s="71" t="s">
        <v>320</v>
      </c>
      <c r="D83" s="71" t="s">
        <v>147</v>
      </c>
      <c r="E83" s="212">
        <v>2</v>
      </c>
      <c r="F83" s="212">
        <v>2</v>
      </c>
      <c r="G83" s="212">
        <v>2</v>
      </c>
      <c r="H83" s="212">
        <v>2018</v>
      </c>
      <c r="I83" s="212">
        <v>2020</v>
      </c>
      <c r="J83" s="212">
        <f t="shared" si="32"/>
        <v>3.3</v>
      </c>
      <c r="K83" s="212">
        <f t="shared" ref="K83:M83" si="38">E83*0.55</f>
        <v>1.1</v>
      </c>
      <c r="L83" s="212">
        <f t="shared" si="38"/>
        <v>1.1</v>
      </c>
      <c r="M83" s="212">
        <f t="shared" si="38"/>
        <v>1.1</v>
      </c>
      <c r="N83" s="212">
        <f t="shared" si="30"/>
        <v>2.55</v>
      </c>
      <c r="O83" s="212"/>
      <c r="P83" s="212">
        <f t="shared" si="31"/>
        <v>0.75</v>
      </c>
      <c r="Q83" s="212"/>
      <c r="R83" s="212"/>
      <c r="S83" s="220" t="s">
        <v>2552</v>
      </c>
      <c r="T83" s="220" t="s">
        <v>2553</v>
      </c>
      <c r="U83" s="220"/>
      <c r="V83" s="113"/>
      <c r="W83" s="113"/>
      <c r="X83" s="113"/>
      <c r="Y83" s="113"/>
      <c r="Z83" s="113" t="s">
        <v>1474</v>
      </c>
    </row>
    <row r="84" ht="23.25" customHeight="1" spans="1:26">
      <c r="A84" s="212"/>
      <c r="B84" s="71" t="s">
        <v>2521</v>
      </c>
      <c r="C84" s="71" t="s">
        <v>320</v>
      </c>
      <c r="D84" s="71" t="s">
        <v>147</v>
      </c>
      <c r="E84" s="212">
        <v>5</v>
      </c>
      <c r="F84" s="212">
        <v>5</v>
      </c>
      <c r="G84" s="212">
        <v>5</v>
      </c>
      <c r="H84" s="212">
        <v>2018</v>
      </c>
      <c r="I84" s="212">
        <v>2020</v>
      </c>
      <c r="J84" s="212">
        <f t="shared" si="32"/>
        <v>8.25</v>
      </c>
      <c r="K84" s="212">
        <f t="shared" ref="K84:M84" si="39">E84*0.55</f>
        <v>2.75</v>
      </c>
      <c r="L84" s="212">
        <f t="shared" si="39"/>
        <v>2.75</v>
      </c>
      <c r="M84" s="212">
        <f t="shared" si="39"/>
        <v>2.75</v>
      </c>
      <c r="N84" s="212">
        <f t="shared" si="30"/>
        <v>6.375</v>
      </c>
      <c r="O84" s="212"/>
      <c r="P84" s="212">
        <f t="shared" si="31"/>
        <v>1.875</v>
      </c>
      <c r="Q84" s="212"/>
      <c r="R84" s="212"/>
      <c r="S84" s="220" t="s">
        <v>2522</v>
      </c>
      <c r="T84" s="220" t="s">
        <v>2523</v>
      </c>
      <c r="U84" s="220"/>
      <c r="V84" s="113"/>
      <c r="W84" s="113"/>
      <c r="X84" s="113"/>
      <c r="Y84" s="113"/>
      <c r="Z84" s="113" t="s">
        <v>1474</v>
      </c>
    </row>
    <row r="85" ht="23.25" customHeight="1" spans="1:26">
      <c r="A85" s="212"/>
      <c r="B85" s="221" t="s">
        <v>2526</v>
      </c>
      <c r="C85" s="71" t="s">
        <v>320</v>
      </c>
      <c r="D85" s="71" t="s">
        <v>147</v>
      </c>
      <c r="E85" s="212">
        <v>5</v>
      </c>
      <c r="F85" s="212">
        <v>5</v>
      </c>
      <c r="G85" s="212">
        <v>5</v>
      </c>
      <c r="H85" s="212">
        <v>2018</v>
      </c>
      <c r="I85" s="212">
        <v>2020</v>
      </c>
      <c r="J85" s="212">
        <f t="shared" si="32"/>
        <v>8.25</v>
      </c>
      <c r="K85" s="212">
        <f t="shared" ref="K85:M85" si="40">E85*0.55</f>
        <v>2.75</v>
      </c>
      <c r="L85" s="212">
        <f t="shared" si="40"/>
        <v>2.75</v>
      </c>
      <c r="M85" s="212">
        <f t="shared" si="40"/>
        <v>2.75</v>
      </c>
      <c r="N85" s="212">
        <f t="shared" si="30"/>
        <v>6.375</v>
      </c>
      <c r="O85" s="212"/>
      <c r="P85" s="212">
        <f t="shared" si="31"/>
        <v>1.875</v>
      </c>
      <c r="Q85" s="212"/>
      <c r="R85" s="212"/>
      <c r="S85" s="220" t="s">
        <v>2554</v>
      </c>
      <c r="T85" s="220" t="s">
        <v>2555</v>
      </c>
      <c r="U85" s="220"/>
      <c r="V85" s="113"/>
      <c r="W85" s="113"/>
      <c r="X85" s="113"/>
      <c r="Y85" s="113"/>
      <c r="Z85" s="113" t="s">
        <v>1474</v>
      </c>
    </row>
    <row r="86" ht="23.25" customHeight="1" spans="1:26">
      <c r="A86" s="212"/>
      <c r="B86" s="71" t="s">
        <v>2529</v>
      </c>
      <c r="C86" s="71" t="s">
        <v>320</v>
      </c>
      <c r="D86" s="71" t="s">
        <v>147</v>
      </c>
      <c r="E86" s="212">
        <v>2</v>
      </c>
      <c r="F86" s="212">
        <v>2</v>
      </c>
      <c r="G86" s="212">
        <v>2</v>
      </c>
      <c r="H86" s="212">
        <v>2018</v>
      </c>
      <c r="I86" s="212">
        <v>2020</v>
      </c>
      <c r="J86" s="212">
        <f t="shared" si="32"/>
        <v>3.3</v>
      </c>
      <c r="K86" s="212">
        <f t="shared" ref="K86:M86" si="41">E86*0.55</f>
        <v>1.1</v>
      </c>
      <c r="L86" s="212">
        <f t="shared" si="41"/>
        <v>1.1</v>
      </c>
      <c r="M86" s="212">
        <f t="shared" si="41"/>
        <v>1.1</v>
      </c>
      <c r="N86" s="212">
        <f t="shared" si="30"/>
        <v>2.55</v>
      </c>
      <c r="O86" s="212"/>
      <c r="P86" s="212">
        <f t="shared" si="31"/>
        <v>0.75</v>
      </c>
      <c r="Q86" s="212"/>
      <c r="R86" s="212"/>
      <c r="S86" s="220" t="s">
        <v>2556</v>
      </c>
      <c r="T86" s="220" t="s">
        <v>2557</v>
      </c>
      <c r="U86" s="220"/>
      <c r="V86" s="113"/>
      <c r="W86" s="113"/>
      <c r="X86" s="113"/>
      <c r="Y86" s="113"/>
      <c r="Z86" s="113" t="s">
        <v>1474</v>
      </c>
    </row>
    <row r="87" ht="23.25" customHeight="1" spans="1:26">
      <c r="A87" s="212">
        <v>12</v>
      </c>
      <c r="B87" s="71" t="s">
        <v>322</v>
      </c>
      <c r="C87" s="71" t="s">
        <v>320</v>
      </c>
      <c r="D87" s="71" t="s">
        <v>147</v>
      </c>
      <c r="E87" s="212">
        <v>51</v>
      </c>
      <c r="F87" s="212">
        <v>51</v>
      </c>
      <c r="G87" s="212">
        <v>51</v>
      </c>
      <c r="H87" s="212">
        <v>2018</v>
      </c>
      <c r="I87" s="212">
        <v>2020</v>
      </c>
      <c r="J87" s="212">
        <f t="shared" ref="J87:J120" si="42">K87+L87+M87</f>
        <v>84.15</v>
      </c>
      <c r="K87" s="212">
        <f t="shared" ref="K87:M87" si="43">E87*0.55</f>
        <v>28.05</v>
      </c>
      <c r="L87" s="212">
        <f t="shared" si="43"/>
        <v>28.05</v>
      </c>
      <c r="M87" s="212">
        <f t="shared" si="43"/>
        <v>28.05</v>
      </c>
      <c r="N87" s="212">
        <v>30.6</v>
      </c>
      <c r="O87" s="212">
        <v>45.9</v>
      </c>
      <c r="P87" s="212">
        <v>7.65</v>
      </c>
      <c r="Q87" s="212"/>
      <c r="R87" s="212"/>
      <c r="S87" s="220" t="s">
        <v>2501</v>
      </c>
      <c r="T87" s="220" t="s">
        <v>2535</v>
      </c>
      <c r="U87" s="220"/>
      <c r="V87" s="113"/>
      <c r="W87" s="113"/>
      <c r="X87" s="113"/>
      <c r="Y87" s="113"/>
      <c r="Z87" s="113" t="s">
        <v>1474</v>
      </c>
    </row>
    <row r="88" ht="23.25" customHeight="1" spans="1:26">
      <c r="A88" s="212"/>
      <c r="B88" s="71" t="s">
        <v>2503</v>
      </c>
      <c r="C88" s="71" t="s">
        <v>320</v>
      </c>
      <c r="D88" s="71" t="s">
        <v>147</v>
      </c>
      <c r="E88" s="212">
        <v>8</v>
      </c>
      <c r="F88" s="212">
        <v>8</v>
      </c>
      <c r="G88" s="212">
        <v>8</v>
      </c>
      <c r="H88" s="212">
        <v>2018</v>
      </c>
      <c r="I88" s="212">
        <v>2020</v>
      </c>
      <c r="J88" s="212">
        <f t="shared" si="42"/>
        <v>13.2</v>
      </c>
      <c r="K88" s="212">
        <f t="shared" ref="K88:M88" si="44">E88*0.55</f>
        <v>4.4</v>
      </c>
      <c r="L88" s="212">
        <f t="shared" si="44"/>
        <v>4.4</v>
      </c>
      <c r="M88" s="212">
        <f t="shared" si="44"/>
        <v>4.4</v>
      </c>
      <c r="N88" s="212">
        <f t="shared" ref="N88:N97" si="45">E88*0.2*3</f>
        <v>4.8</v>
      </c>
      <c r="O88" s="212">
        <f t="shared" ref="O88:O97" si="46">E88*0.3*3</f>
        <v>7.2</v>
      </c>
      <c r="P88" s="212">
        <f t="shared" ref="P88:P97" si="47">E88*0.05*3</f>
        <v>1.2</v>
      </c>
      <c r="Q88" s="212"/>
      <c r="R88" s="212"/>
      <c r="S88" s="220" t="s">
        <v>2504</v>
      </c>
      <c r="T88" s="220" t="s">
        <v>2505</v>
      </c>
      <c r="U88" s="220"/>
      <c r="V88" s="113"/>
      <c r="W88" s="113"/>
      <c r="X88" s="113"/>
      <c r="Y88" s="113"/>
      <c r="Z88" s="113" t="s">
        <v>1474</v>
      </c>
    </row>
    <row r="89" ht="23.25" customHeight="1" spans="1:26">
      <c r="A89" s="212"/>
      <c r="B89" s="71" t="s">
        <v>2506</v>
      </c>
      <c r="C89" s="71" t="s">
        <v>320</v>
      </c>
      <c r="D89" s="71" t="s">
        <v>147</v>
      </c>
      <c r="E89" s="212">
        <v>6</v>
      </c>
      <c r="F89" s="212">
        <v>6</v>
      </c>
      <c r="G89" s="212">
        <v>6</v>
      </c>
      <c r="H89" s="212">
        <v>2018</v>
      </c>
      <c r="I89" s="212">
        <v>2020</v>
      </c>
      <c r="J89" s="212">
        <f t="shared" si="42"/>
        <v>9.9</v>
      </c>
      <c r="K89" s="212">
        <f t="shared" ref="K89:M89" si="48">E89*0.55</f>
        <v>3.3</v>
      </c>
      <c r="L89" s="212">
        <f t="shared" si="48"/>
        <v>3.3</v>
      </c>
      <c r="M89" s="212">
        <f t="shared" si="48"/>
        <v>3.3</v>
      </c>
      <c r="N89" s="212">
        <f t="shared" si="45"/>
        <v>3.6</v>
      </c>
      <c r="O89" s="212">
        <f t="shared" si="46"/>
        <v>5.4</v>
      </c>
      <c r="P89" s="212">
        <f t="shared" si="47"/>
        <v>0.9</v>
      </c>
      <c r="Q89" s="212"/>
      <c r="R89" s="212"/>
      <c r="S89" s="220" t="s">
        <v>2544</v>
      </c>
      <c r="T89" s="220" t="s">
        <v>2545</v>
      </c>
      <c r="U89" s="220"/>
      <c r="V89" s="113"/>
      <c r="W89" s="113"/>
      <c r="X89" s="113"/>
      <c r="Y89" s="113"/>
      <c r="Z89" s="113" t="s">
        <v>1474</v>
      </c>
    </row>
    <row r="90" ht="23.25" customHeight="1" spans="1:29">
      <c r="A90" s="212"/>
      <c r="B90" s="71" t="s">
        <v>2509</v>
      </c>
      <c r="C90" s="71" t="s">
        <v>320</v>
      </c>
      <c r="D90" s="71" t="s">
        <v>147</v>
      </c>
      <c r="E90" s="212">
        <v>8</v>
      </c>
      <c r="F90" s="212">
        <v>8</v>
      </c>
      <c r="G90" s="212">
        <v>8</v>
      </c>
      <c r="H90" s="212">
        <v>2018</v>
      </c>
      <c r="I90" s="212">
        <v>2020</v>
      </c>
      <c r="J90" s="212">
        <f t="shared" si="42"/>
        <v>13.2</v>
      </c>
      <c r="K90" s="212">
        <f t="shared" ref="K90:M90" si="49">E90*0.55</f>
        <v>4.4</v>
      </c>
      <c r="L90" s="212">
        <f t="shared" si="49"/>
        <v>4.4</v>
      </c>
      <c r="M90" s="212">
        <f t="shared" si="49"/>
        <v>4.4</v>
      </c>
      <c r="N90" s="212">
        <f t="shared" si="45"/>
        <v>4.8</v>
      </c>
      <c r="O90" s="212">
        <f t="shared" si="46"/>
        <v>7.2</v>
      </c>
      <c r="P90" s="212">
        <f t="shared" si="47"/>
        <v>1.2</v>
      </c>
      <c r="Q90" s="212"/>
      <c r="R90" s="212"/>
      <c r="S90" s="220" t="s">
        <v>2546</v>
      </c>
      <c r="T90" s="220" t="s">
        <v>2547</v>
      </c>
      <c r="U90" s="220"/>
      <c r="V90" s="113"/>
      <c r="W90" s="113"/>
      <c r="X90" s="113"/>
      <c r="Y90" s="113"/>
      <c r="Z90" s="113" t="s">
        <v>1474</v>
      </c>
      <c r="AC90" s="212"/>
    </row>
    <row r="91" ht="23.25" customHeight="1" spans="1:26">
      <c r="A91" s="212"/>
      <c r="B91" s="71" t="s">
        <v>2512</v>
      </c>
      <c r="C91" s="71" t="s">
        <v>320</v>
      </c>
      <c r="D91" s="71" t="s">
        <v>147</v>
      </c>
      <c r="E91" s="212">
        <v>6</v>
      </c>
      <c r="F91" s="212">
        <v>6</v>
      </c>
      <c r="G91" s="212">
        <v>6</v>
      </c>
      <c r="H91" s="212">
        <v>2018</v>
      </c>
      <c r="I91" s="212">
        <v>2020</v>
      </c>
      <c r="J91" s="212">
        <f t="shared" si="42"/>
        <v>9.9</v>
      </c>
      <c r="K91" s="212">
        <f t="shared" ref="K91:M91" si="50">E91*0.55</f>
        <v>3.3</v>
      </c>
      <c r="L91" s="212">
        <f t="shared" si="50"/>
        <v>3.3</v>
      </c>
      <c r="M91" s="212">
        <f t="shared" si="50"/>
        <v>3.3</v>
      </c>
      <c r="N91" s="212">
        <f t="shared" si="45"/>
        <v>3.6</v>
      </c>
      <c r="O91" s="212">
        <f t="shared" si="46"/>
        <v>5.4</v>
      </c>
      <c r="P91" s="212">
        <f t="shared" si="47"/>
        <v>0.9</v>
      </c>
      <c r="Q91" s="212"/>
      <c r="R91" s="212"/>
      <c r="S91" s="220" t="s">
        <v>2548</v>
      </c>
      <c r="T91" s="220" t="s">
        <v>2549</v>
      </c>
      <c r="U91" s="220"/>
      <c r="V91" s="113"/>
      <c r="W91" s="113"/>
      <c r="X91" s="113"/>
      <c r="Y91" s="113"/>
      <c r="Z91" s="113" t="s">
        <v>1474</v>
      </c>
    </row>
    <row r="92" ht="23.25" customHeight="1" spans="1:26">
      <c r="A92" s="212"/>
      <c r="B92" s="71" t="s">
        <v>2515</v>
      </c>
      <c r="C92" s="71" t="s">
        <v>320</v>
      </c>
      <c r="D92" s="71" t="s">
        <v>147</v>
      </c>
      <c r="E92" s="212">
        <v>9</v>
      </c>
      <c r="F92" s="212">
        <v>9</v>
      </c>
      <c r="G92" s="212">
        <v>9</v>
      </c>
      <c r="H92" s="212">
        <v>2018</v>
      </c>
      <c r="I92" s="212">
        <v>2020</v>
      </c>
      <c r="J92" s="212">
        <f t="shared" si="42"/>
        <v>14.85</v>
      </c>
      <c r="K92" s="212">
        <f t="shared" ref="K92:M92" si="51">E92*0.55</f>
        <v>4.95</v>
      </c>
      <c r="L92" s="212">
        <f t="shared" si="51"/>
        <v>4.95</v>
      </c>
      <c r="M92" s="212">
        <f t="shared" si="51"/>
        <v>4.95</v>
      </c>
      <c r="N92" s="212">
        <f t="shared" si="45"/>
        <v>5.4</v>
      </c>
      <c r="O92" s="212">
        <f t="shared" si="46"/>
        <v>8.1</v>
      </c>
      <c r="P92" s="212">
        <f t="shared" si="47"/>
        <v>1.35</v>
      </c>
      <c r="Q92" s="212"/>
      <c r="R92" s="212"/>
      <c r="S92" s="220" t="s">
        <v>2550</v>
      </c>
      <c r="T92" s="220" t="s">
        <v>2551</v>
      </c>
      <c r="U92" s="220"/>
      <c r="V92" s="113"/>
      <c r="W92" s="113"/>
      <c r="X92" s="113"/>
      <c r="Y92" s="113"/>
      <c r="Z92" s="113" t="s">
        <v>1474</v>
      </c>
    </row>
    <row r="93" ht="23.25" customHeight="1" spans="1:26">
      <c r="A93" s="212"/>
      <c r="B93" s="71" t="s">
        <v>2518</v>
      </c>
      <c r="C93" s="71" t="s">
        <v>320</v>
      </c>
      <c r="D93" s="71" t="s">
        <v>147</v>
      </c>
      <c r="E93" s="212">
        <v>4</v>
      </c>
      <c r="F93" s="212">
        <v>4</v>
      </c>
      <c r="G93" s="212">
        <v>4</v>
      </c>
      <c r="H93" s="212">
        <v>2018</v>
      </c>
      <c r="I93" s="212">
        <v>2020</v>
      </c>
      <c r="J93" s="212">
        <f t="shared" si="42"/>
        <v>6.6</v>
      </c>
      <c r="K93" s="212">
        <f t="shared" ref="K93:M93" si="52">E93*0.55</f>
        <v>2.2</v>
      </c>
      <c r="L93" s="212">
        <f t="shared" si="52"/>
        <v>2.2</v>
      </c>
      <c r="M93" s="212">
        <f t="shared" si="52"/>
        <v>2.2</v>
      </c>
      <c r="N93" s="212">
        <f t="shared" si="45"/>
        <v>2.4</v>
      </c>
      <c r="O93" s="212">
        <f t="shared" si="46"/>
        <v>3.6</v>
      </c>
      <c r="P93" s="212">
        <f t="shared" si="47"/>
        <v>0.6</v>
      </c>
      <c r="Q93" s="212"/>
      <c r="R93" s="212"/>
      <c r="S93" s="220" t="s">
        <v>2552</v>
      </c>
      <c r="T93" s="220" t="s">
        <v>2553</v>
      </c>
      <c r="U93" s="220"/>
      <c r="V93" s="113"/>
      <c r="W93" s="113"/>
      <c r="X93" s="113"/>
      <c r="Y93" s="113"/>
      <c r="Z93" s="113" t="s">
        <v>1474</v>
      </c>
    </row>
    <row r="94" ht="23.25" customHeight="1" spans="1:26">
      <c r="A94" s="212"/>
      <c r="B94" s="71" t="s">
        <v>2521</v>
      </c>
      <c r="C94" s="71" t="s">
        <v>320</v>
      </c>
      <c r="D94" s="71" t="s">
        <v>147</v>
      </c>
      <c r="E94" s="212">
        <v>6</v>
      </c>
      <c r="F94" s="212">
        <v>6</v>
      </c>
      <c r="G94" s="212">
        <v>6</v>
      </c>
      <c r="H94" s="212">
        <v>2018</v>
      </c>
      <c r="I94" s="212">
        <v>2020</v>
      </c>
      <c r="J94" s="212">
        <f t="shared" si="42"/>
        <v>9.9</v>
      </c>
      <c r="K94" s="212">
        <f t="shared" ref="K94:M94" si="53">E94*0.55</f>
        <v>3.3</v>
      </c>
      <c r="L94" s="212">
        <f t="shared" si="53"/>
        <v>3.3</v>
      </c>
      <c r="M94" s="212">
        <f t="shared" si="53"/>
        <v>3.3</v>
      </c>
      <c r="N94" s="212">
        <f t="shared" si="45"/>
        <v>3.6</v>
      </c>
      <c r="O94" s="212">
        <f t="shared" si="46"/>
        <v>5.4</v>
      </c>
      <c r="P94" s="212">
        <f t="shared" si="47"/>
        <v>0.9</v>
      </c>
      <c r="Q94" s="212"/>
      <c r="R94" s="212"/>
      <c r="S94" s="220" t="s">
        <v>2522</v>
      </c>
      <c r="T94" s="220" t="s">
        <v>2523</v>
      </c>
      <c r="U94" s="220"/>
      <c r="V94" s="113"/>
      <c r="W94" s="113"/>
      <c r="X94" s="113"/>
      <c r="Y94" s="113"/>
      <c r="Z94" s="113" t="s">
        <v>1474</v>
      </c>
    </row>
    <row r="95" ht="23.25" customHeight="1" spans="1:26">
      <c r="A95" s="212"/>
      <c r="B95" s="221" t="s">
        <v>2526</v>
      </c>
      <c r="C95" s="71" t="s">
        <v>320</v>
      </c>
      <c r="D95" s="71" t="s">
        <v>147</v>
      </c>
      <c r="E95" s="212">
        <v>2</v>
      </c>
      <c r="F95" s="212">
        <v>2</v>
      </c>
      <c r="G95" s="212">
        <v>2</v>
      </c>
      <c r="H95" s="212">
        <v>2018</v>
      </c>
      <c r="I95" s="212">
        <v>2020</v>
      </c>
      <c r="J95" s="212">
        <f t="shared" si="42"/>
        <v>3.3</v>
      </c>
      <c r="K95" s="212">
        <f t="shared" ref="K95:M95" si="54">E95*0.55</f>
        <v>1.1</v>
      </c>
      <c r="L95" s="212">
        <f t="shared" si="54"/>
        <v>1.1</v>
      </c>
      <c r="M95" s="212">
        <f t="shared" si="54"/>
        <v>1.1</v>
      </c>
      <c r="N95" s="212">
        <f t="shared" si="45"/>
        <v>1.2</v>
      </c>
      <c r="O95" s="212">
        <f t="shared" si="46"/>
        <v>1.8</v>
      </c>
      <c r="P95" s="212">
        <f t="shared" si="47"/>
        <v>0.3</v>
      </c>
      <c r="Q95" s="212"/>
      <c r="R95" s="212"/>
      <c r="S95" s="220" t="s">
        <v>2554</v>
      </c>
      <c r="T95" s="220" t="s">
        <v>2555</v>
      </c>
      <c r="U95" s="220"/>
      <c r="V95" s="113"/>
      <c r="W95" s="113"/>
      <c r="X95" s="113"/>
      <c r="Y95" s="113"/>
      <c r="Z95" s="113" t="s">
        <v>1474</v>
      </c>
    </row>
    <row r="96" ht="23.25" customHeight="1" spans="1:26">
      <c r="A96" s="212"/>
      <c r="B96" s="71" t="s">
        <v>2529</v>
      </c>
      <c r="C96" s="71" t="s">
        <v>320</v>
      </c>
      <c r="D96" s="71" t="s">
        <v>147</v>
      </c>
      <c r="E96" s="212">
        <v>1</v>
      </c>
      <c r="F96" s="212">
        <v>1</v>
      </c>
      <c r="G96" s="212">
        <v>1</v>
      </c>
      <c r="H96" s="212">
        <v>2018</v>
      </c>
      <c r="I96" s="212">
        <v>2020</v>
      </c>
      <c r="J96" s="212">
        <f t="shared" si="42"/>
        <v>1.65</v>
      </c>
      <c r="K96" s="212">
        <f t="shared" ref="K96:M96" si="55">E96*0.55</f>
        <v>0.55</v>
      </c>
      <c r="L96" s="212">
        <f t="shared" si="55"/>
        <v>0.55</v>
      </c>
      <c r="M96" s="212">
        <f t="shared" si="55"/>
        <v>0.55</v>
      </c>
      <c r="N96" s="212">
        <f t="shared" si="45"/>
        <v>0.6</v>
      </c>
      <c r="O96" s="212">
        <f t="shared" si="46"/>
        <v>0.9</v>
      </c>
      <c r="P96" s="212">
        <f t="shared" si="47"/>
        <v>0.15</v>
      </c>
      <c r="Q96" s="212"/>
      <c r="R96" s="212"/>
      <c r="S96" s="220" t="s">
        <v>2556</v>
      </c>
      <c r="T96" s="220" t="s">
        <v>2557</v>
      </c>
      <c r="U96" s="220"/>
      <c r="V96" s="113"/>
      <c r="W96" s="113"/>
      <c r="X96" s="113"/>
      <c r="Y96" s="113"/>
      <c r="Z96" s="113" t="s">
        <v>1474</v>
      </c>
    </row>
    <row r="97" ht="23.25" customHeight="1" spans="1:26">
      <c r="A97" s="212"/>
      <c r="B97" s="71" t="s">
        <v>2532</v>
      </c>
      <c r="C97" s="71" t="s">
        <v>320</v>
      </c>
      <c r="D97" s="71" t="s">
        <v>147</v>
      </c>
      <c r="E97" s="212">
        <v>1</v>
      </c>
      <c r="F97" s="212">
        <v>1</v>
      </c>
      <c r="G97" s="212">
        <v>1</v>
      </c>
      <c r="H97" s="212">
        <v>2018</v>
      </c>
      <c r="I97" s="212">
        <v>2020</v>
      </c>
      <c r="J97" s="212">
        <f t="shared" si="42"/>
        <v>1.65</v>
      </c>
      <c r="K97" s="212">
        <f t="shared" ref="K97:M97" si="56">E97*0.55</f>
        <v>0.55</v>
      </c>
      <c r="L97" s="212">
        <f t="shared" si="56"/>
        <v>0.55</v>
      </c>
      <c r="M97" s="212">
        <f t="shared" si="56"/>
        <v>0.55</v>
      </c>
      <c r="N97" s="212">
        <f t="shared" si="45"/>
        <v>0.6</v>
      </c>
      <c r="O97" s="212">
        <f t="shared" si="46"/>
        <v>0.9</v>
      </c>
      <c r="P97" s="212">
        <f t="shared" si="47"/>
        <v>0.15</v>
      </c>
      <c r="Q97" s="212"/>
      <c r="R97" s="212"/>
      <c r="S97" s="220" t="s">
        <v>2533</v>
      </c>
      <c r="T97" s="220" t="s">
        <v>2534</v>
      </c>
      <c r="U97" s="220"/>
      <c r="V97" s="113"/>
      <c r="W97" s="113"/>
      <c r="X97" s="113"/>
      <c r="Y97" s="113"/>
      <c r="Z97" s="113" t="s">
        <v>1474</v>
      </c>
    </row>
    <row r="98" ht="23.25" customHeight="1" spans="1:26">
      <c r="A98" s="212">
        <v>13</v>
      </c>
      <c r="B98" s="71" t="s">
        <v>323</v>
      </c>
      <c r="C98" s="71" t="s">
        <v>320</v>
      </c>
      <c r="D98" s="71" t="s">
        <v>147</v>
      </c>
      <c r="E98" s="212">
        <f t="shared" ref="E98:G98" si="57">SUM(E99:E120)</f>
        <v>106</v>
      </c>
      <c r="F98" s="212">
        <f t="shared" si="57"/>
        <v>105</v>
      </c>
      <c r="G98" s="212">
        <f t="shared" si="57"/>
        <v>106</v>
      </c>
      <c r="H98" s="212">
        <v>2018</v>
      </c>
      <c r="I98" s="212">
        <v>2020</v>
      </c>
      <c r="J98" s="212">
        <f t="shared" si="42"/>
        <v>130.65</v>
      </c>
      <c r="K98" s="212">
        <f t="shared" ref="K98:P98" si="58">SUM(K99:K120)</f>
        <v>43.55</v>
      </c>
      <c r="L98" s="212">
        <f t="shared" si="58"/>
        <v>43.55</v>
      </c>
      <c r="M98" s="212">
        <f t="shared" si="58"/>
        <v>43.55</v>
      </c>
      <c r="N98" s="212">
        <f t="shared" si="58"/>
        <v>43.35</v>
      </c>
      <c r="O98" s="212">
        <f t="shared" si="58"/>
        <v>39.6</v>
      </c>
      <c r="P98" s="212">
        <f t="shared" si="58"/>
        <v>47.7</v>
      </c>
      <c r="Q98" s="212"/>
      <c r="R98" s="212"/>
      <c r="S98" s="220" t="s">
        <v>2501</v>
      </c>
      <c r="T98" s="220" t="s">
        <v>2535</v>
      </c>
      <c r="U98" s="220" t="s">
        <v>294</v>
      </c>
      <c r="V98" s="113"/>
      <c r="W98" s="113"/>
      <c r="X98" s="113"/>
      <c r="Y98" s="113"/>
      <c r="Z98" s="113" t="s">
        <v>1474</v>
      </c>
    </row>
    <row r="99" ht="23.25" customHeight="1" spans="1:26">
      <c r="A99" s="212"/>
      <c r="B99" s="71" t="s">
        <v>2558</v>
      </c>
      <c r="C99" s="71" t="s">
        <v>320</v>
      </c>
      <c r="D99" s="71" t="s">
        <v>147</v>
      </c>
      <c r="E99" s="212">
        <v>3</v>
      </c>
      <c r="F99" s="212">
        <v>3</v>
      </c>
      <c r="G99" s="212">
        <v>3</v>
      </c>
      <c r="H99" s="212">
        <v>2018</v>
      </c>
      <c r="I99" s="212">
        <v>2020</v>
      </c>
      <c r="J99" s="212">
        <f t="shared" si="42"/>
        <v>5.4</v>
      </c>
      <c r="K99" s="212">
        <f t="shared" ref="K99:M99" si="59">E99*0.6</f>
        <v>1.8</v>
      </c>
      <c r="L99" s="212">
        <f t="shared" si="59"/>
        <v>1.8</v>
      </c>
      <c r="M99" s="212">
        <f t="shared" si="59"/>
        <v>1.8</v>
      </c>
      <c r="N99" s="212">
        <f t="shared" ref="N99:N104" si="60">E99*0.15*3</f>
        <v>1.35</v>
      </c>
      <c r="O99" s="212">
        <f t="shared" ref="O99:O110" si="61">E99*0.3*3</f>
        <v>2.7</v>
      </c>
      <c r="P99" s="212">
        <f t="shared" ref="P99:P120" si="62">E99*0.15*3</f>
        <v>1.35</v>
      </c>
      <c r="Q99" s="212"/>
      <c r="R99" s="212"/>
      <c r="S99" s="220" t="s">
        <v>2546</v>
      </c>
      <c r="T99" s="220" t="s">
        <v>2547</v>
      </c>
      <c r="U99" s="220"/>
      <c r="V99" s="113"/>
      <c r="W99" s="113"/>
      <c r="X99" s="113"/>
      <c r="Y99" s="113"/>
      <c r="Z99" s="113" t="s">
        <v>1474</v>
      </c>
    </row>
    <row r="100" ht="23.25" customHeight="1" spans="1:26">
      <c r="A100" s="212"/>
      <c r="B100" s="222" t="s">
        <v>2559</v>
      </c>
      <c r="C100" s="71" t="s">
        <v>320</v>
      </c>
      <c r="D100" s="222" t="s">
        <v>147</v>
      </c>
      <c r="E100" s="223">
        <v>1</v>
      </c>
      <c r="F100" s="223">
        <v>1</v>
      </c>
      <c r="G100" s="223">
        <v>1</v>
      </c>
      <c r="H100" s="212">
        <v>2018</v>
      </c>
      <c r="I100" s="212">
        <v>2020</v>
      </c>
      <c r="J100" s="212">
        <f t="shared" si="42"/>
        <v>1.8</v>
      </c>
      <c r="K100" s="212">
        <f t="shared" ref="K100:M100" si="63">E100*0.6</f>
        <v>0.6</v>
      </c>
      <c r="L100" s="212">
        <f t="shared" si="63"/>
        <v>0.6</v>
      </c>
      <c r="M100" s="212">
        <f t="shared" si="63"/>
        <v>0.6</v>
      </c>
      <c r="N100" s="212">
        <f t="shared" si="60"/>
        <v>0.45</v>
      </c>
      <c r="O100" s="212">
        <f t="shared" si="61"/>
        <v>0.9</v>
      </c>
      <c r="P100" s="212">
        <f t="shared" si="62"/>
        <v>0.45</v>
      </c>
      <c r="Q100" s="212"/>
      <c r="R100" s="212"/>
      <c r="S100" s="220" t="s">
        <v>2548</v>
      </c>
      <c r="T100" s="220" t="s">
        <v>2549</v>
      </c>
      <c r="U100" s="220"/>
      <c r="V100" s="113"/>
      <c r="W100" s="113"/>
      <c r="X100" s="113"/>
      <c r="Y100" s="113"/>
      <c r="Z100" s="113" t="s">
        <v>1474</v>
      </c>
    </row>
    <row r="101" ht="23.25" customHeight="1" spans="1:26">
      <c r="A101" s="212"/>
      <c r="B101" s="222" t="s">
        <v>2560</v>
      </c>
      <c r="C101" s="71" t="s">
        <v>320</v>
      </c>
      <c r="D101" s="222" t="s">
        <v>147</v>
      </c>
      <c r="E101" s="223">
        <v>5</v>
      </c>
      <c r="F101" s="223">
        <v>5</v>
      </c>
      <c r="G101" s="223">
        <v>5</v>
      </c>
      <c r="H101" s="212">
        <v>2018</v>
      </c>
      <c r="I101" s="212">
        <v>2020</v>
      </c>
      <c r="J101" s="212">
        <f t="shared" si="42"/>
        <v>9</v>
      </c>
      <c r="K101" s="212">
        <f t="shared" ref="K101:M101" si="64">E101*0.6</f>
        <v>3</v>
      </c>
      <c r="L101" s="212">
        <f t="shared" si="64"/>
        <v>3</v>
      </c>
      <c r="M101" s="212">
        <f t="shared" si="64"/>
        <v>3</v>
      </c>
      <c r="N101" s="212">
        <f t="shared" si="60"/>
        <v>2.25</v>
      </c>
      <c r="O101" s="212">
        <f t="shared" si="61"/>
        <v>4.5</v>
      </c>
      <c r="P101" s="212">
        <f t="shared" si="62"/>
        <v>2.25</v>
      </c>
      <c r="Q101" s="212"/>
      <c r="R101" s="212"/>
      <c r="S101" s="220" t="s">
        <v>2504</v>
      </c>
      <c r="T101" s="220" t="s">
        <v>2505</v>
      </c>
      <c r="U101" s="220"/>
      <c r="V101" s="113"/>
      <c r="W101" s="113"/>
      <c r="X101" s="113"/>
      <c r="Y101" s="113"/>
      <c r="Z101" s="113" t="s">
        <v>1474</v>
      </c>
    </row>
    <row r="102" ht="23.25" customHeight="1" spans="1:26">
      <c r="A102" s="212"/>
      <c r="B102" s="222" t="s">
        <v>2561</v>
      </c>
      <c r="C102" s="71" t="s">
        <v>320</v>
      </c>
      <c r="D102" s="222" t="s">
        <v>147</v>
      </c>
      <c r="E102" s="223">
        <v>5</v>
      </c>
      <c r="F102" s="223">
        <v>5</v>
      </c>
      <c r="G102" s="223">
        <v>5</v>
      </c>
      <c r="H102" s="212">
        <v>2018</v>
      </c>
      <c r="I102" s="212">
        <v>2020</v>
      </c>
      <c r="J102" s="212">
        <f t="shared" si="42"/>
        <v>9</v>
      </c>
      <c r="K102" s="212">
        <f t="shared" ref="K102:M102" si="65">E102*0.6</f>
        <v>3</v>
      </c>
      <c r="L102" s="212">
        <f t="shared" si="65"/>
        <v>3</v>
      </c>
      <c r="M102" s="212">
        <f t="shared" si="65"/>
        <v>3</v>
      </c>
      <c r="N102" s="212">
        <f t="shared" si="60"/>
        <v>2.25</v>
      </c>
      <c r="O102" s="212">
        <f t="shared" si="61"/>
        <v>4.5</v>
      </c>
      <c r="P102" s="212">
        <f t="shared" si="62"/>
        <v>2.25</v>
      </c>
      <c r="Q102" s="212"/>
      <c r="R102" s="212"/>
      <c r="S102" s="220" t="s">
        <v>2550</v>
      </c>
      <c r="T102" s="220" t="s">
        <v>2551</v>
      </c>
      <c r="U102" s="220"/>
      <c r="V102" s="113"/>
      <c r="W102" s="113"/>
      <c r="X102" s="113"/>
      <c r="Y102" s="113"/>
      <c r="Z102" s="113" t="s">
        <v>1474</v>
      </c>
    </row>
    <row r="103" ht="23.25" customHeight="1" spans="1:26">
      <c r="A103" s="212"/>
      <c r="B103" s="222" t="s">
        <v>2562</v>
      </c>
      <c r="C103" s="71" t="s">
        <v>320</v>
      </c>
      <c r="D103" s="222" t="s">
        <v>147</v>
      </c>
      <c r="E103" s="223">
        <v>1</v>
      </c>
      <c r="F103" s="223">
        <v>1</v>
      </c>
      <c r="G103" s="223">
        <v>1</v>
      </c>
      <c r="H103" s="212">
        <v>2018</v>
      </c>
      <c r="I103" s="212">
        <v>2020</v>
      </c>
      <c r="J103" s="212">
        <f t="shared" si="42"/>
        <v>1.8</v>
      </c>
      <c r="K103" s="212">
        <f t="shared" ref="K103:M103" si="66">E103*0.6</f>
        <v>0.6</v>
      </c>
      <c r="L103" s="212">
        <f t="shared" si="66"/>
        <v>0.6</v>
      </c>
      <c r="M103" s="212">
        <f t="shared" si="66"/>
        <v>0.6</v>
      </c>
      <c r="N103" s="212">
        <f t="shared" si="60"/>
        <v>0.45</v>
      </c>
      <c r="O103" s="212">
        <f t="shared" si="61"/>
        <v>0.9</v>
      </c>
      <c r="P103" s="212">
        <f t="shared" si="62"/>
        <v>0.45</v>
      </c>
      <c r="Q103" s="212"/>
      <c r="R103" s="212"/>
      <c r="S103" s="220" t="s">
        <v>2530</v>
      </c>
      <c r="T103" s="220" t="s">
        <v>2563</v>
      </c>
      <c r="U103" s="220"/>
      <c r="V103" s="113"/>
      <c r="W103" s="113"/>
      <c r="X103" s="113"/>
      <c r="Y103" s="113"/>
      <c r="Z103" s="113" t="s">
        <v>1474</v>
      </c>
    </row>
    <row r="104" ht="23.25" customHeight="1" spans="1:26">
      <c r="A104" s="212"/>
      <c r="B104" s="222" t="s">
        <v>2564</v>
      </c>
      <c r="C104" s="71" t="s">
        <v>320</v>
      </c>
      <c r="D104" s="222" t="s">
        <v>147</v>
      </c>
      <c r="E104" s="223">
        <v>3</v>
      </c>
      <c r="F104" s="223">
        <v>3</v>
      </c>
      <c r="G104" s="223">
        <v>3</v>
      </c>
      <c r="H104" s="212">
        <v>2018</v>
      </c>
      <c r="I104" s="212">
        <v>2020</v>
      </c>
      <c r="J104" s="212">
        <f t="shared" si="42"/>
        <v>5.4</v>
      </c>
      <c r="K104" s="212">
        <f t="shared" ref="K104:M104" si="67">E104*0.6</f>
        <v>1.8</v>
      </c>
      <c r="L104" s="212">
        <f t="shared" si="67"/>
        <v>1.8</v>
      </c>
      <c r="M104" s="212">
        <f t="shared" si="67"/>
        <v>1.8</v>
      </c>
      <c r="N104" s="212">
        <f t="shared" si="60"/>
        <v>1.35</v>
      </c>
      <c r="O104" s="212">
        <f t="shared" si="61"/>
        <v>2.7</v>
      </c>
      <c r="P104" s="212">
        <f t="shared" si="62"/>
        <v>1.35</v>
      </c>
      <c r="Q104" s="212"/>
      <c r="R104" s="212"/>
      <c r="S104" s="220" t="s">
        <v>2524</v>
      </c>
      <c r="T104" s="220" t="s">
        <v>2525</v>
      </c>
      <c r="U104" s="220"/>
      <c r="V104" s="113"/>
      <c r="W104" s="113"/>
      <c r="X104" s="113"/>
      <c r="Y104" s="113"/>
      <c r="Z104" s="113" t="s">
        <v>1474</v>
      </c>
    </row>
    <row r="105" ht="23.25" customHeight="1" spans="1:26">
      <c r="A105" s="212"/>
      <c r="B105" s="71" t="s">
        <v>2565</v>
      </c>
      <c r="C105" s="71" t="s">
        <v>320</v>
      </c>
      <c r="D105" s="71" t="s">
        <v>147</v>
      </c>
      <c r="E105" s="212">
        <v>1</v>
      </c>
      <c r="F105" s="212">
        <v>1</v>
      </c>
      <c r="G105" s="212">
        <v>1</v>
      </c>
      <c r="H105" s="212">
        <v>2018</v>
      </c>
      <c r="I105" s="212">
        <v>2020</v>
      </c>
      <c r="J105" s="212">
        <f t="shared" si="42"/>
        <v>1.65</v>
      </c>
      <c r="K105" s="212">
        <f t="shared" ref="K105:M105" si="68">E105*0.55</f>
        <v>0.55</v>
      </c>
      <c r="L105" s="212">
        <f t="shared" si="68"/>
        <v>0.55</v>
      </c>
      <c r="M105" s="212">
        <f t="shared" si="68"/>
        <v>0.55</v>
      </c>
      <c r="N105" s="212">
        <f t="shared" ref="N105:N110" si="69">E105*0.1*3</f>
        <v>0.3</v>
      </c>
      <c r="O105" s="212">
        <f t="shared" si="61"/>
        <v>0.9</v>
      </c>
      <c r="P105" s="212">
        <f t="shared" si="62"/>
        <v>0.45</v>
      </c>
      <c r="Q105" s="212"/>
      <c r="R105" s="212"/>
      <c r="S105" s="220" t="s">
        <v>2554</v>
      </c>
      <c r="T105" s="220" t="s">
        <v>2555</v>
      </c>
      <c r="U105" s="220"/>
      <c r="V105" s="113"/>
      <c r="W105" s="113"/>
      <c r="X105" s="113"/>
      <c r="Y105" s="113"/>
      <c r="Z105" s="113" t="s">
        <v>1474</v>
      </c>
    </row>
    <row r="106" ht="23.25" customHeight="1" spans="1:26">
      <c r="A106" s="212"/>
      <c r="B106" s="71" t="s">
        <v>2566</v>
      </c>
      <c r="C106" s="71" t="s">
        <v>320</v>
      </c>
      <c r="D106" s="224" t="s">
        <v>147</v>
      </c>
      <c r="E106" s="225">
        <v>7</v>
      </c>
      <c r="F106" s="225">
        <v>7</v>
      </c>
      <c r="G106" s="225">
        <v>7</v>
      </c>
      <c r="H106" s="212">
        <v>2018</v>
      </c>
      <c r="I106" s="212">
        <v>2020</v>
      </c>
      <c r="J106" s="212">
        <f t="shared" si="42"/>
        <v>11.55</v>
      </c>
      <c r="K106" s="212">
        <f t="shared" ref="K106:M106" si="70">E106*0.55</f>
        <v>3.85</v>
      </c>
      <c r="L106" s="212">
        <f t="shared" si="70"/>
        <v>3.85</v>
      </c>
      <c r="M106" s="212">
        <f t="shared" si="70"/>
        <v>3.85</v>
      </c>
      <c r="N106" s="212">
        <f t="shared" si="69"/>
        <v>2.1</v>
      </c>
      <c r="O106" s="212">
        <f t="shared" si="61"/>
        <v>6.3</v>
      </c>
      <c r="P106" s="212">
        <f t="shared" si="62"/>
        <v>3.15</v>
      </c>
      <c r="Q106" s="212"/>
      <c r="R106" s="212"/>
      <c r="S106" s="220" t="s">
        <v>2544</v>
      </c>
      <c r="T106" s="220" t="s">
        <v>2545</v>
      </c>
      <c r="U106" s="220"/>
      <c r="V106" s="113"/>
      <c r="W106" s="113"/>
      <c r="X106" s="113"/>
      <c r="Y106" s="113"/>
      <c r="Z106" s="113" t="s">
        <v>1474</v>
      </c>
    </row>
    <row r="107" ht="23.25" customHeight="1" spans="1:26">
      <c r="A107" s="212"/>
      <c r="B107" s="226" t="s">
        <v>2567</v>
      </c>
      <c r="C107" s="71" t="s">
        <v>320</v>
      </c>
      <c r="D107" s="224" t="s">
        <v>147</v>
      </c>
      <c r="E107" s="225">
        <v>6</v>
      </c>
      <c r="F107" s="225">
        <v>6</v>
      </c>
      <c r="G107" s="225">
        <v>6</v>
      </c>
      <c r="H107" s="212">
        <v>2018</v>
      </c>
      <c r="I107" s="212">
        <v>2020</v>
      </c>
      <c r="J107" s="212">
        <f t="shared" si="42"/>
        <v>9.9</v>
      </c>
      <c r="K107" s="212">
        <f t="shared" ref="K107:M107" si="71">E107*0.55</f>
        <v>3.3</v>
      </c>
      <c r="L107" s="212">
        <f t="shared" si="71"/>
        <v>3.3</v>
      </c>
      <c r="M107" s="212">
        <f t="shared" si="71"/>
        <v>3.3</v>
      </c>
      <c r="N107" s="212">
        <f t="shared" si="69"/>
        <v>1.8</v>
      </c>
      <c r="O107" s="212">
        <f t="shared" si="61"/>
        <v>5.4</v>
      </c>
      <c r="P107" s="212">
        <f t="shared" si="62"/>
        <v>2.7</v>
      </c>
      <c r="Q107" s="212"/>
      <c r="R107" s="212"/>
      <c r="S107" s="220" t="s">
        <v>2548</v>
      </c>
      <c r="T107" s="220" t="s">
        <v>2549</v>
      </c>
      <c r="U107" s="220"/>
      <c r="V107" s="113"/>
      <c r="W107" s="113"/>
      <c r="X107" s="113"/>
      <c r="Y107" s="113"/>
      <c r="Z107" s="113" t="s">
        <v>1474</v>
      </c>
    </row>
    <row r="108" ht="23.25" customHeight="1" spans="1:26">
      <c r="A108" s="212"/>
      <c r="B108" s="71" t="s">
        <v>2568</v>
      </c>
      <c r="C108" s="71" t="s">
        <v>320</v>
      </c>
      <c r="D108" s="71" t="s">
        <v>147</v>
      </c>
      <c r="E108" s="212">
        <v>2</v>
      </c>
      <c r="F108" s="212">
        <v>2</v>
      </c>
      <c r="G108" s="212">
        <v>2</v>
      </c>
      <c r="H108" s="212">
        <v>2018</v>
      </c>
      <c r="I108" s="212">
        <v>2020</v>
      </c>
      <c r="J108" s="212">
        <f t="shared" si="42"/>
        <v>3.3</v>
      </c>
      <c r="K108" s="212">
        <f t="shared" ref="K108:M108" si="72">E108*0.55</f>
        <v>1.1</v>
      </c>
      <c r="L108" s="212">
        <f t="shared" si="72"/>
        <v>1.1</v>
      </c>
      <c r="M108" s="212">
        <f t="shared" si="72"/>
        <v>1.1</v>
      </c>
      <c r="N108" s="212">
        <f t="shared" si="69"/>
        <v>0.6</v>
      </c>
      <c r="O108" s="212">
        <f t="shared" si="61"/>
        <v>1.8</v>
      </c>
      <c r="P108" s="212">
        <f t="shared" si="62"/>
        <v>0.9</v>
      </c>
      <c r="Q108" s="212"/>
      <c r="R108" s="212"/>
      <c r="S108" s="220" t="s">
        <v>2552</v>
      </c>
      <c r="T108" s="220" t="s">
        <v>2553</v>
      </c>
      <c r="U108" s="220"/>
      <c r="V108" s="113"/>
      <c r="W108" s="113"/>
      <c r="X108" s="113"/>
      <c r="Y108" s="113"/>
      <c r="Z108" s="113" t="s">
        <v>1474</v>
      </c>
    </row>
    <row r="109" ht="23.25" customHeight="1" spans="1:26">
      <c r="A109" s="212"/>
      <c r="B109" s="71" t="s">
        <v>2569</v>
      </c>
      <c r="C109" s="71" t="s">
        <v>320</v>
      </c>
      <c r="D109" s="71" t="s">
        <v>147</v>
      </c>
      <c r="E109" s="212">
        <v>3</v>
      </c>
      <c r="F109" s="212">
        <v>3</v>
      </c>
      <c r="G109" s="212">
        <v>3</v>
      </c>
      <c r="H109" s="212">
        <v>2018</v>
      </c>
      <c r="I109" s="212">
        <v>2020</v>
      </c>
      <c r="J109" s="212">
        <f t="shared" si="42"/>
        <v>4.95</v>
      </c>
      <c r="K109" s="212">
        <f t="shared" ref="K109:M109" si="73">E109*0.55</f>
        <v>1.65</v>
      </c>
      <c r="L109" s="212">
        <f t="shared" si="73"/>
        <v>1.65</v>
      </c>
      <c r="M109" s="212">
        <f t="shared" si="73"/>
        <v>1.65</v>
      </c>
      <c r="N109" s="212">
        <f t="shared" si="69"/>
        <v>0.9</v>
      </c>
      <c r="O109" s="212">
        <f t="shared" si="61"/>
        <v>2.7</v>
      </c>
      <c r="P109" s="212">
        <f t="shared" si="62"/>
        <v>1.35</v>
      </c>
      <c r="Q109" s="212"/>
      <c r="R109" s="212"/>
      <c r="S109" s="220" t="s">
        <v>2504</v>
      </c>
      <c r="T109" s="220" t="s">
        <v>2505</v>
      </c>
      <c r="U109" s="220"/>
      <c r="V109" s="113"/>
      <c r="W109" s="113"/>
      <c r="X109" s="113"/>
      <c r="Y109" s="113"/>
      <c r="Z109" s="113" t="s">
        <v>1474</v>
      </c>
    </row>
    <row r="110" ht="23.25" customHeight="1" spans="1:26">
      <c r="A110" s="212"/>
      <c r="B110" s="71" t="s">
        <v>2570</v>
      </c>
      <c r="C110" s="71" t="s">
        <v>320</v>
      </c>
      <c r="D110" s="71" t="s">
        <v>147</v>
      </c>
      <c r="E110" s="212">
        <v>7</v>
      </c>
      <c r="F110" s="212">
        <v>7</v>
      </c>
      <c r="G110" s="212">
        <v>7</v>
      </c>
      <c r="H110" s="212">
        <v>2018</v>
      </c>
      <c r="I110" s="212">
        <v>2020</v>
      </c>
      <c r="J110" s="212">
        <f t="shared" si="42"/>
        <v>11.55</v>
      </c>
      <c r="K110" s="212">
        <f t="shared" ref="K110:M110" si="74">E110*0.55</f>
        <v>3.85</v>
      </c>
      <c r="L110" s="212">
        <f t="shared" si="74"/>
        <v>3.85</v>
      </c>
      <c r="M110" s="212">
        <f t="shared" si="74"/>
        <v>3.85</v>
      </c>
      <c r="N110" s="212">
        <f t="shared" si="69"/>
        <v>2.1</v>
      </c>
      <c r="O110" s="212">
        <f t="shared" si="61"/>
        <v>6.3</v>
      </c>
      <c r="P110" s="212">
        <f t="shared" si="62"/>
        <v>3.15</v>
      </c>
      <c r="Q110" s="212"/>
      <c r="R110" s="212"/>
      <c r="S110" s="220" t="s">
        <v>2550</v>
      </c>
      <c r="T110" s="220" t="s">
        <v>2551</v>
      </c>
      <c r="U110" s="220"/>
      <c r="V110" s="113"/>
      <c r="W110" s="113"/>
      <c r="X110" s="113"/>
      <c r="Y110" s="113"/>
      <c r="Z110" s="113" t="s">
        <v>1474</v>
      </c>
    </row>
    <row r="111" ht="23.25" customHeight="1" spans="1:26">
      <c r="A111" s="212"/>
      <c r="B111" s="71" t="s">
        <v>2571</v>
      </c>
      <c r="C111" s="71" t="s">
        <v>320</v>
      </c>
      <c r="D111" s="71" t="s">
        <v>147</v>
      </c>
      <c r="E111" s="212">
        <v>3</v>
      </c>
      <c r="F111" s="212">
        <v>3</v>
      </c>
      <c r="G111" s="212">
        <v>3</v>
      </c>
      <c r="H111" s="212">
        <v>2018</v>
      </c>
      <c r="I111" s="212">
        <v>2020</v>
      </c>
      <c r="J111" s="212">
        <f t="shared" si="42"/>
        <v>2.7</v>
      </c>
      <c r="K111" s="212">
        <f t="shared" ref="K111:K119" si="75">E111*0.3</f>
        <v>0.9</v>
      </c>
      <c r="L111" s="212">
        <f t="shared" ref="L111:L119" si="76">E111*0.3</f>
        <v>0.9</v>
      </c>
      <c r="M111" s="212">
        <f t="shared" ref="M111:M119" si="77">G111*0.3</f>
        <v>0.9</v>
      </c>
      <c r="N111" s="212">
        <f t="shared" ref="N111:N119" si="78">E111*0.15*3</f>
        <v>1.35</v>
      </c>
      <c r="O111" s="212"/>
      <c r="P111" s="212">
        <f t="shared" si="62"/>
        <v>1.35</v>
      </c>
      <c r="Q111" s="212"/>
      <c r="R111" s="212"/>
      <c r="S111" s="220" t="s">
        <v>2554</v>
      </c>
      <c r="T111" s="220" t="s">
        <v>2555</v>
      </c>
      <c r="U111" s="220"/>
      <c r="V111" s="113"/>
      <c r="W111" s="113"/>
      <c r="X111" s="113"/>
      <c r="Y111" s="113"/>
      <c r="Z111" s="113" t="s">
        <v>1474</v>
      </c>
    </row>
    <row r="112" ht="23.25" customHeight="1" spans="1:26">
      <c r="A112" s="212"/>
      <c r="B112" s="71" t="s">
        <v>2572</v>
      </c>
      <c r="C112" s="71" t="s">
        <v>320</v>
      </c>
      <c r="D112" s="71" t="s">
        <v>147</v>
      </c>
      <c r="E112" s="212">
        <v>10</v>
      </c>
      <c r="F112" s="212">
        <v>9</v>
      </c>
      <c r="G112" s="212">
        <v>10</v>
      </c>
      <c r="H112" s="212">
        <v>2018</v>
      </c>
      <c r="I112" s="212">
        <v>2020</v>
      </c>
      <c r="J112" s="212">
        <f t="shared" si="42"/>
        <v>9</v>
      </c>
      <c r="K112" s="212">
        <f t="shared" si="75"/>
        <v>3</v>
      </c>
      <c r="L112" s="212">
        <f t="shared" si="76"/>
        <v>3</v>
      </c>
      <c r="M112" s="212">
        <f t="shared" si="77"/>
        <v>3</v>
      </c>
      <c r="N112" s="212">
        <f t="shared" si="78"/>
        <v>4.5</v>
      </c>
      <c r="O112" s="212"/>
      <c r="P112" s="212">
        <f t="shared" si="62"/>
        <v>4.5</v>
      </c>
      <c r="Q112" s="212"/>
      <c r="R112" s="212"/>
      <c r="S112" s="220" t="s">
        <v>2519</v>
      </c>
      <c r="T112" s="220" t="s">
        <v>2520</v>
      </c>
      <c r="U112" s="220"/>
      <c r="V112" s="113"/>
      <c r="W112" s="113"/>
      <c r="X112" s="113"/>
      <c r="Y112" s="113"/>
      <c r="Z112" s="113" t="s">
        <v>1474</v>
      </c>
    </row>
    <row r="113" ht="23.25" customHeight="1" spans="1:26">
      <c r="A113" s="212"/>
      <c r="B113" s="71" t="s">
        <v>2573</v>
      </c>
      <c r="C113" s="71" t="s">
        <v>320</v>
      </c>
      <c r="D113" s="71" t="s">
        <v>147</v>
      </c>
      <c r="E113" s="212">
        <v>1</v>
      </c>
      <c r="F113" s="212">
        <v>1</v>
      </c>
      <c r="G113" s="212">
        <v>1</v>
      </c>
      <c r="H113" s="212">
        <v>2018</v>
      </c>
      <c r="I113" s="212">
        <v>2020</v>
      </c>
      <c r="J113" s="212">
        <f t="shared" si="42"/>
        <v>0.9</v>
      </c>
      <c r="K113" s="212">
        <f t="shared" si="75"/>
        <v>0.3</v>
      </c>
      <c r="L113" s="212">
        <f t="shared" si="76"/>
        <v>0.3</v>
      </c>
      <c r="M113" s="212">
        <f t="shared" si="77"/>
        <v>0.3</v>
      </c>
      <c r="N113" s="212">
        <f t="shared" si="78"/>
        <v>0.45</v>
      </c>
      <c r="O113" s="212"/>
      <c r="P113" s="212">
        <f t="shared" si="62"/>
        <v>0.45</v>
      </c>
      <c r="Q113" s="212"/>
      <c r="R113" s="212"/>
      <c r="S113" s="220" t="s">
        <v>2522</v>
      </c>
      <c r="T113" s="220" t="s">
        <v>2523</v>
      </c>
      <c r="U113" s="220"/>
      <c r="V113" s="113"/>
      <c r="W113" s="113"/>
      <c r="X113" s="113"/>
      <c r="Y113" s="113"/>
      <c r="Z113" s="113" t="s">
        <v>1474</v>
      </c>
    </row>
    <row r="114" ht="23.25" customHeight="1" spans="1:26">
      <c r="A114" s="212"/>
      <c r="B114" s="226" t="s">
        <v>2574</v>
      </c>
      <c r="C114" s="71" t="s">
        <v>320</v>
      </c>
      <c r="D114" s="224" t="s">
        <v>147</v>
      </c>
      <c r="E114" s="212">
        <v>7</v>
      </c>
      <c r="F114" s="212">
        <v>7</v>
      </c>
      <c r="G114" s="212">
        <v>7</v>
      </c>
      <c r="H114" s="212">
        <v>2018</v>
      </c>
      <c r="I114" s="212">
        <v>2020</v>
      </c>
      <c r="J114" s="212">
        <f t="shared" si="42"/>
        <v>6.3</v>
      </c>
      <c r="K114" s="212">
        <f t="shared" si="75"/>
        <v>2.1</v>
      </c>
      <c r="L114" s="212">
        <f t="shared" si="76"/>
        <v>2.1</v>
      </c>
      <c r="M114" s="212">
        <f t="shared" si="77"/>
        <v>2.1</v>
      </c>
      <c r="N114" s="212">
        <f t="shared" si="78"/>
        <v>3.15</v>
      </c>
      <c r="O114" s="212"/>
      <c r="P114" s="212">
        <f t="shared" si="62"/>
        <v>3.15</v>
      </c>
      <c r="Q114" s="212"/>
      <c r="R114" s="212"/>
      <c r="S114" s="220" t="s">
        <v>2548</v>
      </c>
      <c r="T114" s="220" t="s">
        <v>2549</v>
      </c>
      <c r="U114" s="220"/>
      <c r="V114" s="113"/>
      <c r="W114" s="113"/>
      <c r="X114" s="113"/>
      <c r="Y114" s="113"/>
      <c r="Z114" s="113" t="s">
        <v>1474</v>
      </c>
    </row>
    <row r="115" ht="23.25" customHeight="1" spans="1:26">
      <c r="A115" s="212"/>
      <c r="B115" s="226" t="s">
        <v>2575</v>
      </c>
      <c r="C115" s="71" t="s">
        <v>320</v>
      </c>
      <c r="D115" s="224" t="s">
        <v>147</v>
      </c>
      <c r="E115" s="212">
        <v>12</v>
      </c>
      <c r="F115" s="212">
        <v>12</v>
      </c>
      <c r="G115" s="212">
        <v>12</v>
      </c>
      <c r="H115" s="212">
        <v>2018</v>
      </c>
      <c r="I115" s="212">
        <v>2020</v>
      </c>
      <c r="J115" s="212">
        <f t="shared" si="42"/>
        <v>10.8</v>
      </c>
      <c r="K115" s="212">
        <f t="shared" si="75"/>
        <v>3.6</v>
      </c>
      <c r="L115" s="212">
        <f t="shared" si="76"/>
        <v>3.6</v>
      </c>
      <c r="M115" s="212">
        <f t="shared" si="77"/>
        <v>3.6</v>
      </c>
      <c r="N115" s="212">
        <f t="shared" si="78"/>
        <v>5.4</v>
      </c>
      <c r="O115" s="229"/>
      <c r="P115" s="212">
        <f t="shared" si="62"/>
        <v>5.4</v>
      </c>
      <c r="Q115" s="212"/>
      <c r="R115" s="212"/>
      <c r="S115" s="220" t="s">
        <v>2544</v>
      </c>
      <c r="T115" s="220" t="s">
        <v>2545</v>
      </c>
      <c r="U115" s="220"/>
      <c r="V115" s="113"/>
      <c r="W115" s="113"/>
      <c r="X115" s="113"/>
      <c r="Y115" s="113"/>
      <c r="Z115" s="113" t="s">
        <v>1474</v>
      </c>
    </row>
    <row r="116" ht="23.25" customHeight="1" spans="1:26">
      <c r="A116" s="212"/>
      <c r="B116" s="71" t="s">
        <v>2576</v>
      </c>
      <c r="C116" s="71" t="s">
        <v>320</v>
      </c>
      <c r="D116" s="71" t="s">
        <v>147</v>
      </c>
      <c r="E116" s="212">
        <v>12</v>
      </c>
      <c r="F116" s="212">
        <v>12</v>
      </c>
      <c r="G116" s="212">
        <v>12</v>
      </c>
      <c r="H116" s="212">
        <v>2018</v>
      </c>
      <c r="I116" s="212">
        <v>2020</v>
      </c>
      <c r="J116" s="212">
        <f t="shared" si="42"/>
        <v>10.8</v>
      </c>
      <c r="K116" s="212">
        <f t="shared" si="75"/>
        <v>3.6</v>
      </c>
      <c r="L116" s="212">
        <f t="shared" si="76"/>
        <v>3.6</v>
      </c>
      <c r="M116" s="212">
        <f t="shared" si="77"/>
        <v>3.6</v>
      </c>
      <c r="N116" s="212">
        <f t="shared" si="78"/>
        <v>5.4</v>
      </c>
      <c r="O116" s="229"/>
      <c r="P116" s="212">
        <f t="shared" si="62"/>
        <v>5.4</v>
      </c>
      <c r="Q116" s="212"/>
      <c r="R116" s="212"/>
      <c r="S116" s="220" t="s">
        <v>2546</v>
      </c>
      <c r="T116" s="220" t="s">
        <v>2547</v>
      </c>
      <c r="U116" s="220"/>
      <c r="V116" s="113"/>
      <c r="W116" s="113"/>
      <c r="X116" s="113"/>
      <c r="Y116" s="113"/>
      <c r="Z116" s="113" t="s">
        <v>1474</v>
      </c>
    </row>
    <row r="117" ht="23.25" customHeight="1" spans="1:26">
      <c r="A117" s="212"/>
      <c r="B117" s="71" t="s">
        <v>2577</v>
      </c>
      <c r="C117" s="71" t="s">
        <v>320</v>
      </c>
      <c r="D117" s="71" t="s">
        <v>147</v>
      </c>
      <c r="E117" s="212">
        <v>11</v>
      </c>
      <c r="F117" s="212">
        <v>11</v>
      </c>
      <c r="G117" s="212">
        <v>11</v>
      </c>
      <c r="H117" s="212">
        <v>2018</v>
      </c>
      <c r="I117" s="212">
        <v>2020</v>
      </c>
      <c r="J117" s="212">
        <f t="shared" si="42"/>
        <v>9.9</v>
      </c>
      <c r="K117" s="212">
        <f t="shared" si="75"/>
        <v>3.3</v>
      </c>
      <c r="L117" s="212">
        <f t="shared" si="76"/>
        <v>3.3</v>
      </c>
      <c r="M117" s="212">
        <f t="shared" si="77"/>
        <v>3.3</v>
      </c>
      <c r="N117" s="212">
        <f t="shared" si="78"/>
        <v>4.95</v>
      </c>
      <c r="O117" s="229"/>
      <c r="P117" s="212">
        <f t="shared" si="62"/>
        <v>4.95</v>
      </c>
      <c r="Q117" s="212"/>
      <c r="R117" s="212"/>
      <c r="S117" s="220" t="s">
        <v>2504</v>
      </c>
      <c r="T117" s="220" t="s">
        <v>2505</v>
      </c>
      <c r="U117" s="220"/>
      <c r="V117" s="113"/>
      <c r="W117" s="113"/>
      <c r="X117" s="113"/>
      <c r="Y117" s="113"/>
      <c r="Z117" s="113" t="s">
        <v>1474</v>
      </c>
    </row>
    <row r="118" ht="23.25" customHeight="1" spans="1:26">
      <c r="A118" s="212"/>
      <c r="B118" s="71" t="s">
        <v>2578</v>
      </c>
      <c r="C118" s="71" t="s">
        <v>320</v>
      </c>
      <c r="D118" s="71" t="s">
        <v>147</v>
      </c>
      <c r="E118" s="212">
        <v>4</v>
      </c>
      <c r="F118" s="212">
        <v>4</v>
      </c>
      <c r="G118" s="212">
        <v>4</v>
      </c>
      <c r="H118" s="212">
        <v>2018</v>
      </c>
      <c r="I118" s="212">
        <v>2020</v>
      </c>
      <c r="J118" s="212">
        <f t="shared" si="42"/>
        <v>3.6</v>
      </c>
      <c r="K118" s="212">
        <f t="shared" si="75"/>
        <v>1.2</v>
      </c>
      <c r="L118" s="212">
        <f t="shared" si="76"/>
        <v>1.2</v>
      </c>
      <c r="M118" s="212">
        <f t="shared" si="77"/>
        <v>1.2</v>
      </c>
      <c r="N118" s="212">
        <f t="shared" si="78"/>
        <v>1.8</v>
      </c>
      <c r="O118" s="229"/>
      <c r="P118" s="212">
        <f t="shared" si="62"/>
        <v>1.8</v>
      </c>
      <c r="Q118" s="212"/>
      <c r="R118" s="212"/>
      <c r="S118" s="220" t="s">
        <v>2550</v>
      </c>
      <c r="T118" s="220" t="s">
        <v>2551</v>
      </c>
      <c r="U118" s="220"/>
      <c r="V118" s="113"/>
      <c r="W118" s="113"/>
      <c r="X118" s="113"/>
      <c r="Y118" s="113"/>
      <c r="Z118" s="113" t="s">
        <v>1474</v>
      </c>
    </row>
    <row r="119" ht="23.25" customHeight="1" spans="1:26">
      <c r="A119" s="212"/>
      <c r="B119" s="71" t="s">
        <v>2579</v>
      </c>
      <c r="C119" s="71" t="s">
        <v>320</v>
      </c>
      <c r="D119" s="71" t="s">
        <v>147</v>
      </c>
      <c r="E119" s="212">
        <v>1</v>
      </c>
      <c r="F119" s="212">
        <v>1</v>
      </c>
      <c r="G119" s="212">
        <v>1</v>
      </c>
      <c r="H119" s="212">
        <v>2018</v>
      </c>
      <c r="I119" s="212">
        <v>2020</v>
      </c>
      <c r="J119" s="212">
        <f t="shared" si="42"/>
        <v>0.9</v>
      </c>
      <c r="K119" s="212">
        <f t="shared" si="75"/>
        <v>0.3</v>
      </c>
      <c r="L119" s="212">
        <f t="shared" si="76"/>
        <v>0.3</v>
      </c>
      <c r="M119" s="212">
        <f t="shared" si="77"/>
        <v>0.3</v>
      </c>
      <c r="N119" s="212">
        <f t="shared" si="78"/>
        <v>0.45</v>
      </c>
      <c r="O119" s="229"/>
      <c r="P119" s="212">
        <f t="shared" si="62"/>
        <v>0.45</v>
      </c>
      <c r="Q119" s="212"/>
      <c r="R119" s="212"/>
      <c r="S119" s="220" t="s">
        <v>2556</v>
      </c>
      <c r="T119" s="220" t="s">
        <v>2557</v>
      </c>
      <c r="U119" s="220"/>
      <c r="V119" s="113"/>
      <c r="W119" s="113"/>
      <c r="X119" s="113"/>
      <c r="Y119" s="113"/>
      <c r="Z119" s="113" t="s">
        <v>1474</v>
      </c>
    </row>
    <row r="120" ht="23.25" customHeight="1" spans="1:26">
      <c r="A120" s="224"/>
      <c r="B120" s="71" t="s">
        <v>2580</v>
      </c>
      <c r="C120" s="71" t="s">
        <v>320</v>
      </c>
      <c r="D120" s="224" t="s">
        <v>147</v>
      </c>
      <c r="E120" s="225">
        <v>1</v>
      </c>
      <c r="F120" s="225">
        <v>1</v>
      </c>
      <c r="G120" s="225">
        <v>1</v>
      </c>
      <c r="H120" s="212">
        <v>2018</v>
      </c>
      <c r="I120" s="212">
        <v>2020</v>
      </c>
      <c r="J120" s="229">
        <f t="shared" si="42"/>
        <v>0.45</v>
      </c>
      <c r="K120" s="230">
        <f t="shared" ref="K120:M120" si="79">E120*0.15</f>
        <v>0.15</v>
      </c>
      <c r="L120" s="230">
        <f t="shared" si="79"/>
        <v>0.15</v>
      </c>
      <c r="M120" s="230">
        <f t="shared" si="79"/>
        <v>0.15</v>
      </c>
      <c r="N120" s="230"/>
      <c r="O120" s="230"/>
      <c r="P120" s="230">
        <f t="shared" si="62"/>
        <v>0.45</v>
      </c>
      <c r="Q120" s="230"/>
      <c r="R120" s="212"/>
      <c r="S120" s="220" t="s">
        <v>2548</v>
      </c>
      <c r="T120" s="220" t="s">
        <v>2549</v>
      </c>
      <c r="U120" s="220"/>
      <c r="V120" s="113"/>
      <c r="W120" s="113"/>
      <c r="X120" s="113"/>
      <c r="Y120" s="113"/>
      <c r="Z120" s="113" t="s">
        <v>1474</v>
      </c>
    </row>
    <row r="121" ht="23.25" customHeight="1" spans="1:26">
      <c r="A121" s="212">
        <v>14</v>
      </c>
      <c r="B121" s="71" t="s">
        <v>324</v>
      </c>
      <c r="C121" s="71" t="s">
        <v>320</v>
      </c>
      <c r="D121" s="71" t="s">
        <v>147</v>
      </c>
      <c r="E121" s="212"/>
      <c r="F121" s="212"/>
      <c r="G121" s="212"/>
      <c r="H121" s="212"/>
      <c r="I121" s="212"/>
      <c r="J121" s="212"/>
      <c r="K121" s="212"/>
      <c r="L121" s="212"/>
      <c r="M121" s="212"/>
      <c r="N121" s="212"/>
      <c r="O121" s="212"/>
      <c r="P121" s="212"/>
      <c r="Q121" s="212"/>
      <c r="R121" s="212"/>
      <c r="S121" s="220"/>
      <c r="T121" s="220"/>
      <c r="U121" s="220" t="s">
        <v>294</v>
      </c>
      <c r="V121" s="113"/>
      <c r="W121" s="113"/>
      <c r="X121" s="113"/>
      <c r="Y121" s="113"/>
      <c r="Z121" s="113"/>
    </row>
    <row r="122" ht="23.25" customHeight="1" spans="1:26">
      <c r="A122" s="212">
        <v>15</v>
      </c>
      <c r="B122" s="71" t="s">
        <v>802</v>
      </c>
      <c r="C122" s="71" t="s">
        <v>320</v>
      </c>
      <c r="D122" s="71" t="s">
        <v>147</v>
      </c>
      <c r="E122" s="212">
        <f t="shared" ref="E122:G122" si="80">E123+E134+E145+E156+E167</f>
        <v>16616</v>
      </c>
      <c r="F122" s="212">
        <f t="shared" si="80"/>
        <v>3548</v>
      </c>
      <c r="G122" s="212">
        <f t="shared" si="80"/>
        <v>16616</v>
      </c>
      <c r="H122" s="212">
        <v>2018</v>
      </c>
      <c r="I122" s="212">
        <v>2020</v>
      </c>
      <c r="J122" s="231">
        <f t="shared" ref="J122:R122" si="81">J123+J134+J145+J156+J167</f>
        <v>485.94456696</v>
      </c>
      <c r="K122" s="212">
        <f t="shared" si="81"/>
        <v>158.473416</v>
      </c>
      <c r="L122" s="212">
        <f t="shared" si="81"/>
        <v>161.8683576</v>
      </c>
      <c r="M122" s="212">
        <f t="shared" si="81"/>
        <v>165.60279336</v>
      </c>
      <c r="N122" s="212">
        <f t="shared" si="81"/>
        <v>307.87956696</v>
      </c>
      <c r="O122" s="212">
        <f t="shared" si="81"/>
        <v>0</v>
      </c>
      <c r="P122" s="212">
        <f t="shared" si="81"/>
        <v>178.065</v>
      </c>
      <c r="Q122" s="212">
        <f t="shared" si="81"/>
        <v>0</v>
      </c>
      <c r="R122" s="212">
        <f t="shared" si="81"/>
        <v>0</v>
      </c>
      <c r="S122" s="220"/>
      <c r="T122" s="220"/>
      <c r="U122" s="220"/>
      <c r="V122" s="113"/>
      <c r="W122" s="113"/>
      <c r="X122" s="113"/>
      <c r="Y122" s="113"/>
      <c r="Z122" s="113" t="s">
        <v>1474</v>
      </c>
    </row>
    <row r="123" ht="23.25" customHeight="1" spans="1:26">
      <c r="A123" s="212">
        <v>16</v>
      </c>
      <c r="B123" s="71" t="s">
        <v>327</v>
      </c>
      <c r="C123" s="71" t="s">
        <v>320</v>
      </c>
      <c r="D123" s="71" t="s">
        <v>147</v>
      </c>
      <c r="E123" s="212">
        <f t="shared" ref="E123:G123" si="82">SUM(E124:E133)</f>
        <v>6918</v>
      </c>
      <c r="F123" s="212">
        <f t="shared" si="82"/>
        <v>1730</v>
      </c>
      <c r="G123" s="212">
        <f t="shared" si="82"/>
        <v>6918</v>
      </c>
      <c r="H123" s="212">
        <v>2018</v>
      </c>
      <c r="I123" s="212">
        <v>2020</v>
      </c>
      <c r="J123" s="212">
        <f t="shared" ref="J123:J133" si="83">K123+L123+M123</f>
        <v>373.572</v>
      </c>
      <c r="K123" s="212">
        <f t="shared" ref="K123:P123" si="84">SUM(K124:K133)</f>
        <v>124.524</v>
      </c>
      <c r="L123" s="212">
        <f t="shared" ref="L123:L133" si="85">E123*180/10000</f>
        <v>124.524</v>
      </c>
      <c r="M123" s="212">
        <f t="shared" ref="M123:M130" si="86">E123*180/10000</f>
        <v>124.524</v>
      </c>
      <c r="N123" s="212">
        <f t="shared" si="84"/>
        <v>195.507</v>
      </c>
      <c r="O123" s="212">
        <f t="shared" si="84"/>
        <v>0</v>
      </c>
      <c r="P123" s="212">
        <f t="shared" si="84"/>
        <v>178.065</v>
      </c>
      <c r="Q123" s="212"/>
      <c r="R123" s="212"/>
      <c r="S123" s="220" t="s">
        <v>2501</v>
      </c>
      <c r="T123" s="220" t="s">
        <v>2581</v>
      </c>
      <c r="U123" s="220" t="s">
        <v>195</v>
      </c>
      <c r="V123" s="113"/>
      <c r="W123" s="113"/>
      <c r="X123" s="113"/>
      <c r="Y123" s="113"/>
      <c r="Z123" s="113" t="s">
        <v>1474</v>
      </c>
    </row>
    <row r="124" ht="23.25" customHeight="1" spans="1:26">
      <c r="A124" s="212"/>
      <c r="B124" s="71" t="s">
        <v>2503</v>
      </c>
      <c r="C124" s="71" t="s">
        <v>320</v>
      </c>
      <c r="D124" s="71"/>
      <c r="E124" s="212">
        <v>1111</v>
      </c>
      <c r="F124" s="212">
        <v>267</v>
      </c>
      <c r="G124" s="212">
        <v>1111</v>
      </c>
      <c r="H124" s="212">
        <v>2018</v>
      </c>
      <c r="I124" s="212">
        <v>2020</v>
      </c>
      <c r="J124" s="212">
        <f t="shared" si="83"/>
        <v>59.994</v>
      </c>
      <c r="K124" s="212">
        <f t="shared" ref="K124:K133" si="87">E124*180/10000</f>
        <v>19.998</v>
      </c>
      <c r="L124" s="212">
        <f t="shared" si="85"/>
        <v>19.998</v>
      </c>
      <c r="M124" s="212">
        <f t="shared" si="86"/>
        <v>19.998</v>
      </c>
      <c r="N124" s="212">
        <v>30.8718</v>
      </c>
      <c r="O124" s="212"/>
      <c r="P124" s="212">
        <v>29.1222</v>
      </c>
      <c r="Q124" s="212"/>
      <c r="R124" s="212"/>
      <c r="S124" s="220" t="s">
        <v>2582</v>
      </c>
      <c r="T124" s="220" t="s">
        <v>2583</v>
      </c>
      <c r="U124" s="220"/>
      <c r="V124" s="113"/>
      <c r="W124" s="113"/>
      <c r="X124" s="113"/>
      <c r="Y124" s="113"/>
      <c r="Z124" s="113" t="s">
        <v>1474</v>
      </c>
    </row>
    <row r="125" ht="23.25" customHeight="1" spans="1:26">
      <c r="A125" s="212"/>
      <c r="B125" s="71" t="s">
        <v>2506</v>
      </c>
      <c r="C125" s="71" t="s">
        <v>320</v>
      </c>
      <c r="D125" s="71" t="s">
        <v>147</v>
      </c>
      <c r="E125" s="227">
        <v>1583</v>
      </c>
      <c r="F125" s="227">
        <v>364</v>
      </c>
      <c r="G125" s="227">
        <v>1583</v>
      </c>
      <c r="H125" s="71">
        <v>2018</v>
      </c>
      <c r="I125" s="71">
        <v>2020</v>
      </c>
      <c r="J125" s="212">
        <f t="shared" si="83"/>
        <v>85.482</v>
      </c>
      <c r="K125" s="212">
        <f t="shared" si="87"/>
        <v>28.494</v>
      </c>
      <c r="L125" s="212">
        <f t="shared" si="85"/>
        <v>28.494</v>
      </c>
      <c r="M125" s="212">
        <f t="shared" si="86"/>
        <v>28.494</v>
      </c>
      <c r="N125" s="212">
        <v>44.28</v>
      </c>
      <c r="O125" s="76"/>
      <c r="P125" s="76">
        <v>41.202</v>
      </c>
      <c r="Q125" s="76"/>
      <c r="R125" s="76"/>
      <c r="S125" s="220" t="s">
        <v>2584</v>
      </c>
      <c r="T125" s="220" t="s">
        <v>2585</v>
      </c>
      <c r="U125" s="220"/>
      <c r="V125" s="113"/>
      <c r="W125" s="113"/>
      <c r="X125" s="113"/>
      <c r="Y125" s="113"/>
      <c r="Z125" s="113" t="s">
        <v>1474</v>
      </c>
    </row>
    <row r="126" ht="23.25" customHeight="1" spans="1:26">
      <c r="A126" s="212"/>
      <c r="B126" s="71" t="s">
        <v>2509</v>
      </c>
      <c r="C126" s="71" t="s">
        <v>320</v>
      </c>
      <c r="D126" s="71" t="s">
        <v>147</v>
      </c>
      <c r="E126" s="227">
        <v>1019</v>
      </c>
      <c r="F126" s="227">
        <v>266</v>
      </c>
      <c r="G126" s="227">
        <v>1019</v>
      </c>
      <c r="H126" s="71">
        <v>2018</v>
      </c>
      <c r="I126" s="71">
        <v>2020</v>
      </c>
      <c r="J126" s="212">
        <f t="shared" si="83"/>
        <v>55.026</v>
      </c>
      <c r="K126" s="212">
        <f t="shared" si="87"/>
        <v>18.342</v>
      </c>
      <c r="L126" s="212">
        <f t="shared" si="85"/>
        <v>18.342</v>
      </c>
      <c r="M126" s="212">
        <f t="shared" si="86"/>
        <v>18.342</v>
      </c>
      <c r="N126" s="232">
        <v>28.4634</v>
      </c>
      <c r="O126" s="76"/>
      <c r="P126" s="232">
        <v>26.5626</v>
      </c>
      <c r="Q126" s="76"/>
      <c r="R126" s="76"/>
      <c r="S126" s="220" t="s">
        <v>2586</v>
      </c>
      <c r="T126" s="220" t="s">
        <v>2587</v>
      </c>
      <c r="U126" s="220"/>
      <c r="V126" s="113"/>
      <c r="W126" s="113"/>
      <c r="X126" s="113"/>
      <c r="Y126" s="113"/>
      <c r="Z126" s="113" t="s">
        <v>1474</v>
      </c>
    </row>
    <row r="127" ht="23.25" customHeight="1" spans="1:26">
      <c r="A127" s="212"/>
      <c r="B127" s="71" t="s">
        <v>2512</v>
      </c>
      <c r="C127" s="71" t="s">
        <v>320</v>
      </c>
      <c r="D127" s="71" t="s">
        <v>147</v>
      </c>
      <c r="E127" s="228">
        <v>815</v>
      </c>
      <c r="F127" s="228">
        <v>185</v>
      </c>
      <c r="G127" s="228">
        <v>815</v>
      </c>
      <c r="H127" s="228">
        <v>2018</v>
      </c>
      <c r="I127" s="228">
        <v>2020</v>
      </c>
      <c r="J127" s="212">
        <f t="shared" si="83"/>
        <v>44.01</v>
      </c>
      <c r="K127" s="212">
        <f t="shared" si="87"/>
        <v>14.67</v>
      </c>
      <c r="L127" s="212">
        <f t="shared" si="85"/>
        <v>14.67</v>
      </c>
      <c r="M127" s="212">
        <f t="shared" si="86"/>
        <v>14.67</v>
      </c>
      <c r="N127" s="212">
        <v>22.572</v>
      </c>
      <c r="O127" s="212"/>
      <c r="P127" s="212">
        <v>21.438</v>
      </c>
      <c r="Q127" s="212"/>
      <c r="R127" s="212"/>
      <c r="S127" s="220" t="s">
        <v>2513</v>
      </c>
      <c r="T127" s="220" t="s">
        <v>2514</v>
      </c>
      <c r="U127" s="220"/>
      <c r="V127" s="113"/>
      <c r="W127" s="113"/>
      <c r="X127" s="113"/>
      <c r="Y127" s="113"/>
      <c r="Z127" s="113" t="s">
        <v>1474</v>
      </c>
    </row>
    <row r="128" ht="23.25" customHeight="1" spans="1:26">
      <c r="A128" s="212"/>
      <c r="B128" s="71" t="s">
        <v>2515</v>
      </c>
      <c r="C128" s="71" t="s">
        <v>320</v>
      </c>
      <c r="D128" s="71" t="s">
        <v>147</v>
      </c>
      <c r="E128" s="71">
        <v>984</v>
      </c>
      <c r="F128" s="71">
        <v>237</v>
      </c>
      <c r="G128" s="71">
        <v>984</v>
      </c>
      <c r="H128" s="71">
        <v>2018</v>
      </c>
      <c r="I128" s="71">
        <v>2020</v>
      </c>
      <c r="J128" s="212">
        <f t="shared" si="83"/>
        <v>53.136</v>
      </c>
      <c r="K128" s="212">
        <f t="shared" si="87"/>
        <v>17.712</v>
      </c>
      <c r="L128" s="212">
        <f t="shared" si="85"/>
        <v>17.712</v>
      </c>
      <c r="M128" s="212">
        <f t="shared" si="86"/>
        <v>17.712</v>
      </c>
      <c r="N128" s="212">
        <v>28.296</v>
      </c>
      <c r="O128" s="76"/>
      <c r="P128" s="76">
        <v>24.84</v>
      </c>
      <c r="Q128" s="76"/>
      <c r="R128" s="76"/>
      <c r="S128" s="220" t="s">
        <v>2588</v>
      </c>
      <c r="T128" s="220" t="s">
        <v>2589</v>
      </c>
      <c r="U128" s="220" t="s">
        <v>195</v>
      </c>
      <c r="V128" s="113"/>
      <c r="W128" s="113"/>
      <c r="X128" s="113"/>
      <c r="Y128" s="113"/>
      <c r="Z128" s="113" t="s">
        <v>1474</v>
      </c>
    </row>
    <row r="129" ht="23.25" customHeight="1" spans="1:26">
      <c r="A129" s="212"/>
      <c r="B129" s="71" t="s">
        <v>2518</v>
      </c>
      <c r="C129" s="71" t="s">
        <v>320</v>
      </c>
      <c r="D129" s="71" t="s">
        <v>147</v>
      </c>
      <c r="E129" s="233">
        <v>503</v>
      </c>
      <c r="F129" s="71">
        <v>129</v>
      </c>
      <c r="G129" s="71">
        <v>503</v>
      </c>
      <c r="H129" s="71">
        <v>2018</v>
      </c>
      <c r="I129" s="71">
        <v>2020</v>
      </c>
      <c r="J129" s="212">
        <f t="shared" si="83"/>
        <v>27.162</v>
      </c>
      <c r="K129" s="212">
        <f t="shared" si="87"/>
        <v>9.054</v>
      </c>
      <c r="L129" s="212">
        <f t="shared" si="85"/>
        <v>9.054</v>
      </c>
      <c r="M129" s="212">
        <f t="shared" si="86"/>
        <v>9.054</v>
      </c>
      <c r="N129" s="212">
        <v>14.7312</v>
      </c>
      <c r="O129" s="76"/>
      <c r="P129" s="76">
        <v>12.4308</v>
      </c>
      <c r="Q129" s="76"/>
      <c r="R129" s="76"/>
      <c r="S129" s="220" t="s">
        <v>2590</v>
      </c>
      <c r="T129" s="220" t="s">
        <v>2591</v>
      </c>
      <c r="U129" s="220"/>
      <c r="V129" s="113"/>
      <c r="W129" s="113"/>
      <c r="X129" s="113"/>
      <c r="Y129" s="113"/>
      <c r="Z129" s="113" t="s">
        <v>1474</v>
      </c>
    </row>
    <row r="130" ht="23.25" customHeight="1" spans="1:26">
      <c r="A130" s="212"/>
      <c r="B130" s="71" t="s">
        <v>2521</v>
      </c>
      <c r="C130" s="71" t="s">
        <v>320</v>
      </c>
      <c r="D130" s="71" t="s">
        <v>147</v>
      </c>
      <c r="E130" s="212">
        <v>391</v>
      </c>
      <c r="F130" s="76">
        <v>116</v>
      </c>
      <c r="G130" s="76">
        <v>391</v>
      </c>
      <c r="H130" s="234" t="s">
        <v>2592</v>
      </c>
      <c r="I130" s="234" t="s">
        <v>2593</v>
      </c>
      <c r="J130" s="212">
        <f t="shared" si="83"/>
        <v>21.114</v>
      </c>
      <c r="K130" s="212">
        <f t="shared" si="87"/>
        <v>7.038</v>
      </c>
      <c r="L130" s="212">
        <f t="shared" si="85"/>
        <v>7.038</v>
      </c>
      <c r="M130" s="212">
        <f t="shared" si="86"/>
        <v>7.038</v>
      </c>
      <c r="N130" s="212">
        <v>11.4804</v>
      </c>
      <c r="O130" s="76"/>
      <c r="P130" s="76">
        <v>9.6336</v>
      </c>
      <c r="Q130" s="76"/>
      <c r="R130" s="76"/>
      <c r="S130" s="220" t="s">
        <v>2522</v>
      </c>
      <c r="T130" s="220" t="s">
        <v>2523</v>
      </c>
      <c r="U130" s="220"/>
      <c r="V130" s="113"/>
      <c r="W130" s="113"/>
      <c r="X130" s="113"/>
      <c r="Y130" s="113"/>
      <c r="Z130" s="113" t="s">
        <v>1474</v>
      </c>
    </row>
    <row r="131" ht="23.25" customHeight="1" spans="1:26">
      <c r="A131" s="212"/>
      <c r="B131" s="212" t="s">
        <v>2526</v>
      </c>
      <c r="C131" s="71" t="s">
        <v>320</v>
      </c>
      <c r="D131" s="71" t="s">
        <v>147</v>
      </c>
      <c r="E131" s="212">
        <v>222</v>
      </c>
      <c r="F131" s="212">
        <v>70</v>
      </c>
      <c r="G131" s="212">
        <v>222</v>
      </c>
      <c r="H131" s="212">
        <v>2018</v>
      </c>
      <c r="I131" s="212">
        <v>2020</v>
      </c>
      <c r="J131" s="212">
        <f t="shared" si="83"/>
        <v>11.988</v>
      </c>
      <c r="K131" s="212">
        <f t="shared" si="87"/>
        <v>3.996</v>
      </c>
      <c r="L131" s="212">
        <f t="shared" si="85"/>
        <v>3.996</v>
      </c>
      <c r="M131" s="212">
        <f>G131*180/10000</f>
        <v>3.996</v>
      </c>
      <c r="N131" s="212">
        <v>6.5016</v>
      </c>
      <c r="O131" s="212"/>
      <c r="P131" s="212">
        <v>5.4864</v>
      </c>
      <c r="Q131" s="212"/>
      <c r="R131" s="212"/>
      <c r="S131" s="220" t="s">
        <v>2594</v>
      </c>
      <c r="T131" s="220" t="s">
        <v>2595</v>
      </c>
      <c r="U131" s="220"/>
      <c r="V131" s="113"/>
      <c r="W131" s="113"/>
      <c r="X131" s="113"/>
      <c r="Y131" s="113"/>
      <c r="Z131" s="113" t="s">
        <v>1474</v>
      </c>
    </row>
    <row r="132" ht="23.25" customHeight="1" spans="1:26">
      <c r="A132" s="212"/>
      <c r="B132" s="71" t="s">
        <v>2529</v>
      </c>
      <c r="C132" s="71" t="s">
        <v>320</v>
      </c>
      <c r="D132" s="71" t="s">
        <v>147</v>
      </c>
      <c r="E132" s="233">
        <v>161</v>
      </c>
      <c r="F132" s="71">
        <v>50</v>
      </c>
      <c r="G132" s="71">
        <v>161</v>
      </c>
      <c r="H132" s="71">
        <v>2018</v>
      </c>
      <c r="I132" s="71">
        <v>2020</v>
      </c>
      <c r="J132" s="212">
        <f t="shared" si="83"/>
        <v>8.694</v>
      </c>
      <c r="K132" s="212">
        <f t="shared" si="87"/>
        <v>2.898</v>
      </c>
      <c r="L132" s="212">
        <f t="shared" si="85"/>
        <v>2.898</v>
      </c>
      <c r="M132" s="212">
        <f>E132*180/10000</f>
        <v>2.898</v>
      </c>
      <c r="N132" s="212">
        <v>4.536</v>
      </c>
      <c r="O132" s="89"/>
      <c r="P132" s="89">
        <v>4.158</v>
      </c>
      <c r="Q132" s="89"/>
      <c r="R132" s="89"/>
      <c r="S132" s="220" t="s">
        <v>2596</v>
      </c>
      <c r="T132" s="220" t="s">
        <v>2557</v>
      </c>
      <c r="U132" s="220"/>
      <c r="V132" s="113"/>
      <c r="W132" s="113"/>
      <c r="X132" s="113"/>
      <c r="Y132" s="113"/>
      <c r="Z132" s="113" t="s">
        <v>1474</v>
      </c>
    </row>
    <row r="133" ht="23.25" customHeight="1" spans="1:26">
      <c r="A133" s="212"/>
      <c r="B133" s="71" t="s">
        <v>2532</v>
      </c>
      <c r="C133" s="71" t="s">
        <v>320</v>
      </c>
      <c r="D133" s="227" t="s">
        <v>147</v>
      </c>
      <c r="E133" s="227">
        <v>129</v>
      </c>
      <c r="F133" s="227">
        <v>46</v>
      </c>
      <c r="G133" s="71">
        <v>129</v>
      </c>
      <c r="H133" s="71">
        <v>2018</v>
      </c>
      <c r="I133" s="28">
        <v>2020</v>
      </c>
      <c r="J133" s="212">
        <f t="shared" si="83"/>
        <v>6.966</v>
      </c>
      <c r="K133" s="212">
        <f t="shared" si="87"/>
        <v>2.322</v>
      </c>
      <c r="L133" s="212">
        <f t="shared" si="85"/>
        <v>2.322</v>
      </c>
      <c r="M133" s="212">
        <f>E133*180/10000</f>
        <v>2.322</v>
      </c>
      <c r="N133" s="212">
        <v>3.7746</v>
      </c>
      <c r="O133" s="76"/>
      <c r="P133" s="76">
        <v>3.1914</v>
      </c>
      <c r="Q133" s="76"/>
      <c r="R133" s="84"/>
      <c r="S133" s="220" t="s">
        <v>2597</v>
      </c>
      <c r="T133" s="220" t="s">
        <v>2598</v>
      </c>
      <c r="U133" s="220"/>
      <c r="V133" s="113"/>
      <c r="W133" s="113"/>
      <c r="X133" s="113"/>
      <c r="Y133" s="113"/>
      <c r="Z133" s="113" t="s">
        <v>1474</v>
      </c>
    </row>
    <row r="134" ht="23.25" customHeight="1" spans="1:26">
      <c r="A134" s="212">
        <v>17</v>
      </c>
      <c r="B134" s="71" t="s">
        <v>332</v>
      </c>
      <c r="C134" s="71" t="s">
        <v>320</v>
      </c>
      <c r="D134" s="71"/>
      <c r="E134" s="212">
        <f t="shared" ref="E134:G134" si="88">SUM(E135:E144)</f>
        <v>6918</v>
      </c>
      <c r="F134" s="212">
        <f t="shared" si="88"/>
        <v>1730</v>
      </c>
      <c r="G134" s="212">
        <f t="shared" si="88"/>
        <v>6918</v>
      </c>
      <c r="H134" s="212">
        <v>2018</v>
      </c>
      <c r="I134" s="212">
        <v>2020</v>
      </c>
      <c r="J134" s="212"/>
      <c r="K134" s="212">
        <v>0</v>
      </c>
      <c r="L134" s="212">
        <v>0</v>
      </c>
      <c r="M134" s="212">
        <v>0</v>
      </c>
      <c r="N134" s="212"/>
      <c r="O134" s="212"/>
      <c r="P134" s="212"/>
      <c r="Q134" s="212"/>
      <c r="R134" s="212"/>
      <c r="S134" s="220" t="s">
        <v>2501</v>
      </c>
      <c r="T134" s="220" t="s">
        <v>2581</v>
      </c>
      <c r="U134" s="220" t="s">
        <v>195</v>
      </c>
      <c r="V134" s="113"/>
      <c r="W134" s="113"/>
      <c r="X134" s="113"/>
      <c r="Y134" s="113"/>
      <c r="Z134" s="113" t="s">
        <v>1474</v>
      </c>
    </row>
    <row r="135" ht="23.25" customHeight="1" spans="1:26">
      <c r="A135" s="212"/>
      <c r="B135" s="71" t="s">
        <v>2503</v>
      </c>
      <c r="C135" s="71" t="s">
        <v>320</v>
      </c>
      <c r="D135" s="71"/>
      <c r="E135" s="212">
        <v>1111</v>
      </c>
      <c r="F135" s="212">
        <v>267</v>
      </c>
      <c r="G135" s="212">
        <v>1111</v>
      </c>
      <c r="H135" s="212">
        <v>2018</v>
      </c>
      <c r="I135" s="212">
        <v>2020</v>
      </c>
      <c r="J135" s="212"/>
      <c r="K135" s="212"/>
      <c r="L135" s="212"/>
      <c r="M135" s="212"/>
      <c r="N135" s="212"/>
      <c r="O135" s="212"/>
      <c r="P135" s="212"/>
      <c r="Q135" s="212"/>
      <c r="R135" s="212"/>
      <c r="S135" s="220" t="s">
        <v>2582</v>
      </c>
      <c r="T135" s="220" t="s">
        <v>2583</v>
      </c>
      <c r="U135" s="220"/>
      <c r="V135" s="113"/>
      <c r="W135" s="113"/>
      <c r="X135" s="113"/>
      <c r="Y135" s="113"/>
      <c r="Z135" s="113" t="s">
        <v>1474</v>
      </c>
    </row>
    <row r="136" ht="23.25" customHeight="1" spans="1:26">
      <c r="A136" s="212"/>
      <c r="B136" s="71" t="s">
        <v>2506</v>
      </c>
      <c r="C136" s="71" t="s">
        <v>320</v>
      </c>
      <c r="D136" s="71" t="s">
        <v>147</v>
      </c>
      <c r="E136" s="227">
        <v>1583</v>
      </c>
      <c r="F136" s="227">
        <v>364</v>
      </c>
      <c r="G136" s="227">
        <v>1583</v>
      </c>
      <c r="H136" s="71">
        <v>2018</v>
      </c>
      <c r="I136" s="71">
        <v>2020</v>
      </c>
      <c r="J136" s="212"/>
      <c r="K136" s="212"/>
      <c r="L136" s="212"/>
      <c r="M136" s="212"/>
      <c r="N136" s="212"/>
      <c r="O136" s="212"/>
      <c r="P136" s="212"/>
      <c r="Q136" s="212"/>
      <c r="R136" s="212"/>
      <c r="S136" s="220" t="s">
        <v>2584</v>
      </c>
      <c r="T136" s="220" t="s">
        <v>2545</v>
      </c>
      <c r="U136" s="220"/>
      <c r="V136" s="113"/>
      <c r="W136" s="113"/>
      <c r="X136" s="113"/>
      <c r="Y136" s="113"/>
      <c r="Z136" s="113" t="s">
        <v>1474</v>
      </c>
    </row>
    <row r="137" ht="23.25" customHeight="1" spans="1:26">
      <c r="A137" s="212"/>
      <c r="B137" s="71" t="s">
        <v>2509</v>
      </c>
      <c r="C137" s="71" t="s">
        <v>320</v>
      </c>
      <c r="D137" s="71" t="s">
        <v>147</v>
      </c>
      <c r="E137" s="227">
        <v>1019</v>
      </c>
      <c r="F137" s="227">
        <v>266</v>
      </c>
      <c r="G137" s="227">
        <v>1019</v>
      </c>
      <c r="H137" s="71">
        <v>2018</v>
      </c>
      <c r="I137" s="71">
        <v>2020</v>
      </c>
      <c r="J137" s="212"/>
      <c r="K137" s="212"/>
      <c r="L137" s="212"/>
      <c r="M137" s="212"/>
      <c r="N137" s="212"/>
      <c r="O137" s="212"/>
      <c r="P137" s="212"/>
      <c r="Q137" s="212"/>
      <c r="R137" s="212"/>
      <c r="S137" s="220" t="s">
        <v>2586</v>
      </c>
      <c r="T137" s="220" t="s">
        <v>2587</v>
      </c>
      <c r="U137" s="220"/>
      <c r="V137" s="113"/>
      <c r="W137" s="113"/>
      <c r="X137" s="113"/>
      <c r="Y137" s="113"/>
      <c r="Z137" s="113" t="s">
        <v>1474</v>
      </c>
    </row>
    <row r="138" ht="23.25" customHeight="1" spans="1:26">
      <c r="A138" s="212"/>
      <c r="B138" s="71" t="s">
        <v>2512</v>
      </c>
      <c r="C138" s="71" t="s">
        <v>320</v>
      </c>
      <c r="D138" s="71" t="s">
        <v>147</v>
      </c>
      <c r="E138" s="228">
        <v>815</v>
      </c>
      <c r="F138" s="228">
        <v>185</v>
      </c>
      <c r="G138" s="228">
        <v>815</v>
      </c>
      <c r="H138" s="228">
        <v>2018</v>
      </c>
      <c r="I138" s="228">
        <v>2020</v>
      </c>
      <c r="J138" s="212"/>
      <c r="K138" s="212"/>
      <c r="L138" s="212"/>
      <c r="M138" s="212"/>
      <c r="N138" s="212"/>
      <c r="O138" s="212"/>
      <c r="P138" s="212"/>
      <c r="Q138" s="212"/>
      <c r="R138" s="212"/>
      <c r="S138" s="220" t="s">
        <v>2513</v>
      </c>
      <c r="T138" s="220" t="s">
        <v>2514</v>
      </c>
      <c r="U138" s="220"/>
      <c r="V138" s="113"/>
      <c r="W138" s="113"/>
      <c r="X138" s="113"/>
      <c r="Y138" s="113"/>
      <c r="Z138" s="113" t="s">
        <v>1474</v>
      </c>
    </row>
    <row r="139" ht="23.25" customHeight="1" spans="1:26">
      <c r="A139" s="212"/>
      <c r="B139" s="71" t="s">
        <v>2515</v>
      </c>
      <c r="C139" s="71" t="s">
        <v>320</v>
      </c>
      <c r="D139" s="71" t="s">
        <v>147</v>
      </c>
      <c r="E139" s="71">
        <v>984</v>
      </c>
      <c r="F139" s="71">
        <v>237</v>
      </c>
      <c r="G139" s="71">
        <v>984</v>
      </c>
      <c r="H139" s="71">
        <v>2018</v>
      </c>
      <c r="I139" s="71">
        <v>2020</v>
      </c>
      <c r="J139" s="212"/>
      <c r="K139" s="212"/>
      <c r="L139" s="212"/>
      <c r="M139" s="212"/>
      <c r="N139" s="212"/>
      <c r="O139" s="212"/>
      <c r="P139" s="212"/>
      <c r="Q139" s="212"/>
      <c r="R139" s="212"/>
      <c r="S139" s="220" t="s">
        <v>2588</v>
      </c>
      <c r="T139" s="220" t="s">
        <v>2589</v>
      </c>
      <c r="U139" s="220"/>
      <c r="V139" s="113"/>
      <c r="W139" s="113"/>
      <c r="X139" s="113"/>
      <c r="Y139" s="113"/>
      <c r="Z139" s="113" t="s">
        <v>1474</v>
      </c>
    </row>
    <row r="140" ht="23.25" customHeight="1" spans="1:26">
      <c r="A140" s="212"/>
      <c r="B140" s="71" t="s">
        <v>2518</v>
      </c>
      <c r="C140" s="71" t="s">
        <v>320</v>
      </c>
      <c r="D140" s="71" t="s">
        <v>147</v>
      </c>
      <c r="E140" s="233">
        <v>503</v>
      </c>
      <c r="F140" s="71">
        <v>129</v>
      </c>
      <c r="G140" s="71">
        <v>503</v>
      </c>
      <c r="H140" s="71">
        <v>2018</v>
      </c>
      <c r="I140" s="71">
        <v>2020</v>
      </c>
      <c r="J140" s="212"/>
      <c r="K140" s="212"/>
      <c r="L140" s="212"/>
      <c r="M140" s="212"/>
      <c r="N140" s="212"/>
      <c r="O140" s="212"/>
      <c r="P140" s="212"/>
      <c r="Q140" s="212"/>
      <c r="R140" s="212"/>
      <c r="S140" s="220" t="s">
        <v>2590</v>
      </c>
      <c r="T140" s="220" t="s">
        <v>2591</v>
      </c>
      <c r="U140" s="220"/>
      <c r="V140" s="113"/>
      <c r="W140" s="113"/>
      <c r="X140" s="113"/>
      <c r="Y140" s="113"/>
      <c r="Z140" s="113" t="s">
        <v>1474</v>
      </c>
    </row>
    <row r="141" ht="23.25" customHeight="1" spans="1:26">
      <c r="A141" s="212"/>
      <c r="B141" s="71" t="s">
        <v>2521</v>
      </c>
      <c r="C141" s="71" t="s">
        <v>320</v>
      </c>
      <c r="D141" s="71" t="s">
        <v>147</v>
      </c>
      <c r="E141" s="212">
        <v>391</v>
      </c>
      <c r="F141" s="76">
        <v>116</v>
      </c>
      <c r="G141" s="76">
        <v>391</v>
      </c>
      <c r="H141" s="234" t="s">
        <v>2592</v>
      </c>
      <c r="I141" s="234" t="s">
        <v>2593</v>
      </c>
      <c r="J141" s="212"/>
      <c r="K141" s="212"/>
      <c r="L141" s="212"/>
      <c r="M141" s="212"/>
      <c r="N141" s="212"/>
      <c r="O141" s="212"/>
      <c r="P141" s="212"/>
      <c r="Q141" s="212"/>
      <c r="R141" s="212"/>
      <c r="S141" s="220" t="s">
        <v>2522</v>
      </c>
      <c r="T141" s="220" t="s">
        <v>2523</v>
      </c>
      <c r="U141" s="220"/>
      <c r="V141" s="113"/>
      <c r="W141" s="113"/>
      <c r="X141" s="113"/>
      <c r="Y141" s="113"/>
      <c r="Z141" s="113" t="s">
        <v>1474</v>
      </c>
    </row>
    <row r="142" ht="23.25" customHeight="1" spans="1:26">
      <c r="A142" s="212"/>
      <c r="B142" s="221" t="s">
        <v>2526</v>
      </c>
      <c r="C142" s="71" t="s">
        <v>320</v>
      </c>
      <c r="D142" s="167" t="s">
        <v>147</v>
      </c>
      <c r="E142" s="212">
        <v>222</v>
      </c>
      <c r="F142" s="212">
        <v>70</v>
      </c>
      <c r="G142" s="212">
        <v>222</v>
      </c>
      <c r="H142" s="212">
        <v>2018</v>
      </c>
      <c r="I142" s="212">
        <v>2020</v>
      </c>
      <c r="J142" s="212"/>
      <c r="K142" s="212"/>
      <c r="L142" s="212"/>
      <c r="M142" s="212"/>
      <c r="N142" s="212"/>
      <c r="O142" s="212"/>
      <c r="P142" s="212"/>
      <c r="Q142" s="212"/>
      <c r="R142" s="212"/>
      <c r="S142" s="220" t="s">
        <v>2594</v>
      </c>
      <c r="T142" s="220" t="s">
        <v>2595</v>
      </c>
      <c r="U142" s="220"/>
      <c r="V142" s="113"/>
      <c r="W142" s="113"/>
      <c r="X142" s="113"/>
      <c r="Y142" s="113"/>
      <c r="Z142" s="113" t="s">
        <v>1474</v>
      </c>
    </row>
    <row r="143" ht="23.25" customHeight="1" spans="1:26">
      <c r="A143" s="212"/>
      <c r="B143" s="71" t="s">
        <v>2529</v>
      </c>
      <c r="C143" s="71" t="s">
        <v>320</v>
      </c>
      <c r="D143" s="71" t="s">
        <v>147</v>
      </c>
      <c r="E143" s="233">
        <v>161</v>
      </c>
      <c r="F143" s="71">
        <v>50</v>
      </c>
      <c r="G143" s="71">
        <v>161</v>
      </c>
      <c r="H143" s="71">
        <v>2018</v>
      </c>
      <c r="I143" s="71">
        <v>2020</v>
      </c>
      <c r="J143" s="212"/>
      <c r="K143" s="212"/>
      <c r="L143" s="212"/>
      <c r="M143" s="212"/>
      <c r="N143" s="212"/>
      <c r="O143" s="212"/>
      <c r="P143" s="212"/>
      <c r="Q143" s="212"/>
      <c r="R143" s="212"/>
      <c r="S143" s="220" t="s">
        <v>2596</v>
      </c>
      <c r="T143" s="220" t="s">
        <v>2557</v>
      </c>
      <c r="U143" s="220"/>
      <c r="V143" s="113"/>
      <c r="W143" s="113"/>
      <c r="X143" s="113"/>
      <c r="Y143" s="113"/>
      <c r="Z143" s="113" t="s">
        <v>1474</v>
      </c>
    </row>
    <row r="144" ht="23.25" customHeight="1" spans="1:26">
      <c r="A144" s="212"/>
      <c r="B144" s="71" t="s">
        <v>2532</v>
      </c>
      <c r="C144" s="71" t="s">
        <v>320</v>
      </c>
      <c r="D144" s="227" t="s">
        <v>147</v>
      </c>
      <c r="E144" s="227">
        <v>129</v>
      </c>
      <c r="F144" s="227">
        <v>46</v>
      </c>
      <c r="G144" s="71">
        <v>129</v>
      </c>
      <c r="H144" s="71">
        <v>2018</v>
      </c>
      <c r="I144" s="28">
        <v>2020</v>
      </c>
      <c r="J144" s="212"/>
      <c r="K144" s="212"/>
      <c r="L144" s="212"/>
      <c r="M144" s="212"/>
      <c r="N144" s="212"/>
      <c r="O144" s="212"/>
      <c r="P144" s="212"/>
      <c r="Q144" s="212"/>
      <c r="R144" s="212"/>
      <c r="S144" s="220" t="s">
        <v>2597</v>
      </c>
      <c r="T144" s="220" t="s">
        <v>2598</v>
      </c>
      <c r="U144" s="220"/>
      <c r="V144" s="113"/>
      <c r="W144" s="113"/>
      <c r="X144" s="113"/>
      <c r="Y144" s="113"/>
      <c r="Z144" s="113" t="s">
        <v>1474</v>
      </c>
    </row>
    <row r="145" ht="23.25" customHeight="1" spans="1:26">
      <c r="A145" s="212">
        <v>18</v>
      </c>
      <c r="B145" s="71" t="s">
        <v>335</v>
      </c>
      <c r="C145" s="71" t="s">
        <v>320</v>
      </c>
      <c r="D145" s="71" t="s">
        <v>147</v>
      </c>
      <c r="E145" s="212">
        <v>1602</v>
      </c>
      <c r="F145" s="212">
        <v>0</v>
      </c>
      <c r="G145" s="212">
        <v>1602</v>
      </c>
      <c r="H145" s="212">
        <v>2018</v>
      </c>
      <c r="I145" s="212">
        <v>2020</v>
      </c>
      <c r="J145" s="212">
        <f>SUM(K145:M145)</f>
        <v>89.00738288</v>
      </c>
      <c r="K145" s="212">
        <v>26.890448</v>
      </c>
      <c r="L145" s="212">
        <f t="shared" ref="L145:L149" si="89">K145*1.1</f>
        <v>29.5794928</v>
      </c>
      <c r="M145" s="212">
        <f t="shared" ref="M145:M149" si="90">L145*1.1</f>
        <v>32.53744208</v>
      </c>
      <c r="N145" s="212">
        <v>89.00738288</v>
      </c>
      <c r="O145" s="212"/>
      <c r="P145" s="212"/>
      <c r="Q145" s="212"/>
      <c r="R145" s="212"/>
      <c r="S145" s="220" t="s">
        <v>2501</v>
      </c>
      <c r="T145" s="220" t="s">
        <v>2581</v>
      </c>
      <c r="U145" s="220" t="s">
        <v>358</v>
      </c>
      <c r="V145" s="113"/>
      <c r="W145" s="113"/>
      <c r="X145" s="113"/>
      <c r="Y145" s="113"/>
      <c r="Z145" s="113" t="s">
        <v>1474</v>
      </c>
    </row>
    <row r="146" ht="23.25" customHeight="1" spans="1:27">
      <c r="A146" s="212"/>
      <c r="B146" s="71" t="s">
        <v>2503</v>
      </c>
      <c r="C146" s="71" t="s">
        <v>320</v>
      </c>
      <c r="D146" s="71"/>
      <c r="E146" s="212">
        <v>240</v>
      </c>
      <c r="F146" s="212"/>
      <c r="G146" s="212">
        <v>240</v>
      </c>
      <c r="H146" s="212">
        <v>2018</v>
      </c>
      <c r="I146" s="212">
        <v>2020</v>
      </c>
      <c r="J146" s="212">
        <v>14.53744718</v>
      </c>
      <c r="K146" s="212">
        <f t="shared" ref="K146:K151" si="91">J146/3.31</f>
        <v>4.391978</v>
      </c>
      <c r="L146" s="212">
        <f t="shared" si="89"/>
        <v>4.8311758</v>
      </c>
      <c r="M146" s="212">
        <f t="shared" si="90"/>
        <v>5.31429338</v>
      </c>
      <c r="N146" s="212">
        <v>14.53744718</v>
      </c>
      <c r="O146" s="212"/>
      <c r="P146" s="212"/>
      <c r="Q146" s="212"/>
      <c r="R146" s="212"/>
      <c r="S146" s="220" t="s">
        <v>2504</v>
      </c>
      <c r="T146" s="220" t="s">
        <v>2505</v>
      </c>
      <c r="U146" s="220"/>
      <c r="V146" s="113"/>
      <c r="W146" s="113"/>
      <c r="X146" s="113"/>
      <c r="Y146" s="113"/>
      <c r="Z146" s="113"/>
      <c r="AA146" s="67">
        <v>66</v>
      </c>
    </row>
    <row r="147" ht="23.25" customHeight="1" spans="1:27">
      <c r="A147" s="212"/>
      <c r="B147" s="71" t="s">
        <v>2506</v>
      </c>
      <c r="C147" s="71" t="s">
        <v>320</v>
      </c>
      <c r="D147" s="71" t="s">
        <v>147</v>
      </c>
      <c r="E147" s="212">
        <f>75/10*12*3</f>
        <v>270</v>
      </c>
      <c r="F147" s="212"/>
      <c r="G147" s="212">
        <v>270</v>
      </c>
      <c r="H147" s="212">
        <v>2018</v>
      </c>
      <c r="I147" s="212">
        <v>2020</v>
      </c>
      <c r="J147" s="212">
        <f t="shared" ref="J147:J152" si="92">K147+L147+M147</f>
        <v>15.00098951</v>
      </c>
      <c r="K147" s="212">
        <v>4.532021</v>
      </c>
      <c r="L147" s="212">
        <f t="shared" si="89"/>
        <v>4.9852231</v>
      </c>
      <c r="M147" s="212">
        <f t="shared" si="90"/>
        <v>5.48374541</v>
      </c>
      <c r="N147" s="212">
        <v>15.00098951</v>
      </c>
      <c r="O147" s="212"/>
      <c r="P147" s="212"/>
      <c r="Q147" s="212"/>
      <c r="R147" s="212"/>
      <c r="S147" s="220" t="s">
        <v>2507</v>
      </c>
      <c r="T147" s="220" t="s">
        <v>2508</v>
      </c>
      <c r="U147" s="220"/>
      <c r="V147" s="113"/>
      <c r="W147" s="113"/>
      <c r="X147" s="113"/>
      <c r="Y147" s="113"/>
      <c r="Z147" s="113"/>
      <c r="AA147" s="67">
        <v>75</v>
      </c>
    </row>
    <row r="148" ht="23.25" customHeight="1" spans="1:27">
      <c r="A148" s="212"/>
      <c r="B148" s="71" t="s">
        <v>2509</v>
      </c>
      <c r="C148" s="71" t="s">
        <v>320</v>
      </c>
      <c r="D148" s="71" t="s">
        <v>147</v>
      </c>
      <c r="E148" s="212">
        <v>226</v>
      </c>
      <c r="F148" s="212"/>
      <c r="G148" s="212">
        <v>226</v>
      </c>
      <c r="H148" s="212">
        <v>2018</v>
      </c>
      <c r="I148" s="212">
        <v>2020</v>
      </c>
      <c r="J148" s="212">
        <f t="shared" si="92"/>
        <v>12.01395945</v>
      </c>
      <c r="K148" s="212">
        <v>3.629595</v>
      </c>
      <c r="L148" s="212">
        <f t="shared" si="89"/>
        <v>3.9925545</v>
      </c>
      <c r="M148" s="212">
        <f t="shared" si="90"/>
        <v>4.39180995</v>
      </c>
      <c r="N148" s="212">
        <v>12.01395945</v>
      </c>
      <c r="O148" s="212"/>
      <c r="P148" s="212"/>
      <c r="Q148" s="212"/>
      <c r="R148" s="212"/>
      <c r="S148" s="220" t="s">
        <v>2536</v>
      </c>
      <c r="T148" s="220" t="s">
        <v>2537</v>
      </c>
      <c r="U148" s="220"/>
      <c r="V148" s="113"/>
      <c r="W148" s="113"/>
      <c r="X148" s="113"/>
      <c r="Y148" s="113"/>
      <c r="Z148" s="113"/>
      <c r="AA148" s="67">
        <v>63</v>
      </c>
    </row>
    <row r="149" ht="23.25" customHeight="1" spans="1:27">
      <c r="A149" s="212"/>
      <c r="B149" s="71" t="s">
        <v>2512</v>
      </c>
      <c r="C149" s="71" t="s">
        <v>320</v>
      </c>
      <c r="D149" s="71" t="s">
        <v>147</v>
      </c>
      <c r="E149" s="212">
        <v>331</v>
      </c>
      <c r="F149" s="212"/>
      <c r="G149" s="212">
        <v>331</v>
      </c>
      <c r="H149" s="212">
        <v>2018</v>
      </c>
      <c r="I149" s="212">
        <v>2020</v>
      </c>
      <c r="J149" s="212">
        <v>19.06968785</v>
      </c>
      <c r="K149" s="212">
        <f t="shared" si="91"/>
        <v>5.761235</v>
      </c>
      <c r="L149" s="212">
        <f t="shared" si="89"/>
        <v>6.3373585</v>
      </c>
      <c r="M149" s="212">
        <f t="shared" si="90"/>
        <v>6.97109435</v>
      </c>
      <c r="N149" s="212">
        <v>19.06968785</v>
      </c>
      <c r="O149" s="212"/>
      <c r="P149" s="212"/>
      <c r="Q149" s="212"/>
      <c r="R149" s="212"/>
      <c r="S149" s="220" t="s">
        <v>2513</v>
      </c>
      <c r="T149" s="220" t="s">
        <v>2514</v>
      </c>
      <c r="U149" s="220"/>
      <c r="V149" s="113"/>
      <c r="W149" s="113"/>
      <c r="X149" s="113"/>
      <c r="Y149" s="113"/>
      <c r="Z149" s="113"/>
      <c r="AA149" s="67">
        <v>92</v>
      </c>
    </row>
    <row r="150" ht="23.25" customHeight="1" spans="1:27">
      <c r="A150" s="212"/>
      <c r="B150" s="71" t="s">
        <v>2515</v>
      </c>
      <c r="C150" s="71" t="s">
        <v>320</v>
      </c>
      <c r="D150" s="71" t="s">
        <v>147</v>
      </c>
      <c r="E150" s="212">
        <v>198</v>
      </c>
      <c r="F150" s="212"/>
      <c r="G150" s="212">
        <v>198</v>
      </c>
      <c r="H150" s="212">
        <v>2018</v>
      </c>
      <c r="I150" s="212">
        <v>2020</v>
      </c>
      <c r="J150" s="212">
        <v>9.62232888</v>
      </c>
      <c r="K150" s="212">
        <v>2.907048</v>
      </c>
      <c r="L150" s="212">
        <v>3.1977528</v>
      </c>
      <c r="M150" s="212">
        <v>3.51752808</v>
      </c>
      <c r="N150" s="212">
        <v>9.62232888</v>
      </c>
      <c r="O150" s="212"/>
      <c r="P150" s="212"/>
      <c r="Q150" s="212"/>
      <c r="R150" s="212"/>
      <c r="S150" s="220" t="s">
        <v>2538</v>
      </c>
      <c r="T150" s="220" t="s">
        <v>2539</v>
      </c>
      <c r="U150" s="220"/>
      <c r="V150" s="113"/>
      <c r="W150" s="113"/>
      <c r="X150" s="113"/>
      <c r="Y150" s="113"/>
      <c r="Z150" s="113"/>
      <c r="AA150" s="67">
        <v>51</v>
      </c>
    </row>
    <row r="151" ht="23.25" customHeight="1" spans="1:26">
      <c r="A151" s="212"/>
      <c r="B151" s="71" t="s">
        <v>2518</v>
      </c>
      <c r="C151" s="71" t="s">
        <v>320</v>
      </c>
      <c r="D151" s="71" t="s">
        <v>147</v>
      </c>
      <c r="E151" s="212">
        <v>100</v>
      </c>
      <c r="F151" s="212"/>
      <c r="G151" s="212">
        <v>100</v>
      </c>
      <c r="H151" s="212">
        <v>2018</v>
      </c>
      <c r="I151" s="212">
        <v>2020</v>
      </c>
      <c r="J151" s="212">
        <v>4.48889953</v>
      </c>
      <c r="K151" s="212">
        <f t="shared" si="91"/>
        <v>1.356163</v>
      </c>
      <c r="L151" s="212">
        <f t="shared" ref="L151:L154" si="93">K151*1.1</f>
        <v>1.4917793</v>
      </c>
      <c r="M151" s="212">
        <f t="shared" ref="M151:M154" si="94">L151*1.1</f>
        <v>1.64095723</v>
      </c>
      <c r="N151" s="212">
        <v>4.48889953</v>
      </c>
      <c r="O151" s="212"/>
      <c r="P151" s="212"/>
      <c r="Q151" s="212"/>
      <c r="R151" s="212"/>
      <c r="S151" s="220" t="s">
        <v>2540</v>
      </c>
      <c r="T151" s="220" t="s">
        <v>2541</v>
      </c>
      <c r="U151" s="220"/>
      <c r="V151" s="113"/>
      <c r="W151" s="113"/>
      <c r="X151" s="113"/>
      <c r="Y151" s="113"/>
      <c r="Z151" s="113"/>
    </row>
    <row r="152" ht="23.25" customHeight="1" spans="1:27">
      <c r="A152" s="212"/>
      <c r="B152" s="71" t="s">
        <v>2521</v>
      </c>
      <c r="C152" s="71" t="s">
        <v>320</v>
      </c>
      <c r="D152" s="71" t="s">
        <v>147</v>
      </c>
      <c r="E152" s="212">
        <v>118</v>
      </c>
      <c r="F152" s="212"/>
      <c r="G152" s="212">
        <v>118</v>
      </c>
      <c r="H152" s="212">
        <v>2018</v>
      </c>
      <c r="I152" s="212">
        <v>2020</v>
      </c>
      <c r="J152" s="212">
        <f t="shared" si="92"/>
        <v>8.62373829</v>
      </c>
      <c r="K152" s="212">
        <v>2.605359</v>
      </c>
      <c r="L152" s="212">
        <f t="shared" si="93"/>
        <v>2.8658949</v>
      </c>
      <c r="M152" s="212">
        <f t="shared" si="94"/>
        <v>3.15248439</v>
      </c>
      <c r="N152" s="212">
        <v>8.62373829</v>
      </c>
      <c r="O152" s="212"/>
      <c r="P152" s="212"/>
      <c r="Q152" s="212"/>
      <c r="R152" s="212"/>
      <c r="S152" s="220" t="s">
        <v>2523</v>
      </c>
      <c r="T152" s="220" t="s">
        <v>2522</v>
      </c>
      <c r="U152" s="220"/>
      <c r="V152" s="113"/>
      <c r="W152" s="113"/>
      <c r="X152" s="113"/>
      <c r="Y152" s="113"/>
      <c r="Z152" s="113"/>
      <c r="AA152" s="67">
        <v>33</v>
      </c>
    </row>
    <row r="153" ht="23.25" customHeight="1" spans="1:26">
      <c r="A153" s="212"/>
      <c r="B153" s="221" t="s">
        <v>2526</v>
      </c>
      <c r="C153" s="71" t="s">
        <v>320</v>
      </c>
      <c r="D153" s="167" t="s">
        <v>147</v>
      </c>
      <c r="E153" s="212">
        <v>32</v>
      </c>
      <c r="F153" s="212"/>
      <c r="G153" s="212">
        <v>32</v>
      </c>
      <c r="H153" s="212">
        <v>2018</v>
      </c>
      <c r="I153" s="212">
        <v>2020</v>
      </c>
      <c r="J153" s="212">
        <v>3.40624818</v>
      </c>
      <c r="K153" s="212">
        <v>1.029078</v>
      </c>
      <c r="L153" s="212">
        <v>1.1319858</v>
      </c>
      <c r="M153" s="212">
        <v>1.24518438</v>
      </c>
      <c r="N153" s="212">
        <v>3.40624818</v>
      </c>
      <c r="O153" s="212"/>
      <c r="P153" s="212"/>
      <c r="Q153" s="212"/>
      <c r="R153" s="212"/>
      <c r="S153" s="220" t="s">
        <v>2542</v>
      </c>
      <c r="T153" s="220" t="s">
        <v>2528</v>
      </c>
      <c r="U153" s="220"/>
      <c r="V153" s="113"/>
      <c r="W153" s="113"/>
      <c r="X153" s="113"/>
      <c r="Y153" s="113"/>
      <c r="Z153" s="113"/>
    </row>
    <row r="154" ht="23.25" customHeight="1" spans="1:27">
      <c r="A154" s="212"/>
      <c r="B154" s="71" t="s">
        <v>2529</v>
      </c>
      <c r="C154" s="71" t="s">
        <v>320</v>
      </c>
      <c r="D154" s="71" t="s">
        <v>147</v>
      </c>
      <c r="E154" s="212">
        <v>28</v>
      </c>
      <c r="F154" s="212"/>
      <c r="G154" s="212">
        <v>28</v>
      </c>
      <c r="H154" s="212">
        <v>2018</v>
      </c>
      <c r="I154" s="212">
        <v>2020</v>
      </c>
      <c r="J154" s="212">
        <f>K154+L154+M154</f>
        <v>1.43254814</v>
      </c>
      <c r="K154" s="212">
        <v>0.432794</v>
      </c>
      <c r="L154" s="212">
        <f t="shared" si="93"/>
        <v>0.4760734</v>
      </c>
      <c r="M154" s="212">
        <f t="shared" si="94"/>
        <v>0.52368074</v>
      </c>
      <c r="N154" s="212">
        <v>1.43254814</v>
      </c>
      <c r="O154" s="212"/>
      <c r="P154" s="212"/>
      <c r="Q154" s="212"/>
      <c r="R154" s="212"/>
      <c r="S154" s="220" t="s">
        <v>2530</v>
      </c>
      <c r="T154" s="220" t="s">
        <v>2557</v>
      </c>
      <c r="U154" s="220"/>
      <c r="V154" s="113"/>
      <c r="W154" s="113"/>
      <c r="X154" s="113"/>
      <c r="Y154" s="113"/>
      <c r="Z154" s="113"/>
      <c r="AA154" s="67">
        <v>8</v>
      </c>
    </row>
    <row r="155" ht="23.25" customHeight="1" spans="1:26">
      <c r="A155" s="212"/>
      <c r="B155" s="71" t="s">
        <v>2532</v>
      </c>
      <c r="C155" s="71" t="s">
        <v>320</v>
      </c>
      <c r="D155" s="227" t="s">
        <v>147</v>
      </c>
      <c r="E155" s="74">
        <v>25</v>
      </c>
      <c r="F155" s="74"/>
      <c r="G155" s="74">
        <v>25</v>
      </c>
      <c r="H155" s="71">
        <v>2018</v>
      </c>
      <c r="I155" s="71">
        <v>2020</v>
      </c>
      <c r="J155" s="235">
        <v>0.81153587</v>
      </c>
      <c r="K155" s="236">
        <v>0.245177</v>
      </c>
      <c r="L155" s="236">
        <v>0.2696947</v>
      </c>
      <c r="M155" s="236">
        <v>0.29666417</v>
      </c>
      <c r="N155" s="237">
        <v>0.81153587</v>
      </c>
      <c r="O155" s="212"/>
      <c r="P155" s="212"/>
      <c r="Q155" s="212"/>
      <c r="R155" s="212"/>
      <c r="S155" s="220" t="s">
        <v>2543</v>
      </c>
      <c r="T155" s="220" t="s">
        <v>2534</v>
      </c>
      <c r="U155" s="220"/>
      <c r="V155" s="113"/>
      <c r="W155" s="113"/>
      <c r="X155" s="113"/>
      <c r="Y155" s="113"/>
      <c r="Z155" s="113"/>
    </row>
    <row r="156" ht="23.25" customHeight="1" spans="1:26">
      <c r="A156" s="212">
        <v>19</v>
      </c>
      <c r="B156" s="71" t="s">
        <v>355</v>
      </c>
      <c r="C156" s="71" t="s">
        <v>320</v>
      </c>
      <c r="D156" s="71" t="s">
        <v>147</v>
      </c>
      <c r="E156" s="212">
        <v>88</v>
      </c>
      <c r="F156" s="212">
        <v>88</v>
      </c>
      <c r="G156" s="212">
        <v>88</v>
      </c>
      <c r="H156" s="212">
        <v>2018</v>
      </c>
      <c r="I156" s="212">
        <v>2020</v>
      </c>
      <c r="J156" s="212"/>
      <c r="K156" s="212"/>
      <c r="L156" s="212"/>
      <c r="M156" s="212"/>
      <c r="N156" s="212"/>
      <c r="O156" s="212"/>
      <c r="P156" s="212"/>
      <c r="Q156" s="212"/>
      <c r="R156" s="212"/>
      <c r="S156" s="220" t="s">
        <v>2501</v>
      </c>
      <c r="T156" s="220" t="s">
        <v>2581</v>
      </c>
      <c r="U156" s="220" t="s">
        <v>358</v>
      </c>
      <c r="V156" s="113"/>
      <c r="W156" s="113"/>
      <c r="X156" s="113"/>
      <c r="Y156" s="113"/>
      <c r="Z156" s="113" t="s">
        <v>1474</v>
      </c>
    </row>
    <row r="157" ht="23.25" customHeight="1" spans="1:26">
      <c r="A157" s="212"/>
      <c r="B157" s="71" t="s">
        <v>2503</v>
      </c>
      <c r="C157" s="71" t="s">
        <v>320</v>
      </c>
      <c r="D157" s="71"/>
      <c r="E157" s="212">
        <v>16</v>
      </c>
      <c r="F157" s="212">
        <v>16</v>
      </c>
      <c r="G157" s="212">
        <v>16</v>
      </c>
      <c r="H157" s="212">
        <v>2018</v>
      </c>
      <c r="I157" s="212">
        <v>2020</v>
      </c>
      <c r="J157" s="212"/>
      <c r="K157" s="212"/>
      <c r="L157" s="212"/>
      <c r="M157" s="212"/>
      <c r="N157" s="212"/>
      <c r="O157" s="212"/>
      <c r="P157" s="212"/>
      <c r="Q157" s="212"/>
      <c r="R157" s="212"/>
      <c r="S157" s="220" t="s">
        <v>2504</v>
      </c>
      <c r="T157" s="220" t="s">
        <v>2505</v>
      </c>
      <c r="U157" s="220"/>
      <c r="V157" s="113"/>
      <c r="W157" s="113"/>
      <c r="X157" s="113"/>
      <c r="Y157" s="113"/>
      <c r="Z157" s="113"/>
    </row>
    <row r="158" ht="23.25" customHeight="1" spans="1:26">
      <c r="A158" s="212"/>
      <c r="B158" s="71" t="s">
        <v>2506</v>
      </c>
      <c r="C158" s="71" t="s">
        <v>320</v>
      </c>
      <c r="D158" s="71" t="s">
        <v>147</v>
      </c>
      <c r="E158" s="212">
        <v>19</v>
      </c>
      <c r="F158" s="212">
        <v>19</v>
      </c>
      <c r="G158" s="212">
        <v>19</v>
      </c>
      <c r="H158" s="212">
        <v>2018</v>
      </c>
      <c r="I158" s="212">
        <v>2020</v>
      </c>
      <c r="J158" s="212"/>
      <c r="K158" s="212"/>
      <c r="L158" s="212"/>
      <c r="M158" s="212"/>
      <c r="N158" s="212"/>
      <c r="O158" s="212"/>
      <c r="P158" s="212"/>
      <c r="Q158" s="212"/>
      <c r="R158" s="212"/>
      <c r="S158" s="220" t="s">
        <v>2507</v>
      </c>
      <c r="T158" s="220" t="s">
        <v>2508</v>
      </c>
      <c r="U158" s="220"/>
      <c r="V158" s="113"/>
      <c r="W158" s="113"/>
      <c r="X158" s="113"/>
      <c r="Y158" s="113"/>
      <c r="Z158" s="113"/>
    </row>
    <row r="159" ht="23.25" customHeight="1" spans="1:26">
      <c r="A159" s="212"/>
      <c r="B159" s="71" t="s">
        <v>2509</v>
      </c>
      <c r="C159" s="71" t="s">
        <v>320</v>
      </c>
      <c r="D159" s="71" t="s">
        <v>147</v>
      </c>
      <c r="E159" s="212">
        <v>9</v>
      </c>
      <c r="F159" s="212">
        <v>9</v>
      </c>
      <c r="G159" s="212">
        <v>9</v>
      </c>
      <c r="H159" s="212">
        <v>2018</v>
      </c>
      <c r="I159" s="212">
        <v>2020</v>
      </c>
      <c r="J159" s="212"/>
      <c r="K159" s="212"/>
      <c r="L159" s="212"/>
      <c r="M159" s="212"/>
      <c r="N159" s="212"/>
      <c r="O159" s="212"/>
      <c r="P159" s="212"/>
      <c r="Q159" s="212"/>
      <c r="R159" s="212"/>
      <c r="S159" s="220" t="s">
        <v>2536</v>
      </c>
      <c r="T159" s="220" t="s">
        <v>2537</v>
      </c>
      <c r="U159" s="220"/>
      <c r="V159" s="113"/>
      <c r="W159" s="113"/>
      <c r="X159" s="113"/>
      <c r="Y159" s="113"/>
      <c r="Z159" s="113"/>
    </row>
    <row r="160" ht="23.25" customHeight="1" spans="1:26">
      <c r="A160" s="212"/>
      <c r="B160" s="71" t="s">
        <v>2512</v>
      </c>
      <c r="C160" s="71" t="s">
        <v>320</v>
      </c>
      <c r="D160" s="71" t="s">
        <v>147</v>
      </c>
      <c r="E160" s="212">
        <v>12</v>
      </c>
      <c r="F160" s="212">
        <v>12</v>
      </c>
      <c r="G160" s="212">
        <v>12</v>
      </c>
      <c r="H160" s="212">
        <v>2018</v>
      </c>
      <c r="I160" s="212">
        <v>2020</v>
      </c>
      <c r="J160" s="212"/>
      <c r="K160" s="212"/>
      <c r="L160" s="212"/>
      <c r="M160" s="212"/>
      <c r="N160" s="212"/>
      <c r="O160" s="212"/>
      <c r="P160" s="212"/>
      <c r="Q160" s="212"/>
      <c r="R160" s="212"/>
      <c r="S160" s="220" t="s">
        <v>2513</v>
      </c>
      <c r="T160" s="220" t="s">
        <v>2514</v>
      </c>
      <c r="U160" s="220"/>
      <c r="V160" s="113"/>
      <c r="W160" s="113"/>
      <c r="X160" s="113"/>
      <c r="Y160" s="113"/>
      <c r="Z160" s="113"/>
    </row>
    <row r="161" ht="23.25" customHeight="1" spans="1:26">
      <c r="A161" s="212"/>
      <c r="B161" s="71" t="s">
        <v>2515</v>
      </c>
      <c r="C161" s="71" t="s">
        <v>320</v>
      </c>
      <c r="D161" s="71" t="s">
        <v>147</v>
      </c>
      <c r="E161" s="212">
        <v>12</v>
      </c>
      <c r="F161" s="212">
        <v>12</v>
      </c>
      <c r="G161" s="212">
        <v>12</v>
      </c>
      <c r="H161" s="212">
        <v>2018</v>
      </c>
      <c r="I161" s="212">
        <v>2020</v>
      </c>
      <c r="J161" s="212"/>
      <c r="K161" s="212"/>
      <c r="L161" s="212"/>
      <c r="M161" s="212"/>
      <c r="N161" s="212"/>
      <c r="O161" s="212"/>
      <c r="P161" s="212"/>
      <c r="Q161" s="212"/>
      <c r="R161" s="212"/>
      <c r="S161" s="220" t="s">
        <v>2538</v>
      </c>
      <c r="T161" s="220" t="s">
        <v>2539</v>
      </c>
      <c r="U161" s="220"/>
      <c r="V161" s="113"/>
      <c r="W161" s="113"/>
      <c r="X161" s="113"/>
      <c r="Y161" s="113"/>
      <c r="Z161" s="113"/>
    </row>
    <row r="162" ht="23.25" customHeight="1" spans="1:26">
      <c r="A162" s="212"/>
      <c r="B162" s="71" t="s">
        <v>2518</v>
      </c>
      <c r="C162" s="71" t="s">
        <v>320</v>
      </c>
      <c r="D162" s="71" t="s">
        <v>147</v>
      </c>
      <c r="E162" s="212">
        <v>3</v>
      </c>
      <c r="F162" s="212">
        <v>3</v>
      </c>
      <c r="G162" s="212">
        <v>3</v>
      </c>
      <c r="H162" s="212">
        <v>2018</v>
      </c>
      <c r="I162" s="212">
        <v>2020</v>
      </c>
      <c r="J162" s="212"/>
      <c r="K162" s="212"/>
      <c r="L162" s="212"/>
      <c r="M162" s="212"/>
      <c r="N162" s="212"/>
      <c r="O162" s="212"/>
      <c r="P162" s="212"/>
      <c r="Q162" s="212"/>
      <c r="R162" s="212"/>
      <c r="S162" s="220" t="s">
        <v>2540</v>
      </c>
      <c r="T162" s="220" t="s">
        <v>2541</v>
      </c>
      <c r="U162" s="220"/>
      <c r="V162" s="113"/>
      <c r="W162" s="113"/>
      <c r="X162" s="113"/>
      <c r="Y162" s="113"/>
      <c r="Z162" s="113"/>
    </row>
    <row r="163" ht="23.25" customHeight="1" spans="1:26">
      <c r="A163" s="212"/>
      <c r="B163" s="71" t="s">
        <v>2521</v>
      </c>
      <c r="C163" s="71" t="s">
        <v>320</v>
      </c>
      <c r="D163" s="71" t="s">
        <v>147</v>
      </c>
      <c r="E163" s="212">
        <v>10</v>
      </c>
      <c r="F163" s="212">
        <v>10</v>
      </c>
      <c r="G163" s="212">
        <v>10</v>
      </c>
      <c r="H163" s="212">
        <v>2018</v>
      </c>
      <c r="I163" s="212">
        <v>2020</v>
      </c>
      <c r="J163" s="212"/>
      <c r="K163" s="212"/>
      <c r="L163" s="212"/>
      <c r="M163" s="212"/>
      <c r="N163" s="212"/>
      <c r="O163" s="212"/>
      <c r="P163" s="212"/>
      <c r="Q163" s="212"/>
      <c r="R163" s="212"/>
      <c r="S163" s="220" t="s">
        <v>2523</v>
      </c>
      <c r="T163" s="220" t="s">
        <v>2522</v>
      </c>
      <c r="U163" s="220"/>
      <c r="V163" s="113"/>
      <c r="W163" s="113"/>
      <c r="X163" s="113"/>
      <c r="Y163" s="113"/>
      <c r="Z163" s="113"/>
    </row>
    <row r="164" ht="23.25" customHeight="1" spans="1:26">
      <c r="A164" s="212"/>
      <c r="B164" s="221" t="s">
        <v>2526</v>
      </c>
      <c r="C164" s="71" t="s">
        <v>320</v>
      </c>
      <c r="D164" s="167" t="s">
        <v>147</v>
      </c>
      <c r="E164" s="212">
        <v>4</v>
      </c>
      <c r="F164" s="212">
        <v>4</v>
      </c>
      <c r="G164" s="212">
        <v>4</v>
      </c>
      <c r="H164" s="212">
        <v>2018</v>
      </c>
      <c r="I164" s="212">
        <v>2020</v>
      </c>
      <c r="J164" s="212"/>
      <c r="K164" s="212"/>
      <c r="L164" s="212"/>
      <c r="M164" s="212"/>
      <c r="N164" s="212"/>
      <c r="O164" s="212"/>
      <c r="P164" s="212"/>
      <c r="Q164" s="212"/>
      <c r="R164" s="212"/>
      <c r="S164" s="220" t="s">
        <v>2542</v>
      </c>
      <c r="T164" s="220" t="s">
        <v>2528</v>
      </c>
      <c r="U164" s="220"/>
      <c r="V164" s="113"/>
      <c r="W164" s="113"/>
      <c r="X164" s="113"/>
      <c r="Y164" s="113"/>
      <c r="Z164" s="113"/>
    </row>
    <row r="165" ht="23.25" customHeight="1" spans="1:26">
      <c r="A165" s="212"/>
      <c r="B165" s="71" t="s">
        <v>2529</v>
      </c>
      <c r="C165" s="71" t="s">
        <v>320</v>
      </c>
      <c r="D165" s="71" t="s">
        <v>147</v>
      </c>
      <c r="E165" s="212">
        <v>1</v>
      </c>
      <c r="F165" s="212">
        <v>1</v>
      </c>
      <c r="G165" s="212">
        <v>1</v>
      </c>
      <c r="H165" s="212">
        <v>2018</v>
      </c>
      <c r="I165" s="212">
        <v>2020</v>
      </c>
      <c r="J165" s="212"/>
      <c r="K165" s="212"/>
      <c r="L165" s="212"/>
      <c r="M165" s="212"/>
      <c r="N165" s="212"/>
      <c r="O165" s="212"/>
      <c r="P165" s="212"/>
      <c r="Q165" s="212"/>
      <c r="R165" s="212"/>
      <c r="S165" s="220" t="s">
        <v>2530</v>
      </c>
      <c r="T165" s="220" t="s">
        <v>2557</v>
      </c>
      <c r="U165" s="220"/>
      <c r="V165" s="113"/>
      <c r="W165" s="113"/>
      <c r="X165" s="113"/>
      <c r="Y165" s="113"/>
      <c r="Z165" s="113"/>
    </row>
    <row r="166" ht="23.25" customHeight="1" spans="1:26">
      <c r="A166" s="212"/>
      <c r="B166" s="71" t="s">
        <v>2532</v>
      </c>
      <c r="C166" s="71" t="s">
        <v>320</v>
      </c>
      <c r="D166" s="227" t="s">
        <v>147</v>
      </c>
      <c r="E166" s="212">
        <v>2</v>
      </c>
      <c r="F166" s="212">
        <v>3</v>
      </c>
      <c r="G166" s="212">
        <v>2</v>
      </c>
      <c r="H166" s="212">
        <v>2018</v>
      </c>
      <c r="I166" s="212">
        <v>2020</v>
      </c>
      <c r="J166" s="212"/>
      <c r="K166" s="212"/>
      <c r="L166" s="212"/>
      <c r="M166" s="212"/>
      <c r="N166" s="212"/>
      <c r="O166" s="212"/>
      <c r="P166" s="212"/>
      <c r="Q166" s="212"/>
      <c r="R166" s="212"/>
      <c r="S166" s="220" t="s">
        <v>2543</v>
      </c>
      <c r="T166" s="220" t="s">
        <v>2534</v>
      </c>
      <c r="U166" s="220"/>
      <c r="V166" s="113"/>
      <c r="W166" s="113"/>
      <c r="X166" s="113"/>
      <c r="Y166" s="113"/>
      <c r="Z166" s="113"/>
    </row>
    <row r="167" ht="23.25" customHeight="1" spans="1:26">
      <c r="A167" s="212">
        <v>20</v>
      </c>
      <c r="B167" s="71" t="s">
        <v>370</v>
      </c>
      <c r="C167" s="71" t="s">
        <v>320</v>
      </c>
      <c r="D167" s="71" t="s">
        <v>147</v>
      </c>
      <c r="E167" s="212">
        <v>1090</v>
      </c>
      <c r="F167" s="212"/>
      <c r="G167" s="212">
        <v>1090</v>
      </c>
      <c r="H167" s="212">
        <v>2018</v>
      </c>
      <c r="I167" s="212">
        <v>2020</v>
      </c>
      <c r="J167" s="212">
        <f>SUM(K167:M167)</f>
        <v>23.36518408</v>
      </c>
      <c r="K167" s="212">
        <v>7.058968</v>
      </c>
      <c r="L167" s="212">
        <f t="shared" ref="L167:L170" si="95">K167*1.1</f>
        <v>7.7648648</v>
      </c>
      <c r="M167" s="212">
        <f t="shared" ref="M167:M170" si="96">L167*1.1</f>
        <v>8.54135128</v>
      </c>
      <c r="N167" s="212">
        <v>23.36518408</v>
      </c>
      <c r="O167" s="212"/>
      <c r="P167" s="212"/>
      <c r="Q167" s="212"/>
      <c r="R167" s="212"/>
      <c r="S167" s="220" t="s">
        <v>2501</v>
      </c>
      <c r="T167" s="220" t="s">
        <v>2581</v>
      </c>
      <c r="U167" s="220"/>
      <c r="V167" s="113"/>
      <c r="W167" s="113"/>
      <c r="X167" s="113"/>
      <c r="Y167" s="113"/>
      <c r="Z167" s="113" t="s">
        <v>1474</v>
      </c>
    </row>
    <row r="168" ht="23.25" customHeight="1" spans="1:27">
      <c r="A168" s="212"/>
      <c r="B168" s="71" t="s">
        <v>2503</v>
      </c>
      <c r="C168" s="71" t="s">
        <v>320</v>
      </c>
      <c r="D168" s="71"/>
      <c r="E168" s="212">
        <v>151</v>
      </c>
      <c r="F168" s="212"/>
      <c r="G168" s="212">
        <v>151</v>
      </c>
      <c r="H168" s="212">
        <v>2018</v>
      </c>
      <c r="I168" s="212">
        <v>2020</v>
      </c>
      <c r="J168" s="212">
        <v>6.318</v>
      </c>
      <c r="K168" s="212">
        <v>1.908</v>
      </c>
      <c r="L168" s="212">
        <v>2.101</v>
      </c>
      <c r="M168" s="212">
        <v>2.309</v>
      </c>
      <c r="N168" s="212">
        <v>6.318</v>
      </c>
      <c r="O168" s="212"/>
      <c r="P168" s="212"/>
      <c r="Q168" s="212"/>
      <c r="R168" s="212"/>
      <c r="S168" s="220" t="s">
        <v>2504</v>
      </c>
      <c r="T168" s="220" t="s">
        <v>2505</v>
      </c>
      <c r="U168" s="220"/>
      <c r="V168" s="113"/>
      <c r="W168" s="113"/>
      <c r="X168" s="113"/>
      <c r="Y168" s="113"/>
      <c r="Z168" s="113"/>
      <c r="AA168" s="67">
        <v>42</v>
      </c>
    </row>
    <row r="169" ht="23.25" customHeight="1" spans="1:27">
      <c r="A169" s="212"/>
      <c r="B169" s="71" t="s">
        <v>2506</v>
      </c>
      <c r="C169" s="71" t="s">
        <v>320</v>
      </c>
      <c r="D169" s="71" t="s">
        <v>147</v>
      </c>
      <c r="E169" s="212">
        <v>201</v>
      </c>
      <c r="F169" s="212"/>
      <c r="G169" s="212">
        <v>201</v>
      </c>
      <c r="H169" s="212">
        <v>2018</v>
      </c>
      <c r="I169" s="212">
        <v>2020</v>
      </c>
      <c r="J169" s="212">
        <v>2.1368698</v>
      </c>
      <c r="K169" s="212">
        <f t="shared" ref="K169:K174" si="97">J169/3.31</f>
        <v>0.64558</v>
      </c>
      <c r="L169" s="212">
        <f t="shared" si="95"/>
        <v>0.710138</v>
      </c>
      <c r="M169" s="212">
        <f t="shared" si="96"/>
        <v>0.7811518</v>
      </c>
      <c r="N169" s="212">
        <v>2.1368698</v>
      </c>
      <c r="O169" s="212"/>
      <c r="P169" s="212"/>
      <c r="Q169" s="212"/>
      <c r="R169" s="212"/>
      <c r="S169" s="220" t="s">
        <v>2507</v>
      </c>
      <c r="T169" s="220" t="s">
        <v>2508</v>
      </c>
      <c r="U169" s="220"/>
      <c r="V169" s="113"/>
      <c r="W169" s="113"/>
      <c r="X169" s="113"/>
      <c r="Y169" s="113"/>
      <c r="Z169" s="113"/>
      <c r="AA169" s="67">
        <v>56</v>
      </c>
    </row>
    <row r="170" ht="23.25" customHeight="1" spans="1:27">
      <c r="A170" s="212"/>
      <c r="B170" s="71" t="s">
        <v>2509</v>
      </c>
      <c r="C170" s="71" t="s">
        <v>320</v>
      </c>
      <c r="D170" s="71" t="s">
        <v>147</v>
      </c>
      <c r="E170" s="212">
        <f>35/10*12*3</f>
        <v>126</v>
      </c>
      <c r="F170" s="212"/>
      <c r="G170" s="212">
        <v>126</v>
      </c>
      <c r="H170" s="212">
        <v>2018</v>
      </c>
      <c r="I170" s="212">
        <v>2020</v>
      </c>
      <c r="J170" s="212">
        <f>K170+L170+M170</f>
        <v>1.56575909</v>
      </c>
      <c r="K170" s="212">
        <v>0.473039</v>
      </c>
      <c r="L170" s="212">
        <f t="shared" si="95"/>
        <v>0.5203429</v>
      </c>
      <c r="M170" s="212">
        <f t="shared" si="96"/>
        <v>0.57237719</v>
      </c>
      <c r="N170" s="212">
        <v>1.56575909</v>
      </c>
      <c r="O170" s="212"/>
      <c r="P170" s="212"/>
      <c r="Q170" s="212"/>
      <c r="R170" s="212"/>
      <c r="S170" s="220" t="s">
        <v>2536</v>
      </c>
      <c r="T170" s="220" t="s">
        <v>2537</v>
      </c>
      <c r="U170" s="220"/>
      <c r="V170" s="113"/>
      <c r="W170" s="113"/>
      <c r="X170" s="113"/>
      <c r="Y170" s="113"/>
      <c r="Z170" s="113"/>
      <c r="AA170" s="67">
        <v>35</v>
      </c>
    </row>
    <row r="171" ht="23.25" customHeight="1" spans="1:26">
      <c r="A171" s="212"/>
      <c r="B171" s="71" t="s">
        <v>2512</v>
      </c>
      <c r="C171" s="71" t="s">
        <v>320</v>
      </c>
      <c r="D171" s="71" t="s">
        <v>147</v>
      </c>
      <c r="E171" s="212">
        <v>223</v>
      </c>
      <c r="F171" s="212"/>
      <c r="G171" s="212">
        <v>223</v>
      </c>
      <c r="H171" s="212">
        <v>2018</v>
      </c>
      <c r="I171" s="212">
        <v>2020</v>
      </c>
      <c r="J171" s="212">
        <v>4.07494762</v>
      </c>
      <c r="K171" s="212">
        <v>1.231102</v>
      </c>
      <c r="L171" s="212">
        <v>1.3542122</v>
      </c>
      <c r="M171" s="212">
        <v>1.48963342</v>
      </c>
      <c r="N171" s="212">
        <v>4.07494762</v>
      </c>
      <c r="O171" s="212"/>
      <c r="P171" s="212"/>
      <c r="Q171" s="212"/>
      <c r="R171" s="212"/>
      <c r="S171" s="220" t="s">
        <v>2513</v>
      </c>
      <c r="T171" s="220" t="s">
        <v>2514</v>
      </c>
      <c r="U171" s="220"/>
      <c r="V171" s="113"/>
      <c r="W171" s="113"/>
      <c r="X171" s="113"/>
      <c r="Y171" s="113"/>
      <c r="Z171" s="113"/>
    </row>
    <row r="172" ht="23.25" customHeight="1" spans="1:27">
      <c r="A172" s="212"/>
      <c r="B172" s="71" t="s">
        <v>2515</v>
      </c>
      <c r="C172" s="71" t="s">
        <v>320</v>
      </c>
      <c r="D172" s="71" t="s">
        <v>147</v>
      </c>
      <c r="E172" s="212">
        <f>40/10*12*3</f>
        <v>144</v>
      </c>
      <c r="F172" s="212"/>
      <c r="G172" s="212">
        <v>144</v>
      </c>
      <c r="H172" s="212">
        <v>2018</v>
      </c>
      <c r="I172" s="212">
        <v>2020</v>
      </c>
      <c r="J172" s="212">
        <v>2.586647266</v>
      </c>
      <c r="K172" s="212">
        <f t="shared" si="97"/>
        <v>0.78146443081571</v>
      </c>
      <c r="L172" s="212">
        <f t="shared" ref="L172:L176" si="98">K172*1.1</f>
        <v>0.859610873897281</v>
      </c>
      <c r="M172" s="212">
        <f t="shared" ref="M172:M176" si="99">L172*1.1</f>
        <v>0.945571961287009</v>
      </c>
      <c r="N172" s="212">
        <v>2.586647266</v>
      </c>
      <c r="O172" s="212"/>
      <c r="P172" s="212"/>
      <c r="Q172" s="212"/>
      <c r="R172" s="212"/>
      <c r="S172" s="220" t="s">
        <v>2538</v>
      </c>
      <c r="T172" s="220" t="s">
        <v>2539</v>
      </c>
      <c r="U172" s="220"/>
      <c r="V172" s="113"/>
      <c r="W172" s="113"/>
      <c r="X172" s="113"/>
      <c r="Y172" s="113"/>
      <c r="Z172" s="113"/>
      <c r="AA172" s="67">
        <v>40</v>
      </c>
    </row>
    <row r="173" ht="23.25" customHeight="1" spans="1:26">
      <c r="A173" s="212"/>
      <c r="B173" s="71" t="s">
        <v>2518</v>
      </c>
      <c r="C173" s="71" t="s">
        <v>320</v>
      </c>
      <c r="D173" s="71" t="s">
        <v>147</v>
      </c>
      <c r="E173" s="212">
        <v>36</v>
      </c>
      <c r="F173" s="212"/>
      <c r="G173" s="212">
        <v>36</v>
      </c>
      <c r="H173" s="212">
        <v>2018</v>
      </c>
      <c r="I173" s="212">
        <v>2020</v>
      </c>
      <c r="J173" s="212">
        <v>1.10336864</v>
      </c>
      <c r="K173" s="212">
        <v>0.333344</v>
      </c>
      <c r="L173" s="212">
        <v>0.3666784</v>
      </c>
      <c r="M173" s="212">
        <v>0.40334624</v>
      </c>
      <c r="N173" s="212">
        <v>1.10336864</v>
      </c>
      <c r="O173" s="212"/>
      <c r="P173" s="212"/>
      <c r="Q173" s="212"/>
      <c r="R173" s="212"/>
      <c r="S173" s="220" t="s">
        <v>2540</v>
      </c>
      <c r="T173" s="220" t="s">
        <v>2541</v>
      </c>
      <c r="U173" s="220"/>
      <c r="V173" s="113"/>
      <c r="W173" s="113"/>
      <c r="X173" s="113"/>
      <c r="Y173" s="113"/>
      <c r="Z173" s="113"/>
    </row>
    <row r="174" ht="23.25" customHeight="1" spans="1:27">
      <c r="A174" s="212"/>
      <c r="B174" s="71" t="s">
        <v>2521</v>
      </c>
      <c r="C174" s="71" t="s">
        <v>320</v>
      </c>
      <c r="D174" s="71" t="s">
        <v>147</v>
      </c>
      <c r="E174" s="212">
        <v>100</v>
      </c>
      <c r="F174" s="212"/>
      <c r="G174" s="212">
        <v>100</v>
      </c>
      <c r="H174" s="212">
        <v>2018</v>
      </c>
      <c r="I174" s="212">
        <v>2020</v>
      </c>
      <c r="J174" s="212">
        <v>4.599982468</v>
      </c>
      <c r="K174" s="212">
        <f t="shared" si="97"/>
        <v>1.3897228</v>
      </c>
      <c r="L174" s="212">
        <f t="shared" si="98"/>
        <v>1.52869508</v>
      </c>
      <c r="M174" s="212">
        <f t="shared" si="99"/>
        <v>1.681564588</v>
      </c>
      <c r="N174" s="212">
        <v>4.599982468</v>
      </c>
      <c r="O174" s="212"/>
      <c r="P174" s="212"/>
      <c r="Q174" s="212"/>
      <c r="R174" s="212"/>
      <c r="S174" s="220" t="s">
        <v>2523</v>
      </c>
      <c r="T174" s="220" t="s">
        <v>2522</v>
      </c>
      <c r="U174" s="220"/>
      <c r="V174" s="113"/>
      <c r="W174" s="113"/>
      <c r="X174" s="113"/>
      <c r="Y174" s="113"/>
      <c r="Z174" s="113"/>
      <c r="AA174" s="67">
        <v>28</v>
      </c>
    </row>
    <row r="175" ht="23.25" customHeight="1" spans="1:26">
      <c r="A175" s="212"/>
      <c r="B175" s="221" t="s">
        <v>2526</v>
      </c>
      <c r="C175" s="71" t="s">
        <v>320</v>
      </c>
      <c r="D175" s="167" t="s">
        <v>147</v>
      </c>
      <c r="E175" s="212">
        <v>21</v>
      </c>
      <c r="F175" s="212"/>
      <c r="G175" s="212">
        <v>21</v>
      </c>
      <c r="H175" s="212">
        <v>2018</v>
      </c>
      <c r="I175" s="212">
        <v>2020</v>
      </c>
      <c r="J175" s="212">
        <v>0.36603304</v>
      </c>
      <c r="K175" s="212">
        <v>0.110584</v>
      </c>
      <c r="L175" s="212">
        <v>0.1216424</v>
      </c>
      <c r="M175" s="212">
        <v>0.13380664</v>
      </c>
      <c r="N175" s="212">
        <v>0.36603304</v>
      </c>
      <c r="O175" s="212"/>
      <c r="P175" s="212"/>
      <c r="Q175" s="212"/>
      <c r="R175" s="212"/>
      <c r="S175" s="220" t="s">
        <v>2542</v>
      </c>
      <c r="T175" s="220" t="s">
        <v>2528</v>
      </c>
      <c r="U175" s="220"/>
      <c r="V175" s="113"/>
      <c r="W175" s="113"/>
      <c r="X175" s="113"/>
      <c r="Y175" s="113"/>
      <c r="Z175" s="113"/>
    </row>
    <row r="176" ht="23.25" customHeight="1" spans="1:27">
      <c r="A176" s="212"/>
      <c r="B176" s="71" t="s">
        <v>2529</v>
      </c>
      <c r="C176" s="71" t="s">
        <v>320</v>
      </c>
      <c r="D176" s="71" t="s">
        <v>147</v>
      </c>
      <c r="E176" s="212">
        <v>25</v>
      </c>
      <c r="F176" s="212"/>
      <c r="G176" s="212">
        <v>25</v>
      </c>
      <c r="H176" s="212">
        <v>2018</v>
      </c>
      <c r="I176" s="212">
        <v>2020</v>
      </c>
      <c r="J176" s="212">
        <f>K176+L176+M176</f>
        <v>0.23060108</v>
      </c>
      <c r="K176" s="212">
        <v>0.069668</v>
      </c>
      <c r="L176" s="212">
        <f t="shared" si="98"/>
        <v>0.0766348</v>
      </c>
      <c r="M176" s="212">
        <f t="shared" si="99"/>
        <v>0.08429828</v>
      </c>
      <c r="N176" s="212">
        <v>0.23060108</v>
      </c>
      <c r="O176" s="212"/>
      <c r="P176" s="212"/>
      <c r="Q176" s="212"/>
      <c r="R176" s="212"/>
      <c r="S176" s="220" t="s">
        <v>2530</v>
      </c>
      <c r="T176" s="220" t="s">
        <v>2557</v>
      </c>
      <c r="U176" s="220"/>
      <c r="V176" s="113"/>
      <c r="W176" s="113"/>
      <c r="X176" s="113"/>
      <c r="Y176" s="113"/>
      <c r="Z176" s="113"/>
      <c r="AA176" s="67">
        <v>7</v>
      </c>
    </row>
    <row r="177" ht="23.25" customHeight="1" spans="1:26">
      <c r="A177" s="212"/>
      <c r="B177" s="71" t="s">
        <v>2532</v>
      </c>
      <c r="C177" s="71" t="s">
        <v>320</v>
      </c>
      <c r="D177" s="227" t="s">
        <v>147</v>
      </c>
      <c r="E177" s="212">
        <v>21</v>
      </c>
      <c r="F177" s="212"/>
      <c r="G177" s="212">
        <v>21</v>
      </c>
      <c r="H177" s="212">
        <v>2018</v>
      </c>
      <c r="I177" s="212">
        <v>2020</v>
      </c>
      <c r="J177" s="212">
        <v>0.382975</v>
      </c>
      <c r="K177" s="212">
        <v>0.115708</v>
      </c>
      <c r="L177" s="212">
        <v>0.12727</v>
      </c>
      <c r="M177" s="212">
        <v>0.139997</v>
      </c>
      <c r="N177" s="212">
        <v>0.382975</v>
      </c>
      <c r="O177" s="212"/>
      <c r="P177" s="212"/>
      <c r="Q177" s="212"/>
      <c r="R177" s="212"/>
      <c r="S177" s="220" t="s">
        <v>2543</v>
      </c>
      <c r="T177" s="220" t="s">
        <v>2534</v>
      </c>
      <c r="U177" s="220"/>
      <c r="V177" s="113"/>
      <c r="W177" s="113"/>
      <c r="X177" s="113"/>
      <c r="Y177" s="113"/>
      <c r="Z177" s="113"/>
    </row>
    <row r="178" ht="23.25" customHeight="1" spans="1:26">
      <c r="A178" s="212">
        <v>21</v>
      </c>
      <c r="B178" s="71" t="s">
        <v>819</v>
      </c>
      <c r="C178" s="71" t="s">
        <v>320</v>
      </c>
      <c r="D178" s="71" t="s">
        <v>147</v>
      </c>
      <c r="E178" s="212">
        <f t="shared" ref="E178:G178" si="100">E179+E214+E225</f>
        <v>4103</v>
      </c>
      <c r="F178" s="212">
        <f t="shared" si="100"/>
        <v>1583</v>
      </c>
      <c r="G178" s="212">
        <f t="shared" si="100"/>
        <v>3698</v>
      </c>
      <c r="H178" s="212">
        <v>2018</v>
      </c>
      <c r="I178" s="212">
        <v>2020</v>
      </c>
      <c r="J178" s="212">
        <f t="shared" ref="J178:R178" si="101">J179+J214+J225</f>
        <v>309.4524</v>
      </c>
      <c r="K178" s="212">
        <f t="shared" si="101"/>
        <v>13.6956</v>
      </c>
      <c r="L178" s="212">
        <f t="shared" si="101"/>
        <v>147.9216</v>
      </c>
      <c r="M178" s="212">
        <f t="shared" si="101"/>
        <v>147.8352</v>
      </c>
      <c r="N178" s="212">
        <f t="shared" si="101"/>
        <v>3.6</v>
      </c>
      <c r="O178" s="212">
        <f t="shared" si="101"/>
        <v>0</v>
      </c>
      <c r="P178" s="212">
        <f t="shared" si="101"/>
        <v>182.0592</v>
      </c>
      <c r="Q178" s="212">
        <f t="shared" si="101"/>
        <v>123.7932</v>
      </c>
      <c r="R178" s="212">
        <f t="shared" si="101"/>
        <v>0</v>
      </c>
      <c r="S178" s="220"/>
      <c r="T178" s="220"/>
      <c r="U178" s="220"/>
      <c r="V178" s="113"/>
      <c r="W178" s="113"/>
      <c r="X178" s="113"/>
      <c r="Y178" s="113"/>
      <c r="Z178" s="113"/>
    </row>
    <row r="179" ht="23.25" customHeight="1" spans="1:28">
      <c r="A179" s="212">
        <v>22</v>
      </c>
      <c r="B179" s="71" t="s">
        <v>239</v>
      </c>
      <c r="C179" s="71" t="s">
        <v>320</v>
      </c>
      <c r="D179" s="71" t="s">
        <v>147</v>
      </c>
      <c r="E179" s="212">
        <f t="shared" ref="E179:G179" si="102">-E180+E191+E202+E213</f>
        <v>1680</v>
      </c>
      <c r="F179" s="212">
        <f t="shared" si="102"/>
        <v>832</v>
      </c>
      <c r="G179" s="212">
        <f t="shared" si="102"/>
        <v>2923</v>
      </c>
      <c r="H179" s="212">
        <v>2018</v>
      </c>
      <c r="I179" s="212">
        <v>2020</v>
      </c>
      <c r="J179" s="212"/>
      <c r="K179" s="212"/>
      <c r="L179" s="212"/>
      <c r="M179" s="212"/>
      <c r="N179" s="212"/>
      <c r="O179" s="212"/>
      <c r="P179" s="212"/>
      <c r="Q179" s="212"/>
      <c r="R179" s="212"/>
      <c r="S179" s="220" t="s">
        <v>2501</v>
      </c>
      <c r="T179" s="220" t="s">
        <v>2581</v>
      </c>
      <c r="U179" s="220"/>
      <c r="V179" s="113"/>
      <c r="W179" s="113"/>
      <c r="X179" s="113"/>
      <c r="Y179" s="113"/>
      <c r="Z179" s="113" t="s">
        <v>1474</v>
      </c>
      <c r="AB179" s="68">
        <f>J229+J240+J251+J270+J281+J292+J303</f>
        <v>39.6948</v>
      </c>
    </row>
    <row r="180" ht="23.25" customHeight="1" spans="1:26">
      <c r="A180" s="212">
        <v>23</v>
      </c>
      <c r="B180" s="71" t="s">
        <v>241</v>
      </c>
      <c r="C180" s="71" t="s">
        <v>320</v>
      </c>
      <c r="D180" s="71" t="s">
        <v>147</v>
      </c>
      <c r="E180" s="212">
        <v>3462</v>
      </c>
      <c r="F180" s="212">
        <v>586</v>
      </c>
      <c r="G180" s="212">
        <v>1985</v>
      </c>
      <c r="H180" s="212">
        <v>2018</v>
      </c>
      <c r="I180" s="212">
        <v>2020</v>
      </c>
      <c r="J180" s="212"/>
      <c r="K180" s="212"/>
      <c r="L180" s="212"/>
      <c r="M180" s="212"/>
      <c r="N180" s="212"/>
      <c r="O180" s="212"/>
      <c r="P180" s="212"/>
      <c r="Q180" s="212"/>
      <c r="R180" s="212"/>
      <c r="S180" s="220"/>
      <c r="T180" s="220"/>
      <c r="U180" s="220"/>
      <c r="V180" s="113"/>
      <c r="W180" s="113"/>
      <c r="X180" s="113"/>
      <c r="Y180" s="113"/>
      <c r="Z180" s="113" t="s">
        <v>1474</v>
      </c>
    </row>
    <row r="181" ht="23.25" customHeight="1" spans="1:26">
      <c r="A181" s="212"/>
      <c r="B181" s="71" t="s">
        <v>2503</v>
      </c>
      <c r="C181" s="71" t="s">
        <v>320</v>
      </c>
      <c r="D181" s="71" t="s">
        <v>147</v>
      </c>
      <c r="E181" s="212">
        <v>342</v>
      </c>
      <c r="F181" s="212">
        <v>82</v>
      </c>
      <c r="G181" s="212">
        <v>275</v>
      </c>
      <c r="H181" s="212">
        <v>2018</v>
      </c>
      <c r="I181" s="212">
        <v>2020</v>
      </c>
      <c r="J181" s="212"/>
      <c r="K181" s="212"/>
      <c r="L181" s="212"/>
      <c r="M181" s="212"/>
      <c r="N181" s="212"/>
      <c r="O181" s="212"/>
      <c r="P181" s="212"/>
      <c r="Q181" s="212"/>
      <c r="R181" s="212"/>
      <c r="S181" s="220" t="s">
        <v>2504</v>
      </c>
      <c r="T181" s="220" t="s">
        <v>2505</v>
      </c>
      <c r="U181" s="220"/>
      <c r="V181" s="113"/>
      <c r="W181" s="113"/>
      <c r="X181" s="113"/>
      <c r="Y181" s="113"/>
      <c r="Z181" s="113"/>
    </row>
    <row r="182" ht="23.25" customHeight="1" spans="1:26">
      <c r="A182" s="212"/>
      <c r="B182" s="71" t="s">
        <v>2506</v>
      </c>
      <c r="C182" s="71" t="s">
        <v>320</v>
      </c>
      <c r="D182" s="71" t="s">
        <v>147</v>
      </c>
      <c r="E182" s="212">
        <v>155</v>
      </c>
      <c r="F182" s="212">
        <v>93</v>
      </c>
      <c r="G182" s="212">
        <v>418</v>
      </c>
      <c r="H182" s="212">
        <v>2018</v>
      </c>
      <c r="I182" s="212">
        <v>2020</v>
      </c>
      <c r="J182" s="212"/>
      <c r="K182" s="212"/>
      <c r="L182" s="212"/>
      <c r="M182" s="212"/>
      <c r="N182" s="212"/>
      <c r="O182" s="212"/>
      <c r="P182" s="212"/>
      <c r="Q182" s="212"/>
      <c r="R182" s="212"/>
      <c r="S182" s="220" t="s">
        <v>2507</v>
      </c>
      <c r="T182" s="220" t="s">
        <v>2508</v>
      </c>
      <c r="U182" s="220"/>
      <c r="V182" s="113"/>
      <c r="W182" s="113"/>
      <c r="X182" s="113"/>
      <c r="Y182" s="113"/>
      <c r="Z182" s="113"/>
    </row>
    <row r="183" ht="23.25" customHeight="1" spans="1:26">
      <c r="A183" s="212"/>
      <c r="B183" s="71" t="s">
        <v>2509</v>
      </c>
      <c r="C183" s="71" t="s">
        <v>320</v>
      </c>
      <c r="D183" s="71" t="s">
        <v>147</v>
      </c>
      <c r="E183" s="212">
        <v>367</v>
      </c>
      <c r="F183" s="212">
        <v>73</v>
      </c>
      <c r="G183" s="212">
        <v>299</v>
      </c>
      <c r="H183" s="212">
        <v>2018</v>
      </c>
      <c r="I183" s="212">
        <v>2020</v>
      </c>
      <c r="J183" s="212"/>
      <c r="K183" s="212"/>
      <c r="L183" s="212"/>
      <c r="M183" s="212"/>
      <c r="N183" s="212"/>
      <c r="O183" s="212"/>
      <c r="P183" s="212"/>
      <c r="Q183" s="212"/>
      <c r="R183" s="212"/>
      <c r="S183" s="220" t="s">
        <v>2536</v>
      </c>
      <c r="T183" s="220" t="s">
        <v>2537</v>
      </c>
      <c r="U183" s="220"/>
      <c r="V183" s="113"/>
      <c r="W183" s="113"/>
      <c r="X183" s="113"/>
      <c r="Y183" s="113"/>
      <c r="Z183" s="113"/>
    </row>
    <row r="184" ht="23.25" customHeight="1" spans="1:26">
      <c r="A184" s="212"/>
      <c r="B184" s="71" t="s">
        <v>2512</v>
      </c>
      <c r="C184" s="71" t="s">
        <v>320</v>
      </c>
      <c r="D184" s="71" t="s">
        <v>147</v>
      </c>
      <c r="E184" s="212">
        <v>85</v>
      </c>
      <c r="F184" s="212">
        <v>80</v>
      </c>
      <c r="G184" s="212">
        <v>85</v>
      </c>
      <c r="H184" s="212">
        <v>2018</v>
      </c>
      <c r="I184" s="212">
        <v>2020</v>
      </c>
      <c r="J184" s="212"/>
      <c r="K184" s="212"/>
      <c r="L184" s="212"/>
      <c r="M184" s="212"/>
      <c r="N184" s="212"/>
      <c r="O184" s="212"/>
      <c r="P184" s="212"/>
      <c r="Q184" s="212"/>
      <c r="R184" s="212"/>
      <c r="S184" s="220" t="s">
        <v>2513</v>
      </c>
      <c r="T184" s="220" t="s">
        <v>2514</v>
      </c>
      <c r="U184" s="220"/>
      <c r="V184" s="113"/>
      <c r="W184" s="113"/>
      <c r="X184" s="113"/>
      <c r="Y184" s="113"/>
      <c r="Z184" s="113"/>
    </row>
    <row r="185" ht="23.25" customHeight="1" spans="1:26">
      <c r="A185" s="212"/>
      <c r="B185" s="71" t="s">
        <v>2515</v>
      </c>
      <c r="C185" s="71" t="s">
        <v>320</v>
      </c>
      <c r="D185" s="71" t="s">
        <v>147</v>
      </c>
      <c r="E185" s="212">
        <v>329</v>
      </c>
      <c r="F185" s="212">
        <v>63</v>
      </c>
      <c r="G185" s="212">
        <v>82</v>
      </c>
      <c r="H185" s="212">
        <v>2018</v>
      </c>
      <c r="I185" s="212">
        <v>2020</v>
      </c>
      <c r="J185" s="212"/>
      <c r="K185" s="212"/>
      <c r="L185" s="212"/>
      <c r="M185" s="212"/>
      <c r="N185" s="212"/>
      <c r="O185" s="212"/>
      <c r="P185" s="212"/>
      <c r="Q185" s="212"/>
      <c r="R185" s="212"/>
      <c r="S185" s="220" t="s">
        <v>2538</v>
      </c>
      <c r="T185" s="220" t="s">
        <v>2539</v>
      </c>
      <c r="U185" s="220"/>
      <c r="V185" s="113"/>
      <c r="W185" s="113"/>
      <c r="X185" s="113"/>
      <c r="Y185" s="113"/>
      <c r="Z185" s="113"/>
    </row>
    <row r="186" ht="23.25" customHeight="1" spans="1:26">
      <c r="A186" s="212"/>
      <c r="B186" s="71" t="s">
        <v>2518</v>
      </c>
      <c r="C186" s="71" t="s">
        <v>320</v>
      </c>
      <c r="D186" s="71" t="s">
        <v>147</v>
      </c>
      <c r="E186" s="212">
        <v>312</v>
      </c>
      <c r="F186" s="212">
        <v>54</v>
      </c>
      <c r="G186" s="212">
        <v>181</v>
      </c>
      <c r="H186" s="212">
        <v>2018</v>
      </c>
      <c r="I186" s="212">
        <v>2020</v>
      </c>
      <c r="J186" s="212"/>
      <c r="K186" s="212"/>
      <c r="L186" s="212"/>
      <c r="M186" s="212"/>
      <c r="N186" s="212"/>
      <c r="O186" s="212"/>
      <c r="P186" s="212"/>
      <c r="Q186" s="212"/>
      <c r="R186" s="212"/>
      <c r="S186" s="220" t="s">
        <v>2540</v>
      </c>
      <c r="T186" s="220" t="s">
        <v>2541</v>
      </c>
      <c r="U186" s="220"/>
      <c r="V186" s="113"/>
      <c r="W186" s="113"/>
      <c r="X186" s="113"/>
      <c r="Y186" s="113"/>
      <c r="Z186" s="113"/>
    </row>
    <row r="187" ht="23.25" customHeight="1" spans="1:26">
      <c r="A187" s="212"/>
      <c r="B187" s="71" t="s">
        <v>2521</v>
      </c>
      <c r="C187" s="71" t="s">
        <v>320</v>
      </c>
      <c r="D187" s="71" t="s">
        <v>147</v>
      </c>
      <c r="E187" s="212">
        <v>345</v>
      </c>
      <c r="F187" s="212">
        <v>51</v>
      </c>
      <c r="G187" s="212">
        <v>202</v>
      </c>
      <c r="H187" s="212">
        <v>2018</v>
      </c>
      <c r="I187" s="212">
        <v>2020</v>
      </c>
      <c r="J187" s="212"/>
      <c r="K187" s="212"/>
      <c r="L187" s="212"/>
      <c r="M187" s="212"/>
      <c r="N187" s="212"/>
      <c r="O187" s="212"/>
      <c r="P187" s="212"/>
      <c r="Q187" s="212"/>
      <c r="R187" s="212"/>
      <c r="S187" s="220" t="s">
        <v>2523</v>
      </c>
      <c r="T187" s="220" t="s">
        <v>2522</v>
      </c>
      <c r="U187" s="220"/>
      <c r="V187" s="113"/>
      <c r="W187" s="113"/>
      <c r="X187" s="113"/>
      <c r="Y187" s="113"/>
      <c r="Z187" s="113"/>
    </row>
    <row r="188" ht="23.25" customHeight="1" spans="1:26">
      <c r="A188" s="212"/>
      <c r="B188" s="221" t="s">
        <v>2526</v>
      </c>
      <c r="C188" s="71" t="s">
        <v>320</v>
      </c>
      <c r="D188" s="71" t="s">
        <v>147</v>
      </c>
      <c r="E188" s="212">
        <v>417</v>
      </c>
      <c r="F188" s="212">
        <v>37</v>
      </c>
      <c r="G188" s="212">
        <v>129</v>
      </c>
      <c r="H188" s="212">
        <v>2018</v>
      </c>
      <c r="I188" s="212">
        <v>2020</v>
      </c>
      <c r="J188" s="212"/>
      <c r="K188" s="212"/>
      <c r="L188" s="212"/>
      <c r="M188" s="212"/>
      <c r="N188" s="212"/>
      <c r="O188" s="212"/>
      <c r="P188" s="212"/>
      <c r="Q188" s="212"/>
      <c r="R188" s="212"/>
      <c r="S188" s="220" t="s">
        <v>2542</v>
      </c>
      <c r="T188" s="220" t="s">
        <v>2528</v>
      </c>
      <c r="U188" s="220"/>
      <c r="V188" s="113"/>
      <c r="W188" s="113"/>
      <c r="X188" s="113"/>
      <c r="Y188" s="113"/>
      <c r="Z188" s="113"/>
    </row>
    <row r="189" ht="23.25" customHeight="1" spans="1:26">
      <c r="A189" s="212"/>
      <c r="B189" s="71" t="s">
        <v>2529</v>
      </c>
      <c r="C189" s="71" t="s">
        <v>320</v>
      </c>
      <c r="D189" s="71" t="s">
        <v>147</v>
      </c>
      <c r="E189" s="212">
        <v>241</v>
      </c>
      <c r="F189" s="212">
        <v>28</v>
      </c>
      <c r="G189" s="212">
        <v>98</v>
      </c>
      <c r="H189" s="212">
        <v>2018</v>
      </c>
      <c r="I189" s="212">
        <v>2020</v>
      </c>
      <c r="J189" s="212"/>
      <c r="K189" s="212"/>
      <c r="L189" s="212"/>
      <c r="M189" s="212"/>
      <c r="N189" s="212"/>
      <c r="O189" s="212"/>
      <c r="P189" s="212"/>
      <c r="Q189" s="212"/>
      <c r="R189" s="212"/>
      <c r="S189" s="220" t="s">
        <v>2530</v>
      </c>
      <c r="T189" s="220" t="s">
        <v>2557</v>
      </c>
      <c r="U189" s="220"/>
      <c r="V189" s="113"/>
      <c r="W189" s="113"/>
      <c r="X189" s="113"/>
      <c r="Y189" s="113"/>
      <c r="Z189" s="113"/>
    </row>
    <row r="190" ht="23.25" customHeight="1" spans="1:26">
      <c r="A190" s="212"/>
      <c r="B190" s="71" t="s">
        <v>2532</v>
      </c>
      <c r="C190" s="71" t="s">
        <v>320</v>
      </c>
      <c r="D190" s="71" t="s">
        <v>147</v>
      </c>
      <c r="E190" s="212">
        <v>489</v>
      </c>
      <c r="F190" s="212">
        <v>18</v>
      </c>
      <c r="G190" s="212">
        <v>63</v>
      </c>
      <c r="H190" s="212">
        <v>2018</v>
      </c>
      <c r="I190" s="212">
        <v>2020</v>
      </c>
      <c r="J190" s="212"/>
      <c r="K190" s="212"/>
      <c r="L190" s="212"/>
      <c r="M190" s="212"/>
      <c r="N190" s="212"/>
      <c r="O190" s="212"/>
      <c r="P190" s="212"/>
      <c r="Q190" s="212"/>
      <c r="R190" s="212"/>
      <c r="S190" s="220" t="s">
        <v>2543</v>
      </c>
      <c r="T190" s="220" t="s">
        <v>2534</v>
      </c>
      <c r="U190" s="220"/>
      <c r="V190" s="113"/>
      <c r="W190" s="113"/>
      <c r="X190" s="113"/>
      <c r="Y190" s="113"/>
      <c r="Z190" s="113"/>
    </row>
    <row r="191" ht="23.25" customHeight="1" spans="1:26">
      <c r="A191" s="212">
        <v>24</v>
      </c>
      <c r="B191" s="71" t="s">
        <v>264</v>
      </c>
      <c r="C191" s="71" t="s">
        <v>320</v>
      </c>
      <c r="D191" s="71" t="s">
        <v>147</v>
      </c>
      <c r="E191" s="212">
        <v>3674</v>
      </c>
      <c r="F191" s="212">
        <v>761</v>
      </c>
      <c r="G191" s="212">
        <v>2341</v>
      </c>
      <c r="H191" s="212">
        <v>2018</v>
      </c>
      <c r="I191" s="212">
        <v>2020</v>
      </c>
      <c r="J191" s="212"/>
      <c r="K191" s="212"/>
      <c r="L191" s="212"/>
      <c r="M191" s="212"/>
      <c r="N191" s="212"/>
      <c r="O191" s="212"/>
      <c r="P191" s="212"/>
      <c r="Q191" s="212"/>
      <c r="R191" s="212"/>
      <c r="S191" s="220"/>
      <c r="T191" s="220"/>
      <c r="U191" s="220"/>
      <c r="V191" s="113"/>
      <c r="W191" s="113"/>
      <c r="X191" s="113"/>
      <c r="Y191" s="113"/>
      <c r="Z191" s="113" t="s">
        <v>1474</v>
      </c>
    </row>
    <row r="192" ht="23.25" customHeight="1" spans="1:26">
      <c r="A192" s="212"/>
      <c r="B192" s="71" t="s">
        <v>2503</v>
      </c>
      <c r="C192" s="71" t="s">
        <v>320</v>
      </c>
      <c r="D192" s="71" t="s">
        <v>147</v>
      </c>
      <c r="E192" s="212">
        <v>456</v>
      </c>
      <c r="F192" s="212">
        <v>109</v>
      </c>
      <c r="G192" s="212">
        <v>327</v>
      </c>
      <c r="H192" s="212">
        <v>2018</v>
      </c>
      <c r="I192" s="212">
        <v>2020</v>
      </c>
      <c r="J192" s="212"/>
      <c r="K192" s="212"/>
      <c r="L192" s="212"/>
      <c r="M192" s="212"/>
      <c r="N192" s="212"/>
      <c r="O192" s="212"/>
      <c r="P192" s="212"/>
      <c r="Q192" s="212"/>
      <c r="R192" s="212"/>
      <c r="S192" s="220" t="s">
        <v>2504</v>
      </c>
      <c r="T192" s="220" t="s">
        <v>2505</v>
      </c>
      <c r="U192" s="220"/>
      <c r="V192" s="113"/>
      <c r="W192" s="113"/>
      <c r="X192" s="113"/>
      <c r="Y192" s="113"/>
      <c r="Z192" s="113"/>
    </row>
    <row r="193" ht="23.25" customHeight="1" spans="1:26">
      <c r="A193" s="212"/>
      <c r="B193" s="71" t="s">
        <v>2506</v>
      </c>
      <c r="C193" s="71" t="s">
        <v>320</v>
      </c>
      <c r="D193" s="71" t="s">
        <v>147</v>
      </c>
      <c r="E193" s="212">
        <v>88</v>
      </c>
      <c r="F193" s="212">
        <v>39</v>
      </c>
      <c r="G193" s="212">
        <v>179</v>
      </c>
      <c r="H193" s="212">
        <v>2018</v>
      </c>
      <c r="I193" s="212">
        <v>2020</v>
      </c>
      <c r="J193" s="212"/>
      <c r="K193" s="212"/>
      <c r="L193" s="212"/>
      <c r="M193" s="212"/>
      <c r="N193" s="212"/>
      <c r="O193" s="212"/>
      <c r="P193" s="212"/>
      <c r="Q193" s="212"/>
      <c r="R193" s="212"/>
      <c r="S193" s="220" t="s">
        <v>2507</v>
      </c>
      <c r="T193" s="220" t="s">
        <v>2508</v>
      </c>
      <c r="U193" s="220"/>
      <c r="V193" s="113"/>
      <c r="W193" s="113"/>
      <c r="X193" s="113"/>
      <c r="Y193" s="113"/>
      <c r="Z193" s="113"/>
    </row>
    <row r="194" ht="23.25" customHeight="1" spans="1:26">
      <c r="A194" s="212"/>
      <c r="B194" s="71" t="s">
        <v>2509</v>
      </c>
      <c r="C194" s="71" t="s">
        <v>320</v>
      </c>
      <c r="D194" s="71" t="s">
        <v>147</v>
      </c>
      <c r="E194" s="212">
        <v>469</v>
      </c>
      <c r="F194" s="212">
        <v>73</v>
      </c>
      <c r="G194" s="212">
        <v>296</v>
      </c>
      <c r="H194" s="212">
        <v>2018</v>
      </c>
      <c r="I194" s="212">
        <v>2020</v>
      </c>
      <c r="J194" s="212"/>
      <c r="K194" s="212"/>
      <c r="L194" s="212"/>
      <c r="M194" s="212"/>
      <c r="N194" s="212"/>
      <c r="O194" s="212"/>
      <c r="P194" s="212"/>
      <c r="Q194" s="212"/>
      <c r="R194" s="212"/>
      <c r="S194" s="220" t="s">
        <v>2536</v>
      </c>
      <c r="T194" s="220" t="s">
        <v>2537</v>
      </c>
      <c r="U194" s="220"/>
      <c r="V194" s="113"/>
      <c r="W194" s="113"/>
      <c r="X194" s="113"/>
      <c r="Y194" s="113"/>
      <c r="Z194" s="113"/>
    </row>
    <row r="195" ht="23.25" customHeight="1" spans="1:26">
      <c r="A195" s="212"/>
      <c r="B195" s="71" t="s">
        <v>2512</v>
      </c>
      <c r="C195" s="71" t="s">
        <v>320</v>
      </c>
      <c r="D195" s="71" t="s">
        <v>147</v>
      </c>
      <c r="E195" s="212">
        <v>69</v>
      </c>
      <c r="F195" s="212">
        <v>55</v>
      </c>
      <c r="G195" s="212">
        <v>69</v>
      </c>
      <c r="H195" s="212">
        <v>2018</v>
      </c>
      <c r="I195" s="212">
        <v>2020</v>
      </c>
      <c r="J195" s="212"/>
      <c r="K195" s="212"/>
      <c r="L195" s="212"/>
      <c r="M195" s="212"/>
      <c r="N195" s="212"/>
      <c r="O195" s="212"/>
      <c r="P195" s="212"/>
      <c r="Q195" s="212"/>
      <c r="R195" s="212"/>
      <c r="S195" s="220" t="s">
        <v>2513</v>
      </c>
      <c r="T195" s="220" t="s">
        <v>2514</v>
      </c>
      <c r="U195" s="220"/>
      <c r="V195" s="113"/>
      <c r="W195" s="113"/>
      <c r="X195" s="113"/>
      <c r="Y195" s="113"/>
      <c r="Z195" s="113"/>
    </row>
    <row r="196" ht="23.25" customHeight="1" spans="1:26">
      <c r="A196" s="212"/>
      <c r="B196" s="71" t="s">
        <v>2515</v>
      </c>
      <c r="C196" s="71" t="s">
        <v>320</v>
      </c>
      <c r="D196" s="71" t="s">
        <v>147</v>
      </c>
      <c r="E196" s="212">
        <v>386</v>
      </c>
      <c r="F196" s="212">
        <v>98</v>
      </c>
      <c r="G196" s="212">
        <v>294</v>
      </c>
      <c r="H196" s="212">
        <v>2018</v>
      </c>
      <c r="I196" s="212">
        <v>2020</v>
      </c>
      <c r="J196" s="212"/>
      <c r="K196" s="212"/>
      <c r="L196" s="212"/>
      <c r="M196" s="212"/>
      <c r="N196" s="212"/>
      <c r="O196" s="212"/>
      <c r="P196" s="212"/>
      <c r="Q196" s="212"/>
      <c r="R196" s="212"/>
      <c r="S196" s="220" t="s">
        <v>2538</v>
      </c>
      <c r="T196" s="220" t="s">
        <v>2539</v>
      </c>
      <c r="U196" s="220"/>
      <c r="V196" s="113"/>
      <c r="W196" s="113"/>
      <c r="X196" s="113"/>
      <c r="Y196" s="113"/>
      <c r="Z196" s="113"/>
    </row>
    <row r="197" ht="23.25" customHeight="1" spans="1:26">
      <c r="A197" s="212"/>
      <c r="B197" s="71" t="s">
        <v>2518</v>
      </c>
      <c r="C197" s="71" t="s">
        <v>320</v>
      </c>
      <c r="D197" s="71" t="s">
        <v>147</v>
      </c>
      <c r="E197" s="212">
        <v>349</v>
      </c>
      <c r="F197" s="212">
        <v>82</v>
      </c>
      <c r="G197" s="212">
        <v>274</v>
      </c>
      <c r="H197" s="212">
        <v>2018</v>
      </c>
      <c r="I197" s="212">
        <v>2020</v>
      </c>
      <c r="J197" s="212"/>
      <c r="K197" s="212"/>
      <c r="L197" s="212"/>
      <c r="M197" s="212"/>
      <c r="N197" s="212"/>
      <c r="O197" s="212"/>
      <c r="P197" s="212"/>
      <c r="Q197" s="212"/>
      <c r="R197" s="212"/>
      <c r="S197" s="220" t="s">
        <v>2540</v>
      </c>
      <c r="T197" s="220" t="s">
        <v>2541</v>
      </c>
      <c r="U197" s="220"/>
      <c r="V197" s="113"/>
      <c r="W197" s="113"/>
      <c r="X197" s="113"/>
      <c r="Y197" s="113"/>
      <c r="Z197" s="113"/>
    </row>
    <row r="198" ht="23.25" customHeight="1" spans="1:26">
      <c r="A198" s="212"/>
      <c r="B198" s="71" t="s">
        <v>2521</v>
      </c>
      <c r="C198" s="71" t="s">
        <v>320</v>
      </c>
      <c r="D198" s="71" t="s">
        <v>147</v>
      </c>
      <c r="E198" s="212">
        <v>359</v>
      </c>
      <c r="F198" s="212">
        <v>34</v>
      </c>
      <c r="G198" s="212">
        <v>132</v>
      </c>
      <c r="H198" s="212">
        <v>2018</v>
      </c>
      <c r="I198" s="212">
        <v>2020</v>
      </c>
      <c r="J198" s="212"/>
      <c r="K198" s="212"/>
      <c r="L198" s="212"/>
      <c r="M198" s="212"/>
      <c r="N198" s="212"/>
      <c r="O198" s="212"/>
      <c r="P198" s="212"/>
      <c r="Q198" s="212"/>
      <c r="R198" s="212"/>
      <c r="S198" s="220" t="s">
        <v>2523</v>
      </c>
      <c r="T198" s="220" t="s">
        <v>2522</v>
      </c>
      <c r="U198" s="220"/>
      <c r="V198" s="113"/>
      <c r="W198" s="113"/>
      <c r="X198" s="113"/>
      <c r="Y198" s="113"/>
      <c r="Z198" s="113"/>
    </row>
    <row r="199" ht="23.25" customHeight="1" spans="1:26">
      <c r="A199" s="212"/>
      <c r="B199" s="221" t="s">
        <v>2526</v>
      </c>
      <c r="C199" s="71" t="s">
        <v>320</v>
      </c>
      <c r="D199" s="71" t="s">
        <v>147</v>
      </c>
      <c r="E199" s="212">
        <v>253</v>
      </c>
      <c r="F199" s="212">
        <v>48</v>
      </c>
      <c r="G199" s="212">
        <v>144</v>
      </c>
      <c r="H199" s="212">
        <v>2018</v>
      </c>
      <c r="I199" s="212">
        <v>2020</v>
      </c>
      <c r="J199" s="212"/>
      <c r="K199" s="212"/>
      <c r="L199" s="212"/>
      <c r="M199" s="212"/>
      <c r="N199" s="212"/>
      <c r="O199" s="212"/>
      <c r="P199" s="212"/>
      <c r="Q199" s="212"/>
      <c r="R199" s="212"/>
      <c r="S199" s="220" t="s">
        <v>2542</v>
      </c>
      <c r="T199" s="220" t="s">
        <v>2528</v>
      </c>
      <c r="U199" s="220"/>
      <c r="V199" s="113"/>
      <c r="W199" s="113"/>
      <c r="X199" s="113"/>
      <c r="Y199" s="113"/>
      <c r="Z199" s="113"/>
    </row>
    <row r="200" ht="23.25" customHeight="1" spans="1:26">
      <c r="A200" s="212"/>
      <c r="B200" s="71" t="s">
        <v>2529</v>
      </c>
      <c r="C200" s="71" t="s">
        <v>320</v>
      </c>
      <c r="D200" s="71" t="s">
        <v>147</v>
      </c>
      <c r="E200" s="212">
        <v>287</v>
      </c>
      <c r="F200" s="212">
        <v>28</v>
      </c>
      <c r="G200" s="212">
        <v>84</v>
      </c>
      <c r="H200" s="212">
        <v>2018</v>
      </c>
      <c r="I200" s="212">
        <v>2020</v>
      </c>
      <c r="J200" s="212"/>
      <c r="K200" s="212"/>
      <c r="L200" s="212"/>
      <c r="M200" s="212"/>
      <c r="N200" s="212"/>
      <c r="O200" s="212"/>
      <c r="P200" s="212"/>
      <c r="Q200" s="212"/>
      <c r="R200" s="212"/>
      <c r="S200" s="220" t="s">
        <v>2530</v>
      </c>
      <c r="T200" s="220" t="s">
        <v>2557</v>
      </c>
      <c r="U200" s="220"/>
      <c r="V200" s="113"/>
      <c r="W200" s="113"/>
      <c r="X200" s="113"/>
      <c r="Y200" s="113"/>
      <c r="Z200" s="113"/>
    </row>
    <row r="201" ht="23.25" customHeight="1" spans="1:26">
      <c r="A201" s="212"/>
      <c r="B201" s="71" t="s">
        <v>2532</v>
      </c>
      <c r="C201" s="71" t="s">
        <v>320</v>
      </c>
      <c r="D201" s="71" t="s">
        <v>147</v>
      </c>
      <c r="E201" s="212">
        <v>307</v>
      </c>
      <c r="F201" s="212">
        <v>18</v>
      </c>
      <c r="G201" s="212">
        <v>54</v>
      </c>
      <c r="H201" s="212">
        <v>2018</v>
      </c>
      <c r="I201" s="212">
        <v>2020</v>
      </c>
      <c r="J201" s="212"/>
      <c r="K201" s="212"/>
      <c r="L201" s="212"/>
      <c r="M201" s="212"/>
      <c r="N201" s="212"/>
      <c r="O201" s="212"/>
      <c r="P201" s="212"/>
      <c r="Q201" s="212"/>
      <c r="R201" s="212"/>
      <c r="S201" s="220" t="s">
        <v>2543</v>
      </c>
      <c r="T201" s="220" t="s">
        <v>2534</v>
      </c>
      <c r="U201" s="220"/>
      <c r="V201" s="113"/>
      <c r="W201" s="113"/>
      <c r="X201" s="113"/>
      <c r="Y201" s="113"/>
      <c r="Z201" s="113"/>
    </row>
    <row r="202" ht="23.25" customHeight="1" spans="1:26">
      <c r="A202" s="212">
        <v>25</v>
      </c>
      <c r="B202" s="71" t="s">
        <v>265</v>
      </c>
      <c r="C202" s="71" t="s">
        <v>320</v>
      </c>
      <c r="D202" s="71" t="s">
        <v>147</v>
      </c>
      <c r="E202" s="212">
        <v>1468</v>
      </c>
      <c r="F202" s="212">
        <v>657</v>
      </c>
      <c r="G202" s="212">
        <v>2567</v>
      </c>
      <c r="H202" s="212">
        <v>2018</v>
      </c>
      <c r="I202" s="212">
        <v>2020</v>
      </c>
      <c r="J202" s="212"/>
      <c r="K202" s="212"/>
      <c r="L202" s="212"/>
      <c r="M202" s="212"/>
      <c r="N202" s="212"/>
      <c r="O202" s="212"/>
      <c r="P202" s="212"/>
      <c r="Q202" s="212"/>
      <c r="R202" s="212"/>
      <c r="S202" s="220"/>
      <c r="T202" s="220"/>
      <c r="U202" s="220" t="s">
        <v>195</v>
      </c>
      <c r="V202" s="113"/>
      <c r="W202" s="113"/>
      <c r="X202" s="113"/>
      <c r="Y202" s="113"/>
      <c r="Z202" s="113" t="s">
        <v>1474</v>
      </c>
    </row>
    <row r="203" ht="23.25" customHeight="1" spans="1:26">
      <c r="A203" s="212"/>
      <c r="B203" s="71" t="s">
        <v>2503</v>
      </c>
      <c r="C203" s="71" t="s">
        <v>320</v>
      </c>
      <c r="D203" s="71" t="s">
        <v>147</v>
      </c>
      <c r="E203" s="212">
        <v>172</v>
      </c>
      <c r="F203" s="212">
        <v>76</v>
      </c>
      <c r="G203" s="212">
        <v>284</v>
      </c>
      <c r="H203" s="212">
        <v>2018</v>
      </c>
      <c r="I203" s="212">
        <v>2020</v>
      </c>
      <c r="J203" s="212"/>
      <c r="K203" s="212"/>
      <c r="L203" s="212"/>
      <c r="M203" s="212"/>
      <c r="N203" s="212"/>
      <c r="O203" s="212"/>
      <c r="P203" s="212"/>
      <c r="Q203" s="212"/>
      <c r="R203" s="212"/>
      <c r="S203" s="220" t="s">
        <v>2504</v>
      </c>
      <c r="T203" s="220" t="s">
        <v>2505</v>
      </c>
      <c r="U203" s="220"/>
      <c r="V203" s="113"/>
      <c r="W203" s="113"/>
      <c r="X203" s="113"/>
      <c r="Y203" s="113"/>
      <c r="Z203" s="113"/>
    </row>
    <row r="204" ht="23.25" customHeight="1" spans="1:26">
      <c r="A204" s="212"/>
      <c r="B204" s="71" t="s">
        <v>2506</v>
      </c>
      <c r="C204" s="71" t="s">
        <v>320</v>
      </c>
      <c r="D204" s="71" t="s">
        <v>147</v>
      </c>
      <c r="E204" s="212">
        <v>391</v>
      </c>
      <c r="F204" s="212">
        <v>197</v>
      </c>
      <c r="G204" s="212">
        <v>918</v>
      </c>
      <c r="H204" s="212">
        <v>2018</v>
      </c>
      <c r="I204" s="212">
        <v>2020</v>
      </c>
      <c r="J204" s="212"/>
      <c r="K204" s="212"/>
      <c r="L204" s="212"/>
      <c r="M204" s="212"/>
      <c r="N204" s="212"/>
      <c r="O204" s="212"/>
      <c r="P204" s="212"/>
      <c r="Q204" s="212"/>
      <c r="R204" s="212"/>
      <c r="S204" s="220" t="s">
        <v>2507</v>
      </c>
      <c r="T204" s="220" t="s">
        <v>2508</v>
      </c>
      <c r="U204" s="220"/>
      <c r="V204" s="113"/>
      <c r="W204" s="113"/>
      <c r="X204" s="113"/>
      <c r="Y204" s="113"/>
      <c r="Z204" s="113"/>
    </row>
    <row r="205" ht="23.25" customHeight="1" spans="1:26">
      <c r="A205" s="212"/>
      <c r="B205" s="71" t="s">
        <v>2509</v>
      </c>
      <c r="C205" s="71" t="s">
        <v>320</v>
      </c>
      <c r="D205" s="71" t="s">
        <v>147</v>
      </c>
      <c r="E205" s="212">
        <v>216</v>
      </c>
      <c r="F205" s="212">
        <v>112</v>
      </c>
      <c r="G205" s="212">
        <v>461</v>
      </c>
      <c r="H205" s="212">
        <v>2018</v>
      </c>
      <c r="I205" s="212">
        <v>2020</v>
      </c>
      <c r="J205" s="212"/>
      <c r="K205" s="212"/>
      <c r="L205" s="212"/>
      <c r="M205" s="212"/>
      <c r="N205" s="212"/>
      <c r="O205" s="212"/>
      <c r="P205" s="212"/>
      <c r="Q205" s="212"/>
      <c r="R205" s="212"/>
      <c r="S205" s="220" t="s">
        <v>2536</v>
      </c>
      <c r="T205" s="220" t="s">
        <v>2537</v>
      </c>
      <c r="U205" s="220"/>
      <c r="V205" s="113"/>
      <c r="W205" s="113"/>
      <c r="X205" s="113"/>
      <c r="Y205" s="113"/>
      <c r="Z205" s="113"/>
    </row>
    <row r="206" ht="23.25" customHeight="1" spans="1:26">
      <c r="A206" s="212"/>
      <c r="B206" s="71" t="s">
        <v>2512</v>
      </c>
      <c r="C206" s="71" t="s">
        <v>320</v>
      </c>
      <c r="D206" s="71" t="s">
        <v>147</v>
      </c>
      <c r="E206" s="212">
        <v>130</v>
      </c>
      <c r="F206" s="212">
        <v>110</v>
      </c>
      <c r="G206" s="212">
        <v>130</v>
      </c>
      <c r="H206" s="212">
        <v>2018</v>
      </c>
      <c r="I206" s="212">
        <v>2020</v>
      </c>
      <c r="J206" s="212"/>
      <c r="K206" s="212"/>
      <c r="L206" s="212"/>
      <c r="M206" s="212"/>
      <c r="N206" s="212"/>
      <c r="O206" s="212"/>
      <c r="P206" s="212"/>
      <c r="Q206" s="212"/>
      <c r="R206" s="212"/>
      <c r="S206" s="220" t="s">
        <v>2513</v>
      </c>
      <c r="T206" s="220" t="s">
        <v>2514</v>
      </c>
      <c r="U206" s="220"/>
      <c r="V206" s="113"/>
      <c r="W206" s="113"/>
      <c r="X206" s="113"/>
      <c r="Y206" s="113"/>
      <c r="Z206" s="113"/>
    </row>
    <row r="207" ht="23.25" customHeight="1" spans="1:26">
      <c r="A207" s="212"/>
      <c r="B207" s="71" t="s">
        <v>2515</v>
      </c>
      <c r="C207" s="71" t="s">
        <v>320</v>
      </c>
      <c r="D207" s="71" t="s">
        <v>147</v>
      </c>
      <c r="E207" s="212">
        <v>137</v>
      </c>
      <c r="F207" s="212">
        <v>86</v>
      </c>
      <c r="G207" s="212">
        <v>341</v>
      </c>
      <c r="H207" s="212">
        <v>2018</v>
      </c>
      <c r="I207" s="212">
        <v>2020</v>
      </c>
      <c r="J207" s="212"/>
      <c r="K207" s="212"/>
      <c r="L207" s="212"/>
      <c r="M207" s="212"/>
      <c r="N207" s="212"/>
      <c r="O207" s="212"/>
      <c r="P207" s="212"/>
      <c r="Q207" s="212"/>
      <c r="R207" s="212"/>
      <c r="S207" s="220" t="s">
        <v>2538</v>
      </c>
      <c r="T207" s="220" t="s">
        <v>2539</v>
      </c>
      <c r="U207" s="220"/>
      <c r="V207" s="113"/>
      <c r="W207" s="113"/>
      <c r="X207" s="113"/>
      <c r="Y207" s="113"/>
      <c r="Z207" s="113"/>
    </row>
    <row r="208" ht="23.25" customHeight="1" spans="1:26">
      <c r="A208" s="212"/>
      <c r="B208" s="71" t="s">
        <v>2518</v>
      </c>
      <c r="C208" s="71" t="s">
        <v>320</v>
      </c>
      <c r="D208" s="71" t="s">
        <v>147</v>
      </c>
      <c r="E208" s="212">
        <v>92</v>
      </c>
      <c r="F208" s="212">
        <v>82</v>
      </c>
      <c r="G208" s="212">
        <v>297</v>
      </c>
      <c r="H208" s="212">
        <v>2018</v>
      </c>
      <c r="I208" s="212">
        <v>2020</v>
      </c>
      <c r="J208" s="212"/>
      <c r="K208" s="212"/>
      <c r="L208" s="212"/>
      <c r="M208" s="212"/>
      <c r="N208" s="212"/>
      <c r="O208" s="212"/>
      <c r="P208" s="212"/>
      <c r="Q208" s="212"/>
      <c r="R208" s="212"/>
      <c r="S208" s="220" t="s">
        <v>2540</v>
      </c>
      <c r="T208" s="220" t="s">
        <v>2541</v>
      </c>
      <c r="U208" s="220"/>
      <c r="V208" s="113"/>
      <c r="W208" s="113"/>
      <c r="X208" s="113"/>
      <c r="Y208" s="113"/>
      <c r="Z208" s="113"/>
    </row>
    <row r="209" ht="23.25" customHeight="1" spans="1:26">
      <c r="A209" s="212"/>
      <c r="B209" s="71" t="s">
        <v>2521</v>
      </c>
      <c r="C209" s="71" t="s">
        <v>320</v>
      </c>
      <c r="D209" s="71" t="s">
        <v>147</v>
      </c>
      <c r="E209" s="212">
        <v>94</v>
      </c>
      <c r="F209" s="212">
        <v>21</v>
      </c>
      <c r="G209" s="212">
        <v>72</v>
      </c>
      <c r="H209" s="212">
        <v>2018</v>
      </c>
      <c r="I209" s="212">
        <v>2020</v>
      </c>
      <c r="J209" s="212"/>
      <c r="K209" s="212"/>
      <c r="L209" s="212"/>
      <c r="M209" s="212"/>
      <c r="N209" s="212"/>
      <c r="O209" s="212"/>
      <c r="P209" s="212"/>
      <c r="Q209" s="212"/>
      <c r="R209" s="212"/>
      <c r="S209" s="220" t="s">
        <v>2523</v>
      </c>
      <c r="T209" s="220" t="s">
        <v>2522</v>
      </c>
      <c r="U209" s="220"/>
      <c r="V209" s="113"/>
      <c r="W209" s="113"/>
      <c r="X209" s="113"/>
      <c r="Y209" s="113"/>
      <c r="Z209" s="113"/>
    </row>
    <row r="210" ht="23.25" customHeight="1" spans="1:26">
      <c r="A210" s="212"/>
      <c r="B210" s="221" t="s">
        <v>2526</v>
      </c>
      <c r="C210" s="71" t="s">
        <v>320</v>
      </c>
      <c r="D210" s="71" t="s">
        <v>147</v>
      </c>
      <c r="E210" s="212">
        <v>61</v>
      </c>
      <c r="F210" s="212">
        <v>33</v>
      </c>
      <c r="G210" s="212">
        <v>99</v>
      </c>
      <c r="H210" s="212">
        <v>2018</v>
      </c>
      <c r="I210" s="212">
        <v>2020</v>
      </c>
      <c r="J210" s="212"/>
      <c r="K210" s="212"/>
      <c r="L210" s="212"/>
      <c r="M210" s="212"/>
      <c r="N210" s="212"/>
      <c r="O210" s="212"/>
      <c r="P210" s="212"/>
      <c r="Q210" s="212"/>
      <c r="R210" s="212"/>
      <c r="S210" s="220" t="s">
        <v>2542</v>
      </c>
      <c r="T210" s="220" t="s">
        <v>2528</v>
      </c>
      <c r="U210" s="220"/>
      <c r="V210" s="113"/>
      <c r="W210" s="113"/>
      <c r="X210" s="113"/>
      <c r="Y210" s="113"/>
      <c r="Z210" s="113"/>
    </row>
    <row r="211" ht="23.25" customHeight="1" spans="1:26">
      <c r="A211" s="212"/>
      <c r="B211" s="71" t="s">
        <v>2529</v>
      </c>
      <c r="C211" s="71" t="s">
        <v>320</v>
      </c>
      <c r="D211" s="71" t="s">
        <v>147</v>
      </c>
      <c r="E211" s="212">
        <v>67</v>
      </c>
      <c r="F211" s="212">
        <v>31</v>
      </c>
      <c r="G211" s="212">
        <v>118</v>
      </c>
      <c r="H211" s="212">
        <v>2018</v>
      </c>
      <c r="I211" s="212">
        <v>2020</v>
      </c>
      <c r="J211" s="212"/>
      <c r="K211" s="212"/>
      <c r="L211" s="212"/>
      <c r="M211" s="212"/>
      <c r="N211" s="212"/>
      <c r="O211" s="212"/>
      <c r="P211" s="212"/>
      <c r="Q211" s="212"/>
      <c r="R211" s="212"/>
      <c r="S211" s="220" t="s">
        <v>2530</v>
      </c>
      <c r="T211" s="220" t="s">
        <v>2557</v>
      </c>
      <c r="U211" s="220"/>
      <c r="V211" s="113"/>
      <c r="W211" s="113"/>
      <c r="X211" s="113"/>
      <c r="Y211" s="113"/>
      <c r="Z211" s="113"/>
    </row>
    <row r="212" ht="23.25" customHeight="1" spans="1:26">
      <c r="A212" s="212"/>
      <c r="B212" s="71" t="s">
        <v>2532</v>
      </c>
      <c r="C212" s="71" t="s">
        <v>320</v>
      </c>
      <c r="D212" s="71" t="s">
        <v>147</v>
      </c>
      <c r="E212" s="212">
        <v>108</v>
      </c>
      <c r="F212" s="212">
        <v>24</v>
      </c>
      <c r="G212" s="212">
        <v>98</v>
      </c>
      <c r="H212" s="212">
        <v>2018</v>
      </c>
      <c r="I212" s="212">
        <v>2020</v>
      </c>
      <c r="J212" s="212"/>
      <c r="K212" s="212"/>
      <c r="L212" s="212"/>
      <c r="M212" s="212"/>
      <c r="N212" s="212"/>
      <c r="O212" s="212"/>
      <c r="P212" s="212"/>
      <c r="Q212" s="212"/>
      <c r="R212" s="212"/>
      <c r="S212" s="220" t="s">
        <v>2543</v>
      </c>
      <c r="T212" s="220" t="s">
        <v>2534</v>
      </c>
      <c r="U212" s="220"/>
      <c r="V212" s="113"/>
      <c r="W212" s="113"/>
      <c r="X212" s="113"/>
      <c r="Y212" s="113"/>
      <c r="Z212" s="113"/>
    </row>
    <row r="213" ht="23.25" customHeight="1" spans="1:26">
      <c r="A213" s="212">
        <v>26</v>
      </c>
      <c r="B213" s="71" t="s">
        <v>266</v>
      </c>
      <c r="C213" s="71" t="s">
        <v>320</v>
      </c>
      <c r="D213" s="71" t="s">
        <v>147</v>
      </c>
      <c r="E213" s="212"/>
      <c r="F213" s="212"/>
      <c r="G213" s="212"/>
      <c r="H213" s="212">
        <v>2018</v>
      </c>
      <c r="I213" s="212">
        <v>2020</v>
      </c>
      <c r="J213" s="212"/>
      <c r="K213" s="212"/>
      <c r="L213" s="212"/>
      <c r="M213" s="212"/>
      <c r="N213" s="212"/>
      <c r="O213" s="212"/>
      <c r="P213" s="212"/>
      <c r="Q213" s="212"/>
      <c r="R213" s="212"/>
      <c r="S213" s="220"/>
      <c r="T213" s="220"/>
      <c r="U213" s="220" t="s">
        <v>195</v>
      </c>
      <c r="V213" s="113"/>
      <c r="W213" s="113"/>
      <c r="X213" s="113"/>
      <c r="Y213" s="113"/>
      <c r="Z213" s="113" t="s">
        <v>1474</v>
      </c>
    </row>
    <row r="214" ht="23.25" customHeight="1" spans="1:26">
      <c r="A214" s="212">
        <v>27</v>
      </c>
      <c r="B214" s="71" t="s">
        <v>267</v>
      </c>
      <c r="C214" s="71" t="s">
        <v>52</v>
      </c>
      <c r="D214" s="71" t="s">
        <v>194</v>
      </c>
      <c r="E214" s="212">
        <v>1950</v>
      </c>
      <c r="F214" s="212">
        <v>286</v>
      </c>
      <c r="G214" s="212">
        <v>310</v>
      </c>
      <c r="H214" s="212">
        <v>2018</v>
      </c>
      <c r="I214" s="212">
        <v>2020</v>
      </c>
      <c r="J214" s="212"/>
      <c r="K214" s="212"/>
      <c r="L214" s="212"/>
      <c r="M214" s="212"/>
      <c r="N214" s="212"/>
      <c r="O214" s="212"/>
      <c r="P214" s="212"/>
      <c r="Q214" s="212"/>
      <c r="R214" s="212"/>
      <c r="S214" s="220" t="s">
        <v>2501</v>
      </c>
      <c r="T214" s="220" t="s">
        <v>2581</v>
      </c>
      <c r="U214" s="220"/>
      <c r="V214" s="113"/>
      <c r="W214" s="113"/>
      <c r="X214" s="113"/>
      <c r="Y214" s="113"/>
      <c r="Z214" s="113" t="s">
        <v>1474</v>
      </c>
    </row>
    <row r="215" ht="23.25" customHeight="1" spans="1:26">
      <c r="A215" s="212"/>
      <c r="B215" s="71" t="s">
        <v>2503</v>
      </c>
      <c r="C215" s="71" t="s">
        <v>320</v>
      </c>
      <c r="D215" s="71" t="s">
        <v>147</v>
      </c>
      <c r="E215" s="212">
        <v>203</v>
      </c>
      <c r="F215" s="212">
        <v>189</v>
      </c>
      <c r="G215" s="212">
        <v>189</v>
      </c>
      <c r="H215" s="212">
        <v>2018</v>
      </c>
      <c r="I215" s="212">
        <v>2020</v>
      </c>
      <c r="J215" s="212"/>
      <c r="K215" s="212"/>
      <c r="L215" s="212"/>
      <c r="M215" s="212"/>
      <c r="N215" s="212"/>
      <c r="O215" s="212"/>
      <c r="P215" s="212"/>
      <c r="Q215" s="212"/>
      <c r="R215" s="212"/>
      <c r="S215" s="220" t="s">
        <v>2504</v>
      </c>
      <c r="T215" s="220" t="s">
        <v>2505</v>
      </c>
      <c r="U215" s="220"/>
      <c r="V215" s="113"/>
      <c r="W215" s="113"/>
      <c r="X215" s="113"/>
      <c r="Y215" s="113"/>
      <c r="Z215" s="113"/>
    </row>
    <row r="216" ht="23.25" customHeight="1" spans="1:26">
      <c r="A216" s="212"/>
      <c r="B216" s="71" t="s">
        <v>2506</v>
      </c>
      <c r="C216" s="71" t="s">
        <v>320</v>
      </c>
      <c r="D216" s="71" t="s">
        <v>147</v>
      </c>
      <c r="E216" s="212">
        <v>366</v>
      </c>
      <c r="F216" s="212">
        <v>295</v>
      </c>
      <c r="G216" s="212">
        <v>366</v>
      </c>
      <c r="H216" s="212">
        <v>2018</v>
      </c>
      <c r="I216" s="212">
        <v>2020</v>
      </c>
      <c r="J216" s="212"/>
      <c r="K216" s="212"/>
      <c r="L216" s="212"/>
      <c r="M216" s="212"/>
      <c r="N216" s="212"/>
      <c r="O216" s="212"/>
      <c r="P216" s="212"/>
      <c r="Q216" s="212"/>
      <c r="R216" s="212"/>
      <c r="S216" s="220" t="s">
        <v>2507</v>
      </c>
      <c r="T216" s="220" t="s">
        <v>2508</v>
      </c>
      <c r="U216" s="220"/>
      <c r="V216" s="113"/>
      <c r="W216" s="113"/>
      <c r="X216" s="113"/>
      <c r="Y216" s="113"/>
      <c r="Z216" s="113"/>
    </row>
    <row r="217" ht="23.25" customHeight="1" spans="1:26">
      <c r="A217" s="212"/>
      <c r="B217" s="71" t="s">
        <v>2509</v>
      </c>
      <c r="C217" s="71" t="s">
        <v>320</v>
      </c>
      <c r="D217" s="71" t="s">
        <v>147</v>
      </c>
      <c r="E217" s="212">
        <v>210</v>
      </c>
      <c r="F217" s="212">
        <v>210</v>
      </c>
      <c r="G217" s="212">
        <v>210</v>
      </c>
      <c r="H217" s="212">
        <v>2018</v>
      </c>
      <c r="I217" s="212">
        <v>2020</v>
      </c>
      <c r="J217" s="212"/>
      <c r="K217" s="212"/>
      <c r="L217" s="212"/>
      <c r="M217" s="212"/>
      <c r="N217" s="212"/>
      <c r="O217" s="212"/>
      <c r="P217" s="212"/>
      <c r="Q217" s="212"/>
      <c r="R217" s="212"/>
      <c r="S217" s="220" t="s">
        <v>2536</v>
      </c>
      <c r="T217" s="220" t="s">
        <v>2537</v>
      </c>
      <c r="U217" s="220"/>
      <c r="V217" s="113"/>
      <c r="W217" s="113"/>
      <c r="X217" s="113"/>
      <c r="Y217" s="113"/>
      <c r="Z217" s="113"/>
    </row>
    <row r="218" ht="23.25" customHeight="1" spans="1:26">
      <c r="A218" s="212"/>
      <c r="B218" s="71" t="s">
        <v>2512</v>
      </c>
      <c r="C218" s="71" t="s">
        <v>320</v>
      </c>
      <c r="D218" s="71" t="s">
        <v>147</v>
      </c>
      <c r="E218" s="212">
        <v>169</v>
      </c>
      <c r="F218" s="212">
        <v>89</v>
      </c>
      <c r="G218" s="212">
        <v>92</v>
      </c>
      <c r="H218" s="212">
        <v>2018</v>
      </c>
      <c r="I218" s="212">
        <v>2020</v>
      </c>
      <c r="J218" s="212"/>
      <c r="K218" s="212"/>
      <c r="L218" s="212"/>
      <c r="M218" s="212"/>
      <c r="N218" s="212"/>
      <c r="O218" s="212"/>
      <c r="P218" s="212"/>
      <c r="Q218" s="212"/>
      <c r="R218" s="212"/>
      <c r="S218" s="220" t="s">
        <v>2513</v>
      </c>
      <c r="T218" s="220" t="s">
        <v>2514</v>
      </c>
      <c r="U218" s="220"/>
      <c r="V218" s="113"/>
      <c r="W218" s="113"/>
      <c r="X218" s="113"/>
      <c r="Y218" s="113"/>
      <c r="Z218" s="113"/>
    </row>
    <row r="219" ht="23.25" customHeight="1" spans="1:26">
      <c r="A219" s="212"/>
      <c r="B219" s="71" t="s">
        <v>2515</v>
      </c>
      <c r="C219" s="71" t="s">
        <v>320</v>
      </c>
      <c r="D219" s="71" t="s">
        <v>147</v>
      </c>
      <c r="E219" s="212">
        <v>300</v>
      </c>
      <c r="F219" s="212">
        <v>110</v>
      </c>
      <c r="G219" s="212">
        <v>188</v>
      </c>
      <c r="H219" s="212">
        <v>2018</v>
      </c>
      <c r="I219" s="212">
        <v>2020</v>
      </c>
      <c r="J219" s="212"/>
      <c r="K219" s="212"/>
      <c r="L219" s="212"/>
      <c r="M219" s="212"/>
      <c r="N219" s="212"/>
      <c r="O219" s="212"/>
      <c r="P219" s="212"/>
      <c r="Q219" s="212"/>
      <c r="R219" s="212"/>
      <c r="S219" s="220" t="s">
        <v>2538</v>
      </c>
      <c r="T219" s="220" t="s">
        <v>2539</v>
      </c>
      <c r="U219" s="220"/>
      <c r="V219" s="113"/>
      <c r="W219" s="113"/>
      <c r="X219" s="113"/>
      <c r="Y219" s="113"/>
      <c r="Z219" s="113"/>
    </row>
    <row r="220" ht="23.25" customHeight="1" spans="1:26">
      <c r="A220" s="212"/>
      <c r="B220" s="71" t="s">
        <v>2518</v>
      </c>
      <c r="C220" s="71" t="s">
        <v>320</v>
      </c>
      <c r="D220" s="71" t="s">
        <v>147</v>
      </c>
      <c r="E220" s="212">
        <v>203</v>
      </c>
      <c r="F220" s="212">
        <v>33</v>
      </c>
      <c r="G220" s="212">
        <v>35</v>
      </c>
      <c r="H220" s="212">
        <v>2018</v>
      </c>
      <c r="I220" s="212">
        <v>2020</v>
      </c>
      <c r="J220" s="212"/>
      <c r="K220" s="212"/>
      <c r="L220" s="212"/>
      <c r="M220" s="212"/>
      <c r="N220" s="212"/>
      <c r="O220" s="212"/>
      <c r="P220" s="212"/>
      <c r="Q220" s="212"/>
      <c r="R220" s="212"/>
      <c r="S220" s="220" t="s">
        <v>2540</v>
      </c>
      <c r="T220" s="220" t="s">
        <v>2541</v>
      </c>
      <c r="U220" s="220"/>
      <c r="V220" s="113"/>
      <c r="W220" s="113"/>
      <c r="X220" s="113"/>
      <c r="Y220" s="113"/>
      <c r="Z220" s="113"/>
    </row>
    <row r="221" ht="23.25" customHeight="1" spans="1:26">
      <c r="A221" s="212"/>
      <c r="B221" s="71" t="s">
        <v>2521</v>
      </c>
      <c r="C221" s="71" t="s">
        <v>320</v>
      </c>
      <c r="D221" s="71" t="s">
        <v>147</v>
      </c>
      <c r="E221" s="212">
        <v>187</v>
      </c>
      <c r="F221" s="212">
        <v>51</v>
      </c>
      <c r="G221" s="212">
        <v>55</v>
      </c>
      <c r="H221" s="212">
        <v>2018</v>
      </c>
      <c r="I221" s="212">
        <v>2020</v>
      </c>
      <c r="J221" s="212"/>
      <c r="K221" s="212"/>
      <c r="L221" s="212"/>
      <c r="M221" s="212"/>
      <c r="N221" s="212"/>
      <c r="O221" s="212"/>
      <c r="P221" s="212"/>
      <c r="Q221" s="212"/>
      <c r="R221" s="212"/>
      <c r="S221" s="220" t="s">
        <v>2523</v>
      </c>
      <c r="T221" s="220" t="s">
        <v>2522</v>
      </c>
      <c r="U221" s="220"/>
      <c r="V221" s="113"/>
      <c r="W221" s="113"/>
      <c r="X221" s="113"/>
      <c r="Y221" s="113"/>
      <c r="Z221" s="113"/>
    </row>
    <row r="222" ht="23.25" customHeight="1" spans="1:26">
      <c r="A222" s="212"/>
      <c r="B222" s="221" t="s">
        <v>2526</v>
      </c>
      <c r="C222" s="71" t="s">
        <v>320</v>
      </c>
      <c r="D222" s="71" t="s">
        <v>147</v>
      </c>
      <c r="E222" s="212">
        <v>126</v>
      </c>
      <c r="F222" s="212">
        <v>34</v>
      </c>
      <c r="G222" s="212">
        <v>36</v>
      </c>
      <c r="H222" s="212">
        <v>2018</v>
      </c>
      <c r="I222" s="212">
        <v>2020</v>
      </c>
      <c r="J222" s="212"/>
      <c r="K222" s="212"/>
      <c r="L222" s="212"/>
      <c r="M222" s="212"/>
      <c r="N222" s="212"/>
      <c r="O222" s="212"/>
      <c r="P222" s="212"/>
      <c r="Q222" s="212"/>
      <c r="R222" s="212"/>
      <c r="S222" s="220" t="s">
        <v>2542</v>
      </c>
      <c r="T222" s="220" t="s">
        <v>2528</v>
      </c>
      <c r="U222" s="220"/>
      <c r="V222" s="113"/>
      <c r="W222" s="113"/>
      <c r="X222" s="113"/>
      <c r="Y222" s="113"/>
      <c r="Z222" s="113"/>
    </row>
    <row r="223" ht="23.25" customHeight="1" spans="1:26">
      <c r="A223" s="212"/>
      <c r="B223" s="71" t="s">
        <v>2529</v>
      </c>
      <c r="C223" s="71" t="s">
        <v>320</v>
      </c>
      <c r="D223" s="71" t="s">
        <v>147</v>
      </c>
      <c r="E223" s="212">
        <v>114</v>
      </c>
      <c r="F223" s="212">
        <v>32</v>
      </c>
      <c r="G223" s="212">
        <v>96</v>
      </c>
      <c r="H223" s="212">
        <v>2018</v>
      </c>
      <c r="I223" s="212">
        <v>2020</v>
      </c>
      <c r="J223" s="212"/>
      <c r="K223" s="212"/>
      <c r="L223" s="212"/>
      <c r="M223" s="212"/>
      <c r="N223" s="212"/>
      <c r="O223" s="212"/>
      <c r="P223" s="212"/>
      <c r="Q223" s="212"/>
      <c r="R223" s="212"/>
      <c r="S223" s="220" t="s">
        <v>2530</v>
      </c>
      <c r="T223" s="220" t="s">
        <v>2557</v>
      </c>
      <c r="U223" s="220"/>
      <c r="V223" s="113"/>
      <c r="W223" s="113"/>
      <c r="X223" s="113"/>
      <c r="Y223" s="113"/>
      <c r="Z223" s="113"/>
    </row>
    <row r="224" ht="23.25" customHeight="1" spans="1:26">
      <c r="A224" s="212"/>
      <c r="B224" s="71" t="s">
        <v>2532</v>
      </c>
      <c r="C224" s="71" t="s">
        <v>320</v>
      </c>
      <c r="D224" s="71" t="s">
        <v>147</v>
      </c>
      <c r="E224" s="212">
        <v>214</v>
      </c>
      <c r="F224" s="212">
        <v>33</v>
      </c>
      <c r="G224" s="212">
        <v>57</v>
      </c>
      <c r="H224" s="212">
        <v>2018</v>
      </c>
      <c r="I224" s="212">
        <v>2020</v>
      </c>
      <c r="J224" s="212"/>
      <c r="K224" s="212"/>
      <c r="L224" s="212"/>
      <c r="M224" s="212"/>
      <c r="N224" s="212"/>
      <c r="O224" s="212"/>
      <c r="P224" s="212"/>
      <c r="Q224" s="212"/>
      <c r="R224" s="212"/>
      <c r="S224" s="220" t="s">
        <v>2543</v>
      </c>
      <c r="T224" s="220" t="s">
        <v>2534</v>
      </c>
      <c r="U224" s="220"/>
      <c r="V224" s="113"/>
      <c r="W224" s="113"/>
      <c r="X224" s="113"/>
      <c r="Y224" s="113"/>
      <c r="Z224" s="113"/>
    </row>
    <row r="225" ht="23.25" customHeight="1" spans="1:26">
      <c r="A225" s="212">
        <v>28</v>
      </c>
      <c r="B225" s="71" t="s">
        <v>268</v>
      </c>
      <c r="C225" s="71" t="s">
        <v>320</v>
      </c>
      <c r="D225" s="71" t="s">
        <v>147</v>
      </c>
      <c r="E225" s="212">
        <f t="shared" ref="E225:G225" si="103">E226+E227+E238+E249+E260+E263+E268+E279+E290+E301</f>
        <v>473</v>
      </c>
      <c r="F225" s="212">
        <f t="shared" si="103"/>
        <v>465</v>
      </c>
      <c r="G225" s="212">
        <f t="shared" si="103"/>
        <v>465</v>
      </c>
      <c r="H225" s="212">
        <v>2018</v>
      </c>
      <c r="I225" s="212">
        <v>2020</v>
      </c>
      <c r="J225" s="212">
        <f t="shared" ref="J225:R225" si="104">J226+J227+J238+J249+J260+J263+J268+J279+J290+J301</f>
        <v>309.4524</v>
      </c>
      <c r="K225" s="212">
        <f t="shared" si="104"/>
        <v>13.6956</v>
      </c>
      <c r="L225" s="212">
        <f t="shared" si="104"/>
        <v>147.9216</v>
      </c>
      <c r="M225" s="212">
        <f t="shared" si="104"/>
        <v>147.8352</v>
      </c>
      <c r="N225" s="212">
        <f t="shared" si="104"/>
        <v>3.6</v>
      </c>
      <c r="O225" s="212">
        <f t="shared" si="104"/>
        <v>0</v>
      </c>
      <c r="P225" s="212">
        <f t="shared" si="104"/>
        <v>182.0592</v>
      </c>
      <c r="Q225" s="212">
        <f t="shared" si="104"/>
        <v>123.7932</v>
      </c>
      <c r="R225" s="212">
        <f t="shared" si="104"/>
        <v>0</v>
      </c>
      <c r="S225" s="220" t="s">
        <v>2501</v>
      </c>
      <c r="T225" s="220" t="s">
        <v>2581</v>
      </c>
      <c r="U225" s="220"/>
      <c r="V225" s="113"/>
      <c r="W225" s="113"/>
      <c r="X225" s="113"/>
      <c r="Y225" s="113"/>
      <c r="Z225" s="113" t="s">
        <v>1474</v>
      </c>
    </row>
    <row r="226" ht="23.25" customHeight="1" spans="1:26">
      <c r="A226" s="212">
        <v>29</v>
      </c>
      <c r="B226" s="71" t="s">
        <v>269</v>
      </c>
      <c r="C226" s="71" t="s">
        <v>320</v>
      </c>
      <c r="D226" s="71" t="s">
        <v>147</v>
      </c>
      <c r="E226" s="212"/>
      <c r="F226" s="212"/>
      <c r="G226" s="212"/>
      <c r="H226" s="212"/>
      <c r="I226" s="212"/>
      <c r="J226" s="212"/>
      <c r="K226" s="212"/>
      <c r="L226" s="212"/>
      <c r="M226" s="212"/>
      <c r="N226" s="212"/>
      <c r="O226" s="212"/>
      <c r="P226" s="212"/>
      <c r="Q226" s="212"/>
      <c r="R226" s="212"/>
      <c r="S226" s="220"/>
      <c r="T226" s="220"/>
      <c r="U226" s="220" t="s">
        <v>201</v>
      </c>
      <c r="V226" s="113"/>
      <c r="W226" s="113"/>
      <c r="X226" s="113"/>
      <c r="Y226" s="113"/>
      <c r="Z226" s="113"/>
    </row>
    <row r="227" ht="36" customHeight="1" spans="1:26">
      <c r="A227" s="212">
        <v>30</v>
      </c>
      <c r="B227" s="71" t="s">
        <v>1294</v>
      </c>
      <c r="C227" s="71" t="s">
        <v>320</v>
      </c>
      <c r="D227" s="71" t="s">
        <v>147</v>
      </c>
      <c r="E227" s="212">
        <v>29</v>
      </c>
      <c r="F227" s="212">
        <v>29</v>
      </c>
      <c r="G227" s="212">
        <v>29</v>
      </c>
      <c r="H227" s="212">
        <v>2018</v>
      </c>
      <c r="I227" s="212">
        <v>2020</v>
      </c>
      <c r="J227" s="212">
        <f t="shared" ref="J227:J267" si="105">K227+L227+M227</f>
        <v>39.0054</v>
      </c>
      <c r="K227" s="212">
        <f t="shared" ref="K227:M227" si="106">SUM(K228:K237)</f>
        <v>2.9526</v>
      </c>
      <c r="L227" s="212">
        <f t="shared" si="106"/>
        <v>18.0264</v>
      </c>
      <c r="M227" s="212">
        <f t="shared" si="106"/>
        <v>18.0264</v>
      </c>
      <c r="N227" s="212"/>
      <c r="O227" s="212"/>
      <c r="P227" s="212">
        <f>0.0018*27*29</f>
        <v>1.4094</v>
      </c>
      <c r="Q227" s="212">
        <f t="shared" ref="Q227:Q237" si="107">J227-P227</f>
        <v>37.596</v>
      </c>
      <c r="R227" s="212"/>
      <c r="S227" s="220"/>
      <c r="T227" s="220"/>
      <c r="U227" s="220" t="s">
        <v>2599</v>
      </c>
      <c r="V227" s="113"/>
      <c r="W227" s="113"/>
      <c r="X227" s="113"/>
      <c r="Y227" s="113"/>
      <c r="Z227" s="113" t="s">
        <v>1474</v>
      </c>
    </row>
    <row r="228" ht="36" customHeight="1" spans="1:26">
      <c r="A228" s="212"/>
      <c r="B228" s="71" t="s">
        <v>2503</v>
      </c>
      <c r="C228" s="71" t="s">
        <v>320</v>
      </c>
      <c r="D228" s="71" t="s">
        <v>147</v>
      </c>
      <c r="E228" s="212">
        <v>3</v>
      </c>
      <c r="F228" s="212">
        <v>3</v>
      </c>
      <c r="G228" s="212">
        <v>3</v>
      </c>
      <c r="H228" s="212">
        <v>2018</v>
      </c>
      <c r="I228" s="212">
        <v>2020</v>
      </c>
      <c r="J228" s="212">
        <f t="shared" si="105"/>
        <v>4.0404</v>
      </c>
      <c r="K228" s="212">
        <f t="shared" ref="K228:K232" si="108">0.0518*2*3</f>
        <v>0.3108</v>
      </c>
      <c r="L228" s="212">
        <f t="shared" ref="L228:L232" si="109">0.0518*12*3</f>
        <v>1.8648</v>
      </c>
      <c r="M228" s="212">
        <v>1.8648</v>
      </c>
      <c r="N228" s="212"/>
      <c r="O228" s="212"/>
      <c r="P228" s="212">
        <f t="shared" ref="P228:P232" si="110">0.0018*27*3</f>
        <v>0.1458</v>
      </c>
      <c r="Q228" s="212">
        <f t="shared" si="107"/>
        <v>3.8946</v>
      </c>
      <c r="R228" s="212"/>
      <c r="S228" s="220" t="s">
        <v>2504</v>
      </c>
      <c r="T228" s="220" t="s">
        <v>2505</v>
      </c>
      <c r="U228" s="220"/>
      <c r="V228" s="113"/>
      <c r="W228" s="113"/>
      <c r="X228" s="113"/>
      <c r="Y228" s="113"/>
      <c r="Z228" s="113" t="s">
        <v>1474</v>
      </c>
    </row>
    <row r="229" ht="36" customHeight="1" spans="1:26">
      <c r="A229" s="212"/>
      <c r="B229" s="71" t="s">
        <v>2506</v>
      </c>
      <c r="C229" s="71" t="s">
        <v>320</v>
      </c>
      <c r="D229" s="71" t="s">
        <v>147</v>
      </c>
      <c r="E229" s="212">
        <v>3</v>
      </c>
      <c r="F229" s="212">
        <v>3</v>
      </c>
      <c r="G229" s="212">
        <v>3</v>
      </c>
      <c r="H229" s="212">
        <v>2018</v>
      </c>
      <c r="I229" s="212">
        <v>2020</v>
      </c>
      <c r="J229" s="212">
        <f t="shared" si="105"/>
        <v>4.0404</v>
      </c>
      <c r="K229" s="212">
        <f t="shared" si="108"/>
        <v>0.3108</v>
      </c>
      <c r="L229" s="212">
        <f t="shared" si="109"/>
        <v>1.8648</v>
      </c>
      <c r="M229" s="212">
        <v>1.8648</v>
      </c>
      <c r="N229" s="212"/>
      <c r="O229" s="212"/>
      <c r="P229" s="212">
        <f t="shared" si="110"/>
        <v>0.1458</v>
      </c>
      <c r="Q229" s="212">
        <f t="shared" si="107"/>
        <v>3.8946</v>
      </c>
      <c r="R229" s="212"/>
      <c r="S229" s="220" t="s">
        <v>2544</v>
      </c>
      <c r="T229" s="220" t="s">
        <v>2600</v>
      </c>
      <c r="U229" s="220"/>
      <c r="V229" s="113"/>
      <c r="W229" s="113"/>
      <c r="X229" s="113"/>
      <c r="Y229" s="113"/>
      <c r="Z229" s="113" t="s">
        <v>1474</v>
      </c>
    </row>
    <row r="230" ht="36" customHeight="1" spans="1:26">
      <c r="A230" s="212"/>
      <c r="B230" s="71" t="s">
        <v>2509</v>
      </c>
      <c r="C230" s="71" t="s">
        <v>320</v>
      </c>
      <c r="D230" s="71" t="s">
        <v>147</v>
      </c>
      <c r="E230" s="212">
        <v>3</v>
      </c>
      <c r="F230" s="212">
        <v>3</v>
      </c>
      <c r="G230" s="212">
        <v>3</v>
      </c>
      <c r="H230" s="212">
        <v>2018</v>
      </c>
      <c r="I230" s="212">
        <v>2020</v>
      </c>
      <c r="J230" s="212">
        <f t="shared" si="105"/>
        <v>4.0404</v>
      </c>
      <c r="K230" s="212">
        <f t="shared" si="108"/>
        <v>0.3108</v>
      </c>
      <c r="L230" s="212">
        <f t="shared" si="109"/>
        <v>1.8648</v>
      </c>
      <c r="M230" s="212">
        <v>1.8648</v>
      </c>
      <c r="N230" s="212"/>
      <c r="O230" s="212"/>
      <c r="P230" s="212">
        <f t="shared" si="110"/>
        <v>0.1458</v>
      </c>
      <c r="Q230" s="212">
        <f t="shared" si="107"/>
        <v>3.8946</v>
      </c>
      <c r="R230" s="212"/>
      <c r="S230" s="220" t="s">
        <v>2601</v>
      </c>
      <c r="T230" s="220" t="s">
        <v>2602</v>
      </c>
      <c r="U230" s="220"/>
      <c r="V230" s="113"/>
      <c r="W230" s="113"/>
      <c r="X230" s="113"/>
      <c r="Y230" s="113"/>
      <c r="Z230" s="113" t="s">
        <v>1474</v>
      </c>
    </row>
    <row r="231" ht="36" customHeight="1" spans="1:26">
      <c r="A231" s="212"/>
      <c r="B231" s="71" t="s">
        <v>2512</v>
      </c>
      <c r="C231" s="71" t="s">
        <v>320</v>
      </c>
      <c r="D231" s="71" t="s">
        <v>147</v>
      </c>
      <c r="E231" s="212">
        <v>3</v>
      </c>
      <c r="F231" s="212">
        <v>3</v>
      </c>
      <c r="G231" s="212">
        <v>3</v>
      </c>
      <c r="H231" s="212">
        <v>2018</v>
      </c>
      <c r="I231" s="212">
        <v>2020</v>
      </c>
      <c r="J231" s="212">
        <f t="shared" si="105"/>
        <v>4.0404</v>
      </c>
      <c r="K231" s="212">
        <f t="shared" si="108"/>
        <v>0.3108</v>
      </c>
      <c r="L231" s="212">
        <f t="shared" si="109"/>
        <v>1.8648</v>
      </c>
      <c r="M231" s="212">
        <v>1.8648</v>
      </c>
      <c r="N231" s="212"/>
      <c r="O231" s="212"/>
      <c r="P231" s="212">
        <f t="shared" si="110"/>
        <v>0.1458</v>
      </c>
      <c r="Q231" s="212">
        <f t="shared" si="107"/>
        <v>3.8946</v>
      </c>
      <c r="R231" s="212"/>
      <c r="S231" s="220" t="s">
        <v>2513</v>
      </c>
      <c r="T231" s="220" t="s">
        <v>2514</v>
      </c>
      <c r="U231" s="220"/>
      <c r="V231" s="113"/>
      <c r="W231" s="113"/>
      <c r="X231" s="113"/>
      <c r="Y231" s="113"/>
      <c r="Z231" s="113" t="s">
        <v>1474</v>
      </c>
    </row>
    <row r="232" ht="36" customHeight="1" spans="1:26">
      <c r="A232" s="212"/>
      <c r="B232" s="71" t="s">
        <v>2515</v>
      </c>
      <c r="C232" s="71" t="s">
        <v>320</v>
      </c>
      <c r="D232" s="71" t="s">
        <v>147</v>
      </c>
      <c r="E232" s="212">
        <v>3</v>
      </c>
      <c r="F232" s="212">
        <v>3</v>
      </c>
      <c r="G232" s="212">
        <v>3</v>
      </c>
      <c r="H232" s="212">
        <v>2018</v>
      </c>
      <c r="I232" s="212">
        <v>2020</v>
      </c>
      <c r="J232" s="212">
        <f t="shared" si="105"/>
        <v>4.0404</v>
      </c>
      <c r="K232" s="212">
        <f t="shared" si="108"/>
        <v>0.3108</v>
      </c>
      <c r="L232" s="212">
        <f t="shared" si="109"/>
        <v>1.8648</v>
      </c>
      <c r="M232" s="212">
        <v>1.8648</v>
      </c>
      <c r="N232" s="212"/>
      <c r="O232" s="212"/>
      <c r="P232" s="212">
        <f t="shared" si="110"/>
        <v>0.1458</v>
      </c>
      <c r="Q232" s="212">
        <f t="shared" si="107"/>
        <v>3.8946</v>
      </c>
      <c r="R232" s="212"/>
      <c r="S232" s="220" t="s">
        <v>2603</v>
      </c>
      <c r="T232" s="220" t="s">
        <v>2539</v>
      </c>
      <c r="U232" s="220"/>
      <c r="V232" s="113"/>
      <c r="W232" s="113"/>
      <c r="X232" s="113"/>
      <c r="Y232" s="113"/>
      <c r="Z232" s="113" t="s">
        <v>1474</v>
      </c>
    </row>
    <row r="233" ht="36" customHeight="1" spans="1:26">
      <c r="A233" s="212"/>
      <c r="B233" s="71" t="s">
        <v>2518</v>
      </c>
      <c r="C233" s="71" t="s">
        <v>320</v>
      </c>
      <c r="D233" s="71" t="s">
        <v>147</v>
      </c>
      <c r="E233" s="212">
        <v>2</v>
      </c>
      <c r="F233" s="212">
        <v>2</v>
      </c>
      <c r="G233" s="212">
        <v>2</v>
      </c>
      <c r="H233" s="212">
        <v>2018</v>
      </c>
      <c r="I233" s="212">
        <v>2020</v>
      </c>
      <c r="J233" s="212">
        <f t="shared" si="105"/>
        <v>2.6418</v>
      </c>
      <c r="K233" s="212">
        <f>0.0518*3*1</f>
        <v>0.1554</v>
      </c>
      <c r="L233" s="212">
        <f>0.0518*12*2</f>
        <v>1.2432</v>
      </c>
      <c r="M233" s="212">
        <v>1.2432</v>
      </c>
      <c r="N233" s="212"/>
      <c r="O233" s="212"/>
      <c r="P233" s="212">
        <f>0.0018*27*2</f>
        <v>0.0972</v>
      </c>
      <c r="Q233" s="212">
        <f t="shared" si="107"/>
        <v>2.5446</v>
      </c>
      <c r="R233" s="212"/>
      <c r="S233" s="220" t="s">
        <v>2519</v>
      </c>
      <c r="T233" s="220" t="s">
        <v>2520</v>
      </c>
      <c r="U233" s="220"/>
      <c r="V233" s="113"/>
      <c r="W233" s="113"/>
      <c r="X233" s="113"/>
      <c r="Y233" s="113"/>
      <c r="Z233" s="113" t="s">
        <v>1474</v>
      </c>
    </row>
    <row r="234" ht="36" customHeight="1" spans="1:26">
      <c r="A234" s="212"/>
      <c r="B234" s="71" t="s">
        <v>2521</v>
      </c>
      <c r="C234" s="71" t="s">
        <v>320</v>
      </c>
      <c r="D234" s="71" t="s">
        <v>147</v>
      </c>
      <c r="E234" s="212">
        <v>3</v>
      </c>
      <c r="F234" s="212">
        <v>3</v>
      </c>
      <c r="G234" s="212">
        <v>3</v>
      </c>
      <c r="H234" s="212">
        <v>2018</v>
      </c>
      <c r="I234" s="212">
        <v>2020</v>
      </c>
      <c r="J234" s="212">
        <f t="shared" si="105"/>
        <v>4.0404</v>
      </c>
      <c r="K234" s="212">
        <f>0.0518*3*2</f>
        <v>0.3108</v>
      </c>
      <c r="L234" s="212">
        <f>0.0518*12*3</f>
        <v>1.8648</v>
      </c>
      <c r="M234" s="212">
        <v>1.8648</v>
      </c>
      <c r="N234" s="212"/>
      <c r="O234" s="212"/>
      <c r="P234" s="212">
        <f>0.0018*27*3</f>
        <v>0.1458</v>
      </c>
      <c r="Q234" s="212">
        <f t="shared" si="107"/>
        <v>3.8946</v>
      </c>
      <c r="R234" s="212"/>
      <c r="S234" s="220" t="s">
        <v>2523</v>
      </c>
      <c r="T234" s="220" t="s">
        <v>2522</v>
      </c>
      <c r="U234" s="220"/>
      <c r="V234" s="113"/>
      <c r="W234" s="113"/>
      <c r="X234" s="113"/>
      <c r="Y234" s="113"/>
      <c r="Z234" s="113" t="s">
        <v>1474</v>
      </c>
    </row>
    <row r="235" ht="36" customHeight="1" spans="1:26">
      <c r="A235" s="212"/>
      <c r="B235" s="71" t="s">
        <v>2526</v>
      </c>
      <c r="C235" s="71" t="s">
        <v>320</v>
      </c>
      <c r="D235" s="71" t="s">
        <v>147</v>
      </c>
      <c r="E235" s="212">
        <v>3</v>
      </c>
      <c r="F235" s="212">
        <v>3</v>
      </c>
      <c r="G235" s="212">
        <v>3</v>
      </c>
      <c r="H235" s="212">
        <v>2018</v>
      </c>
      <c r="I235" s="212">
        <v>2020</v>
      </c>
      <c r="J235" s="212">
        <f t="shared" si="105"/>
        <v>4.0404</v>
      </c>
      <c r="K235" s="212">
        <f>0.0518*3*2</f>
        <v>0.3108</v>
      </c>
      <c r="L235" s="212">
        <f>0.0518*12*3</f>
        <v>1.8648</v>
      </c>
      <c r="M235" s="212">
        <v>1.8648</v>
      </c>
      <c r="N235" s="212"/>
      <c r="O235" s="212"/>
      <c r="P235" s="212">
        <f>0.0018*27*3</f>
        <v>0.1458</v>
      </c>
      <c r="Q235" s="212">
        <f t="shared" si="107"/>
        <v>3.8946</v>
      </c>
      <c r="R235" s="212"/>
      <c r="S235" s="220" t="s">
        <v>2604</v>
      </c>
      <c r="T235" s="220" t="s">
        <v>2595</v>
      </c>
      <c r="U235" s="220"/>
      <c r="V235" s="113"/>
      <c r="W235" s="113"/>
      <c r="X235" s="113"/>
      <c r="Y235" s="113"/>
      <c r="Z235" s="113" t="s">
        <v>1474</v>
      </c>
    </row>
    <row r="236" ht="36" customHeight="1" spans="1:26">
      <c r="A236" s="212"/>
      <c r="B236" s="71" t="s">
        <v>2529</v>
      </c>
      <c r="C236" s="71" t="s">
        <v>320</v>
      </c>
      <c r="D236" s="71" t="s">
        <v>147</v>
      </c>
      <c r="E236" s="212">
        <v>4</v>
      </c>
      <c r="F236" s="212">
        <v>4</v>
      </c>
      <c r="G236" s="212">
        <v>4</v>
      </c>
      <c r="H236" s="212">
        <v>2018</v>
      </c>
      <c r="I236" s="212">
        <v>2020</v>
      </c>
      <c r="J236" s="212">
        <f t="shared" si="105"/>
        <v>5.439</v>
      </c>
      <c r="K236" s="212">
        <f>0.0518*3*3</f>
        <v>0.4662</v>
      </c>
      <c r="L236" s="212">
        <f>0.0518*12*4</f>
        <v>2.4864</v>
      </c>
      <c r="M236" s="212">
        <v>2.4864</v>
      </c>
      <c r="N236" s="212"/>
      <c r="O236" s="212"/>
      <c r="P236" s="212">
        <f>0.0018*27*4</f>
        <v>0.1944</v>
      </c>
      <c r="Q236" s="212">
        <f t="shared" si="107"/>
        <v>5.2446</v>
      </c>
      <c r="R236" s="212"/>
      <c r="S236" s="220" t="s">
        <v>2556</v>
      </c>
      <c r="T236" s="220" t="s">
        <v>2531</v>
      </c>
      <c r="U236" s="220"/>
      <c r="V236" s="113"/>
      <c r="W236" s="113"/>
      <c r="X236" s="113"/>
      <c r="Y236" s="113"/>
      <c r="Z236" s="113" t="s">
        <v>1474</v>
      </c>
    </row>
    <row r="237" ht="36" customHeight="1" spans="1:26">
      <c r="A237" s="212"/>
      <c r="B237" s="71" t="s">
        <v>2532</v>
      </c>
      <c r="C237" s="71" t="s">
        <v>320</v>
      </c>
      <c r="D237" s="71" t="s">
        <v>147</v>
      </c>
      <c r="E237" s="212">
        <v>2</v>
      </c>
      <c r="F237" s="212">
        <v>2</v>
      </c>
      <c r="G237" s="212">
        <v>2</v>
      </c>
      <c r="H237" s="212">
        <v>2018</v>
      </c>
      <c r="I237" s="212">
        <v>2020</v>
      </c>
      <c r="J237" s="212">
        <f t="shared" si="105"/>
        <v>2.6418</v>
      </c>
      <c r="K237" s="212">
        <f>0.0518*3*1</f>
        <v>0.1554</v>
      </c>
      <c r="L237" s="212">
        <f>0.0518*12*2</f>
        <v>1.2432</v>
      </c>
      <c r="M237" s="212">
        <v>1.2432</v>
      </c>
      <c r="N237" s="212"/>
      <c r="O237" s="212"/>
      <c r="P237" s="212">
        <f>0.0018*27*2</f>
        <v>0.0972</v>
      </c>
      <c r="Q237" s="212">
        <f t="shared" si="107"/>
        <v>2.5446</v>
      </c>
      <c r="R237" s="212"/>
      <c r="S237" s="220" t="s">
        <v>2605</v>
      </c>
      <c r="T237" s="220" t="s">
        <v>2534</v>
      </c>
      <c r="U237" s="220"/>
      <c r="V237" s="113"/>
      <c r="W237" s="113"/>
      <c r="X237" s="113"/>
      <c r="Y237" s="113"/>
      <c r="Z237" s="113" t="s">
        <v>1474</v>
      </c>
    </row>
    <row r="238" ht="23.25" customHeight="1" spans="1:26">
      <c r="A238" s="212">
        <v>31</v>
      </c>
      <c r="B238" s="71" t="s">
        <v>272</v>
      </c>
      <c r="C238" s="71" t="s">
        <v>320</v>
      </c>
      <c r="D238" s="71" t="s">
        <v>147</v>
      </c>
      <c r="E238" s="212">
        <f t="shared" ref="E238:G238" si="111">SUM(E239:E248)</f>
        <v>372</v>
      </c>
      <c r="F238" s="212">
        <f t="shared" si="111"/>
        <v>372</v>
      </c>
      <c r="G238" s="212">
        <f t="shared" si="111"/>
        <v>372</v>
      </c>
      <c r="H238" s="212">
        <v>2019</v>
      </c>
      <c r="I238" s="212">
        <v>2020</v>
      </c>
      <c r="J238" s="212">
        <f t="shared" si="105"/>
        <v>178.56</v>
      </c>
      <c r="K238" s="212"/>
      <c r="L238" s="212">
        <f t="shared" ref="L238:L248" si="112">F238*0.24</f>
        <v>89.28</v>
      </c>
      <c r="M238" s="212">
        <f t="shared" ref="M238:M248" si="113">G238*0.24</f>
        <v>89.28</v>
      </c>
      <c r="N238" s="102"/>
      <c r="O238" s="212"/>
      <c r="P238" s="212">
        <v>178.56</v>
      </c>
      <c r="Q238" s="212"/>
      <c r="R238" s="212"/>
      <c r="S238" s="220"/>
      <c r="T238" s="220"/>
      <c r="U238" s="220" t="s">
        <v>273</v>
      </c>
      <c r="V238" s="113"/>
      <c r="W238" s="113"/>
      <c r="X238" s="113"/>
      <c r="Y238" s="113"/>
      <c r="Z238" s="113" t="s">
        <v>2606</v>
      </c>
    </row>
    <row r="239" ht="23.25" customHeight="1" spans="1:26">
      <c r="A239" s="212"/>
      <c r="B239" s="71" t="s">
        <v>2503</v>
      </c>
      <c r="C239" s="71" t="s">
        <v>320</v>
      </c>
      <c r="D239" s="71" t="s">
        <v>147</v>
      </c>
      <c r="E239" s="212">
        <v>41</v>
      </c>
      <c r="F239" s="212">
        <v>41</v>
      </c>
      <c r="G239" s="212">
        <v>41</v>
      </c>
      <c r="H239" s="212">
        <v>2019</v>
      </c>
      <c r="I239" s="212">
        <v>2020</v>
      </c>
      <c r="J239" s="212">
        <f t="shared" si="105"/>
        <v>19.68</v>
      </c>
      <c r="K239" s="212"/>
      <c r="L239" s="212">
        <f t="shared" si="112"/>
        <v>9.84</v>
      </c>
      <c r="M239" s="212">
        <f t="shared" si="113"/>
        <v>9.84</v>
      </c>
      <c r="N239" s="102"/>
      <c r="O239" s="212"/>
      <c r="P239" s="212">
        <v>19.68</v>
      </c>
      <c r="Q239" s="212"/>
      <c r="R239" s="212"/>
      <c r="S239" s="220" t="s">
        <v>2504</v>
      </c>
      <c r="T239" s="220" t="s">
        <v>2505</v>
      </c>
      <c r="U239" s="220"/>
      <c r="V239" s="113"/>
      <c r="W239" s="113"/>
      <c r="X239" s="113"/>
      <c r="Y239" s="113"/>
      <c r="Z239" s="113" t="s">
        <v>2606</v>
      </c>
    </row>
    <row r="240" ht="23.25" customHeight="1" spans="1:26">
      <c r="A240" s="212"/>
      <c r="B240" s="71" t="s">
        <v>2506</v>
      </c>
      <c r="C240" s="71" t="s">
        <v>320</v>
      </c>
      <c r="D240" s="71" t="s">
        <v>147</v>
      </c>
      <c r="E240" s="212">
        <v>57</v>
      </c>
      <c r="F240" s="212">
        <v>57</v>
      </c>
      <c r="G240" s="212">
        <v>57</v>
      </c>
      <c r="H240" s="212">
        <v>2019</v>
      </c>
      <c r="I240" s="212">
        <v>2020</v>
      </c>
      <c r="J240" s="212">
        <f t="shared" si="105"/>
        <v>27.36</v>
      </c>
      <c r="K240" s="212"/>
      <c r="L240" s="212">
        <f t="shared" si="112"/>
        <v>13.68</v>
      </c>
      <c r="M240" s="212">
        <f t="shared" si="113"/>
        <v>13.68</v>
      </c>
      <c r="N240" s="102"/>
      <c r="O240" s="212"/>
      <c r="P240" s="212">
        <v>27.36</v>
      </c>
      <c r="Q240" s="212"/>
      <c r="R240" s="212"/>
      <c r="S240" s="220" t="s">
        <v>2544</v>
      </c>
      <c r="T240" s="220" t="s">
        <v>2600</v>
      </c>
      <c r="U240" s="220"/>
      <c r="V240" s="113"/>
      <c r="W240" s="113"/>
      <c r="X240" s="113"/>
      <c r="Y240" s="113"/>
      <c r="Z240" s="113" t="s">
        <v>2606</v>
      </c>
    </row>
    <row r="241" ht="23.25" customHeight="1" spans="1:26">
      <c r="A241" s="212"/>
      <c r="B241" s="71" t="s">
        <v>2509</v>
      </c>
      <c r="C241" s="71" t="s">
        <v>320</v>
      </c>
      <c r="D241" s="71" t="s">
        <v>147</v>
      </c>
      <c r="E241" s="212">
        <v>45</v>
      </c>
      <c r="F241" s="212">
        <v>45</v>
      </c>
      <c r="G241" s="212">
        <v>45</v>
      </c>
      <c r="H241" s="212">
        <v>2019</v>
      </c>
      <c r="I241" s="212">
        <v>2020</v>
      </c>
      <c r="J241" s="212">
        <f t="shared" si="105"/>
        <v>21.6</v>
      </c>
      <c r="K241" s="212"/>
      <c r="L241" s="212">
        <f t="shared" si="112"/>
        <v>10.8</v>
      </c>
      <c r="M241" s="212">
        <f t="shared" si="113"/>
        <v>10.8</v>
      </c>
      <c r="N241" s="102"/>
      <c r="O241" s="212"/>
      <c r="P241" s="212">
        <v>21.6</v>
      </c>
      <c r="Q241" s="212"/>
      <c r="R241" s="212"/>
      <c r="S241" s="220" t="s">
        <v>2601</v>
      </c>
      <c r="T241" s="220" t="s">
        <v>2602</v>
      </c>
      <c r="U241" s="220"/>
      <c r="V241" s="113"/>
      <c r="W241" s="113"/>
      <c r="X241" s="113"/>
      <c r="Y241" s="113"/>
      <c r="Z241" s="113" t="s">
        <v>2606</v>
      </c>
    </row>
    <row r="242" ht="23.25" customHeight="1" spans="1:26">
      <c r="A242" s="212"/>
      <c r="B242" s="71" t="s">
        <v>2512</v>
      </c>
      <c r="C242" s="71" t="s">
        <v>320</v>
      </c>
      <c r="D242" s="71" t="s">
        <v>147</v>
      </c>
      <c r="E242" s="212">
        <v>31</v>
      </c>
      <c r="F242" s="212">
        <v>31</v>
      </c>
      <c r="G242" s="212">
        <v>31</v>
      </c>
      <c r="H242" s="212">
        <v>2019</v>
      </c>
      <c r="I242" s="212">
        <v>2020</v>
      </c>
      <c r="J242" s="212">
        <f t="shared" si="105"/>
        <v>14.88</v>
      </c>
      <c r="K242" s="212"/>
      <c r="L242" s="212">
        <f t="shared" si="112"/>
        <v>7.44</v>
      </c>
      <c r="M242" s="212">
        <f t="shared" si="113"/>
        <v>7.44</v>
      </c>
      <c r="N242" s="102"/>
      <c r="O242" s="212"/>
      <c r="P242" s="212">
        <v>14.88</v>
      </c>
      <c r="Q242" s="212"/>
      <c r="R242" s="212"/>
      <c r="S242" s="220" t="s">
        <v>2513</v>
      </c>
      <c r="T242" s="220" t="s">
        <v>2514</v>
      </c>
      <c r="U242" s="220"/>
      <c r="V242" s="113"/>
      <c r="W242" s="113"/>
      <c r="X242" s="113"/>
      <c r="Y242" s="113"/>
      <c r="Z242" s="113" t="s">
        <v>2606</v>
      </c>
    </row>
    <row r="243" ht="23.25" customHeight="1" spans="1:26">
      <c r="A243" s="212"/>
      <c r="B243" s="71" t="s">
        <v>2515</v>
      </c>
      <c r="C243" s="71" t="s">
        <v>320</v>
      </c>
      <c r="D243" s="71" t="s">
        <v>147</v>
      </c>
      <c r="E243" s="212">
        <v>32</v>
      </c>
      <c r="F243" s="212">
        <v>32</v>
      </c>
      <c r="G243" s="212">
        <v>32</v>
      </c>
      <c r="H243" s="212">
        <v>2019</v>
      </c>
      <c r="I243" s="212">
        <v>2020</v>
      </c>
      <c r="J243" s="212">
        <f t="shared" si="105"/>
        <v>15.36</v>
      </c>
      <c r="K243" s="212"/>
      <c r="L243" s="212">
        <f t="shared" si="112"/>
        <v>7.68</v>
      </c>
      <c r="M243" s="212">
        <f t="shared" si="113"/>
        <v>7.68</v>
      </c>
      <c r="N243" s="102"/>
      <c r="O243" s="212"/>
      <c r="P243" s="212">
        <v>15.36</v>
      </c>
      <c r="Q243" s="212"/>
      <c r="R243" s="212"/>
      <c r="S243" s="220" t="s">
        <v>2603</v>
      </c>
      <c r="T243" s="220" t="s">
        <v>2539</v>
      </c>
      <c r="U243" s="220"/>
      <c r="V243" s="113"/>
      <c r="W243" s="113"/>
      <c r="X243" s="113"/>
      <c r="Y243" s="113"/>
      <c r="Z243" s="113" t="s">
        <v>2606</v>
      </c>
    </row>
    <row r="244" ht="23.25" customHeight="1" spans="1:26">
      <c r="A244" s="212"/>
      <c r="B244" s="71" t="s">
        <v>2518</v>
      </c>
      <c r="C244" s="71" t="s">
        <v>320</v>
      </c>
      <c r="D244" s="71" t="s">
        <v>147</v>
      </c>
      <c r="E244" s="212">
        <v>43</v>
      </c>
      <c r="F244" s="212">
        <v>43</v>
      </c>
      <c r="G244" s="212">
        <v>43</v>
      </c>
      <c r="H244" s="212">
        <v>2019</v>
      </c>
      <c r="I244" s="212">
        <v>2020</v>
      </c>
      <c r="J244" s="212">
        <f t="shared" si="105"/>
        <v>20.64</v>
      </c>
      <c r="K244" s="212"/>
      <c r="L244" s="212">
        <f t="shared" si="112"/>
        <v>10.32</v>
      </c>
      <c r="M244" s="212">
        <f t="shared" si="113"/>
        <v>10.32</v>
      </c>
      <c r="N244" s="102"/>
      <c r="O244" s="212"/>
      <c r="P244" s="212">
        <v>20.64</v>
      </c>
      <c r="Q244" s="212"/>
      <c r="R244" s="212"/>
      <c r="S244" s="220" t="s">
        <v>2519</v>
      </c>
      <c r="T244" s="220" t="s">
        <v>2520</v>
      </c>
      <c r="U244" s="220"/>
      <c r="V244" s="113"/>
      <c r="W244" s="113"/>
      <c r="X244" s="113"/>
      <c r="Y244" s="113"/>
      <c r="Z244" s="113" t="s">
        <v>2606</v>
      </c>
    </row>
    <row r="245" ht="23.25" customHeight="1" spans="1:26">
      <c r="A245" s="212"/>
      <c r="B245" s="71" t="s">
        <v>2521</v>
      </c>
      <c r="C245" s="71" t="s">
        <v>320</v>
      </c>
      <c r="D245" s="71" t="s">
        <v>147</v>
      </c>
      <c r="E245" s="212">
        <v>37</v>
      </c>
      <c r="F245" s="212">
        <v>37</v>
      </c>
      <c r="G245" s="212">
        <v>37</v>
      </c>
      <c r="H245" s="212">
        <v>2019</v>
      </c>
      <c r="I245" s="212">
        <v>2020</v>
      </c>
      <c r="J245" s="212">
        <f t="shared" si="105"/>
        <v>17.76</v>
      </c>
      <c r="K245" s="212"/>
      <c r="L245" s="212">
        <f t="shared" si="112"/>
        <v>8.88</v>
      </c>
      <c r="M245" s="212">
        <f t="shared" si="113"/>
        <v>8.88</v>
      </c>
      <c r="N245" s="102"/>
      <c r="O245" s="212"/>
      <c r="P245" s="212">
        <v>17.76</v>
      </c>
      <c r="Q245" s="212"/>
      <c r="R245" s="212"/>
      <c r="S245" s="220" t="s">
        <v>2523</v>
      </c>
      <c r="T245" s="220" t="s">
        <v>2522</v>
      </c>
      <c r="U245" s="220"/>
      <c r="V245" s="113"/>
      <c r="W245" s="113"/>
      <c r="X245" s="113"/>
      <c r="Y245" s="113"/>
      <c r="Z245" s="113" t="s">
        <v>2606</v>
      </c>
    </row>
    <row r="246" ht="23.25" customHeight="1" spans="1:26">
      <c r="A246" s="212"/>
      <c r="B246" s="71" t="s">
        <v>2526</v>
      </c>
      <c r="C246" s="71" t="s">
        <v>320</v>
      </c>
      <c r="D246" s="71" t="s">
        <v>147</v>
      </c>
      <c r="E246" s="212">
        <v>35</v>
      </c>
      <c r="F246" s="212">
        <v>35</v>
      </c>
      <c r="G246" s="212">
        <v>35</v>
      </c>
      <c r="H246" s="212">
        <v>2019</v>
      </c>
      <c r="I246" s="212">
        <v>2020</v>
      </c>
      <c r="J246" s="212">
        <f t="shared" si="105"/>
        <v>16.8</v>
      </c>
      <c r="K246" s="212"/>
      <c r="L246" s="212">
        <f t="shared" si="112"/>
        <v>8.4</v>
      </c>
      <c r="M246" s="212">
        <f t="shared" si="113"/>
        <v>8.4</v>
      </c>
      <c r="N246" s="102"/>
      <c r="O246" s="212"/>
      <c r="P246" s="212">
        <v>16.8</v>
      </c>
      <c r="Q246" s="212"/>
      <c r="R246" s="212"/>
      <c r="S246" s="220" t="s">
        <v>2604</v>
      </c>
      <c r="T246" s="220" t="s">
        <v>2595</v>
      </c>
      <c r="U246" s="220"/>
      <c r="V246" s="113"/>
      <c r="W246" s="113"/>
      <c r="X246" s="113"/>
      <c r="Y246" s="113"/>
      <c r="Z246" s="113" t="s">
        <v>2606</v>
      </c>
    </row>
    <row r="247" ht="23.25" customHeight="1" spans="1:26">
      <c r="A247" s="212"/>
      <c r="B247" s="71" t="s">
        <v>2529</v>
      </c>
      <c r="C247" s="71" t="s">
        <v>320</v>
      </c>
      <c r="D247" s="71" t="s">
        <v>147</v>
      </c>
      <c r="E247" s="212">
        <v>27</v>
      </c>
      <c r="F247" s="212">
        <v>27</v>
      </c>
      <c r="G247" s="212">
        <v>27</v>
      </c>
      <c r="H247" s="212">
        <v>2019</v>
      </c>
      <c r="I247" s="212">
        <v>2020</v>
      </c>
      <c r="J247" s="212">
        <f t="shared" si="105"/>
        <v>12.96</v>
      </c>
      <c r="K247" s="212"/>
      <c r="L247" s="212">
        <f t="shared" si="112"/>
        <v>6.48</v>
      </c>
      <c r="M247" s="212">
        <f t="shared" si="113"/>
        <v>6.48</v>
      </c>
      <c r="N247" s="102"/>
      <c r="O247" s="212"/>
      <c r="P247" s="212">
        <v>12.96</v>
      </c>
      <c r="Q247" s="212"/>
      <c r="R247" s="212"/>
      <c r="S247" s="220" t="s">
        <v>2556</v>
      </c>
      <c r="T247" s="220" t="s">
        <v>2531</v>
      </c>
      <c r="U247" s="220"/>
      <c r="V247" s="113"/>
      <c r="W247" s="113"/>
      <c r="X247" s="113"/>
      <c r="Y247" s="113"/>
      <c r="Z247" s="113" t="s">
        <v>2606</v>
      </c>
    </row>
    <row r="248" ht="23.25" customHeight="1" spans="1:26">
      <c r="A248" s="212"/>
      <c r="B248" s="71" t="s">
        <v>2532</v>
      </c>
      <c r="C248" s="71" t="s">
        <v>320</v>
      </c>
      <c r="D248" s="71" t="s">
        <v>147</v>
      </c>
      <c r="E248" s="212">
        <v>24</v>
      </c>
      <c r="F248" s="212">
        <v>24</v>
      </c>
      <c r="G248" s="212">
        <v>24</v>
      </c>
      <c r="H248" s="212">
        <v>2019</v>
      </c>
      <c r="I248" s="212">
        <v>2020</v>
      </c>
      <c r="J248" s="212">
        <f t="shared" si="105"/>
        <v>11.52</v>
      </c>
      <c r="K248" s="212"/>
      <c r="L248" s="212">
        <f t="shared" si="112"/>
        <v>5.76</v>
      </c>
      <c r="M248" s="212">
        <f t="shared" si="113"/>
        <v>5.76</v>
      </c>
      <c r="N248" s="102"/>
      <c r="O248" s="212"/>
      <c r="P248" s="212">
        <v>11.52</v>
      </c>
      <c r="Q248" s="212"/>
      <c r="R248" s="212"/>
      <c r="S248" s="220" t="s">
        <v>2605</v>
      </c>
      <c r="T248" s="220" t="s">
        <v>2534</v>
      </c>
      <c r="U248" s="220"/>
      <c r="V248" s="113"/>
      <c r="W248" s="113"/>
      <c r="X248" s="113"/>
      <c r="Y248" s="113"/>
      <c r="Z248" s="113" t="s">
        <v>2606</v>
      </c>
    </row>
    <row r="249" ht="23.25" customHeight="1" spans="1:26">
      <c r="A249" s="212"/>
      <c r="B249" s="71" t="s">
        <v>2607</v>
      </c>
      <c r="C249" s="71" t="s">
        <v>320</v>
      </c>
      <c r="D249" s="71" t="s">
        <v>147</v>
      </c>
      <c r="E249" s="212">
        <f t="shared" ref="E249:G249" si="114">SUM(E250:E259)</f>
        <v>17</v>
      </c>
      <c r="F249" s="212">
        <f t="shared" si="114"/>
        <v>17</v>
      </c>
      <c r="G249" s="212">
        <f t="shared" si="114"/>
        <v>17</v>
      </c>
      <c r="H249" s="212">
        <v>2018</v>
      </c>
      <c r="I249" s="212">
        <v>2020</v>
      </c>
      <c r="J249" s="212">
        <f t="shared" si="105"/>
        <v>22.95</v>
      </c>
      <c r="K249" s="212">
        <f t="shared" ref="K249:K259" si="115">E249*0.15</f>
        <v>2.55</v>
      </c>
      <c r="L249" s="212">
        <f t="shared" ref="L249:L259" si="116">E249*0.6</f>
        <v>10.2</v>
      </c>
      <c r="M249" s="212">
        <f t="shared" ref="M249:M259" si="117">F249*0.6</f>
        <v>10.2</v>
      </c>
      <c r="N249" s="212"/>
      <c r="O249" s="212"/>
      <c r="P249" s="212"/>
      <c r="Q249" s="212">
        <v>22.95</v>
      </c>
      <c r="R249" s="212"/>
      <c r="S249" s="220"/>
      <c r="T249" s="220"/>
      <c r="U249" s="220" t="s">
        <v>2608</v>
      </c>
      <c r="V249" s="113"/>
      <c r="W249" s="113"/>
      <c r="X249" s="113"/>
      <c r="Y249" s="113"/>
      <c r="Z249" s="113" t="s">
        <v>1474</v>
      </c>
    </row>
    <row r="250" ht="23.25" customHeight="1" spans="1:26">
      <c r="A250" s="212"/>
      <c r="B250" s="71" t="s">
        <v>2503</v>
      </c>
      <c r="C250" s="71" t="s">
        <v>320</v>
      </c>
      <c r="D250" s="71" t="s">
        <v>147</v>
      </c>
      <c r="E250" s="212">
        <v>1</v>
      </c>
      <c r="F250" s="212">
        <v>1</v>
      </c>
      <c r="G250" s="212">
        <v>1</v>
      </c>
      <c r="H250" s="212">
        <v>2018</v>
      </c>
      <c r="I250" s="212">
        <v>2020</v>
      </c>
      <c r="J250" s="212">
        <f t="shared" si="105"/>
        <v>1.35</v>
      </c>
      <c r="K250" s="212">
        <f t="shared" si="115"/>
        <v>0.15</v>
      </c>
      <c r="L250" s="212">
        <f t="shared" si="116"/>
        <v>0.6</v>
      </c>
      <c r="M250" s="212">
        <f t="shared" si="117"/>
        <v>0.6</v>
      </c>
      <c r="N250" s="212"/>
      <c r="O250" s="212"/>
      <c r="P250" s="212"/>
      <c r="Q250" s="212">
        <v>1.35</v>
      </c>
      <c r="R250" s="212"/>
      <c r="S250" s="220" t="s">
        <v>2504</v>
      </c>
      <c r="T250" s="220" t="s">
        <v>2505</v>
      </c>
      <c r="U250" s="220"/>
      <c r="V250" s="113"/>
      <c r="W250" s="113"/>
      <c r="X250" s="113"/>
      <c r="Y250" s="113"/>
      <c r="Z250" s="113" t="s">
        <v>1474</v>
      </c>
    </row>
    <row r="251" ht="23.25" customHeight="1" spans="1:26">
      <c r="A251" s="212"/>
      <c r="B251" s="71" t="s">
        <v>2506</v>
      </c>
      <c r="C251" s="71" t="s">
        <v>320</v>
      </c>
      <c r="D251" s="71" t="s">
        <v>147</v>
      </c>
      <c r="E251" s="212">
        <v>2</v>
      </c>
      <c r="F251" s="212">
        <v>2</v>
      </c>
      <c r="G251" s="212">
        <v>2</v>
      </c>
      <c r="H251" s="212">
        <v>2018</v>
      </c>
      <c r="I251" s="212">
        <v>2020</v>
      </c>
      <c r="J251" s="212">
        <f t="shared" si="105"/>
        <v>2.7</v>
      </c>
      <c r="K251" s="212">
        <f t="shared" si="115"/>
        <v>0.3</v>
      </c>
      <c r="L251" s="212">
        <f t="shared" si="116"/>
        <v>1.2</v>
      </c>
      <c r="M251" s="212">
        <f t="shared" si="117"/>
        <v>1.2</v>
      </c>
      <c r="N251" s="212"/>
      <c r="O251" s="212"/>
      <c r="P251" s="212"/>
      <c r="Q251" s="212">
        <v>2.7</v>
      </c>
      <c r="R251" s="212"/>
      <c r="S251" s="220" t="s">
        <v>2544</v>
      </c>
      <c r="T251" s="220" t="s">
        <v>2600</v>
      </c>
      <c r="U251" s="220"/>
      <c r="V251" s="113"/>
      <c r="W251" s="113"/>
      <c r="X251" s="113"/>
      <c r="Y251" s="113"/>
      <c r="Z251" s="113" t="s">
        <v>1474</v>
      </c>
    </row>
    <row r="252" ht="23.25" customHeight="1" spans="1:26">
      <c r="A252" s="212"/>
      <c r="B252" s="71" t="s">
        <v>2509</v>
      </c>
      <c r="C252" s="71" t="s">
        <v>320</v>
      </c>
      <c r="D252" s="71" t="s">
        <v>147</v>
      </c>
      <c r="E252" s="212">
        <v>2</v>
      </c>
      <c r="F252" s="212">
        <v>2</v>
      </c>
      <c r="G252" s="212">
        <v>2</v>
      </c>
      <c r="H252" s="212">
        <v>2018</v>
      </c>
      <c r="I252" s="212">
        <v>2020</v>
      </c>
      <c r="J252" s="212">
        <f t="shared" si="105"/>
        <v>2.7</v>
      </c>
      <c r="K252" s="212">
        <f t="shared" si="115"/>
        <v>0.3</v>
      </c>
      <c r="L252" s="212">
        <f t="shared" si="116"/>
        <v>1.2</v>
      </c>
      <c r="M252" s="212">
        <f t="shared" si="117"/>
        <v>1.2</v>
      </c>
      <c r="N252" s="212"/>
      <c r="O252" s="212"/>
      <c r="P252" s="212"/>
      <c r="Q252" s="212">
        <v>2.7</v>
      </c>
      <c r="R252" s="212"/>
      <c r="S252" s="220" t="s">
        <v>2601</v>
      </c>
      <c r="T252" s="220" t="s">
        <v>2602</v>
      </c>
      <c r="U252" s="220"/>
      <c r="V252" s="113"/>
      <c r="W252" s="113"/>
      <c r="X252" s="113"/>
      <c r="Y252" s="113"/>
      <c r="Z252" s="113" t="s">
        <v>1474</v>
      </c>
    </row>
    <row r="253" ht="23.25" customHeight="1" spans="1:26">
      <c r="A253" s="212"/>
      <c r="B253" s="71" t="s">
        <v>2512</v>
      </c>
      <c r="C253" s="71" t="s">
        <v>320</v>
      </c>
      <c r="D253" s="71" t="s">
        <v>147</v>
      </c>
      <c r="E253" s="212">
        <v>1</v>
      </c>
      <c r="F253" s="212">
        <v>1</v>
      </c>
      <c r="G253" s="212">
        <v>1</v>
      </c>
      <c r="H253" s="212">
        <v>2018</v>
      </c>
      <c r="I253" s="212">
        <v>2020</v>
      </c>
      <c r="J253" s="212">
        <f t="shared" si="105"/>
        <v>1.35</v>
      </c>
      <c r="K253" s="212">
        <f t="shared" si="115"/>
        <v>0.15</v>
      </c>
      <c r="L253" s="212">
        <f t="shared" si="116"/>
        <v>0.6</v>
      </c>
      <c r="M253" s="212">
        <f t="shared" si="117"/>
        <v>0.6</v>
      </c>
      <c r="N253" s="212"/>
      <c r="O253" s="212"/>
      <c r="P253" s="212"/>
      <c r="Q253" s="212">
        <v>1.35</v>
      </c>
      <c r="R253" s="212"/>
      <c r="S253" s="220" t="s">
        <v>2513</v>
      </c>
      <c r="T253" s="220" t="s">
        <v>2514</v>
      </c>
      <c r="U253" s="220"/>
      <c r="V253" s="113"/>
      <c r="W253" s="113"/>
      <c r="X253" s="113"/>
      <c r="Y253" s="113"/>
      <c r="Z253" s="113" t="s">
        <v>1474</v>
      </c>
    </row>
    <row r="254" ht="23.25" customHeight="1" spans="1:26">
      <c r="A254" s="212"/>
      <c r="B254" s="71" t="s">
        <v>2515</v>
      </c>
      <c r="C254" s="71" t="s">
        <v>320</v>
      </c>
      <c r="D254" s="71" t="s">
        <v>147</v>
      </c>
      <c r="E254" s="212">
        <v>2</v>
      </c>
      <c r="F254" s="212">
        <v>2</v>
      </c>
      <c r="G254" s="212">
        <v>2</v>
      </c>
      <c r="H254" s="212">
        <v>2018</v>
      </c>
      <c r="I254" s="212">
        <v>2020</v>
      </c>
      <c r="J254" s="212">
        <f t="shared" si="105"/>
        <v>2.7</v>
      </c>
      <c r="K254" s="212">
        <f t="shared" si="115"/>
        <v>0.3</v>
      </c>
      <c r="L254" s="212">
        <f t="shared" si="116"/>
        <v>1.2</v>
      </c>
      <c r="M254" s="212">
        <f t="shared" si="117"/>
        <v>1.2</v>
      </c>
      <c r="N254" s="212"/>
      <c r="O254" s="212"/>
      <c r="P254" s="212"/>
      <c r="Q254" s="212">
        <v>2.7</v>
      </c>
      <c r="R254" s="212"/>
      <c r="S254" s="220" t="s">
        <v>2603</v>
      </c>
      <c r="T254" s="220" t="s">
        <v>2539</v>
      </c>
      <c r="U254" s="220"/>
      <c r="V254" s="113"/>
      <c r="W254" s="113"/>
      <c r="X254" s="113"/>
      <c r="Y254" s="113"/>
      <c r="Z254" s="113" t="s">
        <v>1474</v>
      </c>
    </row>
    <row r="255" ht="23.25" customHeight="1" spans="1:26">
      <c r="A255" s="212"/>
      <c r="B255" s="71" t="s">
        <v>2518</v>
      </c>
      <c r="C255" s="71" t="s">
        <v>320</v>
      </c>
      <c r="D255" s="71" t="s">
        <v>147</v>
      </c>
      <c r="E255" s="212">
        <v>2</v>
      </c>
      <c r="F255" s="212">
        <v>2</v>
      </c>
      <c r="G255" s="212">
        <v>2</v>
      </c>
      <c r="H255" s="212">
        <v>2018</v>
      </c>
      <c r="I255" s="212">
        <v>2020</v>
      </c>
      <c r="J255" s="212">
        <f t="shared" si="105"/>
        <v>2.7</v>
      </c>
      <c r="K255" s="212">
        <f t="shared" si="115"/>
        <v>0.3</v>
      </c>
      <c r="L255" s="212">
        <f t="shared" si="116"/>
        <v>1.2</v>
      </c>
      <c r="M255" s="212">
        <f t="shared" si="117"/>
        <v>1.2</v>
      </c>
      <c r="N255" s="212"/>
      <c r="O255" s="212"/>
      <c r="P255" s="212"/>
      <c r="Q255" s="212">
        <v>2.7</v>
      </c>
      <c r="R255" s="212"/>
      <c r="S255" s="220" t="s">
        <v>2519</v>
      </c>
      <c r="T255" s="220" t="s">
        <v>2520</v>
      </c>
      <c r="U255" s="220"/>
      <c r="V255" s="113"/>
      <c r="W255" s="113"/>
      <c r="X255" s="113"/>
      <c r="Y255" s="113"/>
      <c r="Z255" s="113" t="s">
        <v>1474</v>
      </c>
    </row>
    <row r="256" ht="23.25" customHeight="1" spans="1:26">
      <c r="A256" s="212"/>
      <c r="B256" s="71" t="s">
        <v>2521</v>
      </c>
      <c r="C256" s="71" t="s">
        <v>320</v>
      </c>
      <c r="D256" s="71" t="s">
        <v>147</v>
      </c>
      <c r="E256" s="212">
        <v>1</v>
      </c>
      <c r="F256" s="212">
        <v>1</v>
      </c>
      <c r="G256" s="212">
        <v>1</v>
      </c>
      <c r="H256" s="212">
        <v>2018</v>
      </c>
      <c r="I256" s="212">
        <v>2020</v>
      </c>
      <c r="J256" s="212">
        <f t="shared" si="105"/>
        <v>1.35</v>
      </c>
      <c r="K256" s="212">
        <f t="shared" si="115"/>
        <v>0.15</v>
      </c>
      <c r="L256" s="212">
        <f t="shared" si="116"/>
        <v>0.6</v>
      </c>
      <c r="M256" s="212">
        <f t="shared" si="117"/>
        <v>0.6</v>
      </c>
      <c r="N256" s="212"/>
      <c r="O256" s="212"/>
      <c r="P256" s="212"/>
      <c r="Q256" s="212">
        <v>1.35</v>
      </c>
      <c r="R256" s="212"/>
      <c r="S256" s="220" t="s">
        <v>2523</v>
      </c>
      <c r="T256" s="220" t="s">
        <v>2522</v>
      </c>
      <c r="U256" s="220"/>
      <c r="V256" s="113"/>
      <c r="W256" s="113"/>
      <c r="X256" s="113"/>
      <c r="Y256" s="113"/>
      <c r="Z256" s="113" t="s">
        <v>1474</v>
      </c>
    </row>
    <row r="257" ht="23.25" customHeight="1" spans="1:26">
      <c r="A257" s="212"/>
      <c r="B257" s="71" t="s">
        <v>2526</v>
      </c>
      <c r="C257" s="71" t="s">
        <v>320</v>
      </c>
      <c r="D257" s="71" t="s">
        <v>147</v>
      </c>
      <c r="E257" s="212">
        <v>2</v>
      </c>
      <c r="F257" s="212">
        <v>2</v>
      </c>
      <c r="G257" s="212">
        <v>2</v>
      </c>
      <c r="H257" s="212">
        <v>2018</v>
      </c>
      <c r="I257" s="212">
        <v>2020</v>
      </c>
      <c r="J257" s="212">
        <f t="shared" si="105"/>
        <v>2.7</v>
      </c>
      <c r="K257" s="212">
        <f t="shared" si="115"/>
        <v>0.3</v>
      </c>
      <c r="L257" s="212">
        <f t="shared" si="116"/>
        <v>1.2</v>
      </c>
      <c r="M257" s="212">
        <f t="shared" si="117"/>
        <v>1.2</v>
      </c>
      <c r="N257" s="212"/>
      <c r="O257" s="212"/>
      <c r="P257" s="212"/>
      <c r="Q257" s="212">
        <v>2.7</v>
      </c>
      <c r="R257" s="212"/>
      <c r="S257" s="220" t="s">
        <v>2604</v>
      </c>
      <c r="T257" s="220" t="s">
        <v>2595</v>
      </c>
      <c r="U257" s="220"/>
      <c r="V257" s="113"/>
      <c r="W257" s="113"/>
      <c r="X257" s="113"/>
      <c r="Y257" s="113"/>
      <c r="Z257" s="113" t="s">
        <v>1474</v>
      </c>
    </row>
    <row r="258" ht="23.25" customHeight="1" spans="1:26">
      <c r="A258" s="212"/>
      <c r="B258" s="71" t="s">
        <v>2529</v>
      </c>
      <c r="C258" s="71" t="s">
        <v>320</v>
      </c>
      <c r="D258" s="71" t="s">
        <v>147</v>
      </c>
      <c r="E258" s="212">
        <v>2</v>
      </c>
      <c r="F258" s="212">
        <v>2</v>
      </c>
      <c r="G258" s="212">
        <v>2</v>
      </c>
      <c r="H258" s="212">
        <v>2018</v>
      </c>
      <c r="I258" s="212">
        <v>2020</v>
      </c>
      <c r="J258" s="212">
        <f t="shared" si="105"/>
        <v>2.7</v>
      </c>
      <c r="K258" s="212">
        <f t="shared" si="115"/>
        <v>0.3</v>
      </c>
      <c r="L258" s="212">
        <f t="shared" si="116"/>
        <v>1.2</v>
      </c>
      <c r="M258" s="212">
        <f t="shared" si="117"/>
        <v>1.2</v>
      </c>
      <c r="N258" s="212"/>
      <c r="O258" s="212"/>
      <c r="P258" s="212"/>
      <c r="Q258" s="212">
        <v>2.7</v>
      </c>
      <c r="R258" s="212"/>
      <c r="S258" s="220" t="s">
        <v>2556</v>
      </c>
      <c r="T258" s="220" t="s">
        <v>2531</v>
      </c>
      <c r="U258" s="220"/>
      <c r="V258" s="113"/>
      <c r="W258" s="113"/>
      <c r="X258" s="113"/>
      <c r="Y258" s="113"/>
      <c r="Z258" s="113" t="s">
        <v>1474</v>
      </c>
    </row>
    <row r="259" ht="23.25" customHeight="1" spans="1:26">
      <c r="A259" s="212"/>
      <c r="B259" s="71" t="s">
        <v>2532</v>
      </c>
      <c r="C259" s="71" t="s">
        <v>320</v>
      </c>
      <c r="D259" s="71" t="s">
        <v>147</v>
      </c>
      <c r="E259" s="212">
        <v>2</v>
      </c>
      <c r="F259" s="212">
        <v>2</v>
      </c>
      <c r="G259" s="212">
        <v>2</v>
      </c>
      <c r="H259" s="212">
        <v>2018</v>
      </c>
      <c r="I259" s="212">
        <v>2020</v>
      </c>
      <c r="J259" s="212">
        <f t="shared" si="105"/>
        <v>2.7</v>
      </c>
      <c r="K259" s="212">
        <f t="shared" si="115"/>
        <v>0.3</v>
      </c>
      <c r="L259" s="212">
        <f t="shared" si="116"/>
        <v>1.2</v>
      </c>
      <c r="M259" s="212">
        <f t="shared" si="117"/>
        <v>1.2</v>
      </c>
      <c r="N259" s="212"/>
      <c r="O259" s="212"/>
      <c r="P259" s="212"/>
      <c r="Q259" s="212">
        <v>2.7</v>
      </c>
      <c r="R259" s="212"/>
      <c r="S259" s="220" t="s">
        <v>2605</v>
      </c>
      <c r="T259" s="220" t="s">
        <v>2534</v>
      </c>
      <c r="U259" s="220"/>
      <c r="V259" s="113"/>
      <c r="W259" s="113"/>
      <c r="X259" s="113"/>
      <c r="Y259" s="113"/>
      <c r="Z259" s="113" t="s">
        <v>1474</v>
      </c>
    </row>
    <row r="260" ht="23.25" customHeight="1" spans="1:26">
      <c r="A260" s="212">
        <v>32</v>
      </c>
      <c r="B260" s="71" t="s">
        <v>2609</v>
      </c>
      <c r="C260" s="71" t="s">
        <v>320</v>
      </c>
      <c r="D260" s="71" t="s">
        <v>147</v>
      </c>
      <c r="E260" s="212">
        <v>4</v>
      </c>
      <c r="F260" s="212">
        <v>4</v>
      </c>
      <c r="G260" s="212">
        <v>4</v>
      </c>
      <c r="H260" s="212">
        <v>2018</v>
      </c>
      <c r="I260" s="212">
        <v>2020</v>
      </c>
      <c r="J260" s="212">
        <f t="shared" si="105"/>
        <v>5.1972</v>
      </c>
      <c r="K260" s="212">
        <f t="shared" ref="K260:M260" si="118">SUM(K261:K262)</f>
        <v>0.3108</v>
      </c>
      <c r="L260" s="212">
        <f t="shared" si="118"/>
        <v>2.4864</v>
      </c>
      <c r="M260" s="212">
        <f t="shared" si="118"/>
        <v>2.4</v>
      </c>
      <c r="N260" s="212"/>
      <c r="O260" s="212"/>
      <c r="P260" s="212"/>
      <c r="Q260" s="212">
        <v>5.1972</v>
      </c>
      <c r="R260" s="212"/>
      <c r="S260" s="220"/>
      <c r="T260" s="220"/>
      <c r="U260" s="220" t="s">
        <v>275</v>
      </c>
      <c r="V260" s="113"/>
      <c r="W260" s="113"/>
      <c r="X260" s="113"/>
      <c r="Y260" s="113"/>
      <c r="Z260" s="113" t="s">
        <v>1474</v>
      </c>
    </row>
    <row r="261" ht="23.25" customHeight="1" spans="1:26">
      <c r="A261" s="212"/>
      <c r="B261" s="71" t="s">
        <v>2512</v>
      </c>
      <c r="C261" s="71" t="s">
        <v>320</v>
      </c>
      <c r="D261" s="71" t="s">
        <v>147</v>
      </c>
      <c r="E261" s="212">
        <v>2</v>
      </c>
      <c r="F261" s="212">
        <v>2</v>
      </c>
      <c r="G261" s="212">
        <v>2</v>
      </c>
      <c r="H261" s="212">
        <v>2018</v>
      </c>
      <c r="I261" s="212">
        <v>2020</v>
      </c>
      <c r="J261" s="212">
        <f t="shared" si="105"/>
        <v>2.5986</v>
      </c>
      <c r="K261" s="212">
        <v>0.1554</v>
      </c>
      <c r="L261" s="212">
        <v>1.2432</v>
      </c>
      <c r="M261" s="212">
        <v>1.2</v>
      </c>
      <c r="N261" s="212"/>
      <c r="O261" s="212"/>
      <c r="P261" s="212"/>
      <c r="Q261" s="212">
        <v>2.5986</v>
      </c>
      <c r="R261" s="212"/>
      <c r="S261" s="220" t="s">
        <v>2513</v>
      </c>
      <c r="T261" s="220" t="s">
        <v>2514</v>
      </c>
      <c r="U261" s="220"/>
      <c r="V261" s="113"/>
      <c r="W261" s="113"/>
      <c r="X261" s="113"/>
      <c r="Y261" s="113"/>
      <c r="Z261" s="113" t="s">
        <v>1474</v>
      </c>
    </row>
    <row r="262" ht="23.25" customHeight="1" spans="1:26">
      <c r="A262" s="212"/>
      <c r="B262" s="71" t="s">
        <v>2518</v>
      </c>
      <c r="C262" s="71" t="s">
        <v>320</v>
      </c>
      <c r="D262" s="71" t="s">
        <v>147</v>
      </c>
      <c r="E262" s="212">
        <v>2</v>
      </c>
      <c r="F262" s="212">
        <v>2</v>
      </c>
      <c r="G262" s="212">
        <v>2</v>
      </c>
      <c r="H262" s="212">
        <v>2018</v>
      </c>
      <c r="I262" s="212">
        <v>2020</v>
      </c>
      <c r="J262" s="212">
        <f t="shared" si="105"/>
        <v>2.5986</v>
      </c>
      <c r="K262" s="212">
        <v>0.1554</v>
      </c>
      <c r="L262" s="212">
        <v>1.2432</v>
      </c>
      <c r="M262" s="212">
        <v>1.2</v>
      </c>
      <c r="N262" s="212"/>
      <c r="O262" s="212"/>
      <c r="P262" s="212"/>
      <c r="Q262" s="212">
        <v>2.5986</v>
      </c>
      <c r="R262" s="212"/>
      <c r="S262" s="220" t="s">
        <v>2519</v>
      </c>
      <c r="T262" s="220" t="s">
        <v>2520</v>
      </c>
      <c r="U262" s="220"/>
      <c r="V262" s="113"/>
      <c r="W262" s="113"/>
      <c r="X262" s="113"/>
      <c r="Y262" s="113"/>
      <c r="Z262" s="113" t="s">
        <v>1474</v>
      </c>
    </row>
    <row r="263" ht="23.25" customHeight="1" spans="1:26">
      <c r="A263" s="212">
        <v>33</v>
      </c>
      <c r="B263" s="71" t="s">
        <v>2610</v>
      </c>
      <c r="C263" s="71" t="s">
        <v>320</v>
      </c>
      <c r="D263" s="71" t="s">
        <v>147</v>
      </c>
      <c r="E263" s="212">
        <v>8</v>
      </c>
      <c r="F263" s="212">
        <v>0</v>
      </c>
      <c r="G263" s="212">
        <v>0</v>
      </c>
      <c r="H263" s="212">
        <v>2018</v>
      </c>
      <c r="I263" s="212">
        <v>2020</v>
      </c>
      <c r="J263" s="212">
        <f t="shared" si="105"/>
        <v>3.6</v>
      </c>
      <c r="K263" s="212">
        <f t="shared" ref="K263:K267" si="119">E263*0.15</f>
        <v>1.2</v>
      </c>
      <c r="L263" s="212">
        <f t="shared" ref="L263:L267" si="120">E263*0.15</f>
        <v>1.2</v>
      </c>
      <c r="M263" s="212">
        <f t="shared" ref="M263:M267" si="121">E263*0.15</f>
        <v>1.2</v>
      </c>
      <c r="N263" s="212">
        <v>3.6</v>
      </c>
      <c r="O263" s="212"/>
      <c r="P263" s="212"/>
      <c r="Q263" s="212"/>
      <c r="R263" s="212"/>
      <c r="S263" s="220"/>
      <c r="T263" s="220"/>
      <c r="U263" s="220" t="s">
        <v>277</v>
      </c>
      <c r="V263" s="113"/>
      <c r="W263" s="113"/>
      <c r="X263" s="113"/>
      <c r="Y263" s="113"/>
      <c r="Z263" s="113" t="s">
        <v>1474</v>
      </c>
    </row>
    <row r="264" ht="23.25" customHeight="1" spans="1:26">
      <c r="A264" s="212"/>
      <c r="B264" s="71" t="s">
        <v>2509</v>
      </c>
      <c r="C264" s="71" t="s">
        <v>2611</v>
      </c>
      <c r="D264" s="71" t="s">
        <v>147</v>
      </c>
      <c r="E264" s="212">
        <v>2</v>
      </c>
      <c r="F264" s="212">
        <v>0</v>
      </c>
      <c r="G264" s="212">
        <v>0</v>
      </c>
      <c r="H264" s="212">
        <v>2018</v>
      </c>
      <c r="I264" s="212">
        <v>2020</v>
      </c>
      <c r="J264" s="212">
        <f t="shared" si="105"/>
        <v>0.9</v>
      </c>
      <c r="K264" s="212">
        <f t="shared" si="119"/>
        <v>0.3</v>
      </c>
      <c r="L264" s="212">
        <f t="shared" si="120"/>
        <v>0.3</v>
      </c>
      <c r="M264" s="212">
        <f t="shared" si="121"/>
        <v>0.3</v>
      </c>
      <c r="N264" s="212">
        <v>0.9</v>
      </c>
      <c r="O264" s="212"/>
      <c r="P264" s="212"/>
      <c r="Q264" s="212"/>
      <c r="R264" s="212"/>
      <c r="S264" s="220" t="s">
        <v>2536</v>
      </c>
      <c r="T264" s="220" t="s">
        <v>2537</v>
      </c>
      <c r="U264" s="220"/>
      <c r="V264" s="113"/>
      <c r="W264" s="113"/>
      <c r="X264" s="113"/>
      <c r="Y264" s="113"/>
      <c r="Z264" s="113" t="s">
        <v>1474</v>
      </c>
    </row>
    <row r="265" ht="23.25" customHeight="1" spans="1:26">
      <c r="A265" s="212"/>
      <c r="B265" s="71" t="s">
        <v>2515</v>
      </c>
      <c r="C265" s="71" t="s">
        <v>1281</v>
      </c>
      <c r="D265" s="71" t="s">
        <v>147</v>
      </c>
      <c r="E265" s="212">
        <v>2</v>
      </c>
      <c r="F265" s="212">
        <v>0</v>
      </c>
      <c r="G265" s="212">
        <v>0</v>
      </c>
      <c r="H265" s="212">
        <v>2018</v>
      </c>
      <c r="I265" s="212">
        <v>2020</v>
      </c>
      <c r="J265" s="212">
        <f t="shared" si="105"/>
        <v>0.9</v>
      </c>
      <c r="K265" s="212">
        <f t="shared" si="119"/>
        <v>0.3</v>
      </c>
      <c r="L265" s="212">
        <f t="shared" si="120"/>
        <v>0.3</v>
      </c>
      <c r="M265" s="212">
        <f t="shared" si="121"/>
        <v>0.3</v>
      </c>
      <c r="N265" s="212">
        <v>0.9</v>
      </c>
      <c r="O265" s="212"/>
      <c r="P265" s="212"/>
      <c r="Q265" s="212"/>
      <c r="R265" s="212"/>
      <c r="S265" s="220" t="s">
        <v>2603</v>
      </c>
      <c r="T265" s="220" t="s">
        <v>2539</v>
      </c>
      <c r="U265" s="220"/>
      <c r="V265" s="113"/>
      <c r="W265" s="113"/>
      <c r="X265" s="113"/>
      <c r="Y265" s="113"/>
      <c r="Z265" s="113" t="s">
        <v>1474</v>
      </c>
    </row>
    <row r="266" ht="23.25" customHeight="1" spans="1:26">
      <c r="A266" s="212"/>
      <c r="B266" s="71" t="s">
        <v>2515</v>
      </c>
      <c r="C266" s="71" t="s">
        <v>2612</v>
      </c>
      <c r="D266" s="71" t="s">
        <v>147</v>
      </c>
      <c r="E266" s="212">
        <v>2</v>
      </c>
      <c r="F266" s="212">
        <v>0</v>
      </c>
      <c r="G266" s="212">
        <v>0</v>
      </c>
      <c r="H266" s="212">
        <v>2018</v>
      </c>
      <c r="I266" s="212">
        <v>2020</v>
      </c>
      <c r="J266" s="212">
        <f t="shared" si="105"/>
        <v>0.9</v>
      </c>
      <c r="K266" s="212">
        <f t="shared" si="119"/>
        <v>0.3</v>
      </c>
      <c r="L266" s="212">
        <f t="shared" si="120"/>
        <v>0.3</v>
      </c>
      <c r="M266" s="212">
        <f t="shared" si="121"/>
        <v>0.3</v>
      </c>
      <c r="N266" s="212">
        <v>0.9</v>
      </c>
      <c r="O266" s="212"/>
      <c r="P266" s="212"/>
      <c r="Q266" s="212"/>
      <c r="R266" s="212"/>
      <c r="S266" s="220" t="s">
        <v>2603</v>
      </c>
      <c r="T266" s="220" t="s">
        <v>2539</v>
      </c>
      <c r="U266" s="220"/>
      <c r="V266" s="113"/>
      <c r="W266" s="113"/>
      <c r="X266" s="113"/>
      <c r="Y266" s="113"/>
      <c r="Z266" s="113" t="s">
        <v>1474</v>
      </c>
    </row>
    <row r="267" ht="23.25" customHeight="1" spans="1:26">
      <c r="A267" s="212"/>
      <c r="B267" s="71" t="s">
        <v>2521</v>
      </c>
      <c r="C267" s="71" t="s">
        <v>2613</v>
      </c>
      <c r="D267" s="71" t="s">
        <v>147</v>
      </c>
      <c r="E267" s="212">
        <v>2</v>
      </c>
      <c r="F267" s="212">
        <v>0</v>
      </c>
      <c r="G267" s="212">
        <v>0</v>
      </c>
      <c r="H267" s="212">
        <v>2018</v>
      </c>
      <c r="I267" s="212">
        <v>2020</v>
      </c>
      <c r="J267" s="212">
        <f t="shared" si="105"/>
        <v>0.9</v>
      </c>
      <c r="K267" s="212">
        <f t="shared" si="119"/>
        <v>0.3</v>
      </c>
      <c r="L267" s="212">
        <f t="shared" si="120"/>
        <v>0.3</v>
      </c>
      <c r="M267" s="212">
        <f t="shared" si="121"/>
        <v>0.3</v>
      </c>
      <c r="N267" s="212">
        <v>0.9</v>
      </c>
      <c r="O267" s="212"/>
      <c r="P267" s="212"/>
      <c r="Q267" s="212"/>
      <c r="R267" s="212"/>
      <c r="S267" s="220" t="s">
        <v>2523</v>
      </c>
      <c r="T267" s="220" t="s">
        <v>2522</v>
      </c>
      <c r="U267" s="220"/>
      <c r="V267" s="113"/>
      <c r="W267" s="113"/>
      <c r="X267" s="113"/>
      <c r="Y267" s="113"/>
      <c r="Z267" s="113" t="s">
        <v>1474</v>
      </c>
    </row>
    <row r="268" ht="23.25" customHeight="1" spans="1:26">
      <c r="A268" s="212"/>
      <c r="B268" s="71" t="s">
        <v>2614</v>
      </c>
      <c r="C268" s="71" t="s">
        <v>320</v>
      </c>
      <c r="D268" s="71" t="s">
        <v>147</v>
      </c>
      <c r="E268" s="71">
        <f t="shared" ref="E268:G268" si="122">SUM(E269:E278)</f>
        <v>11</v>
      </c>
      <c r="F268" s="71">
        <f t="shared" si="122"/>
        <v>11</v>
      </c>
      <c r="G268" s="71">
        <f t="shared" si="122"/>
        <v>11</v>
      </c>
      <c r="H268" s="71">
        <v>2018</v>
      </c>
      <c r="I268" s="71">
        <v>2020</v>
      </c>
      <c r="J268" s="71">
        <f t="shared" ref="J268:J289" si="123">SUM(K268:M268)</f>
        <v>15.3846</v>
      </c>
      <c r="K268" s="71">
        <f t="shared" ref="K268:M268" si="124">SUM(K269:K278)</f>
        <v>1.7094</v>
      </c>
      <c r="L268" s="71">
        <f t="shared" si="124"/>
        <v>6.8376</v>
      </c>
      <c r="M268" s="71">
        <f t="shared" si="124"/>
        <v>6.8376</v>
      </c>
      <c r="N268" s="71"/>
      <c r="O268" s="71"/>
      <c r="P268" s="71">
        <f>J268-Q268</f>
        <v>0.534599999999999</v>
      </c>
      <c r="Q268" s="71">
        <v>14.85</v>
      </c>
      <c r="R268" s="71"/>
      <c r="S268" s="220"/>
      <c r="T268" s="220"/>
      <c r="U268" s="220"/>
      <c r="V268" s="113"/>
      <c r="W268" s="113"/>
      <c r="X268" s="113"/>
      <c r="Y268" s="113"/>
      <c r="Z268" s="113" t="s">
        <v>1474</v>
      </c>
    </row>
    <row r="269" ht="23.25" customHeight="1" spans="1:26">
      <c r="A269" s="212"/>
      <c r="B269" s="71" t="s">
        <v>2503</v>
      </c>
      <c r="C269" s="71" t="s">
        <v>320</v>
      </c>
      <c r="D269" s="71" t="s">
        <v>147</v>
      </c>
      <c r="E269" s="212">
        <v>1</v>
      </c>
      <c r="F269" s="212">
        <v>1</v>
      </c>
      <c r="G269" s="212">
        <v>1</v>
      </c>
      <c r="H269" s="212">
        <v>2018</v>
      </c>
      <c r="I269" s="212">
        <v>2020</v>
      </c>
      <c r="J269" s="71">
        <f t="shared" si="123"/>
        <v>1.3986</v>
      </c>
      <c r="K269" s="212">
        <f t="shared" ref="K269:K274" si="125">0.0518*3*1</f>
        <v>0.1554</v>
      </c>
      <c r="L269" s="212">
        <f t="shared" ref="L269:L274" si="126">0.0518*12*1</f>
        <v>0.6216</v>
      </c>
      <c r="M269" s="212">
        <v>0.6216</v>
      </c>
      <c r="N269" s="212"/>
      <c r="O269" s="212"/>
      <c r="P269" s="212">
        <f t="shared" ref="P269:P274" si="127">0.0018*27*1</f>
        <v>0.0486</v>
      </c>
      <c r="Q269" s="212">
        <v>1.35</v>
      </c>
      <c r="R269" s="212"/>
      <c r="S269" s="220" t="s">
        <v>2504</v>
      </c>
      <c r="T269" s="220" t="s">
        <v>2505</v>
      </c>
      <c r="U269" s="220"/>
      <c r="V269" s="113"/>
      <c r="W269" s="113"/>
      <c r="X269" s="113"/>
      <c r="Y269" s="113"/>
      <c r="Z269" s="113" t="s">
        <v>1474</v>
      </c>
    </row>
    <row r="270" ht="23.25" customHeight="1" spans="1:26">
      <c r="A270" s="212"/>
      <c r="B270" s="71" t="s">
        <v>2506</v>
      </c>
      <c r="C270" s="71" t="s">
        <v>320</v>
      </c>
      <c r="D270" s="71" t="s">
        <v>147</v>
      </c>
      <c r="E270" s="212">
        <v>1</v>
      </c>
      <c r="F270" s="212">
        <v>1</v>
      </c>
      <c r="G270" s="212">
        <v>1</v>
      </c>
      <c r="H270" s="212">
        <v>2018</v>
      </c>
      <c r="I270" s="212">
        <v>2020</v>
      </c>
      <c r="J270" s="71">
        <f t="shared" si="123"/>
        <v>1.3986</v>
      </c>
      <c r="K270" s="212">
        <f t="shared" si="125"/>
        <v>0.1554</v>
      </c>
      <c r="L270" s="212">
        <f t="shared" si="126"/>
        <v>0.6216</v>
      </c>
      <c r="M270" s="212">
        <v>0.6216</v>
      </c>
      <c r="N270" s="212"/>
      <c r="O270" s="212"/>
      <c r="P270" s="212">
        <f t="shared" si="127"/>
        <v>0.0486</v>
      </c>
      <c r="Q270" s="212">
        <v>1.35</v>
      </c>
      <c r="R270" s="212"/>
      <c r="S270" s="220" t="s">
        <v>2544</v>
      </c>
      <c r="T270" s="220" t="s">
        <v>2600</v>
      </c>
      <c r="U270" s="220"/>
      <c r="V270" s="113"/>
      <c r="W270" s="113"/>
      <c r="X270" s="113"/>
      <c r="Y270" s="113"/>
      <c r="Z270" s="113" t="s">
        <v>1474</v>
      </c>
    </row>
    <row r="271" ht="23.25" customHeight="1" spans="1:26">
      <c r="A271" s="212"/>
      <c r="B271" s="71" t="s">
        <v>2509</v>
      </c>
      <c r="C271" s="71" t="s">
        <v>320</v>
      </c>
      <c r="D271" s="71" t="s">
        <v>147</v>
      </c>
      <c r="E271" s="212">
        <v>1</v>
      </c>
      <c r="F271" s="212">
        <v>1</v>
      </c>
      <c r="G271" s="212">
        <v>1</v>
      </c>
      <c r="H271" s="212">
        <v>2018</v>
      </c>
      <c r="I271" s="212">
        <v>2020</v>
      </c>
      <c r="J271" s="71">
        <f t="shared" si="123"/>
        <v>1.3986</v>
      </c>
      <c r="K271" s="212">
        <f t="shared" si="125"/>
        <v>0.1554</v>
      </c>
      <c r="L271" s="212">
        <f t="shared" si="126"/>
        <v>0.6216</v>
      </c>
      <c r="M271" s="212">
        <v>0.6216</v>
      </c>
      <c r="N271" s="212"/>
      <c r="O271" s="212"/>
      <c r="P271" s="212">
        <f t="shared" si="127"/>
        <v>0.0486</v>
      </c>
      <c r="Q271" s="212">
        <v>1.35</v>
      </c>
      <c r="R271" s="212"/>
      <c r="S271" s="220" t="s">
        <v>2601</v>
      </c>
      <c r="T271" s="220" t="s">
        <v>2602</v>
      </c>
      <c r="U271" s="220"/>
      <c r="V271" s="113"/>
      <c r="W271" s="113"/>
      <c r="X271" s="113"/>
      <c r="Y271" s="113"/>
      <c r="Z271" s="113" t="s">
        <v>1474</v>
      </c>
    </row>
    <row r="272" ht="23.25" customHeight="1" spans="1:26">
      <c r="A272" s="212"/>
      <c r="B272" s="71" t="s">
        <v>2512</v>
      </c>
      <c r="C272" s="71" t="s">
        <v>320</v>
      </c>
      <c r="D272" s="71" t="s">
        <v>147</v>
      </c>
      <c r="E272" s="212">
        <v>1</v>
      </c>
      <c r="F272" s="212">
        <v>1</v>
      </c>
      <c r="G272" s="212">
        <v>1</v>
      </c>
      <c r="H272" s="212">
        <v>2018</v>
      </c>
      <c r="I272" s="212">
        <v>2020</v>
      </c>
      <c r="J272" s="71">
        <f t="shared" si="123"/>
        <v>1.3986</v>
      </c>
      <c r="K272" s="212">
        <f t="shared" si="125"/>
        <v>0.1554</v>
      </c>
      <c r="L272" s="212">
        <f t="shared" si="126"/>
        <v>0.6216</v>
      </c>
      <c r="M272" s="212">
        <v>0.6216</v>
      </c>
      <c r="N272" s="212"/>
      <c r="O272" s="212"/>
      <c r="P272" s="212">
        <f t="shared" si="127"/>
        <v>0.0486</v>
      </c>
      <c r="Q272" s="212">
        <v>1.35</v>
      </c>
      <c r="R272" s="212"/>
      <c r="S272" s="220" t="s">
        <v>2513</v>
      </c>
      <c r="T272" s="220" t="s">
        <v>2514</v>
      </c>
      <c r="U272" s="220"/>
      <c r="V272" s="113"/>
      <c r="W272" s="113"/>
      <c r="X272" s="113"/>
      <c r="Y272" s="113"/>
      <c r="Z272" s="113" t="s">
        <v>1474</v>
      </c>
    </row>
    <row r="273" ht="23.25" customHeight="1" spans="1:26">
      <c r="A273" s="212"/>
      <c r="B273" s="71" t="s">
        <v>2515</v>
      </c>
      <c r="C273" s="71" t="s">
        <v>320</v>
      </c>
      <c r="D273" s="71" t="s">
        <v>147</v>
      </c>
      <c r="E273" s="212">
        <v>1</v>
      </c>
      <c r="F273" s="212">
        <v>1</v>
      </c>
      <c r="G273" s="212">
        <v>1</v>
      </c>
      <c r="H273" s="212">
        <v>2018</v>
      </c>
      <c r="I273" s="212">
        <v>2020</v>
      </c>
      <c r="J273" s="71">
        <f t="shared" si="123"/>
        <v>1.3986</v>
      </c>
      <c r="K273" s="212">
        <f t="shared" si="125"/>
        <v>0.1554</v>
      </c>
      <c r="L273" s="212">
        <f t="shared" si="126"/>
        <v>0.6216</v>
      </c>
      <c r="M273" s="212">
        <v>0.6216</v>
      </c>
      <c r="N273" s="212"/>
      <c r="O273" s="212"/>
      <c r="P273" s="212">
        <f t="shared" si="127"/>
        <v>0.0486</v>
      </c>
      <c r="Q273" s="212">
        <v>1.35</v>
      </c>
      <c r="R273" s="212"/>
      <c r="S273" s="220" t="s">
        <v>2603</v>
      </c>
      <c r="T273" s="220" t="s">
        <v>2539</v>
      </c>
      <c r="U273" s="220"/>
      <c r="V273" s="113"/>
      <c r="W273" s="113"/>
      <c r="X273" s="113"/>
      <c r="Y273" s="113"/>
      <c r="Z273" s="113" t="s">
        <v>1474</v>
      </c>
    </row>
    <row r="274" ht="23.25" customHeight="1" spans="1:26">
      <c r="A274" s="212"/>
      <c r="B274" s="71" t="s">
        <v>2518</v>
      </c>
      <c r="C274" s="71" t="s">
        <v>320</v>
      </c>
      <c r="D274" s="71" t="s">
        <v>147</v>
      </c>
      <c r="E274" s="212">
        <v>1</v>
      </c>
      <c r="F274" s="212">
        <v>1</v>
      </c>
      <c r="G274" s="212">
        <v>1</v>
      </c>
      <c r="H274" s="212">
        <v>2018</v>
      </c>
      <c r="I274" s="212">
        <v>2020</v>
      </c>
      <c r="J274" s="71">
        <f t="shared" si="123"/>
        <v>1.3986</v>
      </c>
      <c r="K274" s="212">
        <f t="shared" si="125"/>
        <v>0.1554</v>
      </c>
      <c r="L274" s="212">
        <f t="shared" si="126"/>
        <v>0.6216</v>
      </c>
      <c r="M274" s="212">
        <v>0.6216</v>
      </c>
      <c r="N274" s="212"/>
      <c r="O274" s="212"/>
      <c r="P274" s="212">
        <f t="shared" si="127"/>
        <v>0.0486</v>
      </c>
      <c r="Q274" s="212">
        <v>1.35</v>
      </c>
      <c r="R274" s="212"/>
      <c r="S274" s="220" t="s">
        <v>2519</v>
      </c>
      <c r="T274" s="220" t="s">
        <v>2520</v>
      </c>
      <c r="U274" s="220"/>
      <c r="V274" s="113"/>
      <c r="W274" s="113"/>
      <c r="X274" s="113"/>
      <c r="Y274" s="113"/>
      <c r="Z274" s="113" t="s">
        <v>1474</v>
      </c>
    </row>
    <row r="275" ht="23.25" customHeight="1" spans="1:26">
      <c r="A275" s="212"/>
      <c r="B275" s="71" t="s">
        <v>2521</v>
      </c>
      <c r="C275" s="71" t="s">
        <v>320</v>
      </c>
      <c r="D275" s="71" t="s">
        <v>147</v>
      </c>
      <c r="E275" s="212">
        <v>2</v>
      </c>
      <c r="F275" s="212">
        <v>2</v>
      </c>
      <c r="G275" s="212">
        <v>2</v>
      </c>
      <c r="H275" s="212">
        <v>2018</v>
      </c>
      <c r="I275" s="212">
        <v>2020</v>
      </c>
      <c r="J275" s="71">
        <f t="shared" si="123"/>
        <v>2.7972</v>
      </c>
      <c r="K275" s="212">
        <f>0.0518*3*2</f>
        <v>0.3108</v>
      </c>
      <c r="L275" s="212">
        <f>0.0518*12*2</f>
        <v>1.2432</v>
      </c>
      <c r="M275" s="212">
        <v>1.2432</v>
      </c>
      <c r="N275" s="212"/>
      <c r="O275" s="212"/>
      <c r="P275" s="212">
        <f>0.0018*27*2</f>
        <v>0.0972</v>
      </c>
      <c r="Q275" s="212">
        <v>2.7</v>
      </c>
      <c r="R275" s="212"/>
      <c r="S275" s="220" t="s">
        <v>2523</v>
      </c>
      <c r="T275" s="220" t="s">
        <v>2522</v>
      </c>
      <c r="U275" s="220"/>
      <c r="V275" s="113"/>
      <c r="W275" s="113"/>
      <c r="X275" s="113"/>
      <c r="Y275" s="113"/>
      <c r="Z275" s="113" t="s">
        <v>1474</v>
      </c>
    </row>
    <row r="276" ht="23.25" customHeight="1" spans="1:26">
      <c r="A276" s="212"/>
      <c r="B276" s="71" t="s">
        <v>2526</v>
      </c>
      <c r="C276" s="71" t="s">
        <v>320</v>
      </c>
      <c r="D276" s="71" t="s">
        <v>147</v>
      </c>
      <c r="E276" s="212">
        <v>1</v>
      </c>
      <c r="F276" s="212">
        <v>1</v>
      </c>
      <c r="G276" s="212">
        <v>1</v>
      </c>
      <c r="H276" s="212">
        <v>2018</v>
      </c>
      <c r="I276" s="212">
        <v>2020</v>
      </c>
      <c r="J276" s="71">
        <f t="shared" si="123"/>
        <v>1.3986</v>
      </c>
      <c r="K276" s="212">
        <f t="shared" ref="K276:K278" si="128">0.0518*3*1</f>
        <v>0.1554</v>
      </c>
      <c r="L276" s="212">
        <f t="shared" ref="L276:L278" si="129">0.0518*12*1</f>
        <v>0.6216</v>
      </c>
      <c r="M276" s="212">
        <v>0.6216</v>
      </c>
      <c r="N276" s="212"/>
      <c r="O276" s="212"/>
      <c r="P276" s="212">
        <f t="shared" ref="P276:P278" si="130">0.0018*27*1</f>
        <v>0.0486</v>
      </c>
      <c r="Q276" s="212">
        <v>1.35</v>
      </c>
      <c r="R276" s="212"/>
      <c r="S276" s="220" t="s">
        <v>2604</v>
      </c>
      <c r="T276" s="220" t="s">
        <v>2595</v>
      </c>
      <c r="U276" s="220"/>
      <c r="V276" s="113"/>
      <c r="W276" s="113"/>
      <c r="X276" s="113"/>
      <c r="Y276" s="113"/>
      <c r="Z276" s="113" t="s">
        <v>1474</v>
      </c>
    </row>
    <row r="277" ht="23.25" customHeight="1" spans="1:26">
      <c r="A277" s="212"/>
      <c r="B277" s="71" t="s">
        <v>2529</v>
      </c>
      <c r="C277" s="71" t="s">
        <v>320</v>
      </c>
      <c r="D277" s="71" t="s">
        <v>147</v>
      </c>
      <c r="E277" s="212">
        <v>1</v>
      </c>
      <c r="F277" s="212">
        <v>1</v>
      </c>
      <c r="G277" s="212">
        <v>1</v>
      </c>
      <c r="H277" s="212">
        <v>2018</v>
      </c>
      <c r="I277" s="212">
        <v>2020</v>
      </c>
      <c r="J277" s="71">
        <f t="shared" si="123"/>
        <v>1.3986</v>
      </c>
      <c r="K277" s="212">
        <f t="shared" si="128"/>
        <v>0.1554</v>
      </c>
      <c r="L277" s="212">
        <f t="shared" si="129"/>
        <v>0.6216</v>
      </c>
      <c r="M277" s="212">
        <v>0.6216</v>
      </c>
      <c r="N277" s="212"/>
      <c r="O277" s="212"/>
      <c r="P277" s="212">
        <f t="shared" si="130"/>
        <v>0.0486</v>
      </c>
      <c r="Q277" s="212">
        <v>1.35</v>
      </c>
      <c r="R277" s="212"/>
      <c r="S277" s="220" t="s">
        <v>2556</v>
      </c>
      <c r="T277" s="220" t="s">
        <v>2531</v>
      </c>
      <c r="U277" s="220"/>
      <c r="V277" s="113"/>
      <c r="W277" s="113"/>
      <c r="X277" s="113"/>
      <c r="Y277" s="113"/>
      <c r="Z277" s="113" t="s">
        <v>1474</v>
      </c>
    </row>
    <row r="278" ht="23.25" customHeight="1" spans="1:26">
      <c r="A278" s="212"/>
      <c r="B278" s="71" t="s">
        <v>2532</v>
      </c>
      <c r="C278" s="71" t="s">
        <v>320</v>
      </c>
      <c r="D278" s="71" t="s">
        <v>147</v>
      </c>
      <c r="E278" s="212">
        <v>1</v>
      </c>
      <c r="F278" s="212">
        <v>1</v>
      </c>
      <c r="G278" s="212">
        <v>1</v>
      </c>
      <c r="H278" s="212">
        <v>2018</v>
      </c>
      <c r="I278" s="212">
        <v>2020</v>
      </c>
      <c r="J278" s="71">
        <f t="shared" si="123"/>
        <v>1.3986</v>
      </c>
      <c r="K278" s="212">
        <f t="shared" si="128"/>
        <v>0.1554</v>
      </c>
      <c r="L278" s="212">
        <f t="shared" si="129"/>
        <v>0.6216</v>
      </c>
      <c r="M278" s="212">
        <v>0.6216</v>
      </c>
      <c r="N278" s="212"/>
      <c r="O278" s="212"/>
      <c r="P278" s="212">
        <f t="shared" si="130"/>
        <v>0.0486</v>
      </c>
      <c r="Q278" s="212">
        <v>1.35</v>
      </c>
      <c r="R278" s="212"/>
      <c r="S278" s="220" t="s">
        <v>2605</v>
      </c>
      <c r="T278" s="220" t="s">
        <v>2534</v>
      </c>
      <c r="U278" s="220"/>
      <c r="V278" s="113"/>
      <c r="W278" s="113"/>
      <c r="X278" s="113"/>
      <c r="Y278" s="113"/>
      <c r="Z278" s="113" t="s">
        <v>1474</v>
      </c>
    </row>
    <row r="279" ht="23.25" customHeight="1" spans="1:26">
      <c r="A279" s="212"/>
      <c r="B279" s="71" t="s">
        <v>2615</v>
      </c>
      <c r="C279" s="71" t="s">
        <v>320</v>
      </c>
      <c r="D279" s="71" t="s">
        <v>147</v>
      </c>
      <c r="E279" s="71">
        <f t="shared" ref="E279:G279" si="131">SUM(E280:E289)</f>
        <v>11</v>
      </c>
      <c r="F279" s="71">
        <f t="shared" si="131"/>
        <v>11</v>
      </c>
      <c r="G279" s="71">
        <f t="shared" si="131"/>
        <v>11</v>
      </c>
      <c r="H279" s="71">
        <v>2018</v>
      </c>
      <c r="I279" s="71">
        <v>2020</v>
      </c>
      <c r="J279" s="71">
        <f t="shared" si="123"/>
        <v>15.3846</v>
      </c>
      <c r="K279" s="71">
        <f t="shared" ref="K279:M279" si="132">SUM(K280:K289)</f>
        <v>1.7094</v>
      </c>
      <c r="L279" s="71">
        <f t="shared" si="132"/>
        <v>6.8376</v>
      </c>
      <c r="M279" s="71">
        <f t="shared" si="132"/>
        <v>6.8376</v>
      </c>
      <c r="N279" s="71"/>
      <c r="O279" s="71"/>
      <c r="P279" s="71">
        <f>P280+P281+P282+P283+P284+P285+P286+P287+P288+P289</f>
        <v>0.5346</v>
      </c>
      <c r="Q279" s="71">
        <v>14.85</v>
      </c>
      <c r="R279" s="71"/>
      <c r="S279" s="220"/>
      <c r="T279" s="220"/>
      <c r="U279" s="220"/>
      <c r="V279" s="113"/>
      <c r="W279" s="113"/>
      <c r="X279" s="113"/>
      <c r="Y279" s="113"/>
      <c r="Z279" s="113" t="s">
        <v>1474</v>
      </c>
    </row>
    <row r="280" ht="23.25" customHeight="1" spans="1:26">
      <c r="A280" s="212"/>
      <c r="B280" s="71" t="s">
        <v>2503</v>
      </c>
      <c r="C280" s="71" t="s">
        <v>320</v>
      </c>
      <c r="D280" s="71" t="s">
        <v>147</v>
      </c>
      <c r="E280" s="212">
        <v>1</v>
      </c>
      <c r="F280" s="212">
        <v>1</v>
      </c>
      <c r="G280" s="212">
        <v>1</v>
      </c>
      <c r="H280" s="212">
        <v>2018</v>
      </c>
      <c r="I280" s="212">
        <v>2020</v>
      </c>
      <c r="J280" s="71">
        <f t="shared" si="123"/>
        <v>1.3986</v>
      </c>
      <c r="K280" s="212">
        <f t="shared" ref="K280:K283" si="133">0.0518*3*1</f>
        <v>0.1554</v>
      </c>
      <c r="L280" s="212">
        <f t="shared" ref="L280:L283" si="134">0.0518*12*1</f>
        <v>0.6216</v>
      </c>
      <c r="M280" s="212">
        <v>0.6216</v>
      </c>
      <c r="N280" s="212"/>
      <c r="O280" s="212"/>
      <c r="P280" s="212">
        <f t="shared" ref="P280:P283" si="135">0.0018*27*1</f>
        <v>0.0486</v>
      </c>
      <c r="Q280" s="212">
        <v>1.35</v>
      </c>
      <c r="R280" s="212"/>
      <c r="S280" s="220" t="s">
        <v>2504</v>
      </c>
      <c r="T280" s="220" t="s">
        <v>2505</v>
      </c>
      <c r="U280" s="220"/>
      <c r="V280" s="113"/>
      <c r="W280" s="113"/>
      <c r="X280" s="113"/>
      <c r="Y280" s="113"/>
      <c r="Z280" s="113" t="s">
        <v>1474</v>
      </c>
    </row>
    <row r="281" ht="23.25" customHeight="1" spans="1:26">
      <c r="A281" s="212"/>
      <c r="B281" s="71" t="s">
        <v>2506</v>
      </c>
      <c r="C281" s="71" t="s">
        <v>320</v>
      </c>
      <c r="D281" s="71" t="s">
        <v>147</v>
      </c>
      <c r="E281" s="212">
        <v>1</v>
      </c>
      <c r="F281" s="212">
        <v>1</v>
      </c>
      <c r="G281" s="212">
        <v>1</v>
      </c>
      <c r="H281" s="212">
        <v>2018</v>
      </c>
      <c r="I281" s="212">
        <v>2020</v>
      </c>
      <c r="J281" s="71">
        <f t="shared" si="123"/>
        <v>1.3986</v>
      </c>
      <c r="K281" s="212">
        <f t="shared" si="133"/>
        <v>0.1554</v>
      </c>
      <c r="L281" s="212">
        <f t="shared" si="134"/>
        <v>0.6216</v>
      </c>
      <c r="M281" s="212">
        <v>0.6216</v>
      </c>
      <c r="N281" s="212"/>
      <c r="O281" s="212"/>
      <c r="P281" s="212">
        <f t="shared" si="135"/>
        <v>0.0486</v>
      </c>
      <c r="Q281" s="212">
        <v>1.35</v>
      </c>
      <c r="R281" s="212"/>
      <c r="S281" s="220" t="s">
        <v>2544</v>
      </c>
      <c r="T281" s="220" t="s">
        <v>2600</v>
      </c>
      <c r="U281" s="220"/>
      <c r="V281" s="113"/>
      <c r="W281" s="113"/>
      <c r="X281" s="113"/>
      <c r="Y281" s="113"/>
      <c r="Z281" s="113" t="s">
        <v>1474</v>
      </c>
    </row>
    <row r="282" ht="23.25" customHeight="1" spans="1:26">
      <c r="A282" s="212"/>
      <c r="B282" s="71" t="s">
        <v>2509</v>
      </c>
      <c r="C282" s="71" t="s">
        <v>320</v>
      </c>
      <c r="D282" s="71" t="s">
        <v>147</v>
      </c>
      <c r="E282" s="212">
        <v>1</v>
      </c>
      <c r="F282" s="212">
        <v>1</v>
      </c>
      <c r="G282" s="212">
        <v>1</v>
      </c>
      <c r="H282" s="212">
        <v>2018</v>
      </c>
      <c r="I282" s="212">
        <v>2020</v>
      </c>
      <c r="J282" s="71">
        <f t="shared" si="123"/>
        <v>1.3986</v>
      </c>
      <c r="K282" s="212">
        <f t="shared" si="133"/>
        <v>0.1554</v>
      </c>
      <c r="L282" s="212">
        <f t="shared" si="134"/>
        <v>0.6216</v>
      </c>
      <c r="M282" s="212">
        <v>0.6216</v>
      </c>
      <c r="N282" s="212"/>
      <c r="O282" s="212"/>
      <c r="P282" s="212">
        <f t="shared" si="135"/>
        <v>0.0486</v>
      </c>
      <c r="Q282" s="212">
        <v>1.35</v>
      </c>
      <c r="R282" s="212"/>
      <c r="S282" s="220" t="s">
        <v>2601</v>
      </c>
      <c r="T282" s="220" t="s">
        <v>2602</v>
      </c>
      <c r="U282" s="220"/>
      <c r="V282" s="113"/>
      <c r="W282" s="113"/>
      <c r="X282" s="113"/>
      <c r="Y282" s="113"/>
      <c r="Z282" s="113" t="s">
        <v>1474</v>
      </c>
    </row>
    <row r="283" ht="23.25" customHeight="1" spans="1:26">
      <c r="A283" s="212"/>
      <c r="B283" s="71" t="s">
        <v>2512</v>
      </c>
      <c r="C283" s="71" t="s">
        <v>320</v>
      </c>
      <c r="D283" s="71" t="s">
        <v>147</v>
      </c>
      <c r="E283" s="212">
        <v>1</v>
      </c>
      <c r="F283" s="212">
        <v>1</v>
      </c>
      <c r="G283" s="212">
        <v>1</v>
      </c>
      <c r="H283" s="212">
        <v>2018</v>
      </c>
      <c r="I283" s="212">
        <v>2020</v>
      </c>
      <c r="J283" s="71">
        <f t="shared" si="123"/>
        <v>1.3986</v>
      </c>
      <c r="K283" s="212">
        <f t="shared" si="133"/>
        <v>0.1554</v>
      </c>
      <c r="L283" s="212">
        <f t="shared" si="134"/>
        <v>0.6216</v>
      </c>
      <c r="M283" s="212">
        <v>0.6216</v>
      </c>
      <c r="N283" s="212"/>
      <c r="O283" s="212"/>
      <c r="P283" s="212">
        <f t="shared" si="135"/>
        <v>0.0486</v>
      </c>
      <c r="Q283" s="212">
        <v>1.35</v>
      </c>
      <c r="R283" s="212"/>
      <c r="S283" s="220" t="s">
        <v>2513</v>
      </c>
      <c r="T283" s="220" t="s">
        <v>2514</v>
      </c>
      <c r="U283" s="220"/>
      <c r="V283" s="113"/>
      <c r="W283" s="113"/>
      <c r="X283" s="113"/>
      <c r="Y283" s="113"/>
      <c r="Z283" s="113" t="s">
        <v>1474</v>
      </c>
    </row>
    <row r="284" ht="23.25" customHeight="1" spans="1:26">
      <c r="A284" s="212"/>
      <c r="B284" s="71" t="s">
        <v>2515</v>
      </c>
      <c r="C284" s="71" t="s">
        <v>320</v>
      </c>
      <c r="D284" s="71" t="s">
        <v>147</v>
      </c>
      <c r="E284" s="212">
        <v>2</v>
      </c>
      <c r="F284" s="212">
        <v>2</v>
      </c>
      <c r="G284" s="212">
        <v>2</v>
      </c>
      <c r="H284" s="212">
        <v>2018</v>
      </c>
      <c r="I284" s="212">
        <v>2020</v>
      </c>
      <c r="J284" s="71">
        <f t="shared" si="123"/>
        <v>2.7972</v>
      </c>
      <c r="K284" s="212">
        <f>0.0518*3*2</f>
        <v>0.3108</v>
      </c>
      <c r="L284" s="212">
        <f>0.0518*12*2</f>
        <v>1.2432</v>
      </c>
      <c r="M284" s="212">
        <v>1.2432</v>
      </c>
      <c r="N284" s="212"/>
      <c r="O284" s="212"/>
      <c r="P284" s="212">
        <f>0.0018*27*2</f>
        <v>0.0972</v>
      </c>
      <c r="Q284" s="212">
        <v>2.7</v>
      </c>
      <c r="R284" s="212"/>
      <c r="S284" s="220" t="s">
        <v>2603</v>
      </c>
      <c r="T284" s="220" t="s">
        <v>2539</v>
      </c>
      <c r="U284" s="220"/>
      <c r="V284" s="113"/>
      <c r="W284" s="113"/>
      <c r="X284" s="113"/>
      <c r="Y284" s="113"/>
      <c r="Z284" s="113" t="s">
        <v>1474</v>
      </c>
    </row>
    <row r="285" ht="23.25" customHeight="1" spans="1:26">
      <c r="A285" s="212"/>
      <c r="B285" s="71" t="s">
        <v>2518</v>
      </c>
      <c r="C285" s="71" t="s">
        <v>320</v>
      </c>
      <c r="D285" s="71" t="s">
        <v>147</v>
      </c>
      <c r="E285" s="212">
        <v>1</v>
      </c>
      <c r="F285" s="212">
        <v>1</v>
      </c>
      <c r="G285" s="212">
        <v>1</v>
      </c>
      <c r="H285" s="212">
        <v>2018</v>
      </c>
      <c r="I285" s="212">
        <v>2020</v>
      </c>
      <c r="J285" s="71">
        <f t="shared" si="123"/>
        <v>1.3986</v>
      </c>
      <c r="K285" s="212">
        <f t="shared" ref="K285:K289" si="136">0.0518*3*1</f>
        <v>0.1554</v>
      </c>
      <c r="L285" s="212">
        <f t="shared" ref="L285:L289" si="137">0.0518*12*1</f>
        <v>0.6216</v>
      </c>
      <c r="M285" s="212">
        <v>0.6216</v>
      </c>
      <c r="N285" s="212"/>
      <c r="O285" s="212"/>
      <c r="P285" s="212">
        <f t="shared" ref="P285:P289" si="138">0.0018*27*1</f>
        <v>0.0486</v>
      </c>
      <c r="Q285" s="212">
        <v>1.35</v>
      </c>
      <c r="R285" s="212"/>
      <c r="S285" s="220" t="s">
        <v>2519</v>
      </c>
      <c r="T285" s="220" t="s">
        <v>2520</v>
      </c>
      <c r="U285" s="220"/>
      <c r="V285" s="113"/>
      <c r="W285" s="113"/>
      <c r="X285" s="113"/>
      <c r="Y285" s="113"/>
      <c r="Z285" s="113" t="s">
        <v>1474</v>
      </c>
    </row>
    <row r="286" ht="23.25" customHeight="1" spans="1:26">
      <c r="A286" s="212"/>
      <c r="B286" s="71" t="s">
        <v>2521</v>
      </c>
      <c r="C286" s="71" t="s">
        <v>320</v>
      </c>
      <c r="D286" s="71" t="s">
        <v>147</v>
      </c>
      <c r="E286" s="212">
        <v>1</v>
      </c>
      <c r="F286" s="212">
        <v>1</v>
      </c>
      <c r="G286" s="212">
        <v>1</v>
      </c>
      <c r="H286" s="212">
        <v>2018</v>
      </c>
      <c r="I286" s="212">
        <v>2020</v>
      </c>
      <c r="J286" s="71">
        <f t="shared" si="123"/>
        <v>1.3986</v>
      </c>
      <c r="K286" s="212">
        <f t="shared" si="136"/>
        <v>0.1554</v>
      </c>
      <c r="L286" s="212">
        <f t="shared" si="137"/>
        <v>0.6216</v>
      </c>
      <c r="M286" s="212">
        <v>0.6216</v>
      </c>
      <c r="N286" s="212"/>
      <c r="O286" s="212"/>
      <c r="P286" s="212">
        <f t="shared" si="138"/>
        <v>0.0486</v>
      </c>
      <c r="Q286" s="212">
        <v>1.35</v>
      </c>
      <c r="R286" s="212"/>
      <c r="S286" s="220" t="s">
        <v>2523</v>
      </c>
      <c r="T286" s="220" t="s">
        <v>2522</v>
      </c>
      <c r="U286" s="220"/>
      <c r="V286" s="113"/>
      <c r="W286" s="113"/>
      <c r="X286" s="113"/>
      <c r="Y286" s="113"/>
      <c r="Z286" s="113" t="s">
        <v>1474</v>
      </c>
    </row>
    <row r="287" ht="23.25" customHeight="1" spans="1:26">
      <c r="A287" s="212"/>
      <c r="B287" s="71" t="s">
        <v>2526</v>
      </c>
      <c r="C287" s="71" t="s">
        <v>320</v>
      </c>
      <c r="D287" s="71" t="s">
        <v>147</v>
      </c>
      <c r="E287" s="212">
        <v>1</v>
      </c>
      <c r="F287" s="212">
        <v>1</v>
      </c>
      <c r="G287" s="212">
        <v>1</v>
      </c>
      <c r="H287" s="212">
        <v>2018</v>
      </c>
      <c r="I287" s="212">
        <v>2020</v>
      </c>
      <c r="J287" s="71">
        <f t="shared" si="123"/>
        <v>1.3986</v>
      </c>
      <c r="K287" s="212">
        <f t="shared" si="136"/>
        <v>0.1554</v>
      </c>
      <c r="L287" s="212">
        <f t="shared" si="137"/>
        <v>0.6216</v>
      </c>
      <c r="M287" s="212">
        <v>0.6216</v>
      </c>
      <c r="N287" s="212"/>
      <c r="O287" s="212"/>
      <c r="P287" s="212">
        <f t="shared" si="138"/>
        <v>0.0486</v>
      </c>
      <c r="Q287" s="212">
        <v>1.35</v>
      </c>
      <c r="R287" s="212"/>
      <c r="S287" s="220" t="s">
        <v>2604</v>
      </c>
      <c r="T287" s="220" t="s">
        <v>2595</v>
      </c>
      <c r="U287" s="220"/>
      <c r="V287" s="113"/>
      <c r="W287" s="113"/>
      <c r="X287" s="113"/>
      <c r="Y287" s="113"/>
      <c r="Z287" s="113" t="s">
        <v>1474</v>
      </c>
    </row>
    <row r="288" ht="23.25" customHeight="1" spans="1:26">
      <c r="A288" s="212"/>
      <c r="B288" s="71" t="s">
        <v>2529</v>
      </c>
      <c r="C288" s="71" t="s">
        <v>320</v>
      </c>
      <c r="D288" s="71" t="s">
        <v>147</v>
      </c>
      <c r="E288" s="212">
        <v>1</v>
      </c>
      <c r="F288" s="212">
        <v>1</v>
      </c>
      <c r="G288" s="212">
        <v>1</v>
      </c>
      <c r="H288" s="212">
        <v>2018</v>
      </c>
      <c r="I288" s="212">
        <v>2020</v>
      </c>
      <c r="J288" s="71">
        <f t="shared" si="123"/>
        <v>1.3986</v>
      </c>
      <c r="K288" s="212">
        <f t="shared" si="136"/>
        <v>0.1554</v>
      </c>
      <c r="L288" s="212">
        <f t="shared" si="137"/>
        <v>0.6216</v>
      </c>
      <c r="M288" s="212">
        <v>0.6216</v>
      </c>
      <c r="N288" s="212"/>
      <c r="O288" s="212"/>
      <c r="P288" s="212">
        <f t="shared" si="138"/>
        <v>0.0486</v>
      </c>
      <c r="Q288" s="212">
        <v>1.35</v>
      </c>
      <c r="R288" s="212"/>
      <c r="S288" s="220" t="s">
        <v>2556</v>
      </c>
      <c r="T288" s="220" t="s">
        <v>2531</v>
      </c>
      <c r="U288" s="220"/>
      <c r="V288" s="113"/>
      <c r="W288" s="113"/>
      <c r="X288" s="113"/>
      <c r="Y288" s="113"/>
      <c r="Z288" s="113" t="s">
        <v>1474</v>
      </c>
    </row>
    <row r="289" ht="23.25" customHeight="1" spans="1:26">
      <c r="A289" s="212"/>
      <c r="B289" s="71" t="s">
        <v>2532</v>
      </c>
      <c r="C289" s="71" t="s">
        <v>320</v>
      </c>
      <c r="D289" s="71" t="s">
        <v>147</v>
      </c>
      <c r="E289" s="212">
        <v>1</v>
      </c>
      <c r="F289" s="212">
        <v>1</v>
      </c>
      <c r="G289" s="212">
        <v>1</v>
      </c>
      <c r="H289" s="212">
        <v>2018</v>
      </c>
      <c r="I289" s="212">
        <v>2020</v>
      </c>
      <c r="J289" s="71">
        <f t="shared" si="123"/>
        <v>1.3986</v>
      </c>
      <c r="K289" s="212">
        <f t="shared" si="136"/>
        <v>0.1554</v>
      </c>
      <c r="L289" s="212">
        <f t="shared" si="137"/>
        <v>0.6216</v>
      </c>
      <c r="M289" s="212">
        <v>0.6216</v>
      </c>
      <c r="N289" s="212"/>
      <c r="O289" s="212"/>
      <c r="P289" s="212">
        <f t="shared" si="138"/>
        <v>0.0486</v>
      </c>
      <c r="Q289" s="212">
        <v>1.35</v>
      </c>
      <c r="R289" s="212"/>
      <c r="S289" s="220" t="s">
        <v>2605</v>
      </c>
      <c r="T289" s="220" t="s">
        <v>2534</v>
      </c>
      <c r="U289" s="220"/>
      <c r="V289" s="113"/>
      <c r="W289" s="113"/>
      <c r="X289" s="113"/>
      <c r="Y289" s="113"/>
      <c r="Z289" s="113" t="s">
        <v>1474</v>
      </c>
    </row>
    <row r="290" ht="23.25" customHeight="1" spans="1:26">
      <c r="A290" s="212"/>
      <c r="B290" s="71" t="s">
        <v>2616</v>
      </c>
      <c r="C290" s="71" t="s">
        <v>320</v>
      </c>
      <c r="D290" s="71" t="s">
        <v>147</v>
      </c>
      <c r="E290" s="71">
        <f t="shared" ref="E290:G290" si="139">SUM(E291:E300)</f>
        <v>11</v>
      </c>
      <c r="F290" s="71">
        <f t="shared" si="139"/>
        <v>11</v>
      </c>
      <c r="G290" s="71">
        <f t="shared" si="139"/>
        <v>11</v>
      </c>
      <c r="H290" s="71">
        <v>2018</v>
      </c>
      <c r="I290" s="71">
        <v>2020</v>
      </c>
      <c r="J290" s="71">
        <f t="shared" ref="J290:M290" si="140">J291+J292+J293+J294+J295+J296+J297+J298+J299+J300</f>
        <v>15.3846</v>
      </c>
      <c r="K290" s="71">
        <f t="shared" si="140"/>
        <v>1.7094</v>
      </c>
      <c r="L290" s="71">
        <f t="shared" si="140"/>
        <v>6.8376</v>
      </c>
      <c r="M290" s="71">
        <f t="shared" si="140"/>
        <v>6.8376</v>
      </c>
      <c r="N290" s="71"/>
      <c r="O290" s="71"/>
      <c r="P290" s="71">
        <f t="shared" ref="P290:P300" si="141">J290-Q290</f>
        <v>0.534600000000001</v>
      </c>
      <c r="Q290" s="71">
        <v>14.85</v>
      </c>
      <c r="R290" s="71"/>
      <c r="S290" s="220"/>
      <c r="T290" s="220"/>
      <c r="U290" s="220"/>
      <c r="V290" s="113"/>
      <c r="W290" s="113"/>
      <c r="X290" s="113"/>
      <c r="Y290" s="113"/>
      <c r="Z290" s="113" t="s">
        <v>1474</v>
      </c>
    </row>
    <row r="291" ht="23.25" customHeight="1" spans="1:26">
      <c r="A291" s="212"/>
      <c r="B291" s="71" t="s">
        <v>2503</v>
      </c>
      <c r="C291" s="71" t="s">
        <v>320</v>
      </c>
      <c r="D291" s="71" t="s">
        <v>147</v>
      </c>
      <c r="E291" s="212">
        <v>2</v>
      </c>
      <c r="F291" s="212">
        <v>2</v>
      </c>
      <c r="G291" s="212">
        <v>2</v>
      </c>
      <c r="H291" s="212">
        <v>2018</v>
      </c>
      <c r="I291" s="212">
        <v>2020</v>
      </c>
      <c r="J291" s="71">
        <f t="shared" ref="J291:J300" si="142">K291+L291+M291</f>
        <v>2.7972</v>
      </c>
      <c r="K291" s="212">
        <f>0.0518*3*2</f>
        <v>0.3108</v>
      </c>
      <c r="L291" s="212">
        <f>0.0518*12*2</f>
        <v>1.2432</v>
      </c>
      <c r="M291" s="212">
        <v>1.2432</v>
      </c>
      <c r="N291" s="212"/>
      <c r="O291" s="212"/>
      <c r="P291" s="71">
        <f t="shared" si="141"/>
        <v>0.0972</v>
      </c>
      <c r="Q291" s="212">
        <v>2.7</v>
      </c>
      <c r="R291" s="212"/>
      <c r="S291" s="220" t="s">
        <v>2504</v>
      </c>
      <c r="T291" s="220" t="s">
        <v>2505</v>
      </c>
      <c r="U291" s="220"/>
      <c r="V291" s="113"/>
      <c r="W291" s="113"/>
      <c r="X291" s="113"/>
      <c r="Y291" s="113"/>
      <c r="Z291" s="113" t="s">
        <v>1474</v>
      </c>
    </row>
    <row r="292" ht="23.25" customHeight="1" spans="1:26">
      <c r="A292" s="212"/>
      <c r="B292" s="71" t="s">
        <v>2506</v>
      </c>
      <c r="C292" s="71" t="s">
        <v>320</v>
      </c>
      <c r="D292" s="71" t="s">
        <v>147</v>
      </c>
      <c r="E292" s="212">
        <v>1</v>
      </c>
      <c r="F292" s="212">
        <v>1</v>
      </c>
      <c r="G292" s="212">
        <v>1</v>
      </c>
      <c r="H292" s="212">
        <v>2018</v>
      </c>
      <c r="I292" s="212">
        <v>2020</v>
      </c>
      <c r="J292" s="71">
        <f t="shared" si="142"/>
        <v>1.3986</v>
      </c>
      <c r="K292" s="212">
        <f t="shared" ref="K292:K300" si="143">0.0518*3*1</f>
        <v>0.1554</v>
      </c>
      <c r="L292" s="212">
        <f t="shared" ref="L292:L300" si="144">0.0518*12*1</f>
        <v>0.6216</v>
      </c>
      <c r="M292" s="212">
        <v>0.6216</v>
      </c>
      <c r="N292" s="212"/>
      <c r="O292" s="212"/>
      <c r="P292" s="71">
        <f t="shared" si="141"/>
        <v>0.0486</v>
      </c>
      <c r="Q292" s="212">
        <v>1.35</v>
      </c>
      <c r="R292" s="212"/>
      <c r="S292" s="220" t="s">
        <v>2544</v>
      </c>
      <c r="T292" s="220" t="s">
        <v>2600</v>
      </c>
      <c r="U292" s="220"/>
      <c r="V292" s="113"/>
      <c r="W292" s="113"/>
      <c r="X292" s="113"/>
      <c r="Y292" s="113"/>
      <c r="Z292" s="113" t="s">
        <v>1474</v>
      </c>
    </row>
    <row r="293" ht="23.25" customHeight="1" spans="1:26">
      <c r="A293" s="212"/>
      <c r="B293" s="71" t="s">
        <v>2509</v>
      </c>
      <c r="C293" s="71" t="s">
        <v>320</v>
      </c>
      <c r="D293" s="71" t="s">
        <v>147</v>
      </c>
      <c r="E293" s="212">
        <v>1</v>
      </c>
      <c r="F293" s="212">
        <v>1</v>
      </c>
      <c r="G293" s="212">
        <v>1</v>
      </c>
      <c r="H293" s="212">
        <v>2018</v>
      </c>
      <c r="I293" s="212">
        <v>2020</v>
      </c>
      <c r="J293" s="71">
        <f t="shared" si="142"/>
        <v>1.3986</v>
      </c>
      <c r="K293" s="212">
        <f t="shared" si="143"/>
        <v>0.1554</v>
      </c>
      <c r="L293" s="212">
        <f t="shared" si="144"/>
        <v>0.6216</v>
      </c>
      <c r="M293" s="212">
        <v>0.6216</v>
      </c>
      <c r="N293" s="212"/>
      <c r="O293" s="212"/>
      <c r="P293" s="71">
        <f t="shared" si="141"/>
        <v>0.0486</v>
      </c>
      <c r="Q293" s="212">
        <v>1.35</v>
      </c>
      <c r="R293" s="212"/>
      <c r="S293" s="220" t="s">
        <v>2601</v>
      </c>
      <c r="T293" s="220" t="s">
        <v>2602</v>
      </c>
      <c r="U293" s="220"/>
      <c r="V293" s="113"/>
      <c r="W293" s="113"/>
      <c r="X293" s="113"/>
      <c r="Y293" s="113"/>
      <c r="Z293" s="113" t="s">
        <v>1474</v>
      </c>
    </row>
    <row r="294" ht="23.25" customHeight="1" spans="1:26">
      <c r="A294" s="212"/>
      <c r="B294" s="71" t="s">
        <v>2512</v>
      </c>
      <c r="C294" s="71" t="s">
        <v>320</v>
      </c>
      <c r="D294" s="71" t="s">
        <v>147</v>
      </c>
      <c r="E294" s="212">
        <v>1</v>
      </c>
      <c r="F294" s="212">
        <v>1</v>
      </c>
      <c r="G294" s="212">
        <v>1</v>
      </c>
      <c r="H294" s="212">
        <v>2018</v>
      </c>
      <c r="I294" s="212">
        <v>2020</v>
      </c>
      <c r="J294" s="71">
        <f t="shared" si="142"/>
        <v>1.3986</v>
      </c>
      <c r="K294" s="212">
        <f t="shared" si="143"/>
        <v>0.1554</v>
      </c>
      <c r="L294" s="212">
        <f t="shared" si="144"/>
        <v>0.6216</v>
      </c>
      <c r="M294" s="212">
        <v>0.6216</v>
      </c>
      <c r="N294" s="212"/>
      <c r="O294" s="212"/>
      <c r="P294" s="71">
        <f t="shared" si="141"/>
        <v>0.0486</v>
      </c>
      <c r="Q294" s="212">
        <v>1.35</v>
      </c>
      <c r="R294" s="212"/>
      <c r="S294" s="220" t="s">
        <v>2513</v>
      </c>
      <c r="T294" s="220" t="s">
        <v>2514</v>
      </c>
      <c r="U294" s="220"/>
      <c r="V294" s="113"/>
      <c r="W294" s="113"/>
      <c r="X294" s="113"/>
      <c r="Y294" s="113"/>
      <c r="Z294" s="113" t="s">
        <v>1474</v>
      </c>
    </row>
    <row r="295" ht="23.25" customHeight="1" spans="1:26">
      <c r="A295" s="212"/>
      <c r="B295" s="71" t="s">
        <v>2515</v>
      </c>
      <c r="C295" s="71" t="s">
        <v>320</v>
      </c>
      <c r="D295" s="71" t="s">
        <v>147</v>
      </c>
      <c r="E295" s="212">
        <v>1</v>
      </c>
      <c r="F295" s="212">
        <v>1</v>
      </c>
      <c r="G295" s="212">
        <v>1</v>
      </c>
      <c r="H295" s="212">
        <v>2018</v>
      </c>
      <c r="I295" s="212">
        <v>2020</v>
      </c>
      <c r="J295" s="71">
        <f t="shared" si="142"/>
        <v>1.3986</v>
      </c>
      <c r="K295" s="212">
        <f t="shared" si="143"/>
        <v>0.1554</v>
      </c>
      <c r="L295" s="212">
        <f t="shared" si="144"/>
        <v>0.6216</v>
      </c>
      <c r="M295" s="212">
        <v>0.6216</v>
      </c>
      <c r="N295" s="212"/>
      <c r="O295" s="212"/>
      <c r="P295" s="71">
        <f t="shared" si="141"/>
        <v>0.0486</v>
      </c>
      <c r="Q295" s="212">
        <v>1.35</v>
      </c>
      <c r="R295" s="212"/>
      <c r="S295" s="220" t="s">
        <v>2603</v>
      </c>
      <c r="T295" s="220" t="s">
        <v>2539</v>
      </c>
      <c r="U295" s="220"/>
      <c r="V295" s="113"/>
      <c r="W295" s="113"/>
      <c r="X295" s="113"/>
      <c r="Y295" s="113"/>
      <c r="Z295" s="113" t="s">
        <v>1474</v>
      </c>
    </row>
    <row r="296" ht="23.25" customHeight="1" spans="1:26">
      <c r="A296" s="212"/>
      <c r="B296" s="71" t="s">
        <v>2518</v>
      </c>
      <c r="C296" s="71" t="s">
        <v>320</v>
      </c>
      <c r="D296" s="71" t="s">
        <v>147</v>
      </c>
      <c r="E296" s="212">
        <v>1</v>
      </c>
      <c r="F296" s="212">
        <v>1</v>
      </c>
      <c r="G296" s="212">
        <v>1</v>
      </c>
      <c r="H296" s="212">
        <v>2018</v>
      </c>
      <c r="I296" s="212">
        <v>2020</v>
      </c>
      <c r="J296" s="71">
        <f t="shared" si="142"/>
        <v>1.3986</v>
      </c>
      <c r="K296" s="212">
        <f t="shared" si="143"/>
        <v>0.1554</v>
      </c>
      <c r="L296" s="212">
        <f t="shared" si="144"/>
        <v>0.6216</v>
      </c>
      <c r="M296" s="212">
        <v>0.6216</v>
      </c>
      <c r="N296" s="212"/>
      <c r="O296" s="212"/>
      <c r="P296" s="71">
        <f t="shared" si="141"/>
        <v>0.0486</v>
      </c>
      <c r="Q296" s="212">
        <v>1.35</v>
      </c>
      <c r="R296" s="212"/>
      <c r="S296" s="220" t="s">
        <v>2519</v>
      </c>
      <c r="T296" s="220" t="s">
        <v>2520</v>
      </c>
      <c r="U296" s="220"/>
      <c r="V296" s="113"/>
      <c r="W296" s="113"/>
      <c r="X296" s="113"/>
      <c r="Y296" s="113"/>
      <c r="Z296" s="113" t="s">
        <v>1474</v>
      </c>
    </row>
    <row r="297" ht="23.25" customHeight="1" spans="1:26">
      <c r="A297" s="212"/>
      <c r="B297" s="71" t="s">
        <v>2521</v>
      </c>
      <c r="C297" s="71" t="s">
        <v>320</v>
      </c>
      <c r="D297" s="71" t="s">
        <v>147</v>
      </c>
      <c r="E297" s="212">
        <v>1</v>
      </c>
      <c r="F297" s="212">
        <v>1</v>
      </c>
      <c r="G297" s="212">
        <v>1</v>
      </c>
      <c r="H297" s="212">
        <v>2018</v>
      </c>
      <c r="I297" s="212">
        <v>2020</v>
      </c>
      <c r="J297" s="71">
        <f t="shared" si="142"/>
        <v>1.3986</v>
      </c>
      <c r="K297" s="212">
        <f t="shared" si="143"/>
        <v>0.1554</v>
      </c>
      <c r="L297" s="212">
        <f t="shared" si="144"/>
        <v>0.6216</v>
      </c>
      <c r="M297" s="212">
        <v>0.6216</v>
      </c>
      <c r="N297" s="212"/>
      <c r="O297" s="212"/>
      <c r="P297" s="71">
        <f t="shared" si="141"/>
        <v>0.0486</v>
      </c>
      <c r="Q297" s="212">
        <v>1.35</v>
      </c>
      <c r="R297" s="212"/>
      <c r="S297" s="220" t="s">
        <v>2523</v>
      </c>
      <c r="T297" s="220" t="s">
        <v>2522</v>
      </c>
      <c r="U297" s="220"/>
      <c r="V297" s="113"/>
      <c r="W297" s="113"/>
      <c r="X297" s="113"/>
      <c r="Y297" s="113"/>
      <c r="Z297" s="113" t="s">
        <v>1474</v>
      </c>
    </row>
    <row r="298" ht="23.25" customHeight="1" spans="1:26">
      <c r="A298" s="212"/>
      <c r="B298" s="71" t="s">
        <v>2526</v>
      </c>
      <c r="C298" s="71" t="s">
        <v>320</v>
      </c>
      <c r="D298" s="71" t="s">
        <v>147</v>
      </c>
      <c r="E298" s="212">
        <v>1</v>
      </c>
      <c r="F298" s="212">
        <v>1</v>
      </c>
      <c r="G298" s="212">
        <v>1</v>
      </c>
      <c r="H298" s="212">
        <v>2018</v>
      </c>
      <c r="I298" s="212">
        <v>2020</v>
      </c>
      <c r="J298" s="71">
        <f t="shared" si="142"/>
        <v>1.3986</v>
      </c>
      <c r="K298" s="212">
        <f t="shared" si="143"/>
        <v>0.1554</v>
      </c>
      <c r="L298" s="212">
        <f t="shared" si="144"/>
        <v>0.6216</v>
      </c>
      <c r="M298" s="212">
        <v>0.6216</v>
      </c>
      <c r="N298" s="212"/>
      <c r="O298" s="212"/>
      <c r="P298" s="71">
        <f t="shared" si="141"/>
        <v>0.0486</v>
      </c>
      <c r="Q298" s="212">
        <v>1.35</v>
      </c>
      <c r="R298" s="212"/>
      <c r="S298" s="220" t="s">
        <v>2604</v>
      </c>
      <c r="T298" s="220" t="s">
        <v>2595</v>
      </c>
      <c r="U298" s="220"/>
      <c r="V298" s="113"/>
      <c r="W298" s="113"/>
      <c r="X298" s="113"/>
      <c r="Y298" s="113"/>
      <c r="Z298" s="113" t="s">
        <v>1474</v>
      </c>
    </row>
    <row r="299" ht="23.25" customHeight="1" spans="1:26">
      <c r="A299" s="212"/>
      <c r="B299" s="71" t="s">
        <v>2529</v>
      </c>
      <c r="C299" s="71" t="s">
        <v>320</v>
      </c>
      <c r="D299" s="71" t="s">
        <v>147</v>
      </c>
      <c r="E299" s="212">
        <v>1</v>
      </c>
      <c r="F299" s="212">
        <v>1</v>
      </c>
      <c r="G299" s="212">
        <v>1</v>
      </c>
      <c r="H299" s="212">
        <v>2018</v>
      </c>
      <c r="I299" s="212">
        <v>2020</v>
      </c>
      <c r="J299" s="71">
        <f t="shared" si="142"/>
        <v>1.3986</v>
      </c>
      <c r="K299" s="212">
        <f t="shared" si="143"/>
        <v>0.1554</v>
      </c>
      <c r="L299" s="212">
        <f t="shared" si="144"/>
        <v>0.6216</v>
      </c>
      <c r="M299" s="212">
        <v>0.6216</v>
      </c>
      <c r="N299" s="212"/>
      <c r="O299" s="212"/>
      <c r="P299" s="71">
        <f t="shared" si="141"/>
        <v>0.0486</v>
      </c>
      <c r="Q299" s="212">
        <v>1.35</v>
      </c>
      <c r="R299" s="212"/>
      <c r="S299" s="220" t="s">
        <v>2556</v>
      </c>
      <c r="T299" s="220" t="s">
        <v>2531</v>
      </c>
      <c r="U299" s="220"/>
      <c r="V299" s="113"/>
      <c r="W299" s="113"/>
      <c r="X299" s="113"/>
      <c r="Y299" s="113"/>
      <c r="Z299" s="113" t="s">
        <v>1474</v>
      </c>
    </row>
    <row r="300" ht="23.25" customHeight="1" spans="1:26">
      <c r="A300" s="212"/>
      <c r="B300" s="71" t="s">
        <v>2532</v>
      </c>
      <c r="C300" s="71" t="s">
        <v>320</v>
      </c>
      <c r="D300" s="71" t="s">
        <v>147</v>
      </c>
      <c r="E300" s="212">
        <v>1</v>
      </c>
      <c r="F300" s="212">
        <v>1</v>
      </c>
      <c r="G300" s="212">
        <v>1</v>
      </c>
      <c r="H300" s="212">
        <v>2018</v>
      </c>
      <c r="I300" s="212">
        <v>2020</v>
      </c>
      <c r="J300" s="71">
        <f t="shared" si="142"/>
        <v>1.3986</v>
      </c>
      <c r="K300" s="212">
        <f t="shared" si="143"/>
        <v>0.1554</v>
      </c>
      <c r="L300" s="212">
        <f t="shared" si="144"/>
        <v>0.6216</v>
      </c>
      <c r="M300" s="212">
        <v>0.6216</v>
      </c>
      <c r="N300" s="212"/>
      <c r="O300" s="212"/>
      <c r="P300" s="71">
        <f t="shared" si="141"/>
        <v>0.0486</v>
      </c>
      <c r="Q300" s="212">
        <v>1.35</v>
      </c>
      <c r="R300" s="212"/>
      <c r="S300" s="220" t="s">
        <v>2605</v>
      </c>
      <c r="T300" s="220" t="s">
        <v>2534</v>
      </c>
      <c r="U300" s="220"/>
      <c r="V300" s="113"/>
      <c r="W300" s="113"/>
      <c r="X300" s="113"/>
      <c r="Y300" s="113"/>
      <c r="Z300" s="113" t="s">
        <v>1474</v>
      </c>
    </row>
    <row r="301" ht="23.25" customHeight="1" spans="1:26">
      <c r="A301" s="212"/>
      <c r="B301" s="71" t="s">
        <v>2617</v>
      </c>
      <c r="C301" s="71" t="s">
        <v>320</v>
      </c>
      <c r="D301" s="71" t="s">
        <v>147</v>
      </c>
      <c r="E301" s="71">
        <f t="shared" ref="E301:G301" si="145">SUM(E302:E310)</f>
        <v>10</v>
      </c>
      <c r="F301" s="71">
        <f t="shared" si="145"/>
        <v>10</v>
      </c>
      <c r="G301" s="71">
        <f t="shared" si="145"/>
        <v>10</v>
      </c>
      <c r="H301" s="71">
        <v>2018</v>
      </c>
      <c r="I301" s="71">
        <v>2020</v>
      </c>
      <c r="J301" s="71">
        <f t="shared" ref="J301:Q301" si="146">J302+J303+J304+J305+J306+J307+J308+J309+J310</f>
        <v>13.986</v>
      </c>
      <c r="K301" s="71">
        <f t="shared" si="146"/>
        <v>1.554</v>
      </c>
      <c r="L301" s="71">
        <f t="shared" si="146"/>
        <v>6.216</v>
      </c>
      <c r="M301" s="71">
        <f t="shared" si="146"/>
        <v>6.216</v>
      </c>
      <c r="N301" s="71">
        <f t="shared" si="146"/>
        <v>0</v>
      </c>
      <c r="O301" s="71">
        <f t="shared" si="146"/>
        <v>0</v>
      </c>
      <c r="P301" s="71">
        <f t="shared" si="146"/>
        <v>0.486</v>
      </c>
      <c r="Q301" s="71">
        <f t="shared" si="146"/>
        <v>13.5</v>
      </c>
      <c r="R301" s="71"/>
      <c r="S301" s="220"/>
      <c r="T301" s="220"/>
      <c r="U301" s="220"/>
      <c r="V301" s="113"/>
      <c r="W301" s="113"/>
      <c r="X301" s="113"/>
      <c r="Y301" s="113"/>
      <c r="Z301" s="113" t="s">
        <v>1474</v>
      </c>
    </row>
    <row r="302" ht="23.25" customHeight="1" spans="1:26">
      <c r="A302" s="212"/>
      <c r="B302" s="71" t="s">
        <v>2503</v>
      </c>
      <c r="C302" s="71" t="s">
        <v>320</v>
      </c>
      <c r="D302" s="71" t="s">
        <v>147</v>
      </c>
      <c r="E302" s="212">
        <v>1</v>
      </c>
      <c r="F302" s="212">
        <v>1</v>
      </c>
      <c r="G302" s="212">
        <v>1</v>
      </c>
      <c r="H302" s="212">
        <v>2018</v>
      </c>
      <c r="I302" s="212">
        <v>2020</v>
      </c>
      <c r="J302" s="71">
        <f t="shared" ref="J302:J310" si="147">K302+L302+M302</f>
        <v>1.3986</v>
      </c>
      <c r="K302" s="212">
        <f t="shared" ref="K302:K308" si="148">0.0518*3*1</f>
        <v>0.1554</v>
      </c>
      <c r="L302" s="212">
        <f t="shared" ref="L302:L308" si="149">0.0518*12*1</f>
        <v>0.6216</v>
      </c>
      <c r="M302" s="212">
        <v>0.6216</v>
      </c>
      <c r="N302" s="212"/>
      <c r="O302" s="212"/>
      <c r="P302" s="212">
        <f t="shared" ref="P302:P308" si="150">0.0018*27*1</f>
        <v>0.0486</v>
      </c>
      <c r="Q302" s="212">
        <v>1.35</v>
      </c>
      <c r="R302" s="212"/>
      <c r="S302" s="220" t="s">
        <v>2504</v>
      </c>
      <c r="T302" s="220" t="s">
        <v>2505</v>
      </c>
      <c r="U302" s="220"/>
      <c r="V302" s="113"/>
      <c r="W302" s="113"/>
      <c r="X302" s="113"/>
      <c r="Y302" s="113"/>
      <c r="Z302" s="113" t="s">
        <v>1474</v>
      </c>
    </row>
    <row r="303" ht="23.25" customHeight="1" spans="1:26">
      <c r="A303" s="212"/>
      <c r="B303" s="71" t="s">
        <v>2506</v>
      </c>
      <c r="C303" s="71" t="s">
        <v>320</v>
      </c>
      <c r="D303" s="71" t="s">
        <v>147</v>
      </c>
      <c r="E303" s="212">
        <v>1</v>
      </c>
      <c r="F303" s="212">
        <v>1</v>
      </c>
      <c r="G303" s="212">
        <v>1</v>
      </c>
      <c r="H303" s="212">
        <v>2018</v>
      </c>
      <c r="I303" s="212">
        <v>2020</v>
      </c>
      <c r="J303" s="71">
        <f t="shared" si="147"/>
        <v>1.3986</v>
      </c>
      <c r="K303" s="212">
        <f t="shared" si="148"/>
        <v>0.1554</v>
      </c>
      <c r="L303" s="212">
        <f t="shared" si="149"/>
        <v>0.6216</v>
      </c>
      <c r="M303" s="212">
        <v>0.6216</v>
      </c>
      <c r="N303" s="212"/>
      <c r="O303" s="212"/>
      <c r="P303" s="212">
        <f t="shared" si="150"/>
        <v>0.0486</v>
      </c>
      <c r="Q303" s="212">
        <v>1.35</v>
      </c>
      <c r="R303" s="212"/>
      <c r="S303" s="220" t="s">
        <v>2544</v>
      </c>
      <c r="T303" s="220" t="s">
        <v>2600</v>
      </c>
      <c r="U303" s="220"/>
      <c r="V303" s="113"/>
      <c r="W303" s="113"/>
      <c r="X303" s="113"/>
      <c r="Y303" s="113"/>
      <c r="Z303" s="113" t="s">
        <v>1474</v>
      </c>
    </row>
    <row r="304" ht="23.25" customHeight="1" spans="1:26">
      <c r="A304" s="212"/>
      <c r="B304" s="71" t="s">
        <v>2509</v>
      </c>
      <c r="C304" s="71" t="s">
        <v>320</v>
      </c>
      <c r="D304" s="71" t="s">
        <v>147</v>
      </c>
      <c r="E304" s="212">
        <v>1</v>
      </c>
      <c r="F304" s="212">
        <v>1</v>
      </c>
      <c r="G304" s="212">
        <v>1</v>
      </c>
      <c r="H304" s="212">
        <v>2018</v>
      </c>
      <c r="I304" s="212">
        <v>2020</v>
      </c>
      <c r="J304" s="71">
        <f t="shared" si="147"/>
        <v>1.3986</v>
      </c>
      <c r="K304" s="212">
        <f t="shared" si="148"/>
        <v>0.1554</v>
      </c>
      <c r="L304" s="212">
        <f t="shared" si="149"/>
        <v>0.6216</v>
      </c>
      <c r="M304" s="212">
        <v>0.6216</v>
      </c>
      <c r="N304" s="212"/>
      <c r="O304" s="212"/>
      <c r="P304" s="212">
        <f t="shared" si="150"/>
        <v>0.0486</v>
      </c>
      <c r="Q304" s="212">
        <v>1.35</v>
      </c>
      <c r="R304" s="212"/>
      <c r="S304" s="220" t="s">
        <v>2601</v>
      </c>
      <c r="T304" s="220" t="s">
        <v>2602</v>
      </c>
      <c r="U304" s="220"/>
      <c r="V304" s="113"/>
      <c r="W304" s="113"/>
      <c r="X304" s="113"/>
      <c r="Y304" s="113"/>
      <c r="Z304" s="113" t="s">
        <v>1474</v>
      </c>
    </row>
    <row r="305" ht="23.25" customHeight="1" spans="1:26">
      <c r="A305" s="212"/>
      <c r="B305" s="71" t="s">
        <v>2512</v>
      </c>
      <c r="C305" s="71" t="s">
        <v>320</v>
      </c>
      <c r="D305" s="71" t="s">
        <v>147</v>
      </c>
      <c r="E305" s="212">
        <v>1</v>
      </c>
      <c r="F305" s="212">
        <v>1</v>
      </c>
      <c r="G305" s="212">
        <v>1</v>
      </c>
      <c r="H305" s="212">
        <v>2018</v>
      </c>
      <c r="I305" s="212">
        <v>2020</v>
      </c>
      <c r="J305" s="71">
        <f t="shared" si="147"/>
        <v>1.3986</v>
      </c>
      <c r="K305" s="212">
        <f t="shared" si="148"/>
        <v>0.1554</v>
      </c>
      <c r="L305" s="212">
        <f t="shared" si="149"/>
        <v>0.6216</v>
      </c>
      <c r="M305" s="212">
        <v>0.6216</v>
      </c>
      <c r="N305" s="212"/>
      <c r="O305" s="212"/>
      <c r="P305" s="212">
        <f t="shared" si="150"/>
        <v>0.0486</v>
      </c>
      <c r="Q305" s="212">
        <v>1.35</v>
      </c>
      <c r="R305" s="212"/>
      <c r="S305" s="220" t="s">
        <v>2513</v>
      </c>
      <c r="T305" s="220" t="s">
        <v>2514</v>
      </c>
      <c r="U305" s="220"/>
      <c r="V305" s="113"/>
      <c r="W305" s="113"/>
      <c r="X305" s="113"/>
      <c r="Y305" s="113"/>
      <c r="Z305" s="113" t="s">
        <v>1474</v>
      </c>
    </row>
    <row r="306" ht="23.25" customHeight="1" spans="1:26">
      <c r="A306" s="212"/>
      <c r="B306" s="71" t="s">
        <v>2515</v>
      </c>
      <c r="C306" s="71" t="s">
        <v>320</v>
      </c>
      <c r="D306" s="71" t="s">
        <v>147</v>
      </c>
      <c r="E306" s="212">
        <v>1</v>
      </c>
      <c r="F306" s="212">
        <v>1</v>
      </c>
      <c r="G306" s="212">
        <v>1</v>
      </c>
      <c r="H306" s="212">
        <v>2018</v>
      </c>
      <c r="I306" s="212">
        <v>2020</v>
      </c>
      <c r="J306" s="71">
        <f t="shared" si="147"/>
        <v>1.3986</v>
      </c>
      <c r="K306" s="212">
        <f t="shared" si="148"/>
        <v>0.1554</v>
      </c>
      <c r="L306" s="212">
        <f t="shared" si="149"/>
        <v>0.6216</v>
      </c>
      <c r="M306" s="212">
        <v>0.6216</v>
      </c>
      <c r="N306" s="212"/>
      <c r="O306" s="212"/>
      <c r="P306" s="212">
        <f t="shared" si="150"/>
        <v>0.0486</v>
      </c>
      <c r="Q306" s="212">
        <v>1.35</v>
      </c>
      <c r="R306" s="212"/>
      <c r="S306" s="220" t="s">
        <v>2603</v>
      </c>
      <c r="T306" s="220" t="s">
        <v>2539</v>
      </c>
      <c r="U306" s="220"/>
      <c r="V306" s="113"/>
      <c r="W306" s="113"/>
      <c r="X306" s="113"/>
      <c r="Y306" s="113"/>
      <c r="Z306" s="113" t="s">
        <v>1474</v>
      </c>
    </row>
    <row r="307" ht="23.25" customHeight="1" spans="1:26">
      <c r="A307" s="212"/>
      <c r="B307" s="71" t="s">
        <v>2518</v>
      </c>
      <c r="C307" s="71" t="s">
        <v>320</v>
      </c>
      <c r="D307" s="71" t="s">
        <v>147</v>
      </c>
      <c r="E307" s="212">
        <v>1</v>
      </c>
      <c r="F307" s="212">
        <v>1</v>
      </c>
      <c r="G307" s="212">
        <v>1</v>
      </c>
      <c r="H307" s="212">
        <v>2018</v>
      </c>
      <c r="I307" s="212">
        <v>2020</v>
      </c>
      <c r="J307" s="71">
        <f t="shared" si="147"/>
        <v>1.3986</v>
      </c>
      <c r="K307" s="212">
        <f t="shared" si="148"/>
        <v>0.1554</v>
      </c>
      <c r="L307" s="212">
        <f t="shared" si="149"/>
        <v>0.6216</v>
      </c>
      <c r="M307" s="212">
        <v>0.6216</v>
      </c>
      <c r="N307" s="212"/>
      <c r="O307" s="212"/>
      <c r="P307" s="212">
        <f t="shared" si="150"/>
        <v>0.0486</v>
      </c>
      <c r="Q307" s="212">
        <v>1.35</v>
      </c>
      <c r="R307" s="212"/>
      <c r="S307" s="220" t="s">
        <v>2519</v>
      </c>
      <c r="T307" s="220" t="s">
        <v>2520</v>
      </c>
      <c r="U307" s="220"/>
      <c r="V307" s="113"/>
      <c r="W307" s="113"/>
      <c r="X307" s="113"/>
      <c r="Y307" s="113"/>
      <c r="Z307" s="113" t="s">
        <v>1474</v>
      </c>
    </row>
    <row r="308" ht="23.25" customHeight="1" spans="1:26">
      <c r="A308" s="212"/>
      <c r="B308" s="71" t="s">
        <v>2521</v>
      </c>
      <c r="C308" s="71" t="s">
        <v>320</v>
      </c>
      <c r="D308" s="71" t="s">
        <v>147</v>
      </c>
      <c r="E308" s="212">
        <v>1</v>
      </c>
      <c r="F308" s="212">
        <v>1</v>
      </c>
      <c r="G308" s="212">
        <v>1</v>
      </c>
      <c r="H308" s="212">
        <v>2018</v>
      </c>
      <c r="I308" s="212">
        <v>2020</v>
      </c>
      <c r="J308" s="71">
        <f t="shared" si="147"/>
        <v>1.3986</v>
      </c>
      <c r="K308" s="212">
        <f t="shared" si="148"/>
        <v>0.1554</v>
      </c>
      <c r="L308" s="212">
        <f t="shared" si="149"/>
        <v>0.6216</v>
      </c>
      <c r="M308" s="212">
        <v>0.6216</v>
      </c>
      <c r="N308" s="212"/>
      <c r="O308" s="212"/>
      <c r="P308" s="212">
        <f t="shared" si="150"/>
        <v>0.0486</v>
      </c>
      <c r="Q308" s="212">
        <v>1.35</v>
      </c>
      <c r="R308" s="212"/>
      <c r="S308" s="220" t="s">
        <v>2523</v>
      </c>
      <c r="T308" s="220" t="s">
        <v>2522</v>
      </c>
      <c r="U308" s="220"/>
      <c r="V308" s="113"/>
      <c r="W308" s="113"/>
      <c r="X308" s="113"/>
      <c r="Y308" s="113"/>
      <c r="Z308" s="113" t="s">
        <v>1474</v>
      </c>
    </row>
    <row r="309" ht="23.25" customHeight="1" spans="1:26">
      <c r="A309" s="212"/>
      <c r="B309" s="71" t="s">
        <v>2526</v>
      </c>
      <c r="C309" s="71" t="s">
        <v>320</v>
      </c>
      <c r="D309" s="71" t="s">
        <v>147</v>
      </c>
      <c r="E309" s="212">
        <v>2</v>
      </c>
      <c r="F309" s="212">
        <v>2</v>
      </c>
      <c r="G309" s="212">
        <v>2</v>
      </c>
      <c r="H309" s="212">
        <v>2018</v>
      </c>
      <c r="I309" s="212">
        <v>2020</v>
      </c>
      <c r="J309" s="71">
        <f t="shared" si="147"/>
        <v>2.7972</v>
      </c>
      <c r="K309" s="212">
        <f>0.0518*3*2</f>
        <v>0.3108</v>
      </c>
      <c r="L309" s="212">
        <f>0.0518*12*2</f>
        <v>1.2432</v>
      </c>
      <c r="M309" s="212">
        <v>1.2432</v>
      </c>
      <c r="N309" s="212"/>
      <c r="O309" s="212"/>
      <c r="P309" s="212">
        <f>0.0018*27*2</f>
        <v>0.0972</v>
      </c>
      <c r="Q309" s="212">
        <v>2.7</v>
      </c>
      <c r="R309" s="212"/>
      <c r="S309" s="220" t="s">
        <v>2604</v>
      </c>
      <c r="T309" s="220" t="s">
        <v>2595</v>
      </c>
      <c r="U309" s="220"/>
      <c r="V309" s="113"/>
      <c r="W309" s="113"/>
      <c r="X309" s="113"/>
      <c r="Y309" s="113"/>
      <c r="Z309" s="113" t="s">
        <v>1474</v>
      </c>
    </row>
    <row r="310" ht="23.25" customHeight="1" spans="1:26">
      <c r="A310" s="212"/>
      <c r="B310" s="71" t="s">
        <v>2532</v>
      </c>
      <c r="C310" s="71" t="s">
        <v>320</v>
      </c>
      <c r="D310" s="71" t="s">
        <v>147</v>
      </c>
      <c r="E310" s="212">
        <v>1</v>
      </c>
      <c r="F310" s="212">
        <v>1</v>
      </c>
      <c r="G310" s="212">
        <v>1</v>
      </c>
      <c r="H310" s="212">
        <v>2018</v>
      </c>
      <c r="I310" s="212">
        <v>2020</v>
      </c>
      <c r="J310" s="71">
        <f t="shared" si="147"/>
        <v>1.3986</v>
      </c>
      <c r="K310" s="212">
        <f>0.0518*3*1</f>
        <v>0.1554</v>
      </c>
      <c r="L310" s="212">
        <f>0.0518*12*1</f>
        <v>0.6216</v>
      </c>
      <c r="M310" s="212">
        <v>0.6216</v>
      </c>
      <c r="N310" s="212"/>
      <c r="O310" s="212"/>
      <c r="P310" s="212">
        <f>0.0018*27*1</f>
        <v>0.0486</v>
      </c>
      <c r="Q310" s="212">
        <v>1.35</v>
      </c>
      <c r="R310" s="212"/>
      <c r="S310" s="220" t="s">
        <v>2605</v>
      </c>
      <c r="T310" s="220" t="s">
        <v>2534</v>
      </c>
      <c r="U310" s="220"/>
      <c r="V310" s="113"/>
      <c r="W310" s="113"/>
      <c r="X310" s="113"/>
      <c r="Y310" s="113"/>
      <c r="Z310" s="113" t="s">
        <v>1474</v>
      </c>
    </row>
    <row r="311" ht="23.25" customHeight="1" spans="1:26">
      <c r="A311" s="212">
        <v>34</v>
      </c>
      <c r="B311" s="71" t="s">
        <v>857</v>
      </c>
      <c r="C311" s="71" t="s">
        <v>320</v>
      </c>
      <c r="D311" s="71" t="s">
        <v>320</v>
      </c>
      <c r="E311" s="212"/>
      <c r="F311" s="238">
        <f t="shared" ref="F311:R311" si="151">F312+F324+F359+F366+F372+F383</f>
        <v>5485.7534</v>
      </c>
      <c r="G311" s="212">
        <v>22164</v>
      </c>
      <c r="H311" s="212">
        <v>2018</v>
      </c>
      <c r="I311" s="212">
        <v>2020</v>
      </c>
      <c r="J311" s="212">
        <f t="shared" si="151"/>
        <v>1404.264719</v>
      </c>
      <c r="K311" s="212">
        <f t="shared" si="151"/>
        <v>473.92</v>
      </c>
      <c r="L311" s="212">
        <f t="shared" si="151"/>
        <v>901.021573</v>
      </c>
      <c r="M311" s="212">
        <f t="shared" si="151"/>
        <v>29.323146</v>
      </c>
      <c r="N311" s="212">
        <f t="shared" si="151"/>
        <v>0</v>
      </c>
      <c r="O311" s="212">
        <f t="shared" si="151"/>
        <v>1395.264719</v>
      </c>
      <c r="P311" s="212">
        <f t="shared" si="151"/>
        <v>9</v>
      </c>
      <c r="Q311" s="212">
        <f t="shared" si="151"/>
        <v>0</v>
      </c>
      <c r="R311" s="212">
        <f t="shared" si="151"/>
        <v>0</v>
      </c>
      <c r="S311" s="220"/>
      <c r="T311" s="220"/>
      <c r="U311" s="220"/>
      <c r="V311" s="113"/>
      <c r="W311" s="113"/>
      <c r="X311" s="113"/>
      <c r="Y311" s="113"/>
      <c r="Z311" s="113"/>
    </row>
    <row r="312" ht="23.25" customHeight="1" spans="1:26">
      <c r="A312" s="212">
        <v>35</v>
      </c>
      <c r="B312" s="71" t="s">
        <v>42</v>
      </c>
      <c r="C312" s="71"/>
      <c r="D312" s="71"/>
      <c r="E312" s="212">
        <f t="shared" ref="E312:Q312" si="152">E313+E322</f>
        <v>3463.6</v>
      </c>
      <c r="F312" s="212">
        <f t="shared" si="152"/>
        <v>516</v>
      </c>
      <c r="G312" s="212">
        <f t="shared" si="152"/>
        <v>2094</v>
      </c>
      <c r="H312" s="212">
        <f t="shared" si="152"/>
        <v>2018</v>
      </c>
      <c r="I312" s="212">
        <f t="shared" si="152"/>
        <v>2020</v>
      </c>
      <c r="J312" s="212">
        <f t="shared" si="152"/>
        <v>0</v>
      </c>
      <c r="K312" s="212">
        <f t="shared" si="152"/>
        <v>0</v>
      </c>
      <c r="L312" s="212">
        <f t="shared" si="152"/>
        <v>0</v>
      </c>
      <c r="M312" s="212">
        <f t="shared" si="152"/>
        <v>0</v>
      </c>
      <c r="N312" s="212">
        <f t="shared" si="152"/>
        <v>0</v>
      </c>
      <c r="O312" s="212">
        <f t="shared" si="152"/>
        <v>0</v>
      </c>
      <c r="P312" s="212">
        <f t="shared" si="152"/>
        <v>0</v>
      </c>
      <c r="Q312" s="212">
        <f t="shared" si="152"/>
        <v>0</v>
      </c>
      <c r="R312" s="212"/>
      <c r="S312" s="220" t="s">
        <v>2501</v>
      </c>
      <c r="T312" s="220" t="s">
        <v>2502</v>
      </c>
      <c r="U312" s="220"/>
      <c r="V312" s="113"/>
      <c r="W312" s="113"/>
      <c r="X312" s="113"/>
      <c r="Y312" s="113"/>
      <c r="Z312" s="113" t="s">
        <v>1474</v>
      </c>
    </row>
    <row r="313" ht="23.25" customHeight="1" spans="1:26">
      <c r="A313" s="212">
        <v>36</v>
      </c>
      <c r="B313" s="71" t="s">
        <v>1114</v>
      </c>
      <c r="C313" s="71" t="s">
        <v>52</v>
      </c>
      <c r="D313" s="71" t="s">
        <v>45</v>
      </c>
      <c r="E313" s="212">
        <f t="shared" ref="E313:I313" si="153">SUM(E314:E321)</f>
        <v>3463.6</v>
      </c>
      <c r="F313" s="212">
        <f t="shared" si="153"/>
        <v>516</v>
      </c>
      <c r="G313" s="212">
        <f t="shared" si="153"/>
        <v>2094</v>
      </c>
      <c r="H313" s="212">
        <f t="shared" si="153"/>
        <v>2018</v>
      </c>
      <c r="I313" s="212">
        <f t="shared" si="153"/>
        <v>2020</v>
      </c>
      <c r="J313" s="212"/>
      <c r="K313" s="212"/>
      <c r="L313" s="212"/>
      <c r="M313" s="212"/>
      <c r="N313" s="212"/>
      <c r="O313" s="212"/>
      <c r="P313" s="212"/>
      <c r="Q313" s="212"/>
      <c r="R313" s="212"/>
      <c r="S313" s="220"/>
      <c r="T313" s="220"/>
      <c r="U313" s="220"/>
      <c r="V313" s="113"/>
      <c r="W313" s="113"/>
      <c r="X313" s="113"/>
      <c r="Y313" s="113"/>
      <c r="Z313" s="113" t="s">
        <v>1474</v>
      </c>
    </row>
    <row r="314" ht="23.25" customHeight="1" spans="1:26">
      <c r="A314" s="212"/>
      <c r="B314" s="71" t="s">
        <v>2503</v>
      </c>
      <c r="C314" s="71" t="s">
        <v>2618</v>
      </c>
      <c r="D314" s="71" t="s">
        <v>45</v>
      </c>
      <c r="E314" s="212">
        <v>1200</v>
      </c>
      <c r="F314" s="212">
        <v>124</v>
      </c>
      <c r="G314" s="212">
        <v>555</v>
      </c>
      <c r="H314" s="212">
        <v>2018</v>
      </c>
      <c r="I314" s="212">
        <v>2020</v>
      </c>
      <c r="J314" s="212"/>
      <c r="K314" s="212"/>
      <c r="L314" s="212"/>
      <c r="M314" s="212"/>
      <c r="N314" s="212"/>
      <c r="O314" s="212"/>
      <c r="P314" s="212"/>
      <c r="Q314" s="212"/>
      <c r="R314" s="212"/>
      <c r="S314" s="220" t="s">
        <v>2619</v>
      </c>
      <c r="T314" s="220" t="s">
        <v>2620</v>
      </c>
      <c r="U314" s="220"/>
      <c r="V314" s="113"/>
      <c r="W314" s="113"/>
      <c r="X314" s="113"/>
      <c r="Y314" s="113"/>
      <c r="Z314" s="113" t="s">
        <v>1474</v>
      </c>
    </row>
    <row r="315" ht="23.25" customHeight="1" spans="1:26">
      <c r="A315" s="212"/>
      <c r="B315" s="71" t="s">
        <v>2506</v>
      </c>
      <c r="C315" s="71" t="s">
        <v>2618</v>
      </c>
      <c r="D315" s="71" t="s">
        <v>45</v>
      </c>
      <c r="E315" s="212">
        <v>80</v>
      </c>
      <c r="F315" s="212">
        <v>39</v>
      </c>
      <c r="G315" s="212">
        <v>159</v>
      </c>
      <c r="H315" s="234" t="s">
        <v>2592</v>
      </c>
      <c r="I315" s="234" t="s">
        <v>2593</v>
      </c>
      <c r="J315" s="212"/>
      <c r="K315" s="212"/>
      <c r="L315" s="212"/>
      <c r="M315" s="212"/>
      <c r="N315" s="212"/>
      <c r="O315" s="212"/>
      <c r="P315" s="212"/>
      <c r="Q315" s="212"/>
      <c r="R315" s="212"/>
      <c r="S315" s="220" t="s">
        <v>2621</v>
      </c>
      <c r="T315" s="220" t="s">
        <v>2524</v>
      </c>
      <c r="U315" s="220"/>
      <c r="V315" s="113"/>
      <c r="W315" s="113"/>
      <c r="X315" s="113"/>
      <c r="Y315" s="113"/>
      <c r="Z315" s="113" t="s">
        <v>1474</v>
      </c>
    </row>
    <row r="316" ht="23.25" customHeight="1" spans="1:26">
      <c r="A316" s="212"/>
      <c r="B316" s="71" t="s">
        <v>2506</v>
      </c>
      <c r="C316" s="71" t="s">
        <v>2622</v>
      </c>
      <c r="D316" s="71" t="s">
        <v>45</v>
      </c>
      <c r="E316" s="227">
        <v>87</v>
      </c>
      <c r="F316" s="227">
        <v>13</v>
      </c>
      <c r="G316" s="227">
        <v>49</v>
      </c>
      <c r="H316" s="234" t="s">
        <v>2592</v>
      </c>
      <c r="I316" s="234" t="s">
        <v>2593</v>
      </c>
      <c r="J316" s="212"/>
      <c r="K316" s="212"/>
      <c r="L316" s="212"/>
      <c r="M316" s="212"/>
      <c r="N316" s="212"/>
      <c r="O316" s="212"/>
      <c r="P316" s="212"/>
      <c r="Q316" s="212"/>
      <c r="R316" s="212"/>
      <c r="S316" s="220" t="s">
        <v>2621</v>
      </c>
      <c r="T316" s="220" t="s">
        <v>2524</v>
      </c>
      <c r="U316" s="220"/>
      <c r="V316" s="113"/>
      <c r="W316" s="113"/>
      <c r="X316" s="113"/>
      <c r="Y316" s="113"/>
      <c r="Z316" s="113" t="s">
        <v>1474</v>
      </c>
    </row>
    <row r="317" ht="23.25" customHeight="1" spans="1:26">
      <c r="A317" s="212"/>
      <c r="B317" s="71" t="s">
        <v>2526</v>
      </c>
      <c r="C317" s="71" t="s">
        <v>865</v>
      </c>
      <c r="D317" s="71" t="s">
        <v>45</v>
      </c>
      <c r="E317" s="227">
        <v>216</v>
      </c>
      <c r="F317" s="227">
        <v>72</v>
      </c>
      <c r="G317" s="227">
        <v>248</v>
      </c>
      <c r="H317" s="234" t="s">
        <v>2592</v>
      </c>
      <c r="I317" s="234" t="s">
        <v>2593</v>
      </c>
      <c r="J317" s="212"/>
      <c r="K317" s="212"/>
      <c r="L317" s="212"/>
      <c r="M317" s="212"/>
      <c r="N317" s="212"/>
      <c r="O317" s="212"/>
      <c r="P317" s="212"/>
      <c r="Q317" s="212"/>
      <c r="R317" s="212"/>
      <c r="S317" s="220" t="s">
        <v>2623</v>
      </c>
      <c r="T317" s="220" t="s">
        <v>2555</v>
      </c>
      <c r="U317" s="220"/>
      <c r="V317" s="113"/>
      <c r="W317" s="113"/>
      <c r="X317" s="113"/>
      <c r="Y317" s="113"/>
      <c r="Z317" s="113" t="s">
        <v>1474</v>
      </c>
    </row>
    <row r="318" ht="23.25" customHeight="1" spans="1:26">
      <c r="A318" s="212"/>
      <c r="B318" s="71" t="s">
        <v>2518</v>
      </c>
      <c r="C318" s="71" t="s">
        <v>865</v>
      </c>
      <c r="D318" s="71" t="s">
        <v>45</v>
      </c>
      <c r="E318" s="227">
        <v>800</v>
      </c>
      <c r="F318" s="227">
        <v>27</v>
      </c>
      <c r="G318" s="227">
        <v>108</v>
      </c>
      <c r="H318" s="234" t="s">
        <v>2592</v>
      </c>
      <c r="I318" s="234" t="s">
        <v>2593</v>
      </c>
      <c r="J318" s="212"/>
      <c r="K318" s="212"/>
      <c r="L318" s="212"/>
      <c r="M318" s="212"/>
      <c r="N318" s="212"/>
      <c r="O318" s="212"/>
      <c r="P318" s="212"/>
      <c r="Q318" s="212"/>
      <c r="R318" s="212"/>
      <c r="S318" s="220" t="s">
        <v>2624</v>
      </c>
      <c r="T318" s="220" t="s">
        <v>2591</v>
      </c>
      <c r="U318" s="220"/>
      <c r="V318" s="113"/>
      <c r="W318" s="113"/>
      <c r="X318" s="113"/>
      <c r="Y318" s="113"/>
      <c r="Z318" s="113" t="s">
        <v>1474</v>
      </c>
    </row>
    <row r="319" ht="23.25" customHeight="1" spans="1:26">
      <c r="A319" s="212"/>
      <c r="B319" s="71" t="s">
        <v>2512</v>
      </c>
      <c r="C319" s="71" t="s">
        <v>2625</v>
      </c>
      <c r="D319" s="71" t="s">
        <v>45</v>
      </c>
      <c r="E319" s="212">
        <v>6</v>
      </c>
      <c r="F319" s="212">
        <v>3</v>
      </c>
      <c r="G319" s="212">
        <v>14</v>
      </c>
      <c r="H319" s="234" t="s">
        <v>2592</v>
      </c>
      <c r="I319" s="234" t="s">
        <v>2593</v>
      </c>
      <c r="J319" s="212"/>
      <c r="K319" s="212"/>
      <c r="L319" s="212"/>
      <c r="M319" s="212"/>
      <c r="N319" s="212"/>
      <c r="O319" s="212"/>
      <c r="P319" s="212"/>
      <c r="Q319" s="212"/>
      <c r="R319" s="212"/>
      <c r="S319" s="220" t="s">
        <v>2513</v>
      </c>
      <c r="T319" s="220" t="s">
        <v>2514</v>
      </c>
      <c r="U319" s="220"/>
      <c r="V319" s="113"/>
      <c r="W319" s="113"/>
      <c r="X319" s="113"/>
      <c r="Y319" s="113"/>
      <c r="Z319" s="113" t="s">
        <v>1474</v>
      </c>
    </row>
    <row r="320" ht="23.25" customHeight="1" spans="1:26">
      <c r="A320" s="212"/>
      <c r="B320" s="71" t="s">
        <v>2515</v>
      </c>
      <c r="C320" s="71" t="s">
        <v>865</v>
      </c>
      <c r="D320" s="71" t="s">
        <v>45</v>
      </c>
      <c r="E320" s="227">
        <v>812</v>
      </c>
      <c r="F320" s="227">
        <v>203</v>
      </c>
      <c r="G320" s="227">
        <v>855</v>
      </c>
      <c r="H320" s="234" t="s">
        <v>2592</v>
      </c>
      <c r="I320" s="234" t="s">
        <v>2593</v>
      </c>
      <c r="J320" s="212"/>
      <c r="K320" s="212"/>
      <c r="L320" s="212"/>
      <c r="M320" s="212"/>
      <c r="N320" s="212"/>
      <c r="O320" s="212"/>
      <c r="P320" s="212"/>
      <c r="Q320" s="212"/>
      <c r="R320" s="212"/>
      <c r="S320" s="220" t="s">
        <v>2626</v>
      </c>
      <c r="T320" s="220" t="s">
        <v>1277</v>
      </c>
      <c r="U320" s="220"/>
      <c r="V320" s="113"/>
      <c r="W320" s="113"/>
      <c r="X320" s="113"/>
      <c r="Y320" s="113"/>
      <c r="Z320" s="113" t="s">
        <v>1474</v>
      </c>
    </row>
    <row r="321" ht="23.25" customHeight="1" spans="1:26">
      <c r="A321" s="212"/>
      <c r="B321" s="71" t="s">
        <v>2532</v>
      </c>
      <c r="C321" s="71" t="s">
        <v>865</v>
      </c>
      <c r="D321" s="71" t="s">
        <v>45</v>
      </c>
      <c r="E321" s="227">
        <v>262.6</v>
      </c>
      <c r="F321" s="227">
        <v>35</v>
      </c>
      <c r="G321" s="227">
        <v>106</v>
      </c>
      <c r="H321" s="234" t="s">
        <v>2592</v>
      </c>
      <c r="I321" s="234" t="s">
        <v>2593</v>
      </c>
      <c r="J321" s="212"/>
      <c r="K321" s="212"/>
      <c r="L321" s="212"/>
      <c r="M321" s="212"/>
      <c r="N321" s="212"/>
      <c r="O321" s="212"/>
      <c r="P321" s="212"/>
      <c r="Q321" s="212"/>
      <c r="R321" s="212"/>
      <c r="S321" s="220" t="s">
        <v>2627</v>
      </c>
      <c r="T321" s="220" t="s">
        <v>2598</v>
      </c>
      <c r="U321" s="220"/>
      <c r="V321" s="113"/>
      <c r="W321" s="113"/>
      <c r="X321" s="113"/>
      <c r="Y321" s="113"/>
      <c r="Z321" s="113" t="s">
        <v>1474</v>
      </c>
    </row>
    <row r="322" ht="32.25" customHeight="1" spans="1:26">
      <c r="A322" s="212">
        <v>37</v>
      </c>
      <c r="B322" s="71" t="s">
        <v>1123</v>
      </c>
      <c r="C322" s="71" t="s">
        <v>1124</v>
      </c>
      <c r="D322" s="71" t="s">
        <v>45</v>
      </c>
      <c r="E322" s="212"/>
      <c r="F322" s="212"/>
      <c r="G322" s="212"/>
      <c r="H322" s="212"/>
      <c r="I322" s="212"/>
      <c r="J322" s="212"/>
      <c r="K322" s="212"/>
      <c r="L322" s="212"/>
      <c r="M322" s="212"/>
      <c r="N322" s="212"/>
      <c r="O322" s="212"/>
      <c r="P322" s="212"/>
      <c r="Q322" s="212"/>
      <c r="R322" s="212"/>
      <c r="S322" s="220"/>
      <c r="T322" s="220"/>
      <c r="U322" s="220" t="s">
        <v>43</v>
      </c>
      <c r="V322" s="113"/>
      <c r="W322" s="113"/>
      <c r="X322" s="113"/>
      <c r="Y322" s="113"/>
      <c r="Z322" s="113" t="s">
        <v>1474</v>
      </c>
    </row>
    <row r="323" ht="23.25" customHeight="1" spans="1:26">
      <c r="A323" s="212"/>
      <c r="B323" s="71" t="s">
        <v>1848</v>
      </c>
      <c r="C323" s="71"/>
      <c r="D323" s="71"/>
      <c r="E323" s="212"/>
      <c r="F323" s="212"/>
      <c r="G323" s="212"/>
      <c r="H323" s="212"/>
      <c r="I323" s="212"/>
      <c r="J323" s="212"/>
      <c r="K323" s="212"/>
      <c r="L323" s="212"/>
      <c r="M323" s="212"/>
      <c r="N323" s="212"/>
      <c r="O323" s="212"/>
      <c r="P323" s="212"/>
      <c r="Q323" s="212"/>
      <c r="R323" s="212"/>
      <c r="S323" s="220"/>
      <c r="T323" s="220"/>
      <c r="U323" s="220"/>
      <c r="V323" s="113"/>
      <c r="W323" s="113"/>
      <c r="X323" s="113"/>
      <c r="Y323" s="113"/>
      <c r="Z323" s="113" t="s">
        <v>1474</v>
      </c>
    </row>
    <row r="324" ht="23.25" customHeight="1" spans="1:26">
      <c r="A324" s="212">
        <v>38</v>
      </c>
      <c r="B324" s="71" t="s">
        <v>130</v>
      </c>
      <c r="C324" s="71"/>
      <c r="D324" s="71"/>
      <c r="E324" s="212">
        <f t="shared" ref="E324:R324" si="154">E325+E357</f>
        <v>31366</v>
      </c>
      <c r="F324" s="212">
        <f t="shared" si="154"/>
        <v>2098</v>
      </c>
      <c r="G324" s="212">
        <f t="shared" si="154"/>
        <v>8641</v>
      </c>
      <c r="H324" s="212">
        <f t="shared" si="154"/>
        <v>2018</v>
      </c>
      <c r="I324" s="212">
        <f t="shared" si="154"/>
        <v>2020</v>
      </c>
      <c r="J324" s="212">
        <f t="shared" si="154"/>
        <v>0</v>
      </c>
      <c r="K324" s="212">
        <f t="shared" si="154"/>
        <v>0</v>
      </c>
      <c r="L324" s="212">
        <f t="shared" si="154"/>
        <v>0</v>
      </c>
      <c r="M324" s="212">
        <f t="shared" si="154"/>
        <v>0</v>
      </c>
      <c r="N324" s="212">
        <f t="shared" si="154"/>
        <v>0</v>
      </c>
      <c r="O324" s="212">
        <f t="shared" si="154"/>
        <v>0</v>
      </c>
      <c r="P324" s="212">
        <f t="shared" si="154"/>
        <v>0</v>
      </c>
      <c r="Q324" s="212">
        <f t="shared" si="154"/>
        <v>0</v>
      </c>
      <c r="R324" s="212">
        <f t="shared" si="154"/>
        <v>0</v>
      </c>
      <c r="S324" s="220" t="s">
        <v>2501</v>
      </c>
      <c r="T324" s="220" t="s">
        <v>2502</v>
      </c>
      <c r="U324" s="220"/>
      <c r="V324" s="113"/>
      <c r="W324" s="113"/>
      <c r="X324" s="113"/>
      <c r="Y324" s="113"/>
      <c r="Z324" s="113" t="s">
        <v>1474</v>
      </c>
    </row>
    <row r="325" ht="26.1" customHeight="1" spans="1:26">
      <c r="A325" s="212">
        <v>39</v>
      </c>
      <c r="B325" s="71" t="s">
        <v>1125</v>
      </c>
      <c r="C325" s="71" t="s">
        <v>52</v>
      </c>
      <c r="D325" s="71" t="s">
        <v>131</v>
      </c>
      <c r="E325" s="212">
        <f>SUM(E326:E356)</f>
        <v>31366</v>
      </c>
      <c r="F325" s="212">
        <v>2098</v>
      </c>
      <c r="G325" s="212">
        <v>8641</v>
      </c>
      <c r="H325" s="234" t="s">
        <v>2592</v>
      </c>
      <c r="I325" s="234" t="s">
        <v>2593</v>
      </c>
      <c r="J325" s="212"/>
      <c r="K325" s="212"/>
      <c r="L325" s="212"/>
      <c r="M325" s="212"/>
      <c r="N325" s="212"/>
      <c r="O325" s="212"/>
      <c r="P325" s="212"/>
      <c r="Q325" s="212"/>
      <c r="R325" s="212"/>
      <c r="S325" s="220"/>
      <c r="T325" s="220"/>
      <c r="U325" s="220"/>
      <c r="V325" s="113"/>
      <c r="W325" s="113"/>
      <c r="X325" s="113"/>
      <c r="Y325" s="113"/>
      <c r="Z325" s="113" t="s">
        <v>1474</v>
      </c>
    </row>
    <row r="326" ht="26.1" customHeight="1" spans="1:26">
      <c r="A326" s="212"/>
      <c r="B326" s="71" t="s">
        <v>2503</v>
      </c>
      <c r="C326" s="71" t="s">
        <v>2628</v>
      </c>
      <c r="D326" s="71" t="s">
        <v>134</v>
      </c>
      <c r="E326" s="212">
        <v>1036</v>
      </c>
      <c r="F326" s="212">
        <v>142</v>
      </c>
      <c r="G326" s="212">
        <v>600</v>
      </c>
      <c r="H326" s="234" t="s">
        <v>2592</v>
      </c>
      <c r="I326" s="234" t="s">
        <v>2593</v>
      </c>
      <c r="J326" s="212"/>
      <c r="K326" s="212"/>
      <c r="L326" s="212"/>
      <c r="M326" s="212"/>
      <c r="N326" s="212"/>
      <c r="O326" s="212"/>
      <c r="P326" s="212"/>
      <c r="Q326" s="212"/>
      <c r="R326" s="212"/>
      <c r="S326" s="220" t="s">
        <v>2619</v>
      </c>
      <c r="T326" s="220" t="s">
        <v>2620</v>
      </c>
      <c r="U326" s="220"/>
      <c r="V326" s="113"/>
      <c r="W326" s="113"/>
      <c r="X326" s="113"/>
      <c r="Y326" s="113"/>
      <c r="Z326" s="113" t="s">
        <v>1474</v>
      </c>
    </row>
    <row r="327" ht="26.1" customHeight="1" spans="1:26">
      <c r="A327" s="212"/>
      <c r="B327" s="71" t="s">
        <v>2503</v>
      </c>
      <c r="C327" s="71" t="s">
        <v>2629</v>
      </c>
      <c r="D327" s="71" t="s">
        <v>877</v>
      </c>
      <c r="E327" s="212">
        <v>19500</v>
      </c>
      <c r="F327" s="212">
        <v>179</v>
      </c>
      <c r="G327" s="212">
        <v>739</v>
      </c>
      <c r="H327" s="234" t="s">
        <v>2592</v>
      </c>
      <c r="I327" s="234" t="s">
        <v>2593</v>
      </c>
      <c r="J327" s="212"/>
      <c r="K327" s="212"/>
      <c r="L327" s="212"/>
      <c r="M327" s="212"/>
      <c r="N327" s="212"/>
      <c r="O327" s="212"/>
      <c r="P327" s="212"/>
      <c r="Q327" s="212"/>
      <c r="R327" s="212"/>
      <c r="S327" s="220" t="s">
        <v>2619</v>
      </c>
      <c r="T327" s="220" t="s">
        <v>2620</v>
      </c>
      <c r="U327" s="220"/>
      <c r="V327" s="113"/>
      <c r="W327" s="113"/>
      <c r="X327" s="113"/>
      <c r="Y327" s="113"/>
      <c r="Z327" s="113" t="s">
        <v>1474</v>
      </c>
    </row>
    <row r="328" ht="26.1" customHeight="1" spans="1:26">
      <c r="A328" s="212"/>
      <c r="B328" s="71" t="s">
        <v>2503</v>
      </c>
      <c r="C328" s="71" t="s">
        <v>2630</v>
      </c>
      <c r="D328" s="71" t="s">
        <v>134</v>
      </c>
      <c r="E328" s="212">
        <v>106</v>
      </c>
      <c r="F328" s="212">
        <v>43</v>
      </c>
      <c r="G328" s="212">
        <v>183</v>
      </c>
      <c r="H328" s="234" t="s">
        <v>2592</v>
      </c>
      <c r="I328" s="234" t="s">
        <v>2593</v>
      </c>
      <c r="J328" s="212"/>
      <c r="K328" s="212"/>
      <c r="L328" s="212"/>
      <c r="M328" s="212"/>
      <c r="N328" s="212"/>
      <c r="O328" s="212"/>
      <c r="P328" s="212"/>
      <c r="Q328" s="212"/>
      <c r="R328" s="212"/>
      <c r="S328" s="220" t="s">
        <v>2619</v>
      </c>
      <c r="T328" s="220" t="s">
        <v>2620</v>
      </c>
      <c r="U328" s="220"/>
      <c r="V328" s="113"/>
      <c r="W328" s="113"/>
      <c r="X328" s="113"/>
      <c r="Y328" s="113"/>
      <c r="Z328" s="113" t="s">
        <v>1474</v>
      </c>
    </row>
    <row r="329" ht="26.1" customHeight="1" spans="1:26">
      <c r="A329" s="212"/>
      <c r="B329" s="232" t="s">
        <v>2506</v>
      </c>
      <c r="C329" s="232" t="s">
        <v>878</v>
      </c>
      <c r="D329" s="232" t="s">
        <v>134</v>
      </c>
      <c r="E329" s="227">
        <v>806</v>
      </c>
      <c r="F329" s="227">
        <v>216</v>
      </c>
      <c r="G329" s="227">
        <v>1064</v>
      </c>
      <c r="H329" s="234" t="s">
        <v>2592</v>
      </c>
      <c r="I329" s="234" t="s">
        <v>2593</v>
      </c>
      <c r="J329" s="212"/>
      <c r="K329" s="212"/>
      <c r="L329" s="212"/>
      <c r="M329" s="212"/>
      <c r="N329" s="212"/>
      <c r="O329" s="212"/>
      <c r="P329" s="212"/>
      <c r="Q329" s="212"/>
      <c r="R329" s="212"/>
      <c r="S329" s="220" t="s">
        <v>2621</v>
      </c>
      <c r="T329" s="220" t="s">
        <v>2524</v>
      </c>
      <c r="U329" s="220"/>
      <c r="V329" s="113"/>
      <c r="W329" s="113"/>
      <c r="X329" s="113"/>
      <c r="Y329" s="113"/>
      <c r="Z329" s="113" t="s">
        <v>1474</v>
      </c>
    </row>
    <row r="330" ht="26.1" customHeight="1" spans="1:26">
      <c r="A330" s="212"/>
      <c r="B330" s="232" t="s">
        <v>2506</v>
      </c>
      <c r="C330" s="232" t="s">
        <v>879</v>
      </c>
      <c r="D330" s="232" t="s">
        <v>134</v>
      </c>
      <c r="E330" s="227">
        <v>315</v>
      </c>
      <c r="F330" s="227">
        <v>153</v>
      </c>
      <c r="G330" s="227">
        <v>774</v>
      </c>
      <c r="H330" s="234" t="s">
        <v>2592</v>
      </c>
      <c r="I330" s="234" t="s">
        <v>2593</v>
      </c>
      <c r="J330" s="212"/>
      <c r="K330" s="212"/>
      <c r="L330" s="212"/>
      <c r="M330" s="212"/>
      <c r="N330" s="212"/>
      <c r="O330" s="212"/>
      <c r="P330" s="212"/>
      <c r="Q330" s="212"/>
      <c r="R330" s="212"/>
      <c r="S330" s="220" t="s">
        <v>2621</v>
      </c>
      <c r="T330" s="220" t="s">
        <v>2524</v>
      </c>
      <c r="U330" s="220"/>
      <c r="V330" s="113"/>
      <c r="W330" s="113"/>
      <c r="X330" s="113"/>
      <c r="Y330" s="113"/>
      <c r="Z330" s="113" t="s">
        <v>1474</v>
      </c>
    </row>
    <row r="331" ht="26.1" customHeight="1" spans="1:26">
      <c r="A331" s="212"/>
      <c r="B331" s="232" t="s">
        <v>2509</v>
      </c>
      <c r="C331" s="227" t="s">
        <v>2628</v>
      </c>
      <c r="D331" s="227" t="s">
        <v>134</v>
      </c>
      <c r="E331" s="232">
        <v>822</v>
      </c>
      <c r="F331" s="232">
        <v>184</v>
      </c>
      <c r="G331" s="232">
        <v>769</v>
      </c>
      <c r="H331" s="234" t="s">
        <v>2592</v>
      </c>
      <c r="I331" s="234" t="s">
        <v>2593</v>
      </c>
      <c r="J331" s="212"/>
      <c r="K331" s="212"/>
      <c r="L331" s="212"/>
      <c r="M331" s="212"/>
      <c r="N331" s="212"/>
      <c r="O331" s="212"/>
      <c r="P331" s="212"/>
      <c r="Q331" s="212"/>
      <c r="R331" s="212"/>
      <c r="S331" s="220" t="s">
        <v>2631</v>
      </c>
      <c r="T331" s="220" t="s">
        <v>2632</v>
      </c>
      <c r="U331" s="220"/>
      <c r="V331" s="113"/>
      <c r="W331" s="113"/>
      <c r="X331" s="113"/>
      <c r="Y331" s="113"/>
      <c r="Z331" s="113" t="s">
        <v>1474</v>
      </c>
    </row>
    <row r="332" ht="26.1" customHeight="1" spans="1:26">
      <c r="A332" s="212"/>
      <c r="B332" s="232" t="s">
        <v>2509</v>
      </c>
      <c r="C332" s="227" t="s">
        <v>2630</v>
      </c>
      <c r="D332" s="227" t="s">
        <v>134</v>
      </c>
      <c r="E332" s="232">
        <v>79</v>
      </c>
      <c r="F332" s="232">
        <v>54</v>
      </c>
      <c r="G332" s="232">
        <v>224</v>
      </c>
      <c r="H332" s="234" t="s">
        <v>2592</v>
      </c>
      <c r="I332" s="234" t="s">
        <v>2593</v>
      </c>
      <c r="J332" s="212"/>
      <c r="K332" s="212"/>
      <c r="L332" s="212"/>
      <c r="M332" s="212"/>
      <c r="N332" s="212"/>
      <c r="O332" s="212"/>
      <c r="P332" s="212"/>
      <c r="Q332" s="212"/>
      <c r="R332" s="212"/>
      <c r="S332" s="220" t="s">
        <v>2631</v>
      </c>
      <c r="T332" s="220" t="s">
        <v>2632</v>
      </c>
      <c r="U332" s="220"/>
      <c r="V332" s="113"/>
      <c r="W332" s="113"/>
      <c r="X332" s="113"/>
      <c r="Y332" s="113"/>
      <c r="Z332" s="113" t="s">
        <v>1474</v>
      </c>
    </row>
    <row r="333" ht="26.1" customHeight="1" spans="1:26">
      <c r="A333" s="212"/>
      <c r="B333" s="232" t="s">
        <v>2509</v>
      </c>
      <c r="C333" s="227" t="s">
        <v>2629</v>
      </c>
      <c r="D333" s="227" t="s">
        <v>877</v>
      </c>
      <c r="E333" s="232">
        <v>1436</v>
      </c>
      <c r="F333" s="232">
        <v>114</v>
      </c>
      <c r="G333" s="232">
        <v>475</v>
      </c>
      <c r="H333" s="234" t="s">
        <v>2592</v>
      </c>
      <c r="I333" s="234" t="s">
        <v>2593</v>
      </c>
      <c r="J333" s="212"/>
      <c r="K333" s="212"/>
      <c r="L333" s="212"/>
      <c r="M333" s="212"/>
      <c r="N333" s="212"/>
      <c r="O333" s="212"/>
      <c r="P333" s="212"/>
      <c r="Q333" s="212"/>
      <c r="R333" s="212"/>
      <c r="S333" s="220" t="s">
        <v>2631</v>
      </c>
      <c r="T333" s="220" t="s">
        <v>2632</v>
      </c>
      <c r="U333" s="220"/>
      <c r="V333" s="113"/>
      <c r="W333" s="113"/>
      <c r="X333" s="113"/>
      <c r="Y333" s="113"/>
      <c r="Z333" s="113" t="s">
        <v>1474</v>
      </c>
    </row>
    <row r="334" ht="26.1" customHeight="1" spans="1:26">
      <c r="A334" s="212"/>
      <c r="B334" s="232" t="s">
        <v>2509</v>
      </c>
      <c r="C334" s="227" t="s">
        <v>2633</v>
      </c>
      <c r="D334" s="227" t="s">
        <v>134</v>
      </c>
      <c r="E334" s="232">
        <v>15</v>
      </c>
      <c r="F334" s="232">
        <v>2</v>
      </c>
      <c r="G334" s="232">
        <v>11</v>
      </c>
      <c r="H334" s="234" t="s">
        <v>2592</v>
      </c>
      <c r="I334" s="234" t="s">
        <v>2593</v>
      </c>
      <c r="J334" s="212"/>
      <c r="K334" s="212"/>
      <c r="L334" s="212"/>
      <c r="M334" s="212"/>
      <c r="N334" s="212"/>
      <c r="O334" s="212"/>
      <c r="P334" s="212"/>
      <c r="Q334" s="212"/>
      <c r="R334" s="212"/>
      <c r="S334" s="220" t="s">
        <v>2631</v>
      </c>
      <c r="T334" s="220" t="s">
        <v>2632</v>
      </c>
      <c r="U334" s="220"/>
      <c r="V334" s="113"/>
      <c r="W334" s="113"/>
      <c r="X334" s="113"/>
      <c r="Y334" s="113"/>
      <c r="Z334" s="113" t="s">
        <v>1474</v>
      </c>
    </row>
    <row r="335" ht="26.1" customHeight="1" spans="1:26">
      <c r="A335" s="212"/>
      <c r="B335" s="71" t="s">
        <v>2512</v>
      </c>
      <c r="C335" s="71" t="s">
        <v>878</v>
      </c>
      <c r="D335" s="71" t="s">
        <v>134</v>
      </c>
      <c r="E335" s="212">
        <v>406</v>
      </c>
      <c r="F335" s="212">
        <v>109</v>
      </c>
      <c r="G335" s="212">
        <v>503</v>
      </c>
      <c r="H335" s="234" t="s">
        <v>2592</v>
      </c>
      <c r="I335" s="234" t="s">
        <v>2593</v>
      </c>
      <c r="J335" s="212"/>
      <c r="K335" s="212"/>
      <c r="L335" s="212"/>
      <c r="M335" s="212"/>
      <c r="N335" s="212"/>
      <c r="O335" s="212"/>
      <c r="P335" s="212"/>
      <c r="Q335" s="212"/>
      <c r="R335" s="212"/>
      <c r="S335" s="220" t="s">
        <v>2548</v>
      </c>
      <c r="T335" s="220" t="s">
        <v>2549</v>
      </c>
      <c r="U335" s="220"/>
      <c r="V335" s="113"/>
      <c r="W335" s="113"/>
      <c r="X335" s="113"/>
      <c r="Y335" s="113"/>
      <c r="Z335" s="113" t="s">
        <v>1474</v>
      </c>
    </row>
    <row r="336" ht="26.1" customHeight="1" spans="1:26">
      <c r="A336" s="212"/>
      <c r="B336" s="232" t="s">
        <v>2512</v>
      </c>
      <c r="C336" s="232" t="s">
        <v>876</v>
      </c>
      <c r="D336" s="232" t="s">
        <v>877</v>
      </c>
      <c r="E336" s="239">
        <v>1362</v>
      </c>
      <c r="F336" s="239">
        <v>116</v>
      </c>
      <c r="G336" s="239">
        <v>526</v>
      </c>
      <c r="H336" s="234" t="s">
        <v>2592</v>
      </c>
      <c r="I336" s="234" t="s">
        <v>2593</v>
      </c>
      <c r="J336" s="212"/>
      <c r="K336" s="212"/>
      <c r="L336" s="212"/>
      <c r="M336" s="212"/>
      <c r="N336" s="212"/>
      <c r="O336" s="212"/>
      <c r="P336" s="212"/>
      <c r="Q336" s="212"/>
      <c r="R336" s="212"/>
      <c r="S336" s="220" t="s">
        <v>2548</v>
      </c>
      <c r="T336" s="220" t="s">
        <v>2549</v>
      </c>
      <c r="U336" s="220"/>
      <c r="V336" s="113"/>
      <c r="W336" s="113"/>
      <c r="X336" s="113"/>
      <c r="Y336" s="113"/>
      <c r="Z336" s="113" t="s">
        <v>1474</v>
      </c>
    </row>
    <row r="337" ht="26.1" customHeight="1" spans="1:26">
      <c r="A337" s="212"/>
      <c r="B337" s="232" t="s">
        <v>2512</v>
      </c>
      <c r="C337" s="232" t="s">
        <v>2634</v>
      </c>
      <c r="D337" s="232" t="s">
        <v>134</v>
      </c>
      <c r="E337" s="239">
        <v>47</v>
      </c>
      <c r="F337" s="239">
        <v>36</v>
      </c>
      <c r="G337" s="239">
        <v>153</v>
      </c>
      <c r="H337" s="234" t="s">
        <v>2592</v>
      </c>
      <c r="I337" s="234" t="s">
        <v>2593</v>
      </c>
      <c r="J337" s="212"/>
      <c r="K337" s="212"/>
      <c r="L337" s="212"/>
      <c r="M337" s="212"/>
      <c r="N337" s="212"/>
      <c r="O337" s="212"/>
      <c r="P337" s="212"/>
      <c r="Q337" s="212"/>
      <c r="R337" s="212"/>
      <c r="S337" s="220" t="s">
        <v>2548</v>
      </c>
      <c r="T337" s="220" t="s">
        <v>2549</v>
      </c>
      <c r="U337" s="220"/>
      <c r="V337" s="113"/>
      <c r="W337" s="113"/>
      <c r="X337" s="113"/>
      <c r="Y337" s="113"/>
      <c r="Z337" s="113" t="s">
        <v>1474</v>
      </c>
    </row>
    <row r="338" ht="26.1" customHeight="1" spans="1:26">
      <c r="A338" s="212"/>
      <c r="B338" s="232" t="s">
        <v>2512</v>
      </c>
      <c r="C338" s="232" t="s">
        <v>2635</v>
      </c>
      <c r="D338" s="232" t="s">
        <v>140</v>
      </c>
      <c r="E338" s="239">
        <v>50</v>
      </c>
      <c r="F338" s="239">
        <v>1</v>
      </c>
      <c r="G338" s="239">
        <v>4</v>
      </c>
      <c r="H338" s="234" t="s">
        <v>2592</v>
      </c>
      <c r="I338" s="234" t="s">
        <v>2593</v>
      </c>
      <c r="J338" s="212"/>
      <c r="K338" s="212"/>
      <c r="L338" s="212"/>
      <c r="M338" s="212"/>
      <c r="N338" s="212"/>
      <c r="O338" s="212"/>
      <c r="P338" s="212"/>
      <c r="Q338" s="212"/>
      <c r="R338" s="212"/>
      <c r="S338" s="220" t="s">
        <v>2548</v>
      </c>
      <c r="T338" s="220" t="s">
        <v>2549</v>
      </c>
      <c r="U338" s="220"/>
      <c r="V338" s="113"/>
      <c r="W338" s="113"/>
      <c r="X338" s="113"/>
      <c r="Y338" s="113"/>
      <c r="Z338" s="113" t="s">
        <v>1474</v>
      </c>
    </row>
    <row r="339" ht="26.1" customHeight="1" spans="1:26">
      <c r="A339" s="212"/>
      <c r="B339" s="229" t="s">
        <v>2512</v>
      </c>
      <c r="C339" s="229" t="s">
        <v>2636</v>
      </c>
      <c r="D339" s="229" t="s">
        <v>140</v>
      </c>
      <c r="E339" s="101">
        <v>21</v>
      </c>
      <c r="F339" s="101">
        <v>2</v>
      </c>
      <c r="G339" s="101">
        <v>10</v>
      </c>
      <c r="H339" s="101">
        <v>2018</v>
      </c>
      <c r="I339" s="101">
        <v>2020</v>
      </c>
      <c r="J339" s="212"/>
      <c r="K339" s="212"/>
      <c r="L339" s="212"/>
      <c r="M339" s="212"/>
      <c r="N339" s="212"/>
      <c r="O339" s="212"/>
      <c r="P339" s="212"/>
      <c r="Q339" s="212"/>
      <c r="R339" s="212"/>
      <c r="S339" s="220" t="s">
        <v>2548</v>
      </c>
      <c r="T339" s="220" t="s">
        <v>2549</v>
      </c>
      <c r="U339" s="220"/>
      <c r="V339" s="113"/>
      <c r="W339" s="113"/>
      <c r="X339" s="113"/>
      <c r="Y339" s="113"/>
      <c r="Z339" s="113" t="s">
        <v>1474</v>
      </c>
    </row>
    <row r="340" ht="26.1" customHeight="1" spans="1:26">
      <c r="A340" s="212"/>
      <c r="B340" s="212" t="s">
        <v>2515</v>
      </c>
      <c r="C340" s="212" t="s">
        <v>2628</v>
      </c>
      <c r="D340" s="71" t="s">
        <v>134</v>
      </c>
      <c r="E340" s="212">
        <v>496</v>
      </c>
      <c r="F340" s="212">
        <v>210</v>
      </c>
      <c r="G340" s="212">
        <v>845</v>
      </c>
      <c r="H340" s="234" t="s">
        <v>2592</v>
      </c>
      <c r="I340" s="234" t="s">
        <v>2593</v>
      </c>
      <c r="J340" s="212"/>
      <c r="K340" s="212"/>
      <c r="L340" s="212"/>
      <c r="M340" s="212"/>
      <c r="N340" s="212"/>
      <c r="O340" s="212"/>
      <c r="P340" s="212"/>
      <c r="Q340" s="212"/>
      <c r="R340" s="212"/>
      <c r="S340" s="220" t="s">
        <v>2626</v>
      </c>
      <c r="T340" s="220" t="s">
        <v>1277</v>
      </c>
      <c r="U340" s="220"/>
      <c r="V340" s="113"/>
      <c r="W340" s="113"/>
      <c r="X340" s="113"/>
      <c r="Y340" s="113"/>
      <c r="Z340" s="113" t="s">
        <v>1474</v>
      </c>
    </row>
    <row r="341" ht="26.1" customHeight="1" spans="1:26">
      <c r="A341" s="212"/>
      <c r="B341" s="212" t="s">
        <v>2515</v>
      </c>
      <c r="C341" s="212" t="s">
        <v>879</v>
      </c>
      <c r="D341" s="71" t="s">
        <v>134</v>
      </c>
      <c r="E341" s="212">
        <v>68</v>
      </c>
      <c r="F341" s="212">
        <v>52</v>
      </c>
      <c r="G341" s="212">
        <v>198</v>
      </c>
      <c r="H341" s="234" t="s">
        <v>2592</v>
      </c>
      <c r="I341" s="234" t="s">
        <v>2593</v>
      </c>
      <c r="J341" s="212"/>
      <c r="K341" s="212"/>
      <c r="L341" s="212"/>
      <c r="M341" s="212"/>
      <c r="N341" s="212"/>
      <c r="O341" s="212"/>
      <c r="P341" s="212"/>
      <c r="Q341" s="212"/>
      <c r="R341" s="212"/>
      <c r="S341" s="220" t="s">
        <v>2626</v>
      </c>
      <c r="T341" s="220" t="s">
        <v>1277</v>
      </c>
      <c r="U341" s="220"/>
      <c r="V341" s="113"/>
      <c r="W341" s="113"/>
      <c r="X341" s="113"/>
      <c r="Y341" s="113"/>
      <c r="Z341" s="113" t="s">
        <v>1474</v>
      </c>
    </row>
    <row r="342" ht="26.1" customHeight="1" spans="1:26">
      <c r="A342" s="212"/>
      <c r="B342" s="212" t="s">
        <v>2515</v>
      </c>
      <c r="C342" s="212" t="s">
        <v>876</v>
      </c>
      <c r="D342" s="71" t="s">
        <v>877</v>
      </c>
      <c r="E342" s="212">
        <v>1778</v>
      </c>
      <c r="F342" s="212">
        <v>198</v>
      </c>
      <c r="G342" s="212">
        <v>765</v>
      </c>
      <c r="H342" s="234" t="s">
        <v>2592</v>
      </c>
      <c r="I342" s="234" t="s">
        <v>2593</v>
      </c>
      <c r="J342" s="212"/>
      <c r="K342" s="212"/>
      <c r="L342" s="212"/>
      <c r="M342" s="212"/>
      <c r="N342" s="212"/>
      <c r="O342" s="212"/>
      <c r="P342" s="212"/>
      <c r="Q342" s="212"/>
      <c r="R342" s="212"/>
      <c r="S342" s="220" t="s">
        <v>2626</v>
      </c>
      <c r="T342" s="220" t="s">
        <v>1277</v>
      </c>
      <c r="U342" s="220"/>
      <c r="V342" s="113"/>
      <c r="W342" s="113"/>
      <c r="X342" s="113"/>
      <c r="Y342" s="113"/>
      <c r="Z342" s="113" t="s">
        <v>1474</v>
      </c>
    </row>
    <row r="343" ht="26.1" customHeight="1" spans="1:26">
      <c r="A343" s="212"/>
      <c r="B343" s="232" t="s">
        <v>2518</v>
      </c>
      <c r="C343" s="71" t="s">
        <v>878</v>
      </c>
      <c r="D343" s="71" t="s">
        <v>134</v>
      </c>
      <c r="E343" s="71">
        <v>291</v>
      </c>
      <c r="F343" s="71">
        <v>79</v>
      </c>
      <c r="G343" s="71">
        <v>338</v>
      </c>
      <c r="H343" s="234" t="s">
        <v>2592</v>
      </c>
      <c r="I343" s="234" t="s">
        <v>2593</v>
      </c>
      <c r="J343" s="212"/>
      <c r="K343" s="212"/>
      <c r="L343" s="212"/>
      <c r="M343" s="212"/>
      <c r="N343" s="212"/>
      <c r="O343" s="212"/>
      <c r="P343" s="212"/>
      <c r="Q343" s="212"/>
      <c r="R343" s="212"/>
      <c r="S343" s="220" t="s">
        <v>2624</v>
      </c>
      <c r="T343" s="220" t="s">
        <v>2591</v>
      </c>
      <c r="U343" s="220"/>
      <c r="V343" s="113"/>
      <c r="W343" s="113"/>
      <c r="X343" s="113"/>
      <c r="Y343" s="113"/>
      <c r="Z343" s="113" t="s">
        <v>1474</v>
      </c>
    </row>
    <row r="344" ht="26.1" customHeight="1" spans="1:26">
      <c r="A344" s="212"/>
      <c r="B344" s="232" t="s">
        <v>2518</v>
      </c>
      <c r="C344" s="212" t="s">
        <v>879</v>
      </c>
      <c r="D344" s="71" t="s">
        <v>134</v>
      </c>
      <c r="E344" s="212">
        <v>42</v>
      </c>
      <c r="F344" s="212">
        <v>32</v>
      </c>
      <c r="G344" s="212">
        <v>134</v>
      </c>
      <c r="H344" s="234" t="s">
        <v>2592</v>
      </c>
      <c r="I344" s="234" t="s">
        <v>2593</v>
      </c>
      <c r="J344" s="212"/>
      <c r="K344" s="212"/>
      <c r="L344" s="212"/>
      <c r="M344" s="212"/>
      <c r="N344" s="212"/>
      <c r="O344" s="212"/>
      <c r="P344" s="212"/>
      <c r="Q344" s="212"/>
      <c r="R344" s="212"/>
      <c r="S344" s="220" t="s">
        <v>2624</v>
      </c>
      <c r="T344" s="220" t="s">
        <v>2591</v>
      </c>
      <c r="U344" s="220"/>
      <c r="V344" s="113"/>
      <c r="W344" s="113"/>
      <c r="X344" s="113"/>
      <c r="Y344" s="113"/>
      <c r="Z344" s="113" t="s">
        <v>1474</v>
      </c>
    </row>
    <row r="345" ht="26.1" customHeight="1" spans="1:26">
      <c r="A345" s="212"/>
      <c r="B345" s="232" t="s">
        <v>2518</v>
      </c>
      <c r="C345" s="212" t="s">
        <v>876</v>
      </c>
      <c r="D345" s="71" t="s">
        <v>877</v>
      </c>
      <c r="E345" s="212">
        <v>495</v>
      </c>
      <c r="F345" s="212">
        <v>42</v>
      </c>
      <c r="G345" s="212">
        <v>178</v>
      </c>
      <c r="H345" s="234" t="s">
        <v>2592</v>
      </c>
      <c r="I345" s="234" t="s">
        <v>2593</v>
      </c>
      <c r="J345" s="212"/>
      <c r="K345" s="212"/>
      <c r="L345" s="212"/>
      <c r="M345" s="212"/>
      <c r="N345" s="212"/>
      <c r="O345" s="212"/>
      <c r="P345" s="212"/>
      <c r="Q345" s="212"/>
      <c r="R345" s="212"/>
      <c r="S345" s="220" t="s">
        <v>2624</v>
      </c>
      <c r="T345" s="220" t="s">
        <v>2591</v>
      </c>
      <c r="U345" s="220"/>
      <c r="V345" s="113"/>
      <c r="W345" s="113"/>
      <c r="X345" s="113"/>
      <c r="Y345" s="113"/>
      <c r="Z345" s="113" t="s">
        <v>1474</v>
      </c>
    </row>
    <row r="346" ht="26.1" customHeight="1" spans="1:26">
      <c r="A346" s="212"/>
      <c r="B346" s="232" t="s">
        <v>2521</v>
      </c>
      <c r="C346" s="212" t="s">
        <v>878</v>
      </c>
      <c r="D346" s="71" t="s">
        <v>134</v>
      </c>
      <c r="E346" s="101">
        <v>239</v>
      </c>
      <c r="F346" s="240" t="s">
        <v>2637</v>
      </c>
      <c r="G346" s="240" t="s">
        <v>2638</v>
      </c>
      <c r="H346" s="234" t="s">
        <v>2592</v>
      </c>
      <c r="I346" s="234" t="s">
        <v>2593</v>
      </c>
      <c r="J346" s="212"/>
      <c r="K346" s="212"/>
      <c r="L346" s="212"/>
      <c r="M346" s="212"/>
      <c r="N346" s="212"/>
      <c r="O346" s="212"/>
      <c r="P346" s="212"/>
      <c r="Q346" s="212"/>
      <c r="R346" s="212"/>
      <c r="S346" s="220" t="s">
        <v>2523</v>
      </c>
      <c r="T346" s="220" t="s">
        <v>2522</v>
      </c>
      <c r="U346" s="220"/>
      <c r="V346" s="113"/>
      <c r="W346" s="113"/>
      <c r="X346" s="113"/>
      <c r="Y346" s="113"/>
      <c r="Z346" s="113" t="s">
        <v>1474</v>
      </c>
    </row>
    <row r="347" ht="26.1" customHeight="1" spans="1:26">
      <c r="A347" s="212"/>
      <c r="B347" s="232" t="s">
        <v>2521</v>
      </c>
      <c r="C347" s="212" t="s">
        <v>879</v>
      </c>
      <c r="D347" s="71" t="s">
        <v>134</v>
      </c>
      <c r="E347" s="212">
        <v>68</v>
      </c>
      <c r="F347" s="212">
        <v>66</v>
      </c>
      <c r="G347" s="212">
        <v>248</v>
      </c>
      <c r="H347" s="234" t="s">
        <v>2592</v>
      </c>
      <c r="I347" s="234" t="s">
        <v>2593</v>
      </c>
      <c r="J347" s="212"/>
      <c r="K347" s="212"/>
      <c r="L347" s="212"/>
      <c r="M347" s="212"/>
      <c r="N347" s="212"/>
      <c r="O347" s="212"/>
      <c r="P347" s="212"/>
      <c r="Q347" s="212"/>
      <c r="R347" s="212"/>
      <c r="S347" s="220" t="s">
        <v>2523</v>
      </c>
      <c r="T347" s="220" t="s">
        <v>2522</v>
      </c>
      <c r="U347" s="220"/>
      <c r="V347" s="113"/>
      <c r="W347" s="113"/>
      <c r="X347" s="113"/>
      <c r="Y347" s="113"/>
      <c r="Z347" s="113" t="s">
        <v>1474</v>
      </c>
    </row>
    <row r="348" ht="26.1" customHeight="1" spans="1:26">
      <c r="A348" s="212"/>
      <c r="B348" s="232" t="s">
        <v>2526</v>
      </c>
      <c r="C348" s="212" t="s">
        <v>876</v>
      </c>
      <c r="D348" s="71" t="s">
        <v>877</v>
      </c>
      <c r="E348" s="212">
        <v>245</v>
      </c>
      <c r="F348" s="212">
        <v>34</v>
      </c>
      <c r="G348" s="212">
        <v>112</v>
      </c>
      <c r="H348" s="234" t="s">
        <v>2592</v>
      </c>
      <c r="I348" s="234" t="s">
        <v>2593</v>
      </c>
      <c r="J348" s="212"/>
      <c r="K348" s="212"/>
      <c r="L348" s="212"/>
      <c r="M348" s="212"/>
      <c r="N348" s="212"/>
      <c r="O348" s="212"/>
      <c r="P348" s="212"/>
      <c r="Q348" s="212"/>
      <c r="R348" s="212"/>
      <c r="S348" s="220" t="s">
        <v>2623</v>
      </c>
      <c r="T348" s="220" t="s">
        <v>2555</v>
      </c>
      <c r="U348" s="220"/>
      <c r="V348" s="113"/>
      <c r="W348" s="113"/>
      <c r="X348" s="113"/>
      <c r="Y348" s="113"/>
      <c r="Z348" s="113" t="s">
        <v>1474</v>
      </c>
    </row>
    <row r="349" ht="26.1" customHeight="1" spans="1:26">
      <c r="A349" s="212"/>
      <c r="B349" s="232" t="s">
        <v>2526</v>
      </c>
      <c r="C349" s="232" t="s">
        <v>2634</v>
      </c>
      <c r="D349" s="232" t="s">
        <v>134</v>
      </c>
      <c r="E349" s="227">
        <v>5</v>
      </c>
      <c r="F349" s="227">
        <v>5</v>
      </c>
      <c r="G349" s="227">
        <v>24</v>
      </c>
      <c r="H349" s="234" t="s">
        <v>2592</v>
      </c>
      <c r="I349" s="234" t="s">
        <v>2593</v>
      </c>
      <c r="J349" s="212"/>
      <c r="K349" s="212"/>
      <c r="L349" s="212"/>
      <c r="M349" s="212"/>
      <c r="N349" s="212"/>
      <c r="O349" s="212"/>
      <c r="P349" s="212"/>
      <c r="Q349" s="212"/>
      <c r="R349" s="212"/>
      <c r="S349" s="220" t="s">
        <v>2623</v>
      </c>
      <c r="T349" s="220" t="s">
        <v>2555</v>
      </c>
      <c r="U349" s="220"/>
      <c r="V349" s="113"/>
      <c r="W349" s="113"/>
      <c r="X349" s="113"/>
      <c r="Y349" s="113"/>
      <c r="Z349" s="113" t="s">
        <v>1474</v>
      </c>
    </row>
    <row r="350" ht="26.1" customHeight="1" spans="1:26">
      <c r="A350" s="212"/>
      <c r="B350" s="232" t="s">
        <v>2526</v>
      </c>
      <c r="C350" s="212" t="s">
        <v>878</v>
      </c>
      <c r="D350" s="71" t="s">
        <v>134</v>
      </c>
      <c r="E350" s="212">
        <v>56</v>
      </c>
      <c r="F350" s="212">
        <v>29</v>
      </c>
      <c r="G350" s="212">
        <v>123</v>
      </c>
      <c r="H350" s="234" t="s">
        <v>2592</v>
      </c>
      <c r="I350" s="234" t="s">
        <v>2593</v>
      </c>
      <c r="J350" s="212"/>
      <c r="K350" s="212"/>
      <c r="L350" s="212"/>
      <c r="M350" s="212"/>
      <c r="N350" s="212"/>
      <c r="O350" s="212"/>
      <c r="P350" s="212"/>
      <c r="Q350" s="212"/>
      <c r="R350" s="212"/>
      <c r="S350" s="220" t="s">
        <v>2623</v>
      </c>
      <c r="T350" s="220" t="s">
        <v>2555</v>
      </c>
      <c r="U350" s="220"/>
      <c r="V350" s="113"/>
      <c r="W350" s="113"/>
      <c r="X350" s="113"/>
      <c r="Y350" s="113"/>
      <c r="Z350" s="113" t="s">
        <v>1474</v>
      </c>
    </row>
    <row r="351" ht="26.1" customHeight="1" spans="1:26">
      <c r="A351" s="212"/>
      <c r="B351" s="232" t="s">
        <v>2529</v>
      </c>
      <c r="C351" s="212" t="s">
        <v>878</v>
      </c>
      <c r="D351" s="71" t="s">
        <v>134</v>
      </c>
      <c r="E351" s="212">
        <v>205</v>
      </c>
      <c r="F351" s="212">
        <v>45</v>
      </c>
      <c r="G351" s="212">
        <v>172</v>
      </c>
      <c r="H351" s="234" t="s">
        <v>2592</v>
      </c>
      <c r="I351" s="234" t="s">
        <v>2593</v>
      </c>
      <c r="J351" s="212"/>
      <c r="K351" s="212"/>
      <c r="L351" s="212"/>
      <c r="M351" s="212"/>
      <c r="N351" s="212"/>
      <c r="O351" s="212"/>
      <c r="P351" s="212"/>
      <c r="Q351" s="212"/>
      <c r="R351" s="212"/>
      <c r="S351" s="220" t="s">
        <v>2530</v>
      </c>
      <c r="T351" s="220" t="s">
        <v>2639</v>
      </c>
      <c r="U351" s="220"/>
      <c r="V351" s="113"/>
      <c r="W351" s="113"/>
      <c r="X351" s="113"/>
      <c r="Y351" s="113"/>
      <c r="Z351" s="113" t="s">
        <v>1474</v>
      </c>
    </row>
    <row r="352" ht="26.1" customHeight="1" spans="1:26">
      <c r="A352" s="212"/>
      <c r="B352" s="232" t="s">
        <v>2529</v>
      </c>
      <c r="C352" s="212" t="s">
        <v>879</v>
      </c>
      <c r="D352" s="71" t="s">
        <v>134</v>
      </c>
      <c r="E352" s="212">
        <v>29</v>
      </c>
      <c r="F352" s="212">
        <v>20</v>
      </c>
      <c r="G352" s="212">
        <v>60</v>
      </c>
      <c r="H352" s="234" t="s">
        <v>2592</v>
      </c>
      <c r="I352" s="234" t="s">
        <v>2593</v>
      </c>
      <c r="J352" s="212"/>
      <c r="K352" s="212"/>
      <c r="L352" s="212"/>
      <c r="M352" s="212"/>
      <c r="N352" s="212"/>
      <c r="O352" s="212"/>
      <c r="P352" s="212"/>
      <c r="Q352" s="212"/>
      <c r="R352" s="212"/>
      <c r="S352" s="220" t="s">
        <v>2530</v>
      </c>
      <c r="T352" s="220" t="s">
        <v>2639</v>
      </c>
      <c r="U352" s="220"/>
      <c r="V352" s="113"/>
      <c r="W352" s="113"/>
      <c r="X352" s="113"/>
      <c r="Y352" s="113"/>
      <c r="Z352" s="113" t="s">
        <v>1474</v>
      </c>
    </row>
    <row r="353" ht="26.1" customHeight="1" spans="1:26">
      <c r="A353" s="212"/>
      <c r="B353" s="232" t="s">
        <v>2529</v>
      </c>
      <c r="C353" s="212" t="s">
        <v>876</v>
      </c>
      <c r="D353" s="71" t="s">
        <v>877</v>
      </c>
      <c r="E353" s="212">
        <v>562</v>
      </c>
      <c r="F353" s="212">
        <v>47</v>
      </c>
      <c r="G353" s="212">
        <v>175</v>
      </c>
      <c r="H353" s="234" t="s">
        <v>2592</v>
      </c>
      <c r="I353" s="234" t="s">
        <v>2593</v>
      </c>
      <c r="J353" s="212"/>
      <c r="K353" s="212"/>
      <c r="L353" s="212"/>
      <c r="M353" s="212"/>
      <c r="N353" s="212"/>
      <c r="O353" s="212"/>
      <c r="P353" s="212"/>
      <c r="Q353" s="212"/>
      <c r="R353" s="212"/>
      <c r="S353" s="220" t="s">
        <v>2530</v>
      </c>
      <c r="T353" s="220" t="s">
        <v>2639</v>
      </c>
      <c r="U353" s="220"/>
      <c r="V353" s="113"/>
      <c r="W353" s="113"/>
      <c r="X353" s="113"/>
      <c r="Y353" s="113"/>
      <c r="Z353" s="113" t="s">
        <v>1474</v>
      </c>
    </row>
    <row r="354" ht="26.1" customHeight="1" spans="1:26">
      <c r="A354" s="212"/>
      <c r="B354" s="232" t="s">
        <v>2532</v>
      </c>
      <c r="C354" s="212" t="s">
        <v>878</v>
      </c>
      <c r="D354" s="71" t="s">
        <v>134</v>
      </c>
      <c r="E354" s="212">
        <v>123</v>
      </c>
      <c r="F354" s="212">
        <v>26</v>
      </c>
      <c r="G354" s="212">
        <v>79</v>
      </c>
      <c r="H354" s="234" t="s">
        <v>2592</v>
      </c>
      <c r="I354" s="234" t="s">
        <v>2593</v>
      </c>
      <c r="J354" s="212"/>
      <c r="K354" s="212"/>
      <c r="L354" s="212"/>
      <c r="M354" s="212"/>
      <c r="N354" s="212"/>
      <c r="O354" s="212"/>
      <c r="P354" s="212"/>
      <c r="Q354" s="212"/>
      <c r="R354" s="212"/>
      <c r="S354" s="220" t="s">
        <v>2533</v>
      </c>
      <c r="T354" s="220" t="s">
        <v>2640</v>
      </c>
      <c r="U354" s="220"/>
      <c r="V354" s="113"/>
      <c r="W354" s="113"/>
      <c r="X354" s="113"/>
      <c r="Y354" s="113"/>
      <c r="Z354" s="113" t="s">
        <v>1474</v>
      </c>
    </row>
    <row r="355" ht="26.1" customHeight="1" spans="1:26">
      <c r="A355" s="212"/>
      <c r="B355" s="232" t="s">
        <v>2532</v>
      </c>
      <c r="C355" s="212" t="s">
        <v>879</v>
      </c>
      <c r="D355" s="71" t="s">
        <v>134</v>
      </c>
      <c r="E355" s="212">
        <v>3</v>
      </c>
      <c r="F355" s="212">
        <v>3</v>
      </c>
      <c r="G355" s="212">
        <v>7</v>
      </c>
      <c r="H355" s="234" t="s">
        <v>2592</v>
      </c>
      <c r="I355" s="234" t="s">
        <v>2593</v>
      </c>
      <c r="J355" s="212"/>
      <c r="K355" s="212"/>
      <c r="L355" s="212"/>
      <c r="M355" s="212"/>
      <c r="N355" s="212"/>
      <c r="O355" s="212"/>
      <c r="P355" s="212"/>
      <c r="Q355" s="212"/>
      <c r="R355" s="212"/>
      <c r="S355" s="220" t="s">
        <v>2533</v>
      </c>
      <c r="T355" s="220" t="s">
        <v>2640</v>
      </c>
      <c r="U355" s="220"/>
      <c r="V355" s="113"/>
      <c r="W355" s="113"/>
      <c r="X355" s="113"/>
      <c r="Y355" s="113"/>
      <c r="Z355" s="113" t="s">
        <v>1474</v>
      </c>
    </row>
    <row r="356" ht="26.1" customHeight="1" spans="1:26">
      <c r="A356" s="212"/>
      <c r="B356" s="232" t="s">
        <v>2532</v>
      </c>
      <c r="C356" s="212" t="s">
        <v>876</v>
      </c>
      <c r="D356" s="71" t="s">
        <v>877</v>
      </c>
      <c r="E356" s="212">
        <v>660</v>
      </c>
      <c r="F356" s="212">
        <v>22</v>
      </c>
      <c r="G356" s="212">
        <v>68</v>
      </c>
      <c r="H356" s="234" t="s">
        <v>2592</v>
      </c>
      <c r="I356" s="234" t="s">
        <v>2593</v>
      </c>
      <c r="J356" s="212"/>
      <c r="K356" s="212"/>
      <c r="L356" s="212"/>
      <c r="M356" s="212"/>
      <c r="N356" s="212"/>
      <c r="O356" s="212"/>
      <c r="P356" s="212"/>
      <c r="Q356" s="212"/>
      <c r="R356" s="212"/>
      <c r="S356" s="220" t="s">
        <v>2533</v>
      </c>
      <c r="T356" s="220" t="s">
        <v>2640</v>
      </c>
      <c r="U356" s="220"/>
      <c r="V356" s="113"/>
      <c r="W356" s="113"/>
      <c r="X356" s="113"/>
      <c r="Y356" s="113"/>
      <c r="Z356" s="113" t="s">
        <v>1474</v>
      </c>
    </row>
    <row r="357" ht="41.25" customHeight="1" spans="1:29">
      <c r="A357" s="212">
        <v>40</v>
      </c>
      <c r="B357" s="71" t="s">
        <v>1129</v>
      </c>
      <c r="C357" s="71" t="s">
        <v>1124</v>
      </c>
      <c r="D357" s="71" t="s">
        <v>1130</v>
      </c>
      <c r="E357" s="212"/>
      <c r="F357" s="212"/>
      <c r="G357" s="212"/>
      <c r="H357" s="212"/>
      <c r="I357" s="212"/>
      <c r="J357" s="212"/>
      <c r="K357" s="212"/>
      <c r="L357" s="212"/>
      <c r="M357" s="212"/>
      <c r="N357" s="212"/>
      <c r="O357" s="212"/>
      <c r="P357" s="212"/>
      <c r="Q357" s="212"/>
      <c r="R357" s="212"/>
      <c r="S357" s="220"/>
      <c r="T357" s="220"/>
      <c r="U357" s="220" t="s">
        <v>43</v>
      </c>
      <c r="V357" s="113"/>
      <c r="W357" s="113"/>
      <c r="X357" s="113"/>
      <c r="Y357" s="113"/>
      <c r="Z357" s="113"/>
      <c r="AC357" s="68">
        <f>J368+J376+J385</f>
        <v>163.491535</v>
      </c>
    </row>
    <row r="358" ht="23.25" customHeight="1" spans="1:26">
      <c r="A358" s="212"/>
      <c r="B358" s="71" t="s">
        <v>1848</v>
      </c>
      <c r="C358" s="71"/>
      <c r="D358" s="71"/>
      <c r="E358" s="212"/>
      <c r="F358" s="212"/>
      <c r="G358" s="212"/>
      <c r="H358" s="212"/>
      <c r="I358" s="212"/>
      <c r="J358" s="212"/>
      <c r="K358" s="212"/>
      <c r="L358" s="212"/>
      <c r="M358" s="212"/>
      <c r="N358" s="212"/>
      <c r="O358" s="212"/>
      <c r="P358" s="212"/>
      <c r="Q358" s="212"/>
      <c r="R358" s="212"/>
      <c r="S358" s="220"/>
      <c r="T358" s="220"/>
      <c r="U358" s="220"/>
      <c r="V358" s="113"/>
      <c r="W358" s="113"/>
      <c r="X358" s="113"/>
      <c r="Y358" s="113"/>
      <c r="Z358" s="113"/>
    </row>
    <row r="359" ht="49.5" customHeight="1" spans="1:26">
      <c r="A359" s="212">
        <v>41</v>
      </c>
      <c r="B359" s="71" t="s">
        <v>146</v>
      </c>
      <c r="C359" s="71" t="s">
        <v>52</v>
      </c>
      <c r="D359" s="71" t="s">
        <v>1130</v>
      </c>
      <c r="E359" s="212">
        <f t="shared" ref="E359:G359" si="155">SUM(E360:E365)</f>
        <v>1036</v>
      </c>
      <c r="F359" s="212">
        <f t="shared" si="155"/>
        <v>1036</v>
      </c>
      <c r="G359" s="212">
        <f t="shared" si="155"/>
        <v>4321</v>
      </c>
      <c r="H359" s="212">
        <v>2018</v>
      </c>
      <c r="I359" s="212">
        <v>2020</v>
      </c>
      <c r="J359" s="212">
        <f t="shared" ref="J359:Q359" si="156">SUM(J360:J365)</f>
        <v>0</v>
      </c>
      <c r="K359" s="212">
        <f t="shared" si="156"/>
        <v>0</v>
      </c>
      <c r="L359" s="212">
        <f t="shared" si="156"/>
        <v>0</v>
      </c>
      <c r="M359" s="212">
        <f t="shared" si="156"/>
        <v>0</v>
      </c>
      <c r="N359" s="212">
        <f t="shared" si="156"/>
        <v>0</v>
      </c>
      <c r="O359" s="212">
        <f t="shared" si="156"/>
        <v>0</v>
      </c>
      <c r="P359" s="212">
        <f t="shared" si="156"/>
        <v>0</v>
      </c>
      <c r="Q359" s="212">
        <f t="shared" si="156"/>
        <v>0</v>
      </c>
      <c r="R359" s="212"/>
      <c r="S359" s="220" t="s">
        <v>2501</v>
      </c>
      <c r="T359" s="220" t="s">
        <v>2502</v>
      </c>
      <c r="U359" s="220" t="s">
        <v>1133</v>
      </c>
      <c r="V359" s="113"/>
      <c r="W359" s="113"/>
      <c r="X359" s="113"/>
      <c r="Y359" s="113"/>
      <c r="Z359" s="113"/>
    </row>
    <row r="360" ht="49.5" customHeight="1" spans="1:26">
      <c r="A360" s="212"/>
      <c r="B360" s="71" t="s">
        <v>2641</v>
      </c>
      <c r="C360" s="212" t="s">
        <v>52</v>
      </c>
      <c r="D360" s="71" t="s">
        <v>384</v>
      </c>
      <c r="E360" s="212">
        <v>116</v>
      </c>
      <c r="F360" s="212">
        <v>116</v>
      </c>
      <c r="G360" s="212">
        <v>391</v>
      </c>
      <c r="H360" s="212">
        <v>2018</v>
      </c>
      <c r="I360" s="212">
        <v>2020</v>
      </c>
      <c r="J360" s="212"/>
      <c r="K360" s="212"/>
      <c r="L360" s="212"/>
      <c r="M360" s="212"/>
      <c r="N360" s="212"/>
      <c r="O360" s="212"/>
      <c r="P360" s="212"/>
      <c r="Q360" s="212"/>
      <c r="R360" s="212"/>
      <c r="S360" s="220" t="s">
        <v>2523</v>
      </c>
      <c r="T360" s="220" t="s">
        <v>2522</v>
      </c>
      <c r="U360" s="220"/>
      <c r="V360" s="113"/>
      <c r="W360" s="113"/>
      <c r="X360" s="113"/>
      <c r="Y360" s="113"/>
      <c r="Z360" s="113" t="s">
        <v>1441</v>
      </c>
    </row>
    <row r="361" ht="49.5" customHeight="1" spans="1:26">
      <c r="A361" s="212"/>
      <c r="B361" s="71" t="s">
        <v>2642</v>
      </c>
      <c r="C361" s="212" t="s">
        <v>52</v>
      </c>
      <c r="D361" s="71" t="s">
        <v>384</v>
      </c>
      <c r="E361" s="212" t="s">
        <v>2643</v>
      </c>
      <c r="F361" s="212" t="s">
        <v>2643</v>
      </c>
      <c r="G361" s="212">
        <v>161</v>
      </c>
      <c r="H361" s="212">
        <v>2018</v>
      </c>
      <c r="I361" s="212">
        <v>2020</v>
      </c>
      <c r="J361" s="212"/>
      <c r="K361" s="212"/>
      <c r="L361" s="212"/>
      <c r="M361" s="212"/>
      <c r="N361" s="212"/>
      <c r="O361" s="212"/>
      <c r="P361" s="212"/>
      <c r="Q361" s="212"/>
      <c r="R361" s="212"/>
      <c r="S361" s="220" t="s">
        <v>2530</v>
      </c>
      <c r="T361" s="220" t="s">
        <v>2639</v>
      </c>
      <c r="U361" s="220"/>
      <c r="V361" s="113"/>
      <c r="W361" s="113"/>
      <c r="X361" s="113"/>
      <c r="Y361" s="113"/>
      <c r="Z361" s="113" t="s">
        <v>1441</v>
      </c>
    </row>
    <row r="362" ht="49.5" customHeight="1" spans="1:26">
      <c r="A362" s="212"/>
      <c r="B362" s="71" t="s">
        <v>2644</v>
      </c>
      <c r="C362" s="212" t="s">
        <v>52</v>
      </c>
      <c r="D362" s="71" t="s">
        <v>384</v>
      </c>
      <c r="E362" s="212">
        <v>364</v>
      </c>
      <c r="F362" s="212">
        <v>364</v>
      </c>
      <c r="G362" s="212">
        <v>1583</v>
      </c>
      <c r="H362" s="212">
        <v>2018</v>
      </c>
      <c r="I362" s="212">
        <v>2020</v>
      </c>
      <c r="J362" s="212"/>
      <c r="K362" s="212"/>
      <c r="L362" s="212"/>
      <c r="M362" s="212"/>
      <c r="N362" s="212"/>
      <c r="O362" s="212"/>
      <c r="P362" s="212"/>
      <c r="Q362" s="212"/>
      <c r="R362" s="212"/>
      <c r="S362" s="220" t="s">
        <v>2621</v>
      </c>
      <c r="T362" s="220" t="s">
        <v>2524</v>
      </c>
      <c r="U362" s="220"/>
      <c r="V362" s="113"/>
      <c r="W362" s="113"/>
      <c r="X362" s="113"/>
      <c r="Y362" s="113"/>
      <c r="Z362" s="113" t="s">
        <v>1441</v>
      </c>
    </row>
    <row r="363" ht="49.5" customHeight="1" spans="1:26">
      <c r="A363" s="212"/>
      <c r="B363" s="71" t="s">
        <v>2645</v>
      </c>
      <c r="C363" s="212" t="s">
        <v>52</v>
      </c>
      <c r="D363" s="71" t="s">
        <v>384</v>
      </c>
      <c r="E363" s="212">
        <v>267</v>
      </c>
      <c r="F363" s="212">
        <v>267</v>
      </c>
      <c r="G363" s="212">
        <v>1021</v>
      </c>
      <c r="H363" s="212">
        <v>2018</v>
      </c>
      <c r="I363" s="212">
        <v>2020</v>
      </c>
      <c r="J363" s="212"/>
      <c r="K363" s="212"/>
      <c r="L363" s="212"/>
      <c r="M363" s="212"/>
      <c r="N363" s="212"/>
      <c r="O363" s="212"/>
      <c r="P363" s="212"/>
      <c r="Q363" s="212"/>
      <c r="R363" s="212"/>
      <c r="S363" s="220" t="s">
        <v>2631</v>
      </c>
      <c r="T363" s="220" t="s">
        <v>2632</v>
      </c>
      <c r="U363" s="220"/>
      <c r="V363" s="113"/>
      <c r="W363" s="113"/>
      <c r="X363" s="113"/>
      <c r="Y363" s="113"/>
      <c r="Z363" s="113" t="s">
        <v>1441</v>
      </c>
    </row>
    <row r="364" ht="49.5" customHeight="1" spans="1:27">
      <c r="A364" s="212"/>
      <c r="B364" s="71" t="s">
        <v>2646</v>
      </c>
      <c r="C364" s="212" t="s">
        <v>52</v>
      </c>
      <c r="D364" s="71" t="s">
        <v>384</v>
      </c>
      <c r="E364" s="212">
        <v>237</v>
      </c>
      <c r="F364" s="212">
        <v>237</v>
      </c>
      <c r="G364" s="212">
        <v>984</v>
      </c>
      <c r="H364" s="212">
        <v>2018</v>
      </c>
      <c r="I364" s="212">
        <v>2020</v>
      </c>
      <c r="J364" s="212"/>
      <c r="K364" s="212"/>
      <c r="L364" s="212"/>
      <c r="M364" s="212"/>
      <c r="N364" s="212"/>
      <c r="O364" s="212"/>
      <c r="P364" s="212"/>
      <c r="Q364" s="212"/>
      <c r="R364" s="212"/>
      <c r="S364" s="220" t="s">
        <v>2626</v>
      </c>
      <c r="T364" s="220" t="s">
        <v>1277</v>
      </c>
      <c r="U364" s="220"/>
      <c r="V364" s="113"/>
      <c r="W364" s="113"/>
      <c r="X364" s="113"/>
      <c r="Y364" s="113"/>
      <c r="Z364" s="244" t="s">
        <v>1441</v>
      </c>
      <c r="AA364" s="164"/>
    </row>
    <row r="365" ht="49.5" customHeight="1" spans="1:27">
      <c r="A365" s="212"/>
      <c r="B365" s="71" t="s">
        <v>2647</v>
      </c>
      <c r="C365" s="212" t="s">
        <v>52</v>
      </c>
      <c r="D365" s="71" t="s">
        <v>384</v>
      </c>
      <c r="E365" s="212">
        <v>52</v>
      </c>
      <c r="F365" s="212">
        <v>52</v>
      </c>
      <c r="G365" s="212">
        <v>181</v>
      </c>
      <c r="H365" s="212">
        <v>2018</v>
      </c>
      <c r="I365" s="212">
        <v>2020</v>
      </c>
      <c r="J365" s="212"/>
      <c r="K365" s="212"/>
      <c r="L365" s="212"/>
      <c r="M365" s="212"/>
      <c r="N365" s="212"/>
      <c r="O365" s="212"/>
      <c r="P365" s="212"/>
      <c r="Q365" s="212"/>
      <c r="R365" s="212"/>
      <c r="S365" s="220" t="s">
        <v>2623</v>
      </c>
      <c r="T365" s="220" t="s">
        <v>2555</v>
      </c>
      <c r="U365" s="220"/>
      <c r="V365" s="113"/>
      <c r="W365" s="113"/>
      <c r="X365" s="113"/>
      <c r="Y365" s="113"/>
      <c r="Z365" s="244" t="s">
        <v>1441</v>
      </c>
      <c r="AA365" s="164"/>
    </row>
    <row r="366" ht="37.5" customHeight="1" spans="1:27">
      <c r="A366" s="212">
        <v>42</v>
      </c>
      <c r="B366" s="71" t="s">
        <v>893</v>
      </c>
      <c r="C366" s="71" t="s">
        <v>52</v>
      </c>
      <c r="D366" s="71" t="s">
        <v>150</v>
      </c>
      <c r="E366" s="212">
        <f t="shared" ref="E366:G366" si="157">SUM(E367:E371)</f>
        <v>698</v>
      </c>
      <c r="F366" s="212">
        <f t="shared" si="157"/>
        <v>698</v>
      </c>
      <c r="G366" s="212">
        <f t="shared" si="157"/>
        <v>2788</v>
      </c>
      <c r="H366" s="212">
        <v>2018</v>
      </c>
      <c r="I366" s="212">
        <v>2020</v>
      </c>
      <c r="J366" s="212">
        <f t="shared" ref="J366:Q366" si="158">SUM(J367:J371)</f>
        <v>190.2</v>
      </c>
      <c r="K366" s="212">
        <f t="shared" si="158"/>
        <v>190.2</v>
      </c>
      <c r="L366" s="212">
        <f t="shared" si="158"/>
        <v>0</v>
      </c>
      <c r="M366" s="212">
        <f t="shared" si="158"/>
        <v>0</v>
      </c>
      <c r="N366" s="212">
        <f t="shared" si="158"/>
        <v>0</v>
      </c>
      <c r="O366" s="212">
        <f t="shared" si="158"/>
        <v>190.2</v>
      </c>
      <c r="P366" s="212">
        <f t="shared" si="158"/>
        <v>0</v>
      </c>
      <c r="Q366" s="212">
        <f t="shared" si="158"/>
        <v>0</v>
      </c>
      <c r="R366" s="212"/>
      <c r="S366" s="220" t="s">
        <v>2501</v>
      </c>
      <c r="T366" s="220" t="s">
        <v>2502</v>
      </c>
      <c r="U366" s="220" t="s">
        <v>43</v>
      </c>
      <c r="V366" s="113"/>
      <c r="W366" s="113"/>
      <c r="X366" s="113"/>
      <c r="Y366" s="113"/>
      <c r="Z366" s="244" t="s">
        <v>2648</v>
      </c>
      <c r="AA366" s="164" t="s">
        <v>2649</v>
      </c>
    </row>
    <row r="367" ht="37.5" customHeight="1" spans="1:27">
      <c r="A367" s="212"/>
      <c r="B367" s="71" t="s">
        <v>2650</v>
      </c>
      <c r="C367" s="71" t="s">
        <v>2651</v>
      </c>
      <c r="D367" s="71" t="s">
        <v>384</v>
      </c>
      <c r="E367" s="212">
        <v>266</v>
      </c>
      <c r="F367" s="212">
        <v>266</v>
      </c>
      <c r="G367" s="212">
        <v>1111</v>
      </c>
      <c r="H367" s="212">
        <v>2018</v>
      </c>
      <c r="I367" s="212">
        <v>2020</v>
      </c>
      <c r="J367" s="212">
        <f t="shared" ref="J367:J371" si="159">K367+L367+M367</f>
        <v>58.5</v>
      </c>
      <c r="K367" s="212">
        <v>58.5</v>
      </c>
      <c r="L367" s="212"/>
      <c r="M367" s="212"/>
      <c r="N367" s="212"/>
      <c r="O367" s="212">
        <v>58.5</v>
      </c>
      <c r="P367" s="212"/>
      <c r="Q367" s="212"/>
      <c r="R367" s="212"/>
      <c r="S367" s="220" t="s">
        <v>2619</v>
      </c>
      <c r="T367" s="220" t="s">
        <v>2620</v>
      </c>
      <c r="U367" s="220"/>
      <c r="V367" s="113"/>
      <c r="W367" s="113"/>
      <c r="X367" s="113"/>
      <c r="Y367" s="113"/>
      <c r="Z367" s="244" t="s">
        <v>2652</v>
      </c>
      <c r="AA367" s="164">
        <v>79.8</v>
      </c>
    </row>
    <row r="368" ht="37.5" customHeight="1" spans="1:27">
      <c r="A368" s="212"/>
      <c r="B368" s="71" t="s">
        <v>2653</v>
      </c>
      <c r="C368" s="71" t="s">
        <v>2651</v>
      </c>
      <c r="D368" s="71" t="s">
        <v>384</v>
      </c>
      <c r="E368" s="212">
        <v>184</v>
      </c>
      <c r="F368" s="212">
        <v>184</v>
      </c>
      <c r="G368" s="212">
        <v>815</v>
      </c>
      <c r="H368" s="212">
        <v>2018</v>
      </c>
      <c r="I368" s="212">
        <v>2020</v>
      </c>
      <c r="J368" s="212">
        <f t="shared" si="159"/>
        <v>56.4</v>
      </c>
      <c r="K368" s="212">
        <v>56.4</v>
      </c>
      <c r="L368" s="212"/>
      <c r="M368" s="212"/>
      <c r="N368" s="212"/>
      <c r="O368" s="212">
        <v>56.4</v>
      </c>
      <c r="P368" s="212"/>
      <c r="Q368" s="212"/>
      <c r="R368" s="212"/>
      <c r="S368" s="220" t="s">
        <v>2548</v>
      </c>
      <c r="T368" s="220" t="s">
        <v>2549</v>
      </c>
      <c r="U368" s="220"/>
      <c r="V368" s="113"/>
      <c r="W368" s="113"/>
      <c r="X368" s="113"/>
      <c r="Y368" s="113"/>
      <c r="Z368" s="244" t="s">
        <v>2654</v>
      </c>
      <c r="AA368" s="164">
        <v>55.2</v>
      </c>
    </row>
    <row r="369" ht="37.5" customHeight="1" spans="1:27">
      <c r="A369" s="212"/>
      <c r="B369" s="71" t="s">
        <v>2655</v>
      </c>
      <c r="C369" s="71" t="s">
        <v>2651</v>
      </c>
      <c r="D369" s="71" t="s">
        <v>384</v>
      </c>
      <c r="E369" s="212">
        <v>131</v>
      </c>
      <c r="F369" s="212">
        <v>131</v>
      </c>
      <c r="G369" s="212">
        <v>506</v>
      </c>
      <c r="H369" s="212">
        <v>2018</v>
      </c>
      <c r="I369" s="212">
        <v>2020</v>
      </c>
      <c r="J369" s="212">
        <f t="shared" si="159"/>
        <v>37.5</v>
      </c>
      <c r="K369" s="212">
        <v>37.5</v>
      </c>
      <c r="L369" s="212"/>
      <c r="M369" s="212"/>
      <c r="N369" s="212"/>
      <c r="O369" s="212">
        <v>37.5</v>
      </c>
      <c r="P369" s="212"/>
      <c r="Q369" s="212"/>
      <c r="R369" s="212"/>
      <c r="S369" s="220" t="s">
        <v>2624</v>
      </c>
      <c r="T369" s="220" t="s">
        <v>2591</v>
      </c>
      <c r="U369" s="220"/>
      <c r="V369" s="113"/>
      <c r="W369" s="113"/>
      <c r="X369" s="113"/>
      <c r="Y369" s="113"/>
      <c r="Z369" s="244" t="s">
        <v>2656</v>
      </c>
      <c r="AA369" s="164">
        <v>39.3</v>
      </c>
    </row>
    <row r="370" ht="37.5" customHeight="1" spans="1:27">
      <c r="A370" s="212"/>
      <c r="B370" s="71" t="s">
        <v>2657</v>
      </c>
      <c r="C370" s="71" t="s">
        <v>2651</v>
      </c>
      <c r="D370" s="71" t="s">
        <v>384</v>
      </c>
      <c r="E370" s="212">
        <v>71</v>
      </c>
      <c r="F370" s="212">
        <v>71</v>
      </c>
      <c r="G370" s="212">
        <v>227</v>
      </c>
      <c r="H370" s="212">
        <v>2018</v>
      </c>
      <c r="I370" s="212">
        <v>2020</v>
      </c>
      <c r="J370" s="212">
        <f t="shared" si="159"/>
        <v>18</v>
      </c>
      <c r="K370" s="212">
        <v>18</v>
      </c>
      <c r="L370" s="212"/>
      <c r="M370" s="212"/>
      <c r="N370" s="212"/>
      <c r="O370" s="212">
        <v>18</v>
      </c>
      <c r="P370" s="212"/>
      <c r="Q370" s="212"/>
      <c r="R370" s="212"/>
      <c r="S370" s="220" t="s">
        <v>2623</v>
      </c>
      <c r="T370" s="220" t="s">
        <v>2555</v>
      </c>
      <c r="U370" s="220"/>
      <c r="V370" s="113"/>
      <c r="W370" s="113"/>
      <c r="X370" s="113"/>
      <c r="Y370" s="113"/>
      <c r="Z370" s="244" t="s">
        <v>2658</v>
      </c>
      <c r="AA370" s="164">
        <v>5.7</v>
      </c>
    </row>
    <row r="371" ht="37.5" customHeight="1" spans="1:27">
      <c r="A371" s="212"/>
      <c r="B371" s="71" t="s">
        <v>2659</v>
      </c>
      <c r="C371" s="71" t="s">
        <v>2651</v>
      </c>
      <c r="D371" s="71" t="s">
        <v>384</v>
      </c>
      <c r="E371" s="212">
        <v>46</v>
      </c>
      <c r="F371" s="212">
        <v>46</v>
      </c>
      <c r="G371" s="212">
        <v>129</v>
      </c>
      <c r="H371" s="212">
        <v>2018</v>
      </c>
      <c r="I371" s="212">
        <v>2020</v>
      </c>
      <c r="J371" s="212">
        <f t="shared" si="159"/>
        <v>19.8</v>
      </c>
      <c r="K371" s="212">
        <v>19.8</v>
      </c>
      <c r="L371" s="212"/>
      <c r="M371" s="212"/>
      <c r="N371" s="212"/>
      <c r="O371" s="212">
        <v>19.8</v>
      </c>
      <c r="P371" s="212"/>
      <c r="Q371" s="212"/>
      <c r="R371" s="212"/>
      <c r="S371" s="220" t="s">
        <v>2533</v>
      </c>
      <c r="T371" s="220" t="s">
        <v>2640</v>
      </c>
      <c r="U371" s="220"/>
      <c r="V371" s="113"/>
      <c r="W371" s="113"/>
      <c r="X371" s="113"/>
      <c r="Y371" s="113"/>
      <c r="Z371" s="244" t="s">
        <v>2660</v>
      </c>
      <c r="AA371" s="164">
        <v>10.2</v>
      </c>
    </row>
    <row r="372" ht="23.25" customHeight="1" spans="1:27">
      <c r="A372" s="212">
        <v>43</v>
      </c>
      <c r="B372" s="71" t="s">
        <v>158</v>
      </c>
      <c r="C372" s="71" t="s">
        <v>52</v>
      </c>
      <c r="D372" s="71" t="s">
        <v>163</v>
      </c>
      <c r="E372" s="151">
        <v>812.0136</v>
      </c>
      <c r="F372" s="151">
        <v>312.7534</v>
      </c>
      <c r="G372" s="151">
        <v>1094.6369</v>
      </c>
      <c r="H372" s="212">
        <v>2018</v>
      </c>
      <c r="I372" s="212">
        <v>2020</v>
      </c>
      <c r="J372" s="238">
        <v>49.564719</v>
      </c>
      <c r="K372" s="238">
        <v>3.72</v>
      </c>
      <c r="L372" s="238">
        <v>16.521573</v>
      </c>
      <c r="M372" s="238">
        <v>29.323146</v>
      </c>
      <c r="N372" s="238"/>
      <c r="O372" s="238">
        <v>49.564719</v>
      </c>
      <c r="P372" s="212"/>
      <c r="Q372" s="212"/>
      <c r="R372" s="212"/>
      <c r="S372" s="220" t="s">
        <v>2501</v>
      </c>
      <c r="T372" s="220" t="s">
        <v>2502</v>
      </c>
      <c r="U372" s="220" t="s">
        <v>160</v>
      </c>
      <c r="V372" s="112">
        <f t="shared" ref="V372:X372" si="160">SUM(V373:V382)</f>
        <v>603</v>
      </c>
      <c r="W372" s="112">
        <f t="shared" si="160"/>
        <v>67</v>
      </c>
      <c r="X372" s="112">
        <f t="shared" si="160"/>
        <v>67</v>
      </c>
      <c r="Y372" s="113">
        <f>V372+W372+X372</f>
        <v>737</v>
      </c>
      <c r="Z372" s="244" t="s">
        <v>1474</v>
      </c>
      <c r="AA372" s="164"/>
    </row>
    <row r="373" ht="23.25" customHeight="1" spans="1:31">
      <c r="A373" s="212"/>
      <c r="B373" s="241" t="s">
        <v>2515</v>
      </c>
      <c r="C373" s="71" t="s">
        <v>52</v>
      </c>
      <c r="D373" s="71" t="s">
        <v>163</v>
      </c>
      <c r="E373" s="151">
        <v>118.6848</v>
      </c>
      <c r="F373" s="151">
        <v>32.4212</v>
      </c>
      <c r="G373" s="238">
        <v>113.4742</v>
      </c>
      <c r="H373" s="212">
        <v>2018</v>
      </c>
      <c r="I373" s="212">
        <v>2020</v>
      </c>
      <c r="J373" s="238">
        <v>7.020042</v>
      </c>
      <c r="K373" s="238">
        <v>0.59</v>
      </c>
      <c r="L373" s="238">
        <v>2.340014</v>
      </c>
      <c r="M373" s="238">
        <v>4.090028</v>
      </c>
      <c r="N373" s="238"/>
      <c r="O373" s="238">
        <v>7.020042</v>
      </c>
      <c r="P373" s="242"/>
      <c r="Q373" s="242"/>
      <c r="R373" s="212"/>
      <c r="S373" s="220" t="s">
        <v>2626</v>
      </c>
      <c r="T373" s="220" t="s">
        <v>1277</v>
      </c>
      <c r="U373" s="220"/>
      <c r="V373" s="112">
        <v>93</v>
      </c>
      <c r="W373" s="112">
        <v>8</v>
      </c>
      <c r="X373" s="112">
        <v>8</v>
      </c>
      <c r="Y373" s="113"/>
      <c r="Z373" s="244" t="s">
        <v>1474</v>
      </c>
      <c r="AA373" s="245"/>
      <c r="AE373" s="246"/>
    </row>
    <row r="374" ht="23.25" customHeight="1" spans="1:31">
      <c r="A374" s="212"/>
      <c r="B374" s="241" t="s">
        <v>2503</v>
      </c>
      <c r="C374" s="71" t="s">
        <v>52</v>
      </c>
      <c r="D374" s="71" t="s">
        <v>163</v>
      </c>
      <c r="E374" s="151">
        <v>120.4728</v>
      </c>
      <c r="F374" s="151">
        <v>43.7432</v>
      </c>
      <c r="G374" s="238">
        <v>153.1012</v>
      </c>
      <c r="H374" s="212">
        <v>2018</v>
      </c>
      <c r="I374" s="212">
        <v>2020</v>
      </c>
      <c r="J374" s="238">
        <v>8.071812</v>
      </c>
      <c r="K374" s="238">
        <v>0.72</v>
      </c>
      <c r="L374" s="238">
        <v>2.690604</v>
      </c>
      <c r="M374" s="238">
        <v>4.661208</v>
      </c>
      <c r="N374" s="238"/>
      <c r="O374" s="238">
        <v>8.071812</v>
      </c>
      <c r="P374" s="242"/>
      <c r="Q374" s="242"/>
      <c r="R374" s="212"/>
      <c r="S374" s="220" t="s">
        <v>2619</v>
      </c>
      <c r="T374" s="220" t="s">
        <v>2620</v>
      </c>
      <c r="U374" s="220"/>
      <c r="V374" s="112">
        <v>123</v>
      </c>
      <c r="W374" s="112">
        <v>15</v>
      </c>
      <c r="X374" s="112">
        <v>15</v>
      </c>
      <c r="Y374" s="113"/>
      <c r="Z374" s="244" t="s">
        <v>1474</v>
      </c>
      <c r="AA374" s="245"/>
      <c r="AE374" s="246"/>
    </row>
    <row r="375" ht="23.25" customHeight="1" spans="1:31">
      <c r="A375" s="212"/>
      <c r="B375" s="241" t="s">
        <v>2512</v>
      </c>
      <c r="C375" s="71" t="s">
        <v>52</v>
      </c>
      <c r="D375" s="71" t="s">
        <v>163</v>
      </c>
      <c r="E375" s="151">
        <v>74.1856</v>
      </c>
      <c r="F375" s="151">
        <v>28.3964</v>
      </c>
      <c r="G375" s="238">
        <v>99.3874</v>
      </c>
      <c r="H375" s="212">
        <v>2018</v>
      </c>
      <c r="I375" s="212">
        <v>2020</v>
      </c>
      <c r="J375" s="238">
        <v>4.642974</v>
      </c>
      <c r="K375" s="238">
        <v>0.18</v>
      </c>
      <c r="L375" s="238">
        <v>1.547658</v>
      </c>
      <c r="M375" s="238">
        <v>2.915316</v>
      </c>
      <c r="N375" s="238"/>
      <c r="O375" s="238">
        <v>4.642974</v>
      </c>
      <c r="P375" s="242"/>
      <c r="Q375" s="242"/>
      <c r="R375" s="212"/>
      <c r="S375" s="220" t="s">
        <v>2513</v>
      </c>
      <c r="T375" s="220" t="s">
        <v>2514</v>
      </c>
      <c r="U375" s="220"/>
      <c r="V375" s="112">
        <v>93</v>
      </c>
      <c r="W375" s="112">
        <v>11</v>
      </c>
      <c r="X375" s="112">
        <v>11</v>
      </c>
      <c r="Y375" s="113"/>
      <c r="Z375" s="244" t="s">
        <v>1474</v>
      </c>
      <c r="AA375" s="245"/>
      <c r="AB375" s="245"/>
      <c r="AC375" s="247"/>
      <c r="AE375" s="246"/>
    </row>
    <row r="376" ht="23.25" customHeight="1" spans="1:31">
      <c r="A376" s="212"/>
      <c r="B376" s="241" t="s">
        <v>2506</v>
      </c>
      <c r="C376" s="71" t="s">
        <v>52</v>
      </c>
      <c r="D376" s="71" t="s">
        <v>163</v>
      </c>
      <c r="E376" s="151">
        <v>172.804</v>
      </c>
      <c r="F376" s="151">
        <v>52.251</v>
      </c>
      <c r="G376" s="238">
        <v>182.8785</v>
      </c>
      <c r="H376" s="212">
        <v>2018</v>
      </c>
      <c r="I376" s="212">
        <v>2020</v>
      </c>
      <c r="J376" s="238">
        <v>13.091535</v>
      </c>
      <c r="K376" s="238">
        <v>1.68</v>
      </c>
      <c r="L376" s="238">
        <v>4.363845</v>
      </c>
      <c r="M376" s="238">
        <v>7.04769</v>
      </c>
      <c r="N376" s="238"/>
      <c r="O376" s="238">
        <v>13.091535</v>
      </c>
      <c r="P376" s="242"/>
      <c r="Q376" s="242"/>
      <c r="R376" s="212"/>
      <c r="S376" s="220" t="s">
        <v>2621</v>
      </c>
      <c r="T376" s="220" t="s">
        <v>2524</v>
      </c>
      <c r="U376" s="220"/>
      <c r="V376" s="112">
        <v>65</v>
      </c>
      <c r="W376" s="112">
        <v>7</v>
      </c>
      <c r="X376" s="112">
        <v>7</v>
      </c>
      <c r="Y376" s="113"/>
      <c r="Z376" s="244" t="s">
        <v>1474</v>
      </c>
      <c r="AA376" s="245"/>
      <c r="AB376" s="245"/>
      <c r="AC376" s="247"/>
      <c r="AE376" s="246"/>
    </row>
    <row r="377" ht="23.25" customHeight="1" spans="1:31">
      <c r="A377" s="212"/>
      <c r="B377" s="241" t="s">
        <v>2509</v>
      </c>
      <c r="C377" s="71" t="s">
        <v>52</v>
      </c>
      <c r="D377" s="71" t="s">
        <v>163</v>
      </c>
      <c r="E377" s="151">
        <v>130.5728</v>
      </c>
      <c r="F377" s="151">
        <v>65.7432</v>
      </c>
      <c r="G377" s="238">
        <v>230.1012</v>
      </c>
      <c r="H377" s="212">
        <v>2018</v>
      </c>
      <c r="I377" s="212">
        <v>2020</v>
      </c>
      <c r="J377" s="238">
        <v>6.721812</v>
      </c>
      <c r="K377" s="238">
        <v>0.27</v>
      </c>
      <c r="L377" s="238">
        <v>2.240604</v>
      </c>
      <c r="M377" s="238">
        <v>4.211208</v>
      </c>
      <c r="N377" s="238"/>
      <c r="O377" s="238">
        <v>6.721812</v>
      </c>
      <c r="P377" s="242"/>
      <c r="Q377" s="242"/>
      <c r="R377" s="212"/>
      <c r="S377" s="220" t="s">
        <v>2631</v>
      </c>
      <c r="T377" s="220" t="s">
        <v>2632</v>
      </c>
      <c r="U377" s="220"/>
      <c r="V377" s="112">
        <v>83</v>
      </c>
      <c r="W377" s="112">
        <v>9</v>
      </c>
      <c r="X377" s="112">
        <v>9</v>
      </c>
      <c r="Y377" s="113"/>
      <c r="Z377" s="244" t="s">
        <v>1474</v>
      </c>
      <c r="AA377" s="245"/>
      <c r="AB377" s="245"/>
      <c r="AC377" s="247"/>
      <c r="AE377" s="246"/>
    </row>
    <row r="378" ht="23.25" customHeight="1" spans="1:31">
      <c r="A378" s="212"/>
      <c r="B378" s="241" t="s">
        <v>2518</v>
      </c>
      <c r="C378" s="71" t="s">
        <v>52</v>
      </c>
      <c r="D378" s="71" t="s">
        <v>163</v>
      </c>
      <c r="E378" s="151">
        <v>57.2384</v>
      </c>
      <c r="F378" s="151">
        <v>25.9846</v>
      </c>
      <c r="G378" s="238">
        <v>90.9461</v>
      </c>
      <c r="H378" s="212">
        <v>2018</v>
      </c>
      <c r="I378" s="212">
        <v>2020</v>
      </c>
      <c r="J378" s="238">
        <v>3.055611</v>
      </c>
      <c r="K378" s="238">
        <v>0.07</v>
      </c>
      <c r="L378" s="238">
        <v>1.018537</v>
      </c>
      <c r="M378" s="238">
        <v>1.967074</v>
      </c>
      <c r="N378" s="238"/>
      <c r="O378" s="238">
        <v>3.055611</v>
      </c>
      <c r="P378" s="242"/>
      <c r="Q378" s="242"/>
      <c r="R378" s="212"/>
      <c r="S378" s="220" t="s">
        <v>2624</v>
      </c>
      <c r="T378" s="220" t="s">
        <v>2591</v>
      </c>
      <c r="U378" s="220"/>
      <c r="V378" s="112">
        <v>46</v>
      </c>
      <c r="W378" s="112">
        <v>5</v>
      </c>
      <c r="X378" s="112">
        <v>5</v>
      </c>
      <c r="Y378" s="113"/>
      <c r="Z378" s="244" t="s">
        <v>1474</v>
      </c>
      <c r="AA378" s="245"/>
      <c r="AB378" s="245"/>
      <c r="AC378" s="247"/>
      <c r="AE378" s="246"/>
    </row>
    <row r="379" ht="23.25" customHeight="1" spans="1:31">
      <c r="A379" s="212"/>
      <c r="B379" s="241" t="s">
        <v>2532</v>
      </c>
      <c r="C379" s="71" t="s">
        <v>52</v>
      </c>
      <c r="D379" s="71" t="s">
        <v>163</v>
      </c>
      <c r="E379" s="151">
        <v>19.2416</v>
      </c>
      <c r="F379" s="151">
        <v>4.5604</v>
      </c>
      <c r="G379" s="238">
        <v>15.9614</v>
      </c>
      <c r="H379" s="212">
        <v>2018</v>
      </c>
      <c r="I379" s="212">
        <v>2020</v>
      </c>
      <c r="J379" s="238">
        <v>1.194714</v>
      </c>
      <c r="K379" s="238">
        <v>0.06</v>
      </c>
      <c r="L379" s="238">
        <v>0.398238</v>
      </c>
      <c r="M379" s="238">
        <v>0.736476</v>
      </c>
      <c r="N379" s="238"/>
      <c r="O379" s="238">
        <v>1.194714</v>
      </c>
      <c r="P379" s="242"/>
      <c r="Q379" s="242"/>
      <c r="R379" s="212"/>
      <c r="S379" s="220" t="s">
        <v>2533</v>
      </c>
      <c r="T379" s="220" t="s">
        <v>2640</v>
      </c>
      <c r="U379" s="220"/>
      <c r="V379" s="112">
        <v>41</v>
      </c>
      <c r="W379" s="112">
        <v>5</v>
      </c>
      <c r="X379" s="112">
        <v>5</v>
      </c>
      <c r="Y379" s="113"/>
      <c r="Z379" s="244" t="s">
        <v>1474</v>
      </c>
      <c r="AA379" s="245"/>
      <c r="AB379" s="245"/>
      <c r="AC379" s="247"/>
      <c r="AE379" s="246"/>
    </row>
    <row r="380" ht="23.25" customHeight="1" spans="1:31">
      <c r="A380" s="212"/>
      <c r="B380" s="241" t="s">
        <v>2526</v>
      </c>
      <c r="C380" s="71" t="s">
        <v>52</v>
      </c>
      <c r="D380" s="71" t="s">
        <v>163</v>
      </c>
      <c r="E380" s="151">
        <v>26.2816</v>
      </c>
      <c r="F380" s="151">
        <v>10.4954</v>
      </c>
      <c r="G380" s="238">
        <v>36.7339</v>
      </c>
      <c r="H380" s="212">
        <v>2018</v>
      </c>
      <c r="I380" s="212">
        <v>2020</v>
      </c>
      <c r="J380" s="238">
        <v>1.626189</v>
      </c>
      <c r="K380" s="238">
        <v>0.02</v>
      </c>
      <c r="L380" s="238">
        <v>0.542063</v>
      </c>
      <c r="M380" s="238">
        <v>1.064126</v>
      </c>
      <c r="N380" s="238"/>
      <c r="O380" s="238">
        <v>1.626189</v>
      </c>
      <c r="P380" s="242"/>
      <c r="Q380" s="242"/>
      <c r="R380" s="212"/>
      <c r="S380" s="220" t="s">
        <v>2661</v>
      </c>
      <c r="T380" s="220" t="s">
        <v>2555</v>
      </c>
      <c r="U380" s="220"/>
      <c r="V380" s="112">
        <v>25</v>
      </c>
      <c r="W380" s="112">
        <v>3</v>
      </c>
      <c r="X380" s="112">
        <v>3</v>
      </c>
      <c r="Y380" s="113"/>
      <c r="Z380" s="244" t="s">
        <v>1474</v>
      </c>
      <c r="AA380" s="245"/>
      <c r="AB380" s="245"/>
      <c r="AC380" s="247"/>
      <c r="AE380" s="246"/>
    </row>
    <row r="381" ht="23.25" customHeight="1" spans="1:31">
      <c r="A381" s="212"/>
      <c r="B381" s="241" t="s">
        <v>2529</v>
      </c>
      <c r="C381" s="71" t="s">
        <v>52</v>
      </c>
      <c r="D381" s="71" t="s">
        <v>163</v>
      </c>
      <c r="E381" s="151">
        <v>22.0992</v>
      </c>
      <c r="F381" s="151">
        <v>10.0248</v>
      </c>
      <c r="G381" s="238">
        <v>35.0868</v>
      </c>
      <c r="H381" s="212">
        <v>2018</v>
      </c>
      <c r="I381" s="212">
        <v>2020</v>
      </c>
      <c r="J381" s="238">
        <v>1.237068</v>
      </c>
      <c r="K381" s="238">
        <v>0.03</v>
      </c>
      <c r="L381" s="238">
        <v>0.412356</v>
      </c>
      <c r="M381" s="238">
        <v>0.794712</v>
      </c>
      <c r="N381" s="238"/>
      <c r="O381" s="238">
        <v>1.237068</v>
      </c>
      <c r="P381" s="242"/>
      <c r="Q381" s="242"/>
      <c r="R381" s="212"/>
      <c r="S381" s="220" t="s">
        <v>2530</v>
      </c>
      <c r="T381" s="220" t="s">
        <v>2639</v>
      </c>
      <c r="U381" s="220"/>
      <c r="V381" s="112">
        <v>18</v>
      </c>
      <c r="W381" s="112">
        <v>2</v>
      </c>
      <c r="X381" s="112">
        <v>2</v>
      </c>
      <c r="Y381" s="113"/>
      <c r="Z381" s="244" t="s">
        <v>1474</v>
      </c>
      <c r="AA381" s="245"/>
      <c r="AB381" s="245"/>
      <c r="AC381" s="247"/>
      <c r="AE381" s="246"/>
    </row>
    <row r="382" ht="23.25" customHeight="1" spans="1:31">
      <c r="A382" s="212"/>
      <c r="B382" s="241" t="s">
        <v>2521</v>
      </c>
      <c r="C382" s="71" t="s">
        <v>52</v>
      </c>
      <c r="D382" s="71" t="s">
        <v>163</v>
      </c>
      <c r="E382" s="151">
        <v>70.4328</v>
      </c>
      <c r="F382" s="151">
        <v>39.1332</v>
      </c>
      <c r="G382" s="238">
        <v>136.9662</v>
      </c>
      <c r="H382" s="212">
        <v>2018</v>
      </c>
      <c r="I382" s="212">
        <v>2020</v>
      </c>
      <c r="J382" s="238">
        <v>2.902962</v>
      </c>
      <c r="K382" s="238">
        <v>0.1</v>
      </c>
      <c r="L382" s="238">
        <v>0.967654</v>
      </c>
      <c r="M382" s="238">
        <v>1.835308</v>
      </c>
      <c r="N382" s="238"/>
      <c r="O382" s="238">
        <v>2.902962</v>
      </c>
      <c r="P382" s="242"/>
      <c r="Q382" s="242"/>
      <c r="R382" s="212"/>
      <c r="S382" s="220" t="s">
        <v>2523</v>
      </c>
      <c r="T382" s="220" t="s">
        <v>2522</v>
      </c>
      <c r="U382" s="220"/>
      <c r="V382" s="112">
        <v>16</v>
      </c>
      <c r="W382" s="112">
        <v>2</v>
      </c>
      <c r="X382" s="112">
        <v>2</v>
      </c>
      <c r="Y382" s="113"/>
      <c r="Z382" s="244" t="s">
        <v>1474</v>
      </c>
      <c r="AA382" s="245"/>
      <c r="AB382" s="245"/>
      <c r="AC382" s="247"/>
      <c r="AE382" s="246"/>
    </row>
    <row r="383" ht="23.25" customHeight="1" spans="1:29">
      <c r="A383" s="76"/>
      <c r="B383" s="71" t="s">
        <v>897</v>
      </c>
      <c r="C383" s="71" t="s">
        <v>1124</v>
      </c>
      <c r="D383" s="71" t="s">
        <v>560</v>
      </c>
      <c r="E383" s="76">
        <f t="shared" ref="E383:G383" si="161">E384+E395</f>
        <v>107365</v>
      </c>
      <c r="F383" s="76">
        <f t="shared" si="161"/>
        <v>825</v>
      </c>
      <c r="G383" s="76">
        <f t="shared" si="161"/>
        <v>3225</v>
      </c>
      <c r="H383" s="76">
        <v>2018</v>
      </c>
      <c r="I383" s="76">
        <v>2020</v>
      </c>
      <c r="J383" s="76">
        <f t="shared" ref="J383:R383" si="162">J384+J395</f>
        <v>1164.5</v>
      </c>
      <c r="K383" s="76">
        <f t="shared" si="162"/>
        <v>280</v>
      </c>
      <c r="L383" s="76">
        <f t="shared" si="162"/>
        <v>884.5</v>
      </c>
      <c r="M383" s="76">
        <f t="shared" si="162"/>
        <v>0</v>
      </c>
      <c r="N383" s="76">
        <f t="shared" si="162"/>
        <v>0</v>
      </c>
      <c r="O383" s="76">
        <f t="shared" si="162"/>
        <v>1155.5</v>
      </c>
      <c r="P383" s="76">
        <f t="shared" si="162"/>
        <v>9</v>
      </c>
      <c r="Q383" s="76">
        <f t="shared" si="162"/>
        <v>0</v>
      </c>
      <c r="R383" s="76">
        <f t="shared" si="162"/>
        <v>0</v>
      </c>
      <c r="S383" s="220" t="s">
        <v>2501</v>
      </c>
      <c r="T383" s="220" t="s">
        <v>2502</v>
      </c>
      <c r="U383" s="220"/>
      <c r="V383" s="243"/>
      <c r="W383" s="243"/>
      <c r="X383" s="243"/>
      <c r="Y383" s="243"/>
      <c r="Z383" s="248"/>
      <c r="AA383" s="249"/>
      <c r="AB383" s="245"/>
      <c r="AC383" s="247"/>
    </row>
    <row r="384" ht="21.95" customHeight="1" spans="1:38">
      <c r="A384" s="212">
        <v>44</v>
      </c>
      <c r="B384" s="71" t="s">
        <v>1151</v>
      </c>
      <c r="C384" s="71" t="s">
        <v>1124</v>
      </c>
      <c r="D384" s="71" t="s">
        <v>560</v>
      </c>
      <c r="E384" s="212">
        <f t="shared" ref="E384:G384" si="163">SUM(E385:E394)</f>
        <v>104465</v>
      </c>
      <c r="F384" s="212">
        <f t="shared" si="163"/>
        <v>767</v>
      </c>
      <c r="G384" s="212">
        <f t="shared" si="163"/>
        <v>2988</v>
      </c>
      <c r="H384" s="212">
        <v>2018</v>
      </c>
      <c r="I384" s="212">
        <v>2019</v>
      </c>
      <c r="J384" s="212">
        <f t="shared" ref="J384:N384" si="164">SUM(J385:J394)</f>
        <v>1044.5</v>
      </c>
      <c r="K384" s="212">
        <f t="shared" si="164"/>
        <v>220</v>
      </c>
      <c r="L384" s="212">
        <f t="shared" si="164"/>
        <v>824.5</v>
      </c>
      <c r="M384" s="212">
        <f t="shared" si="164"/>
        <v>0</v>
      </c>
      <c r="N384" s="212">
        <f t="shared" si="164"/>
        <v>0</v>
      </c>
      <c r="O384" s="212">
        <f t="shared" ref="O384:O394" si="165">J384</f>
        <v>1044.5</v>
      </c>
      <c r="P384" s="212">
        <f t="shared" ref="P384:R384" si="166">SUM(P385:P394)</f>
        <v>0</v>
      </c>
      <c r="Q384" s="212">
        <f t="shared" si="166"/>
        <v>0</v>
      </c>
      <c r="R384" s="212">
        <f t="shared" si="166"/>
        <v>0</v>
      </c>
      <c r="S384" s="220"/>
      <c r="T384" s="220"/>
      <c r="U384" s="220"/>
      <c r="V384" s="113"/>
      <c r="W384" s="113"/>
      <c r="X384" s="113"/>
      <c r="Y384" s="113"/>
      <c r="Z384" s="244"/>
      <c r="AH384" s="139">
        <v>0</v>
      </c>
      <c r="AI384" s="241" t="s">
        <v>2662</v>
      </c>
      <c r="AJ384" s="241"/>
      <c r="AK384" s="101" t="s">
        <v>2663</v>
      </c>
      <c r="AL384" s="101"/>
    </row>
    <row r="385" ht="36" spans="1:38">
      <c r="A385" s="212"/>
      <c r="B385" s="71" t="s">
        <v>2664</v>
      </c>
      <c r="C385" s="71" t="s">
        <v>1124</v>
      </c>
      <c r="D385" s="71" t="s">
        <v>560</v>
      </c>
      <c r="E385" s="71">
        <v>9357</v>
      </c>
      <c r="F385" s="71">
        <v>87</v>
      </c>
      <c r="G385" s="71">
        <v>316</v>
      </c>
      <c r="H385" s="71">
        <v>2018</v>
      </c>
      <c r="I385" s="71">
        <v>2019</v>
      </c>
      <c r="J385" s="212">
        <f t="shared" ref="J385:J394" si="167">SUM(K385:M385)</f>
        <v>94</v>
      </c>
      <c r="K385" s="212">
        <v>66</v>
      </c>
      <c r="L385" s="212">
        <v>28</v>
      </c>
      <c r="M385" s="212"/>
      <c r="N385" s="212"/>
      <c r="O385" s="212">
        <f t="shared" si="165"/>
        <v>94</v>
      </c>
      <c r="P385" s="212"/>
      <c r="Q385" s="212"/>
      <c r="R385" s="212"/>
      <c r="S385" s="220" t="s">
        <v>2513</v>
      </c>
      <c r="T385" s="220" t="s">
        <v>2514</v>
      </c>
      <c r="U385" s="220"/>
      <c r="V385" s="113"/>
      <c r="W385" s="113"/>
      <c r="X385" s="113"/>
      <c r="Y385" s="113"/>
      <c r="Z385" s="244" t="s">
        <v>1474</v>
      </c>
      <c r="AH385" s="139" t="s">
        <v>2512</v>
      </c>
      <c r="AI385" s="102">
        <v>32</v>
      </c>
      <c r="AJ385" s="102">
        <v>156</v>
      </c>
      <c r="AK385" s="71">
        <v>87</v>
      </c>
      <c r="AL385" s="71">
        <v>316</v>
      </c>
    </row>
    <row r="386" ht="36" spans="1:38">
      <c r="A386" s="212"/>
      <c r="B386" s="71" t="s">
        <v>2665</v>
      </c>
      <c r="C386" s="71" t="s">
        <v>1124</v>
      </c>
      <c r="D386" s="71" t="s">
        <v>560</v>
      </c>
      <c r="E386" s="71">
        <v>8505</v>
      </c>
      <c r="F386" s="71">
        <v>112</v>
      </c>
      <c r="G386" s="71">
        <v>468</v>
      </c>
      <c r="H386" s="71">
        <v>2019</v>
      </c>
      <c r="I386" s="71">
        <v>2019</v>
      </c>
      <c r="J386" s="212">
        <f t="shared" si="167"/>
        <v>85</v>
      </c>
      <c r="K386" s="71"/>
      <c r="L386" s="212">
        <v>85</v>
      </c>
      <c r="M386" s="71"/>
      <c r="N386" s="76"/>
      <c r="O386" s="212">
        <f t="shared" si="165"/>
        <v>85</v>
      </c>
      <c r="P386" s="76"/>
      <c r="Q386" s="76"/>
      <c r="R386" s="76"/>
      <c r="S386" s="220" t="s">
        <v>2626</v>
      </c>
      <c r="T386" s="220" t="s">
        <v>1277</v>
      </c>
      <c r="U386" s="220"/>
      <c r="V386" s="113"/>
      <c r="W386" s="113"/>
      <c r="X386" s="113"/>
      <c r="Y386" s="113"/>
      <c r="Z386" s="244" t="s">
        <v>2606</v>
      </c>
      <c r="AH386" s="139" t="s">
        <v>2515</v>
      </c>
      <c r="AI386" s="102">
        <v>238</v>
      </c>
      <c r="AJ386" s="102">
        <v>1000</v>
      </c>
      <c r="AK386" s="71">
        <v>112</v>
      </c>
      <c r="AL386" s="71">
        <v>468</v>
      </c>
    </row>
    <row r="387" ht="36" spans="1:38">
      <c r="A387" s="212"/>
      <c r="B387" s="71" t="s">
        <v>2666</v>
      </c>
      <c r="C387" s="71" t="s">
        <v>1124</v>
      </c>
      <c r="D387" s="71" t="s">
        <v>560</v>
      </c>
      <c r="E387" s="71">
        <v>12252</v>
      </c>
      <c r="F387" s="71">
        <v>131</v>
      </c>
      <c r="G387" s="71">
        <v>521</v>
      </c>
      <c r="H387" s="71">
        <v>2018</v>
      </c>
      <c r="I387" s="71">
        <v>2019</v>
      </c>
      <c r="J387" s="212">
        <f t="shared" si="167"/>
        <v>122</v>
      </c>
      <c r="K387" s="71">
        <v>76</v>
      </c>
      <c r="L387" s="212">
        <v>46</v>
      </c>
      <c r="M387" s="71"/>
      <c r="N387" s="76"/>
      <c r="O387" s="212">
        <f t="shared" si="165"/>
        <v>122</v>
      </c>
      <c r="P387" s="76"/>
      <c r="Q387" s="76"/>
      <c r="R387" s="76"/>
      <c r="S387" s="220" t="s">
        <v>2619</v>
      </c>
      <c r="T387" s="220" t="s">
        <v>2620</v>
      </c>
      <c r="U387" s="220"/>
      <c r="V387" s="113"/>
      <c r="W387" s="113"/>
      <c r="X387" s="113"/>
      <c r="Y387" s="113"/>
      <c r="Z387" s="244" t="s">
        <v>1474</v>
      </c>
      <c r="AH387" s="139" t="s">
        <v>2503</v>
      </c>
      <c r="AI387" s="102">
        <v>25</v>
      </c>
      <c r="AJ387" s="102">
        <v>106</v>
      </c>
      <c r="AK387" s="71">
        <v>131</v>
      </c>
      <c r="AL387" s="71">
        <v>521</v>
      </c>
    </row>
    <row r="388" ht="36" spans="1:38">
      <c r="A388" s="212"/>
      <c r="B388" s="71" t="s">
        <v>2667</v>
      </c>
      <c r="C388" s="71" t="s">
        <v>1124</v>
      </c>
      <c r="D388" s="71" t="s">
        <v>560</v>
      </c>
      <c r="E388" s="71">
        <v>4370</v>
      </c>
      <c r="F388" s="71">
        <v>17</v>
      </c>
      <c r="G388" s="71">
        <v>47</v>
      </c>
      <c r="H388" s="71">
        <v>2018</v>
      </c>
      <c r="I388" s="71">
        <v>2019</v>
      </c>
      <c r="J388" s="212">
        <f t="shared" si="167"/>
        <v>44</v>
      </c>
      <c r="K388" s="71">
        <v>10</v>
      </c>
      <c r="L388" s="212">
        <v>34</v>
      </c>
      <c r="M388" s="71"/>
      <c r="N388" s="76"/>
      <c r="O388" s="212">
        <f t="shared" si="165"/>
        <v>44</v>
      </c>
      <c r="P388" s="76"/>
      <c r="Q388" s="76"/>
      <c r="R388" s="76"/>
      <c r="S388" s="220" t="s">
        <v>2623</v>
      </c>
      <c r="T388" s="220" t="s">
        <v>2555</v>
      </c>
      <c r="U388" s="220"/>
      <c r="V388" s="113"/>
      <c r="W388" s="113"/>
      <c r="X388" s="113"/>
      <c r="Y388" s="113"/>
      <c r="Z388" s="244" t="s">
        <v>1474</v>
      </c>
      <c r="AF388" s="68" t="s">
        <v>2668</v>
      </c>
      <c r="AH388" s="139" t="s">
        <v>2526</v>
      </c>
      <c r="AI388" s="102">
        <v>16</v>
      </c>
      <c r="AJ388" s="102">
        <v>57</v>
      </c>
      <c r="AK388" s="71">
        <v>17</v>
      </c>
      <c r="AL388" s="71">
        <v>47</v>
      </c>
    </row>
    <row r="389" ht="36" spans="1:38">
      <c r="A389" s="212"/>
      <c r="B389" s="71" t="s">
        <v>2669</v>
      </c>
      <c r="C389" s="71" t="s">
        <v>1124</v>
      </c>
      <c r="D389" s="71" t="s">
        <v>560</v>
      </c>
      <c r="E389" s="71">
        <v>21810</v>
      </c>
      <c r="F389" s="71">
        <v>184</v>
      </c>
      <c r="G389" s="71">
        <v>811</v>
      </c>
      <c r="H389" s="71">
        <v>2019</v>
      </c>
      <c r="I389" s="71">
        <v>2019</v>
      </c>
      <c r="J389" s="212">
        <f t="shared" si="167"/>
        <v>218</v>
      </c>
      <c r="K389" s="71"/>
      <c r="L389" s="212">
        <v>218</v>
      </c>
      <c r="M389" s="71"/>
      <c r="N389" s="76"/>
      <c r="O389" s="212">
        <f t="shared" si="165"/>
        <v>218</v>
      </c>
      <c r="P389" s="76"/>
      <c r="Q389" s="76"/>
      <c r="R389" s="76"/>
      <c r="S389" s="220" t="s">
        <v>2621</v>
      </c>
      <c r="T389" s="220" t="s">
        <v>2524</v>
      </c>
      <c r="U389" s="220"/>
      <c r="V389" s="113"/>
      <c r="W389" s="113"/>
      <c r="X389" s="113"/>
      <c r="Y389" s="113"/>
      <c r="Z389" s="244" t="s">
        <v>2606</v>
      </c>
      <c r="AH389" s="139" t="s">
        <v>2506</v>
      </c>
      <c r="AI389" s="102">
        <v>141</v>
      </c>
      <c r="AJ389" s="102">
        <v>644</v>
      </c>
      <c r="AK389" s="71">
        <v>184</v>
      </c>
      <c r="AL389" s="71">
        <v>811</v>
      </c>
    </row>
    <row r="390" ht="36" spans="1:38">
      <c r="A390" s="212"/>
      <c r="B390" s="71" t="s">
        <v>2670</v>
      </c>
      <c r="C390" s="71" t="s">
        <v>1124</v>
      </c>
      <c r="D390" s="71" t="s">
        <v>560</v>
      </c>
      <c r="E390" s="71">
        <v>8100</v>
      </c>
      <c r="F390" s="71">
        <v>47</v>
      </c>
      <c r="G390" s="71">
        <v>152</v>
      </c>
      <c r="H390" s="71">
        <v>2019</v>
      </c>
      <c r="I390" s="71">
        <v>2019</v>
      </c>
      <c r="J390" s="212">
        <f t="shared" si="167"/>
        <v>81</v>
      </c>
      <c r="K390" s="71"/>
      <c r="L390" s="212">
        <v>81</v>
      </c>
      <c r="M390" s="71"/>
      <c r="N390" s="76"/>
      <c r="O390" s="212">
        <f t="shared" si="165"/>
        <v>81</v>
      </c>
      <c r="P390" s="76"/>
      <c r="Q390" s="76"/>
      <c r="R390" s="76"/>
      <c r="S390" s="220" t="s">
        <v>2523</v>
      </c>
      <c r="T390" s="220" t="s">
        <v>2522</v>
      </c>
      <c r="U390" s="220"/>
      <c r="V390" s="113"/>
      <c r="W390" s="113"/>
      <c r="X390" s="113"/>
      <c r="Y390" s="113"/>
      <c r="Z390" s="244" t="s">
        <v>2606</v>
      </c>
      <c r="AH390" s="139" t="s">
        <v>2521</v>
      </c>
      <c r="AI390" s="102">
        <v>66</v>
      </c>
      <c r="AJ390" s="102">
        <v>218</v>
      </c>
      <c r="AK390" s="71">
        <v>47</v>
      </c>
      <c r="AL390" s="71">
        <v>152</v>
      </c>
    </row>
    <row r="391" ht="36" spans="1:38">
      <c r="A391" s="212"/>
      <c r="B391" s="71" t="s">
        <v>2671</v>
      </c>
      <c r="C391" s="71" t="s">
        <v>1124</v>
      </c>
      <c r="D391" s="71" t="s">
        <v>560</v>
      </c>
      <c r="E391" s="71">
        <v>10243</v>
      </c>
      <c r="F391" s="71">
        <v>27</v>
      </c>
      <c r="G391" s="71">
        <v>86</v>
      </c>
      <c r="H391" s="71">
        <v>2018</v>
      </c>
      <c r="I391" s="71">
        <v>2019</v>
      </c>
      <c r="J391" s="212">
        <f t="shared" si="167"/>
        <v>102</v>
      </c>
      <c r="K391" s="71">
        <v>64</v>
      </c>
      <c r="L391" s="212">
        <v>38</v>
      </c>
      <c r="M391" s="71"/>
      <c r="N391" s="76"/>
      <c r="O391" s="212">
        <f t="shared" si="165"/>
        <v>102</v>
      </c>
      <c r="P391" s="76"/>
      <c r="Q391" s="76"/>
      <c r="R391" s="76"/>
      <c r="S391" s="220" t="s">
        <v>2624</v>
      </c>
      <c r="T391" s="220" t="s">
        <v>2591</v>
      </c>
      <c r="U391" s="220"/>
      <c r="V391" s="113"/>
      <c r="W391" s="113"/>
      <c r="X391" s="113"/>
      <c r="Y391" s="113"/>
      <c r="Z391" s="244" t="s">
        <v>1474</v>
      </c>
      <c r="AH391" s="139" t="s">
        <v>2518</v>
      </c>
      <c r="AI391" s="102">
        <v>2</v>
      </c>
      <c r="AJ391" s="102">
        <v>8</v>
      </c>
      <c r="AK391" s="71">
        <v>27</v>
      </c>
      <c r="AL391" s="71">
        <v>86</v>
      </c>
    </row>
    <row r="392" ht="36" spans="1:38">
      <c r="A392" s="212"/>
      <c r="B392" s="71" t="s">
        <v>2672</v>
      </c>
      <c r="C392" s="71" t="s">
        <v>1124</v>
      </c>
      <c r="D392" s="71" t="s">
        <v>560</v>
      </c>
      <c r="E392" s="71">
        <v>21950</v>
      </c>
      <c r="F392" s="71">
        <v>103</v>
      </c>
      <c r="G392" s="71">
        <v>391</v>
      </c>
      <c r="H392" s="71">
        <v>2019</v>
      </c>
      <c r="I392" s="71">
        <v>2019</v>
      </c>
      <c r="J392" s="212">
        <f t="shared" si="167"/>
        <v>220</v>
      </c>
      <c r="K392" s="71"/>
      <c r="L392" s="212">
        <v>220</v>
      </c>
      <c r="M392" s="71"/>
      <c r="N392" s="76"/>
      <c r="O392" s="212">
        <f t="shared" si="165"/>
        <v>220</v>
      </c>
      <c r="P392" s="76"/>
      <c r="Q392" s="76"/>
      <c r="R392" s="76"/>
      <c r="S392" s="220" t="s">
        <v>2631</v>
      </c>
      <c r="T392" s="220" t="s">
        <v>2632</v>
      </c>
      <c r="U392" s="220"/>
      <c r="V392" s="113"/>
      <c r="W392" s="113"/>
      <c r="X392" s="113"/>
      <c r="Y392" s="113"/>
      <c r="Z392" s="244" t="s">
        <v>2606</v>
      </c>
      <c r="AH392" s="139" t="s">
        <v>2509</v>
      </c>
      <c r="AI392" s="102">
        <v>138</v>
      </c>
      <c r="AJ392" s="102">
        <v>538</v>
      </c>
      <c r="AK392" s="71">
        <v>103</v>
      </c>
      <c r="AL392" s="71">
        <v>391</v>
      </c>
    </row>
    <row r="393" ht="36" spans="1:38">
      <c r="A393" s="212"/>
      <c r="B393" s="71" t="s">
        <v>2673</v>
      </c>
      <c r="C393" s="71" t="s">
        <v>1124</v>
      </c>
      <c r="D393" s="71" t="s">
        <v>560</v>
      </c>
      <c r="E393" s="71">
        <v>648</v>
      </c>
      <c r="F393" s="71">
        <v>9</v>
      </c>
      <c r="G393" s="71">
        <v>25</v>
      </c>
      <c r="H393" s="71">
        <v>2018</v>
      </c>
      <c r="I393" s="71">
        <v>2019</v>
      </c>
      <c r="J393" s="212">
        <f t="shared" si="167"/>
        <v>6.5</v>
      </c>
      <c r="K393" s="71">
        <v>4</v>
      </c>
      <c r="L393" s="212">
        <v>2.5</v>
      </c>
      <c r="M393" s="71"/>
      <c r="N393" s="76"/>
      <c r="O393" s="212">
        <f t="shared" si="165"/>
        <v>6.5</v>
      </c>
      <c r="P393" s="76"/>
      <c r="Q393" s="76"/>
      <c r="R393" s="76"/>
      <c r="S393" s="220" t="s">
        <v>2533</v>
      </c>
      <c r="T393" s="220" t="s">
        <v>2640</v>
      </c>
      <c r="U393" s="220"/>
      <c r="V393" s="113"/>
      <c r="W393" s="113"/>
      <c r="X393" s="113"/>
      <c r="Y393" s="113"/>
      <c r="Z393" s="244" t="s">
        <v>1474</v>
      </c>
      <c r="AH393" s="139" t="s">
        <v>2532</v>
      </c>
      <c r="AI393" s="102">
        <v>6</v>
      </c>
      <c r="AJ393" s="102">
        <v>16</v>
      </c>
      <c r="AK393" s="71">
        <v>9</v>
      </c>
      <c r="AL393" s="71">
        <v>25</v>
      </c>
    </row>
    <row r="394" ht="36" spans="1:38">
      <c r="A394" s="212"/>
      <c r="B394" s="71" t="s">
        <v>2674</v>
      </c>
      <c r="C394" s="71" t="s">
        <v>1124</v>
      </c>
      <c r="D394" s="71" t="s">
        <v>560</v>
      </c>
      <c r="E394" s="71">
        <v>7230</v>
      </c>
      <c r="F394" s="71">
        <v>50</v>
      </c>
      <c r="G394" s="71">
        <v>171</v>
      </c>
      <c r="H394" s="71">
        <v>2019</v>
      </c>
      <c r="I394" s="71">
        <v>2019</v>
      </c>
      <c r="J394" s="212">
        <f t="shared" si="167"/>
        <v>72</v>
      </c>
      <c r="K394" s="71"/>
      <c r="L394" s="212">
        <v>72</v>
      </c>
      <c r="M394" s="71"/>
      <c r="N394" s="76"/>
      <c r="O394" s="212">
        <f t="shared" si="165"/>
        <v>72</v>
      </c>
      <c r="P394" s="76"/>
      <c r="Q394" s="76"/>
      <c r="R394" s="76"/>
      <c r="S394" s="220" t="s">
        <v>2530</v>
      </c>
      <c r="T394" s="220" t="s">
        <v>2639</v>
      </c>
      <c r="U394" s="220"/>
      <c r="V394" s="113"/>
      <c r="W394" s="113"/>
      <c r="X394" s="113"/>
      <c r="Y394" s="113"/>
      <c r="Z394" s="244" t="s">
        <v>2606</v>
      </c>
      <c r="AH394" s="139" t="s">
        <v>2529</v>
      </c>
      <c r="AI394" s="102">
        <v>52</v>
      </c>
      <c r="AJ394" s="102">
        <v>182</v>
      </c>
      <c r="AK394" s="71">
        <v>50</v>
      </c>
      <c r="AL394" s="71">
        <v>171</v>
      </c>
    </row>
    <row r="395" ht="21.95" customHeight="1" spans="1:27">
      <c r="A395" s="212"/>
      <c r="B395" s="250" t="s">
        <v>1162</v>
      </c>
      <c r="C395" s="71" t="s">
        <v>52</v>
      </c>
      <c r="D395" s="71" t="s">
        <v>192</v>
      </c>
      <c r="E395" s="227">
        <f t="shared" ref="E395:G395" si="168">SUM(E396:E399)</f>
        <v>2900</v>
      </c>
      <c r="F395" s="227">
        <f t="shared" si="168"/>
        <v>58</v>
      </c>
      <c r="G395" s="227">
        <f t="shared" si="168"/>
        <v>237</v>
      </c>
      <c r="H395" s="227">
        <v>2018</v>
      </c>
      <c r="I395" s="227">
        <v>2019</v>
      </c>
      <c r="J395" s="227">
        <f t="shared" ref="J395:R395" si="169">SUM(J396:J399)</f>
        <v>120</v>
      </c>
      <c r="K395" s="227">
        <f t="shared" si="169"/>
        <v>60</v>
      </c>
      <c r="L395" s="227">
        <f t="shared" si="169"/>
        <v>60</v>
      </c>
      <c r="M395" s="227">
        <f t="shared" si="169"/>
        <v>0</v>
      </c>
      <c r="N395" s="227">
        <f t="shared" si="169"/>
        <v>0</v>
      </c>
      <c r="O395" s="227">
        <f t="shared" si="169"/>
        <v>111</v>
      </c>
      <c r="P395" s="227">
        <f t="shared" si="169"/>
        <v>9</v>
      </c>
      <c r="Q395" s="227">
        <f t="shared" si="169"/>
        <v>0</v>
      </c>
      <c r="R395" s="227">
        <f t="shared" si="169"/>
        <v>0</v>
      </c>
      <c r="S395" s="220"/>
      <c r="T395" s="220"/>
      <c r="U395" s="220"/>
      <c r="V395" s="113"/>
      <c r="W395" s="113"/>
      <c r="X395" s="113"/>
      <c r="Y395" s="113"/>
      <c r="Z395" s="244"/>
      <c r="AA395" s="164"/>
    </row>
    <row r="396" ht="39.75" customHeight="1" spans="1:27">
      <c r="A396" s="212"/>
      <c r="B396" s="71" t="s">
        <v>2675</v>
      </c>
      <c r="C396" s="71" t="s">
        <v>52</v>
      </c>
      <c r="D396" s="71" t="s">
        <v>192</v>
      </c>
      <c r="E396" s="212">
        <v>2</v>
      </c>
      <c r="F396" s="212">
        <v>11</v>
      </c>
      <c r="G396" s="212">
        <v>46</v>
      </c>
      <c r="H396" s="212">
        <v>2019</v>
      </c>
      <c r="I396" s="212">
        <v>2019</v>
      </c>
      <c r="J396" s="212">
        <f t="shared" ref="J396:J399" si="170">K396+L396+M396</f>
        <v>60</v>
      </c>
      <c r="K396" s="212"/>
      <c r="L396" s="212">
        <v>60</v>
      </c>
      <c r="M396" s="212"/>
      <c r="N396" s="212"/>
      <c r="O396" s="212">
        <v>60</v>
      </c>
      <c r="P396" s="212"/>
      <c r="Q396" s="212"/>
      <c r="R396" s="212"/>
      <c r="S396" s="220" t="s">
        <v>2631</v>
      </c>
      <c r="T396" s="220" t="s">
        <v>2632</v>
      </c>
      <c r="U396" s="220"/>
      <c r="V396" s="113"/>
      <c r="W396" s="113"/>
      <c r="X396" s="113"/>
      <c r="Y396" s="113"/>
      <c r="Z396" s="244" t="s">
        <v>2606</v>
      </c>
      <c r="AA396" s="164"/>
    </row>
    <row r="397" ht="30" customHeight="1" spans="1:27">
      <c r="A397" s="212"/>
      <c r="B397" s="71" t="s">
        <v>2676</v>
      </c>
      <c r="C397" s="71" t="s">
        <v>52</v>
      </c>
      <c r="D397" s="71" t="s">
        <v>1504</v>
      </c>
      <c r="E397" s="212">
        <v>948</v>
      </c>
      <c r="F397" s="212">
        <v>32</v>
      </c>
      <c r="G397" s="212">
        <v>133</v>
      </c>
      <c r="H397" s="212">
        <v>2018</v>
      </c>
      <c r="I397" s="212">
        <v>2018</v>
      </c>
      <c r="J397" s="212">
        <f t="shared" si="170"/>
        <v>18</v>
      </c>
      <c r="K397" s="212">
        <v>18</v>
      </c>
      <c r="L397" s="212"/>
      <c r="M397" s="212"/>
      <c r="N397" s="212"/>
      <c r="O397" s="212">
        <v>18</v>
      </c>
      <c r="P397" s="212"/>
      <c r="Q397" s="212"/>
      <c r="R397" s="212"/>
      <c r="S397" s="220" t="s">
        <v>2626</v>
      </c>
      <c r="T397" s="220" t="s">
        <v>1277</v>
      </c>
      <c r="U397" s="220"/>
      <c r="V397" s="113"/>
      <c r="W397" s="113"/>
      <c r="X397" s="113"/>
      <c r="Y397" s="113"/>
      <c r="Z397" s="244" t="s">
        <v>1441</v>
      </c>
      <c r="AA397" s="164"/>
    </row>
    <row r="398" ht="30" customHeight="1" spans="1:27">
      <c r="A398" s="212"/>
      <c r="B398" s="71" t="s">
        <v>2677</v>
      </c>
      <c r="C398" s="71" t="s">
        <v>52</v>
      </c>
      <c r="D398" s="71" t="s">
        <v>1504</v>
      </c>
      <c r="E398" s="212">
        <v>1650</v>
      </c>
      <c r="F398" s="212">
        <v>12</v>
      </c>
      <c r="G398" s="212">
        <v>50</v>
      </c>
      <c r="H398" s="212">
        <v>2018</v>
      </c>
      <c r="I398" s="212">
        <v>2018</v>
      </c>
      <c r="J398" s="212">
        <f t="shared" si="170"/>
        <v>33</v>
      </c>
      <c r="K398" s="212">
        <v>33</v>
      </c>
      <c r="L398" s="212"/>
      <c r="M398" s="212"/>
      <c r="N398" s="212"/>
      <c r="O398" s="212">
        <v>33</v>
      </c>
      <c r="P398" s="212"/>
      <c r="Q398" s="212"/>
      <c r="R398" s="212"/>
      <c r="S398" s="220" t="s">
        <v>2626</v>
      </c>
      <c r="T398" s="220" t="s">
        <v>1277</v>
      </c>
      <c r="U398" s="220"/>
      <c r="V398" s="113"/>
      <c r="W398" s="113"/>
      <c r="X398" s="113"/>
      <c r="Y398" s="113"/>
      <c r="Z398" s="244" t="s">
        <v>1441</v>
      </c>
      <c r="AA398" s="164"/>
    </row>
    <row r="399" ht="36" customHeight="1" spans="1:27">
      <c r="A399" s="212"/>
      <c r="B399" s="71" t="s">
        <v>2678</v>
      </c>
      <c r="C399" s="71" t="s">
        <v>52</v>
      </c>
      <c r="D399" s="71" t="s">
        <v>1504</v>
      </c>
      <c r="E399" s="212">
        <v>300</v>
      </c>
      <c r="F399" s="212">
        <v>3</v>
      </c>
      <c r="G399" s="212">
        <v>8</v>
      </c>
      <c r="H399" s="212">
        <v>2018</v>
      </c>
      <c r="I399" s="212">
        <v>2018</v>
      </c>
      <c r="J399" s="212">
        <f t="shared" si="170"/>
        <v>9</v>
      </c>
      <c r="K399" s="212">
        <v>9</v>
      </c>
      <c r="L399" s="212"/>
      <c r="M399" s="212"/>
      <c r="N399" s="212"/>
      <c r="O399" s="212"/>
      <c r="P399" s="212">
        <v>9</v>
      </c>
      <c r="Q399" s="212"/>
      <c r="R399" s="212"/>
      <c r="S399" s="220" t="s">
        <v>2631</v>
      </c>
      <c r="T399" s="220" t="s">
        <v>2632</v>
      </c>
      <c r="U399" s="220"/>
      <c r="V399" s="113"/>
      <c r="W399" s="113"/>
      <c r="X399" s="113"/>
      <c r="Y399" s="113"/>
      <c r="Z399" s="244" t="s">
        <v>1441</v>
      </c>
      <c r="AA399" s="164"/>
    </row>
    <row r="400" ht="23.25" customHeight="1" spans="1:27">
      <c r="A400" s="212">
        <v>45</v>
      </c>
      <c r="B400" s="212" t="s">
        <v>916</v>
      </c>
      <c r="C400" s="71" t="s">
        <v>320</v>
      </c>
      <c r="D400" s="71" t="s">
        <v>320</v>
      </c>
      <c r="E400" s="212"/>
      <c r="F400" s="212"/>
      <c r="G400" s="212"/>
      <c r="H400" s="212"/>
      <c r="I400" s="212"/>
      <c r="J400" s="212">
        <f t="shared" ref="J400:R400" si="171">J401+J412+J413+J424+J425</f>
        <v>2092.8</v>
      </c>
      <c r="K400" s="212">
        <f t="shared" si="171"/>
        <v>697.6</v>
      </c>
      <c r="L400" s="212">
        <f t="shared" si="171"/>
        <v>537.6</v>
      </c>
      <c r="M400" s="212">
        <f t="shared" si="171"/>
        <v>857.6</v>
      </c>
      <c r="N400" s="212">
        <f t="shared" si="171"/>
        <v>2092.8</v>
      </c>
      <c r="O400" s="212">
        <f t="shared" si="171"/>
        <v>0</v>
      </c>
      <c r="P400" s="212">
        <f t="shared" si="171"/>
        <v>0</v>
      </c>
      <c r="Q400" s="212">
        <f t="shared" si="171"/>
        <v>0</v>
      </c>
      <c r="R400" s="212">
        <f t="shared" si="171"/>
        <v>0</v>
      </c>
      <c r="S400" s="220"/>
      <c r="T400" s="220"/>
      <c r="U400" s="220"/>
      <c r="V400" s="113"/>
      <c r="W400" s="113"/>
      <c r="X400" s="113"/>
      <c r="Y400" s="113"/>
      <c r="Z400" s="244"/>
      <c r="AA400" s="164"/>
    </row>
    <row r="401" ht="23.25" customHeight="1" spans="1:27">
      <c r="A401" s="212">
        <v>46</v>
      </c>
      <c r="B401" s="71" t="s">
        <v>413</v>
      </c>
      <c r="C401" s="71" t="s">
        <v>320</v>
      </c>
      <c r="D401" s="71" t="s">
        <v>45</v>
      </c>
      <c r="E401" s="212">
        <v>12000</v>
      </c>
      <c r="F401" s="212">
        <v>50</v>
      </c>
      <c r="G401" s="212">
        <v>224</v>
      </c>
      <c r="H401" s="212">
        <v>2018</v>
      </c>
      <c r="I401" s="212">
        <v>2020</v>
      </c>
      <c r="J401" s="212">
        <f t="shared" ref="J401:J411" si="172">K401+L401+M401</f>
        <v>1920</v>
      </c>
      <c r="K401" s="212">
        <v>640</v>
      </c>
      <c r="L401" s="212">
        <v>480</v>
      </c>
      <c r="M401" s="212">
        <v>800</v>
      </c>
      <c r="N401" s="212">
        <v>1920</v>
      </c>
      <c r="O401" s="212"/>
      <c r="P401" s="212"/>
      <c r="Q401" s="212"/>
      <c r="R401" s="212"/>
      <c r="S401" s="220" t="s">
        <v>2501</v>
      </c>
      <c r="T401" s="220" t="s">
        <v>2502</v>
      </c>
      <c r="U401" s="220" t="s">
        <v>417</v>
      </c>
      <c r="V401" s="113"/>
      <c r="W401" s="113"/>
      <c r="X401" s="113"/>
      <c r="Y401" s="113"/>
      <c r="Z401" s="244" t="s">
        <v>1474</v>
      </c>
      <c r="AA401" s="164"/>
    </row>
    <row r="402" ht="23.25" customHeight="1" spans="1:27">
      <c r="A402" s="212"/>
      <c r="B402" s="71" t="s">
        <v>2503</v>
      </c>
      <c r="C402" s="71" t="s">
        <v>320</v>
      </c>
      <c r="D402" s="71" t="s">
        <v>147</v>
      </c>
      <c r="E402" s="212">
        <v>1200</v>
      </c>
      <c r="F402" s="212"/>
      <c r="G402" s="212"/>
      <c r="H402" s="212"/>
      <c r="I402" s="212"/>
      <c r="J402" s="212">
        <f t="shared" si="172"/>
        <v>192</v>
      </c>
      <c r="K402" s="212">
        <v>64</v>
      </c>
      <c r="L402" s="212">
        <v>48</v>
      </c>
      <c r="M402" s="212">
        <v>80</v>
      </c>
      <c r="N402" s="212">
        <v>192</v>
      </c>
      <c r="O402" s="212"/>
      <c r="P402" s="212"/>
      <c r="Q402" s="212"/>
      <c r="R402" s="212"/>
      <c r="S402" s="220"/>
      <c r="T402" s="220"/>
      <c r="U402" s="220"/>
      <c r="V402" s="113"/>
      <c r="W402" s="113"/>
      <c r="X402" s="113"/>
      <c r="Y402" s="113"/>
      <c r="Z402" s="244"/>
      <c r="AA402" s="164"/>
    </row>
    <row r="403" ht="23.25" customHeight="1" spans="1:27">
      <c r="A403" s="212"/>
      <c r="B403" s="71" t="s">
        <v>2506</v>
      </c>
      <c r="C403" s="71" t="s">
        <v>320</v>
      </c>
      <c r="D403" s="71" t="s">
        <v>147</v>
      </c>
      <c r="E403" s="212">
        <v>1200</v>
      </c>
      <c r="F403" s="212"/>
      <c r="G403" s="212"/>
      <c r="H403" s="212"/>
      <c r="I403" s="212"/>
      <c r="J403" s="212">
        <f t="shared" si="172"/>
        <v>192</v>
      </c>
      <c r="K403" s="212">
        <v>64</v>
      </c>
      <c r="L403" s="212">
        <v>48</v>
      </c>
      <c r="M403" s="212">
        <v>80</v>
      </c>
      <c r="N403" s="212">
        <v>192</v>
      </c>
      <c r="O403" s="212"/>
      <c r="P403" s="212"/>
      <c r="Q403" s="212"/>
      <c r="R403" s="212"/>
      <c r="S403" s="220"/>
      <c r="T403" s="220"/>
      <c r="U403" s="220"/>
      <c r="V403" s="113"/>
      <c r="W403" s="113"/>
      <c r="X403" s="113"/>
      <c r="Y403" s="113"/>
      <c r="Z403" s="244"/>
      <c r="AA403" s="164"/>
    </row>
    <row r="404" ht="23.25" customHeight="1" spans="1:27">
      <c r="A404" s="212"/>
      <c r="B404" s="71" t="s">
        <v>2509</v>
      </c>
      <c r="C404" s="71" t="s">
        <v>320</v>
      </c>
      <c r="D404" s="71" t="s">
        <v>147</v>
      </c>
      <c r="E404" s="212">
        <v>1200</v>
      </c>
      <c r="F404" s="212"/>
      <c r="G404" s="212"/>
      <c r="H404" s="212"/>
      <c r="I404" s="212"/>
      <c r="J404" s="212">
        <f t="shared" si="172"/>
        <v>192</v>
      </c>
      <c r="K404" s="212">
        <v>64</v>
      </c>
      <c r="L404" s="212">
        <v>48</v>
      </c>
      <c r="M404" s="212">
        <v>80</v>
      </c>
      <c r="N404" s="212">
        <v>192</v>
      </c>
      <c r="O404" s="212"/>
      <c r="P404" s="212"/>
      <c r="Q404" s="212"/>
      <c r="R404" s="212"/>
      <c r="S404" s="220"/>
      <c r="T404" s="220" t="s">
        <v>2679</v>
      </c>
      <c r="U404" s="220"/>
      <c r="V404" s="113"/>
      <c r="W404" s="113"/>
      <c r="X404" s="113"/>
      <c r="Y404" s="113"/>
      <c r="Z404" s="244"/>
      <c r="AA404" s="164"/>
    </row>
    <row r="405" ht="23.25" customHeight="1" spans="1:27">
      <c r="A405" s="212"/>
      <c r="B405" s="71" t="s">
        <v>2512</v>
      </c>
      <c r="C405" s="71" t="s">
        <v>320</v>
      </c>
      <c r="D405" s="71" t="s">
        <v>147</v>
      </c>
      <c r="E405" s="212">
        <v>1200</v>
      </c>
      <c r="F405" s="212"/>
      <c r="G405" s="212"/>
      <c r="H405" s="212"/>
      <c r="I405" s="212"/>
      <c r="J405" s="212">
        <f t="shared" si="172"/>
        <v>192</v>
      </c>
      <c r="K405" s="212">
        <v>64</v>
      </c>
      <c r="L405" s="212">
        <v>48</v>
      </c>
      <c r="M405" s="212">
        <v>80</v>
      </c>
      <c r="N405" s="212">
        <v>192</v>
      </c>
      <c r="O405" s="212"/>
      <c r="P405" s="212"/>
      <c r="Q405" s="212"/>
      <c r="R405" s="212"/>
      <c r="S405" s="220"/>
      <c r="T405" s="220"/>
      <c r="U405" s="220"/>
      <c r="V405" s="113"/>
      <c r="W405" s="113"/>
      <c r="X405" s="113"/>
      <c r="Y405" s="113"/>
      <c r="Z405" s="244"/>
      <c r="AA405" s="164"/>
    </row>
    <row r="406" ht="23.25" customHeight="1" spans="1:27">
      <c r="A406" s="212"/>
      <c r="B406" s="71" t="s">
        <v>2515</v>
      </c>
      <c r="C406" s="71" t="s">
        <v>320</v>
      </c>
      <c r="D406" s="71" t="s">
        <v>147</v>
      </c>
      <c r="E406" s="212">
        <v>1200</v>
      </c>
      <c r="F406" s="212"/>
      <c r="G406" s="212"/>
      <c r="H406" s="212"/>
      <c r="I406" s="212"/>
      <c r="J406" s="212">
        <f t="shared" si="172"/>
        <v>192</v>
      </c>
      <c r="K406" s="212">
        <v>64</v>
      </c>
      <c r="L406" s="212">
        <v>48</v>
      </c>
      <c r="M406" s="212">
        <v>80</v>
      </c>
      <c r="N406" s="212">
        <v>192</v>
      </c>
      <c r="O406" s="212"/>
      <c r="P406" s="212"/>
      <c r="Q406" s="212"/>
      <c r="R406" s="212"/>
      <c r="S406" s="220"/>
      <c r="T406" s="220"/>
      <c r="U406" s="220"/>
      <c r="V406" s="113"/>
      <c r="W406" s="113"/>
      <c r="X406" s="113"/>
      <c r="Y406" s="113"/>
      <c r="Z406" s="244"/>
      <c r="AA406" s="164"/>
    </row>
    <row r="407" ht="23.25" customHeight="1" spans="1:27">
      <c r="A407" s="212"/>
      <c r="B407" s="71" t="s">
        <v>2518</v>
      </c>
      <c r="C407" s="71" t="s">
        <v>320</v>
      </c>
      <c r="D407" s="71" t="s">
        <v>147</v>
      </c>
      <c r="E407" s="212">
        <v>1200</v>
      </c>
      <c r="F407" s="212"/>
      <c r="G407" s="212"/>
      <c r="H407" s="212"/>
      <c r="I407" s="212"/>
      <c r="J407" s="212">
        <f t="shared" si="172"/>
        <v>192</v>
      </c>
      <c r="K407" s="212">
        <v>64</v>
      </c>
      <c r="L407" s="212">
        <v>48</v>
      </c>
      <c r="M407" s="212">
        <v>80</v>
      </c>
      <c r="N407" s="212">
        <v>192</v>
      </c>
      <c r="O407" s="212"/>
      <c r="P407" s="212"/>
      <c r="Q407" s="212"/>
      <c r="R407" s="212"/>
      <c r="S407" s="220"/>
      <c r="T407" s="220"/>
      <c r="U407" s="220"/>
      <c r="V407" s="113"/>
      <c r="W407" s="113"/>
      <c r="X407" s="113"/>
      <c r="Y407" s="113"/>
      <c r="Z407" s="244"/>
      <c r="AA407" s="164"/>
    </row>
    <row r="408" ht="23.25" customHeight="1" spans="1:27">
      <c r="A408" s="212"/>
      <c r="B408" s="71" t="s">
        <v>2521</v>
      </c>
      <c r="C408" s="71" t="s">
        <v>320</v>
      </c>
      <c r="D408" s="71" t="s">
        <v>147</v>
      </c>
      <c r="E408" s="212">
        <v>1200</v>
      </c>
      <c r="F408" s="212"/>
      <c r="G408" s="212"/>
      <c r="H408" s="212"/>
      <c r="I408" s="212"/>
      <c r="J408" s="212">
        <f t="shared" si="172"/>
        <v>192</v>
      </c>
      <c r="K408" s="212">
        <v>64</v>
      </c>
      <c r="L408" s="212">
        <v>48</v>
      </c>
      <c r="M408" s="212">
        <v>80</v>
      </c>
      <c r="N408" s="212">
        <v>192</v>
      </c>
      <c r="O408" s="212"/>
      <c r="P408" s="212"/>
      <c r="Q408" s="212"/>
      <c r="R408" s="212"/>
      <c r="S408" s="220"/>
      <c r="T408" s="220"/>
      <c r="U408" s="220"/>
      <c r="V408" s="113"/>
      <c r="W408" s="113"/>
      <c r="X408" s="113"/>
      <c r="Y408" s="113"/>
      <c r="Z408" s="244"/>
      <c r="AA408" s="164"/>
    </row>
    <row r="409" ht="23.25" customHeight="1" spans="1:27">
      <c r="A409" s="212"/>
      <c r="B409" s="71" t="s">
        <v>2526</v>
      </c>
      <c r="C409" s="71" t="s">
        <v>320</v>
      </c>
      <c r="D409" s="71" t="s">
        <v>147</v>
      </c>
      <c r="E409" s="212">
        <v>1200</v>
      </c>
      <c r="F409" s="212"/>
      <c r="G409" s="212"/>
      <c r="H409" s="212"/>
      <c r="I409" s="212"/>
      <c r="J409" s="212">
        <f t="shared" si="172"/>
        <v>192</v>
      </c>
      <c r="K409" s="212">
        <v>64</v>
      </c>
      <c r="L409" s="212">
        <v>48</v>
      </c>
      <c r="M409" s="212">
        <v>80</v>
      </c>
      <c r="N409" s="212">
        <v>192</v>
      </c>
      <c r="O409" s="212"/>
      <c r="P409" s="212"/>
      <c r="Q409" s="212"/>
      <c r="R409" s="212"/>
      <c r="S409" s="220"/>
      <c r="T409" s="220"/>
      <c r="U409" s="220"/>
      <c r="V409" s="113"/>
      <c r="W409" s="113"/>
      <c r="X409" s="113"/>
      <c r="Y409" s="113"/>
      <c r="Z409" s="244"/>
      <c r="AA409" s="164"/>
    </row>
    <row r="410" ht="23.25" customHeight="1" spans="1:27">
      <c r="A410" s="212"/>
      <c r="B410" s="71" t="s">
        <v>2529</v>
      </c>
      <c r="C410" s="71" t="s">
        <v>320</v>
      </c>
      <c r="D410" s="71" t="s">
        <v>147</v>
      </c>
      <c r="E410" s="212">
        <v>1200</v>
      </c>
      <c r="F410" s="212"/>
      <c r="G410" s="212"/>
      <c r="H410" s="212"/>
      <c r="I410" s="212"/>
      <c r="J410" s="212">
        <f t="shared" si="172"/>
        <v>192</v>
      </c>
      <c r="K410" s="212">
        <v>64</v>
      </c>
      <c r="L410" s="212">
        <v>48</v>
      </c>
      <c r="M410" s="212">
        <v>80</v>
      </c>
      <c r="N410" s="212">
        <v>192</v>
      </c>
      <c r="O410" s="212"/>
      <c r="P410" s="212"/>
      <c r="Q410" s="212"/>
      <c r="R410" s="212"/>
      <c r="S410" s="220"/>
      <c r="T410" s="220"/>
      <c r="U410" s="220"/>
      <c r="V410" s="113"/>
      <c r="W410" s="113"/>
      <c r="X410" s="113"/>
      <c r="Y410" s="113"/>
      <c r="Z410" s="244"/>
      <c r="AA410" s="164"/>
    </row>
    <row r="411" ht="23.25" customHeight="1" spans="1:27">
      <c r="A411" s="212"/>
      <c r="B411" s="71" t="s">
        <v>2532</v>
      </c>
      <c r="C411" s="71" t="s">
        <v>320</v>
      </c>
      <c r="D411" s="71" t="s">
        <v>147</v>
      </c>
      <c r="E411" s="212">
        <v>1200</v>
      </c>
      <c r="F411" s="212"/>
      <c r="G411" s="212"/>
      <c r="H411" s="212"/>
      <c r="I411" s="212"/>
      <c r="J411" s="212">
        <f t="shared" si="172"/>
        <v>192</v>
      </c>
      <c r="K411" s="212">
        <v>64</v>
      </c>
      <c r="L411" s="212">
        <v>48</v>
      </c>
      <c r="M411" s="212">
        <v>80</v>
      </c>
      <c r="N411" s="212">
        <v>192</v>
      </c>
      <c r="O411" s="212"/>
      <c r="P411" s="212"/>
      <c r="Q411" s="212"/>
      <c r="R411" s="212"/>
      <c r="S411" s="220"/>
      <c r="T411" s="220"/>
      <c r="U411" s="220"/>
      <c r="V411" s="113"/>
      <c r="W411" s="113"/>
      <c r="X411" s="113"/>
      <c r="Y411" s="113"/>
      <c r="Z411" s="244"/>
      <c r="AA411" s="164"/>
    </row>
    <row r="412" ht="23.25" customHeight="1" spans="1:27">
      <c r="A412" s="212">
        <v>47</v>
      </c>
      <c r="B412" s="71" t="s">
        <v>919</v>
      </c>
      <c r="C412" s="71" t="s">
        <v>320</v>
      </c>
      <c r="D412" s="71" t="s">
        <v>45</v>
      </c>
      <c r="E412" s="212"/>
      <c r="F412" s="212"/>
      <c r="G412" s="212"/>
      <c r="H412" s="212"/>
      <c r="I412" s="212"/>
      <c r="J412" s="212"/>
      <c r="K412" s="212"/>
      <c r="L412" s="212"/>
      <c r="M412" s="212"/>
      <c r="N412" s="212"/>
      <c r="O412" s="212"/>
      <c r="P412" s="212"/>
      <c r="Q412" s="212"/>
      <c r="R412" s="212"/>
      <c r="S412" s="220"/>
      <c r="T412" s="220"/>
      <c r="U412" s="220" t="s">
        <v>435</v>
      </c>
      <c r="V412" s="113"/>
      <c r="W412" s="113"/>
      <c r="X412" s="113"/>
      <c r="Y412" s="113"/>
      <c r="Z412" s="244"/>
      <c r="AA412" s="164"/>
    </row>
    <row r="413" ht="23.25" customHeight="1" spans="1:27">
      <c r="A413" s="212">
        <v>48</v>
      </c>
      <c r="B413" s="71" t="s">
        <v>423</v>
      </c>
      <c r="C413" s="71" t="s">
        <v>320</v>
      </c>
      <c r="D413" s="71" t="s">
        <v>147</v>
      </c>
      <c r="E413" s="212">
        <f t="shared" ref="E413:G413" si="173">SUM(E414:E423)</f>
        <v>72</v>
      </c>
      <c r="F413" s="212">
        <f t="shared" si="173"/>
        <v>72</v>
      </c>
      <c r="G413" s="212">
        <f t="shared" si="173"/>
        <v>72</v>
      </c>
      <c r="H413" s="212">
        <v>2018</v>
      </c>
      <c r="I413" s="212">
        <v>2020</v>
      </c>
      <c r="J413" s="212">
        <f t="shared" ref="J413:J423" si="174">K413+L413+M413</f>
        <v>172.8</v>
      </c>
      <c r="K413" s="212">
        <f t="shared" ref="K413:K423" si="175">E413*0.8</f>
        <v>57.6</v>
      </c>
      <c r="L413" s="212">
        <f t="shared" ref="L413:L423" si="176">E413*0.8</f>
        <v>57.6</v>
      </c>
      <c r="M413" s="212">
        <f t="shared" ref="M413:M423" si="177">E413*0.8</f>
        <v>57.6</v>
      </c>
      <c r="N413" s="212">
        <v>172.8</v>
      </c>
      <c r="O413" s="212"/>
      <c r="P413" s="212"/>
      <c r="Q413" s="212"/>
      <c r="R413" s="212"/>
      <c r="S413" s="220" t="s">
        <v>2501</v>
      </c>
      <c r="T413" s="220" t="s">
        <v>2502</v>
      </c>
      <c r="U413" s="220" t="s">
        <v>417</v>
      </c>
      <c r="V413" s="113"/>
      <c r="W413" s="113"/>
      <c r="X413" s="113"/>
      <c r="Y413" s="113"/>
      <c r="Z413" s="244" t="s">
        <v>1474</v>
      </c>
      <c r="AA413" s="164"/>
    </row>
    <row r="414" ht="23.25" customHeight="1" spans="1:27">
      <c r="A414" s="212"/>
      <c r="B414" s="71" t="s">
        <v>2503</v>
      </c>
      <c r="C414" s="71" t="s">
        <v>320</v>
      </c>
      <c r="D414" s="71" t="s">
        <v>147</v>
      </c>
      <c r="E414" s="212">
        <v>9</v>
      </c>
      <c r="F414" s="212">
        <v>9</v>
      </c>
      <c r="G414" s="212">
        <v>9</v>
      </c>
      <c r="H414" s="212">
        <v>2018</v>
      </c>
      <c r="I414" s="212">
        <v>2020</v>
      </c>
      <c r="J414" s="212">
        <f t="shared" si="174"/>
        <v>21.6</v>
      </c>
      <c r="K414" s="212">
        <f t="shared" si="175"/>
        <v>7.2</v>
      </c>
      <c r="L414" s="212">
        <f t="shared" si="176"/>
        <v>7.2</v>
      </c>
      <c r="M414" s="212">
        <f t="shared" si="177"/>
        <v>7.2</v>
      </c>
      <c r="N414" s="212">
        <v>21.6</v>
      </c>
      <c r="O414" s="212"/>
      <c r="P414" s="212"/>
      <c r="Q414" s="212"/>
      <c r="R414" s="212"/>
      <c r="S414" s="220" t="s">
        <v>2582</v>
      </c>
      <c r="T414" s="220" t="s">
        <v>2620</v>
      </c>
      <c r="U414" s="220"/>
      <c r="V414" s="113"/>
      <c r="W414" s="113"/>
      <c r="X414" s="113"/>
      <c r="Y414" s="113"/>
      <c r="Z414" s="244" t="s">
        <v>1474</v>
      </c>
      <c r="AA414" s="164"/>
    </row>
    <row r="415" ht="23.25" customHeight="1" spans="1:27">
      <c r="A415" s="212"/>
      <c r="B415" s="71" t="s">
        <v>2506</v>
      </c>
      <c r="C415" s="71" t="s">
        <v>320</v>
      </c>
      <c r="D415" s="71" t="s">
        <v>147</v>
      </c>
      <c r="E415" s="212">
        <v>11</v>
      </c>
      <c r="F415" s="212">
        <v>11</v>
      </c>
      <c r="G415" s="212">
        <v>11</v>
      </c>
      <c r="H415" s="212">
        <v>2018</v>
      </c>
      <c r="I415" s="212">
        <v>2020</v>
      </c>
      <c r="J415" s="212">
        <f t="shared" si="174"/>
        <v>26.4</v>
      </c>
      <c r="K415" s="212">
        <f t="shared" si="175"/>
        <v>8.8</v>
      </c>
      <c r="L415" s="212">
        <f t="shared" si="176"/>
        <v>8.8</v>
      </c>
      <c r="M415" s="212">
        <f t="shared" si="177"/>
        <v>8.8</v>
      </c>
      <c r="N415" s="212">
        <v>26.4</v>
      </c>
      <c r="O415" s="212"/>
      <c r="P415" s="212"/>
      <c r="Q415" s="212"/>
      <c r="R415" s="212"/>
      <c r="S415" s="220" t="s">
        <v>2524</v>
      </c>
      <c r="T415" s="220" t="s">
        <v>2525</v>
      </c>
      <c r="U415" s="220"/>
      <c r="V415" s="113"/>
      <c r="W415" s="113"/>
      <c r="X415" s="113"/>
      <c r="Y415" s="113"/>
      <c r="Z415" s="244" t="s">
        <v>1474</v>
      </c>
      <c r="AA415" s="164"/>
    </row>
    <row r="416" ht="23.25" customHeight="1" spans="1:27">
      <c r="A416" s="212"/>
      <c r="B416" s="71" t="s">
        <v>2509</v>
      </c>
      <c r="C416" s="71" t="s">
        <v>320</v>
      </c>
      <c r="D416" s="71" t="s">
        <v>147</v>
      </c>
      <c r="E416" s="212">
        <v>11</v>
      </c>
      <c r="F416" s="212">
        <v>11</v>
      </c>
      <c r="G416" s="212">
        <v>11</v>
      </c>
      <c r="H416" s="212">
        <v>2018</v>
      </c>
      <c r="I416" s="212">
        <v>2020</v>
      </c>
      <c r="J416" s="212">
        <f t="shared" si="174"/>
        <v>26.4</v>
      </c>
      <c r="K416" s="212">
        <f t="shared" si="175"/>
        <v>8.8</v>
      </c>
      <c r="L416" s="212">
        <f t="shared" si="176"/>
        <v>8.8</v>
      </c>
      <c r="M416" s="212">
        <f t="shared" si="177"/>
        <v>8.8</v>
      </c>
      <c r="N416" s="212">
        <v>26.4</v>
      </c>
      <c r="O416" s="212"/>
      <c r="P416" s="212"/>
      <c r="Q416" s="212"/>
      <c r="R416" s="212"/>
      <c r="S416" s="220" t="s">
        <v>2680</v>
      </c>
      <c r="T416" s="220" t="s">
        <v>2681</v>
      </c>
      <c r="U416" s="220"/>
      <c r="V416" s="113"/>
      <c r="W416" s="113"/>
      <c r="X416" s="113"/>
      <c r="Y416" s="113"/>
      <c r="Z416" s="244" t="s">
        <v>1474</v>
      </c>
      <c r="AA416" s="164"/>
    </row>
    <row r="417" ht="23.25" customHeight="1" spans="1:27">
      <c r="A417" s="212"/>
      <c r="B417" s="71" t="s">
        <v>2512</v>
      </c>
      <c r="C417" s="71" t="s">
        <v>320</v>
      </c>
      <c r="D417" s="71" t="s">
        <v>147</v>
      </c>
      <c r="E417" s="212">
        <v>9</v>
      </c>
      <c r="F417" s="212">
        <v>9</v>
      </c>
      <c r="G417" s="212">
        <v>9</v>
      </c>
      <c r="H417" s="212">
        <v>2018</v>
      </c>
      <c r="I417" s="212">
        <v>2020</v>
      </c>
      <c r="J417" s="212">
        <f t="shared" si="174"/>
        <v>21.6</v>
      </c>
      <c r="K417" s="212">
        <f t="shared" si="175"/>
        <v>7.2</v>
      </c>
      <c r="L417" s="212">
        <f t="shared" si="176"/>
        <v>7.2</v>
      </c>
      <c r="M417" s="212">
        <f t="shared" si="177"/>
        <v>7.2</v>
      </c>
      <c r="N417" s="212">
        <v>21.6</v>
      </c>
      <c r="O417" s="212"/>
      <c r="P417" s="212"/>
      <c r="Q417" s="212"/>
      <c r="R417" s="212"/>
      <c r="S417" s="220" t="s">
        <v>2513</v>
      </c>
      <c r="T417" s="220" t="s">
        <v>2514</v>
      </c>
      <c r="U417" s="220"/>
      <c r="V417" s="113"/>
      <c r="W417" s="113"/>
      <c r="X417" s="113"/>
      <c r="Y417" s="113"/>
      <c r="Z417" s="244" t="s">
        <v>1474</v>
      </c>
      <c r="AA417" s="164"/>
    </row>
    <row r="418" ht="23.25" customHeight="1" spans="1:27">
      <c r="A418" s="212"/>
      <c r="B418" s="71" t="s">
        <v>2515</v>
      </c>
      <c r="C418" s="71" t="s">
        <v>320</v>
      </c>
      <c r="D418" s="71" t="s">
        <v>147</v>
      </c>
      <c r="E418" s="212">
        <v>11</v>
      </c>
      <c r="F418" s="212">
        <v>11</v>
      </c>
      <c r="G418" s="212">
        <v>11</v>
      </c>
      <c r="H418" s="212">
        <v>2018</v>
      </c>
      <c r="I418" s="212">
        <v>2020</v>
      </c>
      <c r="J418" s="212">
        <f t="shared" si="174"/>
        <v>26.4</v>
      </c>
      <c r="K418" s="212">
        <f t="shared" si="175"/>
        <v>8.8</v>
      </c>
      <c r="L418" s="212">
        <f t="shared" si="176"/>
        <v>8.8</v>
      </c>
      <c r="M418" s="212">
        <f t="shared" si="177"/>
        <v>8.8</v>
      </c>
      <c r="N418" s="212">
        <v>26.4</v>
      </c>
      <c r="O418" s="212"/>
      <c r="P418" s="212"/>
      <c r="Q418" s="212"/>
      <c r="R418" s="212"/>
      <c r="S418" s="220" t="s">
        <v>2538</v>
      </c>
      <c r="T418" s="220" t="s">
        <v>2589</v>
      </c>
      <c r="U418" s="220"/>
      <c r="V418" s="113"/>
      <c r="W418" s="113"/>
      <c r="X418" s="113"/>
      <c r="Y418" s="113"/>
      <c r="Z418" s="244" t="s">
        <v>1474</v>
      </c>
      <c r="AA418" s="164"/>
    </row>
    <row r="419" ht="23.25" customHeight="1" spans="1:27">
      <c r="A419" s="212"/>
      <c r="B419" s="71" t="s">
        <v>2518</v>
      </c>
      <c r="C419" s="71" t="s">
        <v>320</v>
      </c>
      <c r="D419" s="71" t="s">
        <v>147</v>
      </c>
      <c r="E419" s="212">
        <v>3</v>
      </c>
      <c r="F419" s="212">
        <v>3</v>
      </c>
      <c r="G419" s="212">
        <v>3</v>
      </c>
      <c r="H419" s="212">
        <v>2018</v>
      </c>
      <c r="I419" s="212">
        <v>2020</v>
      </c>
      <c r="J419" s="212">
        <f t="shared" si="174"/>
        <v>7.2</v>
      </c>
      <c r="K419" s="212">
        <f t="shared" si="175"/>
        <v>2.4</v>
      </c>
      <c r="L419" s="212">
        <f t="shared" si="176"/>
        <v>2.4</v>
      </c>
      <c r="M419" s="212">
        <f t="shared" si="177"/>
        <v>2.4</v>
      </c>
      <c r="N419" s="212">
        <v>7.2</v>
      </c>
      <c r="O419" s="212"/>
      <c r="P419" s="212"/>
      <c r="Q419" s="212"/>
      <c r="R419" s="212"/>
      <c r="S419" s="220" t="s">
        <v>2682</v>
      </c>
      <c r="T419" s="220" t="s">
        <v>2591</v>
      </c>
      <c r="U419" s="220"/>
      <c r="V419" s="113"/>
      <c r="W419" s="113"/>
      <c r="X419" s="113"/>
      <c r="Y419" s="113"/>
      <c r="Z419" s="244" t="s">
        <v>1474</v>
      </c>
      <c r="AA419" s="164"/>
    </row>
    <row r="420" ht="23.25" customHeight="1" spans="1:27">
      <c r="A420" s="212"/>
      <c r="B420" s="71" t="s">
        <v>2521</v>
      </c>
      <c r="C420" s="71" t="s">
        <v>320</v>
      </c>
      <c r="D420" s="71" t="s">
        <v>147</v>
      </c>
      <c r="E420" s="212">
        <v>10</v>
      </c>
      <c r="F420" s="212">
        <v>10</v>
      </c>
      <c r="G420" s="212">
        <v>10</v>
      </c>
      <c r="H420" s="212">
        <v>2018</v>
      </c>
      <c r="I420" s="212">
        <v>2020</v>
      </c>
      <c r="J420" s="212">
        <f t="shared" si="174"/>
        <v>24</v>
      </c>
      <c r="K420" s="212">
        <f t="shared" si="175"/>
        <v>8</v>
      </c>
      <c r="L420" s="212">
        <f t="shared" si="176"/>
        <v>8</v>
      </c>
      <c r="M420" s="212">
        <f t="shared" si="177"/>
        <v>8</v>
      </c>
      <c r="N420" s="212">
        <v>24</v>
      </c>
      <c r="O420" s="212"/>
      <c r="P420" s="212"/>
      <c r="Q420" s="212"/>
      <c r="R420" s="212"/>
      <c r="S420" s="220" t="s">
        <v>2523</v>
      </c>
      <c r="T420" s="220" t="s">
        <v>2522</v>
      </c>
      <c r="U420" s="220"/>
      <c r="V420" s="113"/>
      <c r="W420" s="113"/>
      <c r="X420" s="113"/>
      <c r="Y420" s="113"/>
      <c r="Z420" s="244" t="s">
        <v>1474</v>
      </c>
      <c r="AA420" s="164"/>
    </row>
    <row r="421" ht="23.25" customHeight="1" spans="1:27">
      <c r="A421" s="212"/>
      <c r="B421" s="71" t="s">
        <v>2526</v>
      </c>
      <c r="C421" s="71" t="s">
        <v>320</v>
      </c>
      <c r="D421" s="71" t="s">
        <v>147</v>
      </c>
      <c r="E421" s="212">
        <v>3</v>
      </c>
      <c r="F421" s="212">
        <v>3</v>
      </c>
      <c r="G421" s="212">
        <v>3</v>
      </c>
      <c r="H421" s="212">
        <v>2018</v>
      </c>
      <c r="I421" s="212">
        <v>2020</v>
      </c>
      <c r="J421" s="212">
        <f t="shared" si="174"/>
        <v>7.2</v>
      </c>
      <c r="K421" s="212">
        <f t="shared" si="175"/>
        <v>2.4</v>
      </c>
      <c r="L421" s="212">
        <f t="shared" si="176"/>
        <v>2.4</v>
      </c>
      <c r="M421" s="212">
        <f t="shared" si="177"/>
        <v>2.4</v>
      </c>
      <c r="N421" s="212">
        <v>7.2</v>
      </c>
      <c r="O421" s="212"/>
      <c r="P421" s="212"/>
      <c r="Q421" s="212"/>
      <c r="R421" s="212"/>
      <c r="S421" s="220" t="s">
        <v>2683</v>
      </c>
      <c r="T421" s="220" t="s">
        <v>2528</v>
      </c>
      <c r="U421" s="220"/>
      <c r="V421" s="113"/>
      <c r="W421" s="113"/>
      <c r="X421" s="113"/>
      <c r="Y421" s="113"/>
      <c r="Z421" s="244" t="s">
        <v>1474</v>
      </c>
      <c r="AA421" s="164"/>
    </row>
    <row r="422" ht="23.25" customHeight="1" spans="1:27">
      <c r="A422" s="212"/>
      <c r="B422" s="71" t="s">
        <v>2529</v>
      </c>
      <c r="C422" s="71" t="s">
        <v>320</v>
      </c>
      <c r="D422" s="71" t="s">
        <v>147</v>
      </c>
      <c r="E422" s="212">
        <v>3</v>
      </c>
      <c r="F422" s="212">
        <v>3</v>
      </c>
      <c r="G422" s="212">
        <v>3</v>
      </c>
      <c r="H422" s="212">
        <v>2018</v>
      </c>
      <c r="I422" s="212">
        <v>2020</v>
      </c>
      <c r="J422" s="212">
        <f t="shared" si="174"/>
        <v>7.2</v>
      </c>
      <c r="K422" s="212">
        <f t="shared" si="175"/>
        <v>2.4</v>
      </c>
      <c r="L422" s="212">
        <f t="shared" si="176"/>
        <v>2.4</v>
      </c>
      <c r="M422" s="212">
        <f t="shared" si="177"/>
        <v>2.4</v>
      </c>
      <c r="N422" s="212">
        <v>7.2</v>
      </c>
      <c r="O422" s="212"/>
      <c r="P422" s="212"/>
      <c r="Q422" s="212"/>
      <c r="R422" s="212"/>
      <c r="S422" s="220" t="s">
        <v>2684</v>
      </c>
      <c r="T422" s="220" t="s">
        <v>2557</v>
      </c>
      <c r="U422" s="220"/>
      <c r="V422" s="113"/>
      <c r="W422" s="113"/>
      <c r="X422" s="113"/>
      <c r="Y422" s="113"/>
      <c r="Z422" s="244" t="s">
        <v>1474</v>
      </c>
      <c r="AA422" s="164"/>
    </row>
    <row r="423" ht="23.25" customHeight="1" spans="1:27">
      <c r="A423" s="212"/>
      <c r="B423" s="71" t="s">
        <v>2532</v>
      </c>
      <c r="C423" s="71" t="s">
        <v>320</v>
      </c>
      <c r="D423" s="71" t="s">
        <v>147</v>
      </c>
      <c r="E423" s="212">
        <v>2</v>
      </c>
      <c r="F423" s="212">
        <v>2</v>
      </c>
      <c r="G423" s="212">
        <v>2</v>
      </c>
      <c r="H423" s="212">
        <v>2018</v>
      </c>
      <c r="I423" s="212">
        <v>2020</v>
      </c>
      <c r="J423" s="212">
        <f t="shared" si="174"/>
        <v>4.8</v>
      </c>
      <c r="K423" s="212">
        <f t="shared" si="175"/>
        <v>1.6</v>
      </c>
      <c r="L423" s="212">
        <f t="shared" si="176"/>
        <v>1.6</v>
      </c>
      <c r="M423" s="212">
        <f t="shared" si="177"/>
        <v>1.6</v>
      </c>
      <c r="N423" s="212">
        <v>4.8</v>
      </c>
      <c r="O423" s="212"/>
      <c r="P423" s="212"/>
      <c r="Q423" s="212"/>
      <c r="R423" s="212"/>
      <c r="S423" s="220" t="s">
        <v>2685</v>
      </c>
      <c r="T423" s="220" t="s">
        <v>2640</v>
      </c>
      <c r="U423" s="220"/>
      <c r="V423" s="113"/>
      <c r="W423" s="113"/>
      <c r="X423" s="113"/>
      <c r="Y423" s="113"/>
      <c r="Z423" s="244" t="s">
        <v>1474</v>
      </c>
      <c r="AA423" s="164"/>
    </row>
    <row r="424" ht="23.25" customHeight="1" spans="1:27">
      <c r="A424" s="212">
        <v>49</v>
      </c>
      <c r="B424" s="71" t="s">
        <v>434</v>
      </c>
      <c r="C424" s="71" t="s">
        <v>320</v>
      </c>
      <c r="D424" s="71" t="s">
        <v>147</v>
      </c>
      <c r="E424" s="212"/>
      <c r="F424" s="212"/>
      <c r="G424" s="212"/>
      <c r="H424" s="212"/>
      <c r="I424" s="212"/>
      <c r="J424" s="212"/>
      <c r="K424" s="212"/>
      <c r="L424" s="212"/>
      <c r="M424" s="212"/>
      <c r="N424" s="212"/>
      <c r="O424" s="212"/>
      <c r="P424" s="212"/>
      <c r="Q424" s="212"/>
      <c r="R424" s="212"/>
      <c r="S424" s="220"/>
      <c r="T424" s="220"/>
      <c r="U424" s="220" t="s">
        <v>435</v>
      </c>
      <c r="V424" s="113"/>
      <c r="W424" s="113"/>
      <c r="X424" s="113"/>
      <c r="Y424" s="113"/>
      <c r="Z424" s="244"/>
      <c r="AA424" s="164"/>
    </row>
    <row r="425" ht="44.1" customHeight="1" spans="1:27">
      <c r="A425" s="212">
        <v>50</v>
      </c>
      <c r="B425" s="71" t="s">
        <v>436</v>
      </c>
      <c r="C425" s="71" t="s">
        <v>52</v>
      </c>
      <c r="D425" s="71" t="s">
        <v>150</v>
      </c>
      <c r="E425" s="212"/>
      <c r="F425" s="212"/>
      <c r="G425" s="212"/>
      <c r="H425" s="212"/>
      <c r="I425" s="212"/>
      <c r="J425" s="212"/>
      <c r="K425" s="212"/>
      <c r="L425" s="212"/>
      <c r="M425" s="212"/>
      <c r="N425" s="212"/>
      <c r="O425" s="212"/>
      <c r="P425" s="212"/>
      <c r="Q425" s="212"/>
      <c r="R425" s="212"/>
      <c r="S425" s="220"/>
      <c r="T425" s="220"/>
      <c r="U425" s="220" t="s">
        <v>417</v>
      </c>
      <c r="V425" s="113"/>
      <c r="W425" s="113"/>
      <c r="X425" s="113"/>
      <c r="Y425" s="113"/>
      <c r="Z425" s="244"/>
      <c r="AA425" s="164"/>
    </row>
    <row r="426" ht="23.25" customHeight="1" spans="1:27">
      <c r="A426" s="212">
        <v>51</v>
      </c>
      <c r="B426" s="71" t="s">
        <v>924</v>
      </c>
      <c r="C426" s="71" t="s">
        <v>320</v>
      </c>
      <c r="D426" s="71" t="s">
        <v>320</v>
      </c>
      <c r="E426" s="212"/>
      <c r="F426" s="212"/>
      <c r="G426" s="212"/>
      <c r="H426" s="212"/>
      <c r="I426" s="212"/>
      <c r="J426" s="212">
        <f t="shared" ref="J426:R426" si="178">J427+J438+J454+J465</f>
        <v>441.866</v>
      </c>
      <c r="K426" s="212">
        <f t="shared" si="178"/>
        <v>142.712</v>
      </c>
      <c r="L426" s="212">
        <f t="shared" si="178"/>
        <v>147.062</v>
      </c>
      <c r="M426" s="212">
        <f t="shared" si="178"/>
        <v>152.092</v>
      </c>
      <c r="N426" s="212">
        <f t="shared" si="178"/>
        <v>441.866</v>
      </c>
      <c r="O426" s="212">
        <f t="shared" si="178"/>
        <v>0</v>
      </c>
      <c r="P426" s="212">
        <f t="shared" si="178"/>
        <v>0</v>
      </c>
      <c r="Q426" s="212">
        <f t="shared" si="178"/>
        <v>0</v>
      </c>
      <c r="R426" s="212">
        <f t="shared" si="178"/>
        <v>0</v>
      </c>
      <c r="S426" s="220"/>
      <c r="T426" s="220"/>
      <c r="U426" s="220"/>
      <c r="V426" s="113"/>
      <c r="W426" s="113"/>
      <c r="X426" s="113"/>
      <c r="Y426" s="113"/>
      <c r="Z426" s="244">
        <v>0</v>
      </c>
      <c r="AA426" s="164"/>
    </row>
    <row r="427" ht="23.25" customHeight="1" spans="1:27">
      <c r="A427" s="212">
        <v>52</v>
      </c>
      <c r="B427" s="71" t="s">
        <v>443</v>
      </c>
      <c r="C427" s="71" t="s">
        <v>320</v>
      </c>
      <c r="D427" s="71" t="s">
        <v>147</v>
      </c>
      <c r="E427" s="212">
        <f t="shared" ref="E427:G427" si="179">SUM(E428:E437)</f>
        <v>68</v>
      </c>
      <c r="F427" s="212">
        <f t="shared" si="179"/>
        <v>68</v>
      </c>
      <c r="G427" s="212">
        <f t="shared" si="179"/>
        <v>141</v>
      </c>
      <c r="H427" s="212">
        <v>2018</v>
      </c>
      <c r="I427" s="212">
        <v>2020</v>
      </c>
      <c r="J427" s="212">
        <f t="shared" ref="J427:J436" si="180">K427+L427+M427</f>
        <v>100.82</v>
      </c>
      <c r="K427" s="212">
        <f t="shared" ref="K427:R427" si="181">SUM(K428:K437)</f>
        <v>29.03</v>
      </c>
      <c r="L427" s="212">
        <f t="shared" si="181"/>
        <v>33.38</v>
      </c>
      <c r="M427" s="212">
        <f t="shared" si="181"/>
        <v>38.41</v>
      </c>
      <c r="N427" s="212">
        <f t="shared" si="181"/>
        <v>100.82</v>
      </c>
      <c r="O427" s="212">
        <f t="shared" si="181"/>
        <v>0</v>
      </c>
      <c r="P427" s="212">
        <f t="shared" si="181"/>
        <v>0</v>
      </c>
      <c r="Q427" s="212">
        <f t="shared" si="181"/>
        <v>0</v>
      </c>
      <c r="R427" s="212">
        <f t="shared" si="181"/>
        <v>0</v>
      </c>
      <c r="S427" s="220" t="s">
        <v>2501</v>
      </c>
      <c r="T427" s="220" t="s">
        <v>2581</v>
      </c>
      <c r="U427" s="220" t="s">
        <v>338</v>
      </c>
      <c r="V427" s="113"/>
      <c r="W427" s="113"/>
      <c r="X427" s="113"/>
      <c r="Y427" s="113"/>
      <c r="Z427" s="244" t="s">
        <v>1474</v>
      </c>
      <c r="AA427" s="164"/>
    </row>
    <row r="428" ht="23.25" customHeight="1" spans="1:27">
      <c r="A428" s="212"/>
      <c r="B428" s="71" t="s">
        <v>2503</v>
      </c>
      <c r="C428" s="71" t="s">
        <v>320</v>
      </c>
      <c r="D428" s="71" t="s">
        <v>147</v>
      </c>
      <c r="E428" s="212">
        <v>3</v>
      </c>
      <c r="F428" s="212">
        <v>3</v>
      </c>
      <c r="G428" s="212">
        <v>7</v>
      </c>
      <c r="H428" s="212">
        <v>2018</v>
      </c>
      <c r="I428" s="212">
        <v>2020</v>
      </c>
      <c r="J428" s="212">
        <f t="shared" si="180"/>
        <v>4.9</v>
      </c>
      <c r="K428" s="212">
        <v>1.41</v>
      </c>
      <c r="L428" s="212">
        <v>1.62</v>
      </c>
      <c r="M428" s="212">
        <v>1.87</v>
      </c>
      <c r="N428" s="212">
        <v>4.9</v>
      </c>
      <c r="O428" s="212"/>
      <c r="P428" s="212"/>
      <c r="Q428" s="212"/>
      <c r="R428" s="212"/>
      <c r="S428" s="220" t="s">
        <v>2686</v>
      </c>
      <c r="T428" s="220" t="s">
        <v>2687</v>
      </c>
      <c r="U428" s="220"/>
      <c r="V428" s="113"/>
      <c r="W428" s="113"/>
      <c r="X428" s="113"/>
      <c r="Y428" s="113"/>
      <c r="Z428" s="244" t="s">
        <v>1474</v>
      </c>
      <c r="AA428" s="164"/>
    </row>
    <row r="429" ht="23.25" customHeight="1" spans="1:27">
      <c r="A429" s="212"/>
      <c r="B429" s="71" t="s">
        <v>2506</v>
      </c>
      <c r="C429" s="71" t="s">
        <v>320</v>
      </c>
      <c r="D429" s="71" t="s">
        <v>147</v>
      </c>
      <c r="E429" s="212">
        <v>11</v>
      </c>
      <c r="F429" s="212">
        <v>11</v>
      </c>
      <c r="G429" s="212">
        <v>18</v>
      </c>
      <c r="H429" s="212">
        <v>2018</v>
      </c>
      <c r="I429" s="212">
        <v>2020</v>
      </c>
      <c r="J429" s="212">
        <f t="shared" si="180"/>
        <v>12.6</v>
      </c>
      <c r="K429" s="212">
        <v>3.63</v>
      </c>
      <c r="L429" s="212">
        <v>4.17</v>
      </c>
      <c r="M429" s="212">
        <v>4.8</v>
      </c>
      <c r="N429" s="212">
        <v>12.6</v>
      </c>
      <c r="O429" s="212"/>
      <c r="P429" s="212"/>
      <c r="Q429" s="212"/>
      <c r="R429" s="212"/>
      <c r="S429" s="220" t="s">
        <v>2621</v>
      </c>
      <c r="T429" s="220" t="s">
        <v>2600</v>
      </c>
      <c r="U429" s="220"/>
      <c r="V429" s="113"/>
      <c r="W429" s="113"/>
      <c r="X429" s="113"/>
      <c r="Y429" s="113"/>
      <c r="Z429" s="244" t="s">
        <v>1474</v>
      </c>
      <c r="AA429" s="164"/>
    </row>
    <row r="430" ht="23.25" customHeight="1" spans="1:27">
      <c r="A430" s="212"/>
      <c r="B430" s="71" t="s">
        <v>2509</v>
      </c>
      <c r="C430" s="71" t="s">
        <v>320</v>
      </c>
      <c r="D430" s="71" t="s">
        <v>147</v>
      </c>
      <c r="E430" s="212">
        <v>11</v>
      </c>
      <c r="F430" s="212">
        <v>11</v>
      </c>
      <c r="G430" s="212">
        <v>20</v>
      </c>
      <c r="H430" s="212">
        <v>2018</v>
      </c>
      <c r="I430" s="212">
        <v>2020</v>
      </c>
      <c r="J430" s="212">
        <f t="shared" si="180"/>
        <v>14</v>
      </c>
      <c r="K430" s="212">
        <v>4.03</v>
      </c>
      <c r="L430" s="212">
        <v>4.64</v>
      </c>
      <c r="M430" s="212">
        <v>5.33</v>
      </c>
      <c r="N430" s="212">
        <v>14</v>
      </c>
      <c r="O430" s="212"/>
      <c r="P430" s="212"/>
      <c r="Q430" s="212"/>
      <c r="R430" s="212"/>
      <c r="S430" s="220" t="s">
        <v>2688</v>
      </c>
      <c r="T430" s="220" t="s">
        <v>2689</v>
      </c>
      <c r="U430" s="220"/>
      <c r="V430" s="113"/>
      <c r="W430" s="113"/>
      <c r="X430" s="113"/>
      <c r="Y430" s="113"/>
      <c r="Z430" s="244" t="s">
        <v>1474</v>
      </c>
      <c r="AA430" s="164"/>
    </row>
    <row r="431" ht="23.25" customHeight="1" spans="1:27">
      <c r="A431" s="212"/>
      <c r="B431" s="71" t="s">
        <v>2512</v>
      </c>
      <c r="C431" s="71" t="s">
        <v>320</v>
      </c>
      <c r="D431" s="71" t="s">
        <v>147</v>
      </c>
      <c r="E431" s="212">
        <v>6</v>
      </c>
      <c r="F431" s="212">
        <v>6</v>
      </c>
      <c r="G431" s="212">
        <v>11</v>
      </c>
      <c r="H431" s="212">
        <v>2018</v>
      </c>
      <c r="I431" s="212">
        <v>2020</v>
      </c>
      <c r="J431" s="212">
        <f t="shared" si="180"/>
        <v>10.5</v>
      </c>
      <c r="K431" s="212">
        <v>3.02</v>
      </c>
      <c r="L431" s="212">
        <v>3.48</v>
      </c>
      <c r="M431" s="212">
        <v>4</v>
      </c>
      <c r="N431" s="212">
        <v>10.5</v>
      </c>
      <c r="O431" s="212"/>
      <c r="P431" s="212"/>
      <c r="Q431" s="212"/>
      <c r="R431" s="212"/>
      <c r="S431" s="220" t="s">
        <v>2690</v>
      </c>
      <c r="T431" s="220" t="s">
        <v>2549</v>
      </c>
      <c r="U431" s="220"/>
      <c r="V431" s="113"/>
      <c r="W431" s="113"/>
      <c r="X431" s="113"/>
      <c r="Y431" s="113"/>
      <c r="Z431" s="244" t="s">
        <v>1474</v>
      </c>
      <c r="AA431" s="164"/>
    </row>
    <row r="432" ht="23.25" customHeight="1" spans="1:27">
      <c r="A432" s="212"/>
      <c r="B432" s="71" t="s">
        <v>2515</v>
      </c>
      <c r="C432" s="71" t="s">
        <v>320</v>
      </c>
      <c r="D432" s="71" t="s">
        <v>147</v>
      </c>
      <c r="E432" s="212">
        <v>14</v>
      </c>
      <c r="F432" s="212">
        <v>14</v>
      </c>
      <c r="G432" s="212">
        <v>32</v>
      </c>
      <c r="H432" s="212">
        <v>2018</v>
      </c>
      <c r="I432" s="212">
        <v>2020</v>
      </c>
      <c r="J432" s="212">
        <f t="shared" si="180"/>
        <v>21.71</v>
      </c>
      <c r="K432" s="212">
        <v>6.25</v>
      </c>
      <c r="L432" s="212">
        <v>7.19</v>
      </c>
      <c r="M432" s="212">
        <v>8.27</v>
      </c>
      <c r="N432" s="212">
        <v>21.71</v>
      </c>
      <c r="O432" s="212"/>
      <c r="P432" s="212"/>
      <c r="Q432" s="212"/>
      <c r="R432" s="212"/>
      <c r="S432" s="220" t="s">
        <v>2691</v>
      </c>
      <c r="T432" s="220" t="s">
        <v>2539</v>
      </c>
      <c r="U432" s="220"/>
      <c r="V432" s="113"/>
      <c r="W432" s="113"/>
      <c r="X432" s="113"/>
      <c r="Y432" s="113"/>
      <c r="Z432" s="244" t="s">
        <v>1474</v>
      </c>
      <c r="AA432" s="164"/>
    </row>
    <row r="433" ht="23.25" customHeight="1" spans="1:27">
      <c r="A433" s="212"/>
      <c r="B433" s="71" t="s">
        <v>2518</v>
      </c>
      <c r="C433" s="71" t="s">
        <v>320</v>
      </c>
      <c r="D433" s="71" t="s">
        <v>147</v>
      </c>
      <c r="E433" s="212">
        <v>6</v>
      </c>
      <c r="F433" s="212">
        <v>6</v>
      </c>
      <c r="G433" s="212">
        <v>10</v>
      </c>
      <c r="H433" s="212">
        <v>2018</v>
      </c>
      <c r="I433" s="212">
        <v>2020</v>
      </c>
      <c r="J433" s="212">
        <f t="shared" si="180"/>
        <v>7.01</v>
      </c>
      <c r="K433" s="212">
        <v>2.02</v>
      </c>
      <c r="L433" s="212">
        <v>2.32</v>
      </c>
      <c r="M433" s="212">
        <v>2.67</v>
      </c>
      <c r="N433" s="212">
        <v>7.01</v>
      </c>
      <c r="O433" s="212"/>
      <c r="P433" s="212"/>
      <c r="Q433" s="212"/>
      <c r="R433" s="212"/>
      <c r="S433" s="220" t="s">
        <v>2540</v>
      </c>
      <c r="T433" s="220" t="s">
        <v>2541</v>
      </c>
      <c r="U433" s="220"/>
      <c r="V433" s="113"/>
      <c r="W433" s="113"/>
      <c r="X433" s="113"/>
      <c r="Y433" s="113"/>
      <c r="Z433" s="244" t="s">
        <v>1474</v>
      </c>
      <c r="AA433" s="164"/>
    </row>
    <row r="434" ht="23.25" customHeight="1" spans="1:27">
      <c r="A434" s="212"/>
      <c r="B434" s="71" t="s">
        <v>2521</v>
      </c>
      <c r="C434" s="71" t="s">
        <v>320</v>
      </c>
      <c r="D434" s="71" t="s">
        <v>147</v>
      </c>
      <c r="E434" s="212">
        <v>6</v>
      </c>
      <c r="F434" s="212">
        <v>6</v>
      </c>
      <c r="G434" s="212">
        <v>12</v>
      </c>
      <c r="H434" s="212">
        <v>2018</v>
      </c>
      <c r="I434" s="212">
        <v>2020</v>
      </c>
      <c r="J434" s="212">
        <f t="shared" si="180"/>
        <v>8.4</v>
      </c>
      <c r="K434" s="212">
        <v>2.42</v>
      </c>
      <c r="L434" s="212">
        <v>2.78</v>
      </c>
      <c r="M434" s="212">
        <v>3.2</v>
      </c>
      <c r="N434" s="212">
        <v>8.4</v>
      </c>
      <c r="O434" s="212"/>
      <c r="P434" s="212"/>
      <c r="Q434" s="212"/>
      <c r="R434" s="212"/>
      <c r="S434" s="220" t="s">
        <v>2522</v>
      </c>
      <c r="T434" s="220" t="s">
        <v>2523</v>
      </c>
      <c r="U434" s="220"/>
      <c r="V434" s="113"/>
      <c r="W434" s="113"/>
      <c r="X434" s="113"/>
      <c r="Y434" s="113"/>
      <c r="Z434" s="244" t="s">
        <v>1474</v>
      </c>
      <c r="AA434" s="164"/>
    </row>
    <row r="435" ht="23.25" customHeight="1" spans="1:27">
      <c r="A435" s="212"/>
      <c r="B435" s="71" t="s">
        <v>2526</v>
      </c>
      <c r="C435" s="71" t="s">
        <v>320</v>
      </c>
      <c r="D435" s="71" t="s">
        <v>147</v>
      </c>
      <c r="E435" s="212">
        <v>4</v>
      </c>
      <c r="F435" s="212">
        <v>4</v>
      </c>
      <c r="G435" s="212">
        <v>13</v>
      </c>
      <c r="H435" s="212">
        <v>2018</v>
      </c>
      <c r="I435" s="212">
        <v>2020</v>
      </c>
      <c r="J435" s="212">
        <f t="shared" si="180"/>
        <v>9.1</v>
      </c>
      <c r="K435" s="212">
        <v>2.62</v>
      </c>
      <c r="L435" s="212">
        <v>3.01</v>
      </c>
      <c r="M435" s="212">
        <v>3.47</v>
      </c>
      <c r="N435" s="212">
        <v>9.1</v>
      </c>
      <c r="O435" s="212"/>
      <c r="P435" s="212"/>
      <c r="Q435" s="212"/>
      <c r="R435" s="212"/>
      <c r="S435" s="220" t="s">
        <v>2542</v>
      </c>
      <c r="T435" s="220" t="s">
        <v>2528</v>
      </c>
      <c r="U435" s="220"/>
      <c r="V435" s="113"/>
      <c r="W435" s="113"/>
      <c r="X435" s="113"/>
      <c r="Y435" s="113"/>
      <c r="Z435" s="244" t="s">
        <v>1474</v>
      </c>
      <c r="AA435" s="164"/>
    </row>
    <row r="436" ht="23.25" customHeight="1" spans="1:27">
      <c r="A436" s="212"/>
      <c r="B436" s="71" t="s">
        <v>2529</v>
      </c>
      <c r="C436" s="71" t="s">
        <v>320</v>
      </c>
      <c r="D436" s="71" t="s">
        <v>147</v>
      </c>
      <c r="E436" s="212">
        <v>5</v>
      </c>
      <c r="F436" s="212">
        <v>5</v>
      </c>
      <c r="G436" s="212">
        <v>13</v>
      </c>
      <c r="H436" s="212">
        <v>2018</v>
      </c>
      <c r="I436" s="212">
        <v>2020</v>
      </c>
      <c r="J436" s="212">
        <f t="shared" si="180"/>
        <v>9.1</v>
      </c>
      <c r="K436" s="212">
        <v>2.62</v>
      </c>
      <c r="L436" s="212">
        <v>3.01</v>
      </c>
      <c r="M436" s="212">
        <v>3.47</v>
      </c>
      <c r="N436" s="212">
        <v>9.1</v>
      </c>
      <c r="O436" s="212"/>
      <c r="P436" s="212"/>
      <c r="Q436" s="212"/>
      <c r="R436" s="212"/>
      <c r="S436" s="220" t="s">
        <v>2530</v>
      </c>
      <c r="T436" s="220" t="s">
        <v>2557</v>
      </c>
      <c r="U436" s="220"/>
      <c r="V436" s="113"/>
      <c r="W436" s="113"/>
      <c r="X436" s="113"/>
      <c r="Y436" s="113"/>
      <c r="Z436" s="244" t="s">
        <v>1474</v>
      </c>
      <c r="AA436" s="164"/>
    </row>
    <row r="437" ht="23.25" customHeight="1" spans="1:27">
      <c r="A437" s="212"/>
      <c r="B437" s="71" t="s">
        <v>2532</v>
      </c>
      <c r="C437" s="71" t="s">
        <v>320</v>
      </c>
      <c r="D437" s="71" t="s">
        <v>147</v>
      </c>
      <c r="E437" s="212">
        <v>2</v>
      </c>
      <c r="F437" s="212">
        <v>2</v>
      </c>
      <c r="G437" s="212">
        <v>5</v>
      </c>
      <c r="H437" s="212">
        <v>2018</v>
      </c>
      <c r="I437" s="212">
        <v>2020</v>
      </c>
      <c r="J437" s="212">
        <v>3.5</v>
      </c>
      <c r="K437" s="212">
        <v>1.01</v>
      </c>
      <c r="L437" s="212">
        <v>1.16</v>
      </c>
      <c r="M437" s="212">
        <v>1.33</v>
      </c>
      <c r="N437" s="212">
        <v>3.5</v>
      </c>
      <c r="O437" s="212"/>
      <c r="P437" s="212"/>
      <c r="Q437" s="212"/>
      <c r="R437" s="212"/>
      <c r="S437" s="220" t="s">
        <v>2533</v>
      </c>
      <c r="T437" s="220" t="s">
        <v>2534</v>
      </c>
      <c r="U437" s="220"/>
      <c r="V437" s="113"/>
      <c r="W437" s="113"/>
      <c r="X437" s="113"/>
      <c r="Y437" s="113"/>
      <c r="Z437" s="244" t="s">
        <v>1474</v>
      </c>
      <c r="AA437" s="164"/>
    </row>
    <row r="438" ht="23.25" customHeight="1" spans="1:27">
      <c r="A438" s="212">
        <v>53</v>
      </c>
      <c r="B438" s="71" t="s">
        <v>446</v>
      </c>
      <c r="C438" s="71" t="s">
        <v>320</v>
      </c>
      <c r="D438" s="71" t="s">
        <v>147</v>
      </c>
      <c r="E438" s="212">
        <f t="shared" ref="E438:G438" si="182">E439+E450</f>
        <v>156</v>
      </c>
      <c r="F438" s="212">
        <f t="shared" si="182"/>
        <v>53</v>
      </c>
      <c r="G438" s="212">
        <f t="shared" si="182"/>
        <v>61</v>
      </c>
      <c r="H438" s="212">
        <v>2018</v>
      </c>
      <c r="I438" s="212">
        <v>2020</v>
      </c>
      <c r="J438" s="212">
        <f t="shared" ref="J438:R438" si="183">J439+J450</f>
        <v>256.452</v>
      </c>
      <c r="K438" s="212">
        <f t="shared" si="183"/>
        <v>85.484</v>
      </c>
      <c r="L438" s="212">
        <f t="shared" si="183"/>
        <v>85.484</v>
      </c>
      <c r="M438" s="212">
        <f t="shared" si="183"/>
        <v>85.484</v>
      </c>
      <c r="N438" s="212">
        <f t="shared" si="183"/>
        <v>256.452</v>
      </c>
      <c r="O438" s="212">
        <f t="shared" si="183"/>
        <v>0</v>
      </c>
      <c r="P438" s="212">
        <f t="shared" si="183"/>
        <v>0</v>
      </c>
      <c r="Q438" s="212">
        <f t="shared" si="183"/>
        <v>0</v>
      </c>
      <c r="R438" s="212">
        <f t="shared" si="183"/>
        <v>0</v>
      </c>
      <c r="S438" s="220" t="s">
        <v>2501</v>
      </c>
      <c r="T438" s="220" t="s">
        <v>2581</v>
      </c>
      <c r="U438" s="220" t="s">
        <v>338</v>
      </c>
      <c r="V438" s="113"/>
      <c r="W438" s="113"/>
      <c r="X438" s="113"/>
      <c r="Y438" s="113"/>
      <c r="Z438" s="244" t="s">
        <v>1474</v>
      </c>
      <c r="AA438" s="164"/>
    </row>
    <row r="439" ht="23.25" customHeight="1" spans="1:27">
      <c r="A439" s="212">
        <v>54</v>
      </c>
      <c r="B439" s="71" t="s">
        <v>447</v>
      </c>
      <c r="C439" s="71" t="s">
        <v>320</v>
      </c>
      <c r="D439" s="71" t="s">
        <v>147</v>
      </c>
      <c r="E439" s="212">
        <f t="shared" ref="E439:G439" si="184">SUM(E440:E449)</f>
        <v>153</v>
      </c>
      <c r="F439" s="212">
        <f t="shared" si="184"/>
        <v>53</v>
      </c>
      <c r="G439" s="212">
        <f t="shared" si="184"/>
        <v>61</v>
      </c>
      <c r="H439" s="212">
        <v>2018</v>
      </c>
      <c r="I439" s="212">
        <v>2020</v>
      </c>
      <c r="J439" s="212">
        <f t="shared" ref="J439:M439" si="185">SUM(J440:J449)</f>
        <v>250.62</v>
      </c>
      <c r="K439" s="212">
        <f t="shared" si="185"/>
        <v>83.54</v>
      </c>
      <c r="L439" s="212">
        <f t="shared" si="185"/>
        <v>83.54</v>
      </c>
      <c r="M439" s="212">
        <f t="shared" si="185"/>
        <v>83.54</v>
      </c>
      <c r="N439" s="212">
        <v>250.62</v>
      </c>
      <c r="O439" s="212"/>
      <c r="P439" s="212"/>
      <c r="Q439" s="212"/>
      <c r="R439" s="212"/>
      <c r="S439" s="220"/>
      <c r="T439" s="220"/>
      <c r="U439" s="220"/>
      <c r="V439" s="113"/>
      <c r="W439" s="113"/>
      <c r="X439" s="113"/>
      <c r="Y439" s="113"/>
      <c r="Z439" s="244" t="s">
        <v>1474</v>
      </c>
      <c r="AA439" s="164"/>
    </row>
    <row r="440" ht="23.25" customHeight="1" spans="1:27">
      <c r="A440" s="212"/>
      <c r="B440" s="71" t="s">
        <v>2503</v>
      </c>
      <c r="C440" s="71" t="s">
        <v>320</v>
      </c>
      <c r="D440" s="71" t="s">
        <v>147</v>
      </c>
      <c r="E440" s="212">
        <v>18</v>
      </c>
      <c r="F440" s="212">
        <v>4</v>
      </c>
      <c r="G440" s="212">
        <v>4</v>
      </c>
      <c r="H440" s="212">
        <v>2018</v>
      </c>
      <c r="I440" s="212">
        <v>2020</v>
      </c>
      <c r="J440" s="212">
        <f t="shared" ref="J440:J464" si="186">K440+L440+M440</f>
        <v>29.49</v>
      </c>
      <c r="K440" s="212">
        <v>9.83</v>
      </c>
      <c r="L440" s="212">
        <v>9.83</v>
      </c>
      <c r="M440" s="212">
        <v>9.83</v>
      </c>
      <c r="N440" s="212">
        <v>29.49</v>
      </c>
      <c r="O440" s="212"/>
      <c r="P440" s="212"/>
      <c r="Q440" s="212"/>
      <c r="R440" s="212"/>
      <c r="S440" s="220" t="s">
        <v>2504</v>
      </c>
      <c r="T440" s="220" t="s">
        <v>2505</v>
      </c>
      <c r="U440" s="220"/>
      <c r="V440" s="113"/>
      <c r="W440" s="113"/>
      <c r="X440" s="113"/>
      <c r="Y440" s="113"/>
      <c r="Z440" s="244" t="s">
        <v>1474</v>
      </c>
      <c r="AA440" s="164"/>
    </row>
    <row r="441" ht="23.25" customHeight="1" spans="1:27">
      <c r="A441" s="212"/>
      <c r="B441" s="71" t="s">
        <v>2506</v>
      </c>
      <c r="C441" s="71" t="s">
        <v>320</v>
      </c>
      <c r="D441" s="71" t="s">
        <v>147</v>
      </c>
      <c r="E441" s="212">
        <v>28</v>
      </c>
      <c r="F441" s="212">
        <v>9</v>
      </c>
      <c r="G441" s="212">
        <v>13</v>
      </c>
      <c r="H441" s="212">
        <v>2018</v>
      </c>
      <c r="I441" s="212">
        <v>2020</v>
      </c>
      <c r="J441" s="212">
        <f t="shared" si="186"/>
        <v>42.6</v>
      </c>
      <c r="K441" s="212">
        <v>14.2</v>
      </c>
      <c r="L441" s="212">
        <v>14.2</v>
      </c>
      <c r="M441" s="212">
        <v>14.2</v>
      </c>
      <c r="N441" s="212">
        <v>42.6</v>
      </c>
      <c r="O441" s="212"/>
      <c r="P441" s="212"/>
      <c r="Q441" s="212"/>
      <c r="R441" s="212"/>
      <c r="S441" s="220" t="s">
        <v>2621</v>
      </c>
      <c r="T441" s="220" t="s">
        <v>2600</v>
      </c>
      <c r="U441" s="220"/>
      <c r="V441" s="113"/>
      <c r="W441" s="113"/>
      <c r="X441" s="113"/>
      <c r="Y441" s="113"/>
      <c r="Z441" s="244" t="s">
        <v>1474</v>
      </c>
      <c r="AA441" s="164"/>
    </row>
    <row r="442" ht="23.25" customHeight="1" spans="1:27">
      <c r="A442" s="212"/>
      <c r="B442" s="71" t="s">
        <v>2509</v>
      </c>
      <c r="C442" s="71" t="s">
        <v>320</v>
      </c>
      <c r="D442" s="71" t="s">
        <v>147</v>
      </c>
      <c r="E442" s="212">
        <v>28</v>
      </c>
      <c r="F442" s="212">
        <v>25</v>
      </c>
      <c r="G442" s="212">
        <v>26</v>
      </c>
      <c r="H442" s="212">
        <v>2018</v>
      </c>
      <c r="I442" s="212">
        <v>2020</v>
      </c>
      <c r="J442" s="212">
        <f t="shared" si="186"/>
        <v>45.87</v>
      </c>
      <c r="K442" s="212">
        <v>15.29</v>
      </c>
      <c r="L442" s="212">
        <v>15.29</v>
      </c>
      <c r="M442" s="212">
        <v>15.29</v>
      </c>
      <c r="N442" s="212">
        <v>45.87</v>
      </c>
      <c r="O442" s="212"/>
      <c r="P442" s="212"/>
      <c r="Q442" s="212"/>
      <c r="R442" s="212"/>
      <c r="S442" s="220" t="s">
        <v>2688</v>
      </c>
      <c r="T442" s="220" t="s">
        <v>2689</v>
      </c>
      <c r="U442" s="220"/>
      <c r="V442" s="113"/>
      <c r="W442" s="113"/>
      <c r="X442" s="113"/>
      <c r="Y442" s="113"/>
      <c r="Z442" s="244" t="s">
        <v>1474</v>
      </c>
      <c r="AA442" s="164"/>
    </row>
    <row r="443" ht="23.25" customHeight="1" spans="1:27">
      <c r="A443" s="212"/>
      <c r="B443" s="71" t="s">
        <v>2512</v>
      </c>
      <c r="C443" s="71" t="s">
        <v>320</v>
      </c>
      <c r="D443" s="71" t="s">
        <v>147</v>
      </c>
      <c r="E443" s="212">
        <v>16</v>
      </c>
      <c r="F443" s="212">
        <v>1</v>
      </c>
      <c r="G443" s="212">
        <v>2</v>
      </c>
      <c r="H443" s="212">
        <v>2018</v>
      </c>
      <c r="I443" s="212">
        <v>2020</v>
      </c>
      <c r="J443" s="212">
        <f t="shared" si="186"/>
        <v>26.22</v>
      </c>
      <c r="K443" s="212">
        <v>8.74</v>
      </c>
      <c r="L443" s="212">
        <v>8.74</v>
      </c>
      <c r="M443" s="212">
        <v>8.74</v>
      </c>
      <c r="N443" s="212">
        <v>26.22</v>
      </c>
      <c r="O443" s="212"/>
      <c r="P443" s="212"/>
      <c r="Q443" s="212"/>
      <c r="R443" s="212"/>
      <c r="S443" s="220" t="s">
        <v>2690</v>
      </c>
      <c r="T443" s="220" t="s">
        <v>2549</v>
      </c>
      <c r="U443" s="220"/>
      <c r="V443" s="113"/>
      <c r="W443" s="113"/>
      <c r="X443" s="113"/>
      <c r="Y443" s="113"/>
      <c r="Z443" s="244" t="s">
        <v>1474</v>
      </c>
      <c r="AA443" s="164"/>
    </row>
    <row r="444" ht="23.25" customHeight="1" spans="1:27">
      <c r="A444" s="212"/>
      <c r="B444" s="71" t="s">
        <v>2515</v>
      </c>
      <c r="C444" s="71" t="s">
        <v>320</v>
      </c>
      <c r="D444" s="71" t="s">
        <v>147</v>
      </c>
      <c r="E444" s="212">
        <v>12</v>
      </c>
      <c r="F444" s="212">
        <v>4</v>
      </c>
      <c r="G444" s="212">
        <v>4</v>
      </c>
      <c r="H444" s="212">
        <v>2018</v>
      </c>
      <c r="I444" s="212">
        <v>2020</v>
      </c>
      <c r="J444" s="212">
        <f t="shared" si="186"/>
        <v>19.65</v>
      </c>
      <c r="K444" s="212">
        <v>6.55</v>
      </c>
      <c r="L444" s="212">
        <v>6.55</v>
      </c>
      <c r="M444" s="212">
        <v>6.55</v>
      </c>
      <c r="N444" s="212">
        <v>19.65</v>
      </c>
      <c r="O444" s="212"/>
      <c r="P444" s="212"/>
      <c r="Q444" s="212"/>
      <c r="R444" s="212"/>
      <c r="S444" s="220" t="s">
        <v>2691</v>
      </c>
      <c r="T444" s="220" t="s">
        <v>2539</v>
      </c>
      <c r="U444" s="220"/>
      <c r="V444" s="113"/>
      <c r="W444" s="113"/>
      <c r="X444" s="113"/>
      <c r="Y444" s="113"/>
      <c r="Z444" s="244" t="s">
        <v>1474</v>
      </c>
      <c r="AA444" s="164"/>
    </row>
    <row r="445" ht="23.25" customHeight="1" spans="1:27">
      <c r="A445" s="212"/>
      <c r="B445" s="71" t="s">
        <v>2518</v>
      </c>
      <c r="C445" s="71" t="s">
        <v>320</v>
      </c>
      <c r="D445" s="71" t="s">
        <v>147</v>
      </c>
      <c r="E445" s="212">
        <v>7</v>
      </c>
      <c r="F445" s="212">
        <v>1</v>
      </c>
      <c r="G445" s="212">
        <v>2</v>
      </c>
      <c r="H445" s="212">
        <v>2018</v>
      </c>
      <c r="I445" s="212">
        <v>2020</v>
      </c>
      <c r="J445" s="212">
        <f t="shared" si="186"/>
        <v>14.73</v>
      </c>
      <c r="K445" s="212">
        <v>4.91</v>
      </c>
      <c r="L445" s="212">
        <v>4.91</v>
      </c>
      <c r="M445" s="212">
        <v>4.91</v>
      </c>
      <c r="N445" s="212">
        <v>14.73</v>
      </c>
      <c r="O445" s="212"/>
      <c r="P445" s="212"/>
      <c r="Q445" s="212"/>
      <c r="R445" s="212"/>
      <c r="S445" s="220" t="s">
        <v>2540</v>
      </c>
      <c r="T445" s="220" t="s">
        <v>2541</v>
      </c>
      <c r="U445" s="220"/>
      <c r="V445" s="113"/>
      <c r="W445" s="113"/>
      <c r="X445" s="113"/>
      <c r="Y445" s="113"/>
      <c r="Z445" s="244" t="s">
        <v>1474</v>
      </c>
      <c r="AA445" s="164"/>
    </row>
    <row r="446" ht="23.25" customHeight="1" spans="1:27">
      <c r="A446" s="212"/>
      <c r="B446" s="71" t="s">
        <v>2521</v>
      </c>
      <c r="C446" s="71" t="s">
        <v>320</v>
      </c>
      <c r="D446" s="71" t="s">
        <v>147</v>
      </c>
      <c r="E446" s="212">
        <v>14</v>
      </c>
      <c r="F446" s="212">
        <v>2</v>
      </c>
      <c r="G446" s="212">
        <v>3</v>
      </c>
      <c r="H446" s="212">
        <v>2018</v>
      </c>
      <c r="I446" s="212">
        <v>2020</v>
      </c>
      <c r="J446" s="212">
        <f t="shared" si="186"/>
        <v>22.92</v>
      </c>
      <c r="K446" s="212">
        <v>7.64</v>
      </c>
      <c r="L446" s="212">
        <v>7.64</v>
      </c>
      <c r="M446" s="212">
        <v>7.64</v>
      </c>
      <c r="N446" s="212">
        <v>22.92</v>
      </c>
      <c r="O446" s="212"/>
      <c r="P446" s="212"/>
      <c r="Q446" s="212"/>
      <c r="R446" s="212"/>
      <c r="S446" s="220" t="s">
        <v>2522</v>
      </c>
      <c r="T446" s="220" t="s">
        <v>2523</v>
      </c>
      <c r="U446" s="220"/>
      <c r="V446" s="113"/>
      <c r="W446" s="113"/>
      <c r="X446" s="113"/>
      <c r="Y446" s="113"/>
      <c r="Z446" s="244" t="s">
        <v>1474</v>
      </c>
      <c r="AA446" s="164"/>
    </row>
    <row r="447" ht="23.25" customHeight="1" spans="1:27">
      <c r="A447" s="212"/>
      <c r="B447" s="71" t="s">
        <v>2526</v>
      </c>
      <c r="C447" s="71" t="s">
        <v>320</v>
      </c>
      <c r="D447" s="71" t="s">
        <v>147</v>
      </c>
      <c r="E447" s="212">
        <v>10</v>
      </c>
      <c r="F447" s="212">
        <v>2</v>
      </c>
      <c r="G447" s="212">
        <v>2</v>
      </c>
      <c r="H447" s="212">
        <v>2018</v>
      </c>
      <c r="I447" s="212">
        <v>2020</v>
      </c>
      <c r="J447" s="212">
        <f t="shared" si="186"/>
        <v>16.38</v>
      </c>
      <c r="K447" s="212">
        <v>5.46</v>
      </c>
      <c r="L447" s="212">
        <v>5.46</v>
      </c>
      <c r="M447" s="212">
        <v>5.46</v>
      </c>
      <c r="N447" s="212">
        <v>16.38</v>
      </c>
      <c r="O447" s="212"/>
      <c r="P447" s="212"/>
      <c r="Q447" s="212"/>
      <c r="R447" s="212"/>
      <c r="S447" s="220" t="s">
        <v>2542</v>
      </c>
      <c r="T447" s="220" t="s">
        <v>2528</v>
      </c>
      <c r="U447" s="220"/>
      <c r="V447" s="113"/>
      <c r="W447" s="113"/>
      <c r="X447" s="113"/>
      <c r="Y447" s="113"/>
      <c r="Z447" s="244" t="s">
        <v>1474</v>
      </c>
      <c r="AA447" s="164"/>
    </row>
    <row r="448" ht="23.25" customHeight="1" spans="1:27">
      <c r="A448" s="212"/>
      <c r="B448" s="71" t="s">
        <v>2529</v>
      </c>
      <c r="C448" s="71" t="s">
        <v>320</v>
      </c>
      <c r="D448" s="71" t="s">
        <v>147</v>
      </c>
      <c r="E448" s="212">
        <v>10</v>
      </c>
      <c r="F448" s="212">
        <v>2</v>
      </c>
      <c r="G448" s="212">
        <v>2</v>
      </c>
      <c r="H448" s="212">
        <v>2018</v>
      </c>
      <c r="I448" s="212">
        <v>2020</v>
      </c>
      <c r="J448" s="212">
        <f t="shared" si="186"/>
        <v>16.38</v>
      </c>
      <c r="K448" s="212">
        <v>5.46</v>
      </c>
      <c r="L448" s="212">
        <v>5.46</v>
      </c>
      <c r="M448" s="212">
        <v>5.46</v>
      </c>
      <c r="N448" s="212">
        <v>16.38</v>
      </c>
      <c r="O448" s="212"/>
      <c r="P448" s="212"/>
      <c r="Q448" s="212"/>
      <c r="R448" s="212"/>
      <c r="S448" s="220" t="s">
        <v>2530</v>
      </c>
      <c r="T448" s="220" t="s">
        <v>2557</v>
      </c>
      <c r="U448" s="220"/>
      <c r="V448" s="113"/>
      <c r="W448" s="113"/>
      <c r="X448" s="113"/>
      <c r="Y448" s="113"/>
      <c r="Z448" s="244" t="s">
        <v>1474</v>
      </c>
      <c r="AA448" s="164"/>
    </row>
    <row r="449" ht="23.25" customHeight="1" spans="2:27">
      <c r="B449" s="71" t="s">
        <v>2532</v>
      </c>
      <c r="C449" s="71" t="s">
        <v>320</v>
      </c>
      <c r="D449" s="71" t="s">
        <v>147</v>
      </c>
      <c r="E449" s="212">
        <v>10</v>
      </c>
      <c r="F449" s="212">
        <v>3</v>
      </c>
      <c r="G449" s="212">
        <v>3</v>
      </c>
      <c r="H449" s="212">
        <v>2018</v>
      </c>
      <c r="I449" s="212">
        <v>2020</v>
      </c>
      <c r="J449" s="212">
        <f t="shared" si="186"/>
        <v>16.38</v>
      </c>
      <c r="K449" s="212">
        <v>5.46</v>
      </c>
      <c r="L449" s="212">
        <v>5.46</v>
      </c>
      <c r="M449" s="212">
        <v>5.46</v>
      </c>
      <c r="N449" s="212">
        <v>16.38</v>
      </c>
      <c r="O449" s="212"/>
      <c r="P449" s="212"/>
      <c r="Q449" s="212"/>
      <c r="R449" s="212"/>
      <c r="S449" s="220" t="s">
        <v>2533</v>
      </c>
      <c r="T449" s="220" t="s">
        <v>2534</v>
      </c>
      <c r="U449" s="220" t="s">
        <v>338</v>
      </c>
      <c r="V449" s="113"/>
      <c r="W449" s="113"/>
      <c r="X449" s="113"/>
      <c r="Y449" s="113"/>
      <c r="Z449" s="244" t="s">
        <v>1474</v>
      </c>
      <c r="AA449" s="164"/>
    </row>
    <row r="450" ht="23.25" customHeight="1" spans="1:27">
      <c r="A450" s="212">
        <v>55</v>
      </c>
      <c r="B450" s="71" t="s">
        <v>448</v>
      </c>
      <c r="C450" s="71" t="s">
        <v>320</v>
      </c>
      <c r="D450" s="71" t="s">
        <v>147</v>
      </c>
      <c r="E450" s="212">
        <f>SUM(E451:E453)</f>
        <v>3</v>
      </c>
      <c r="F450" s="212"/>
      <c r="G450" s="212"/>
      <c r="H450" s="212">
        <v>2018</v>
      </c>
      <c r="I450" s="212">
        <v>2020</v>
      </c>
      <c r="J450" s="212">
        <f t="shared" si="186"/>
        <v>5.832</v>
      </c>
      <c r="K450" s="212">
        <f t="shared" ref="K450:M450" si="187">SUM(K451:K453)</f>
        <v>1.944</v>
      </c>
      <c r="L450" s="212">
        <f t="shared" si="187"/>
        <v>1.944</v>
      </c>
      <c r="M450" s="212">
        <f t="shared" si="187"/>
        <v>1.944</v>
      </c>
      <c r="N450" s="212">
        <v>5.832</v>
      </c>
      <c r="O450" s="212"/>
      <c r="P450" s="212"/>
      <c r="Q450" s="212"/>
      <c r="R450" s="212"/>
      <c r="S450" s="220" t="s">
        <v>2501</v>
      </c>
      <c r="T450" s="220" t="s">
        <v>2581</v>
      </c>
      <c r="U450" s="220"/>
      <c r="V450" s="113"/>
      <c r="W450" s="113"/>
      <c r="X450" s="113"/>
      <c r="Y450" s="113"/>
      <c r="Z450" s="244" t="s">
        <v>1474</v>
      </c>
      <c r="AA450" s="164"/>
    </row>
    <row r="451" ht="23.25" customHeight="1" spans="1:27">
      <c r="A451" s="212"/>
      <c r="B451" s="71" t="s">
        <v>2521</v>
      </c>
      <c r="C451" s="71" t="s">
        <v>320</v>
      </c>
      <c r="D451" s="71" t="s">
        <v>147</v>
      </c>
      <c r="E451" s="212">
        <v>1</v>
      </c>
      <c r="F451" s="212"/>
      <c r="G451" s="212"/>
      <c r="H451" s="212">
        <v>2018</v>
      </c>
      <c r="I451" s="212">
        <v>2020</v>
      </c>
      <c r="J451" s="212">
        <f t="shared" si="186"/>
        <v>1.944</v>
      </c>
      <c r="K451" s="212">
        <v>0.648</v>
      </c>
      <c r="L451" s="212">
        <v>0.648</v>
      </c>
      <c r="M451" s="212">
        <v>0.648</v>
      </c>
      <c r="N451" s="212">
        <v>1.944</v>
      </c>
      <c r="O451" s="212"/>
      <c r="P451" s="212"/>
      <c r="Q451" s="212"/>
      <c r="R451" s="212"/>
      <c r="S451" s="220" t="s">
        <v>2504</v>
      </c>
      <c r="T451" s="220" t="s">
        <v>2505</v>
      </c>
      <c r="U451" s="220"/>
      <c r="V451" s="113"/>
      <c r="W451" s="113"/>
      <c r="X451" s="113"/>
      <c r="Y451" s="113"/>
      <c r="Z451" s="244" t="s">
        <v>1474</v>
      </c>
      <c r="AA451" s="164"/>
    </row>
    <row r="452" ht="23.25" customHeight="1" spans="1:27">
      <c r="A452" s="212"/>
      <c r="B452" s="71" t="s">
        <v>2512</v>
      </c>
      <c r="C452" s="71" t="s">
        <v>320</v>
      </c>
      <c r="D452" s="71" t="s">
        <v>147</v>
      </c>
      <c r="E452" s="212">
        <v>1</v>
      </c>
      <c r="F452" s="212"/>
      <c r="G452" s="212"/>
      <c r="H452" s="212">
        <v>2018</v>
      </c>
      <c r="I452" s="212">
        <v>2020</v>
      </c>
      <c r="J452" s="212">
        <f t="shared" si="186"/>
        <v>1.944</v>
      </c>
      <c r="K452" s="212">
        <v>0.648</v>
      </c>
      <c r="L452" s="212">
        <v>0.648</v>
      </c>
      <c r="M452" s="212">
        <v>0.648</v>
      </c>
      <c r="N452" s="212">
        <v>1.944</v>
      </c>
      <c r="O452" s="212"/>
      <c r="P452" s="212"/>
      <c r="Q452" s="212"/>
      <c r="R452" s="212"/>
      <c r="S452" s="220" t="s">
        <v>2690</v>
      </c>
      <c r="T452" s="220" t="s">
        <v>2549</v>
      </c>
      <c r="U452" s="220"/>
      <c r="V452" s="113"/>
      <c r="W452" s="113"/>
      <c r="X452" s="113"/>
      <c r="Y452" s="113"/>
      <c r="Z452" s="244" t="s">
        <v>1474</v>
      </c>
      <c r="AA452" s="164"/>
    </row>
    <row r="453" ht="23.25" customHeight="1" spans="1:27">
      <c r="A453" s="212"/>
      <c r="B453" s="71" t="s">
        <v>2503</v>
      </c>
      <c r="C453" s="71" t="s">
        <v>320</v>
      </c>
      <c r="D453" s="71" t="s">
        <v>147</v>
      </c>
      <c r="E453" s="212">
        <v>1</v>
      </c>
      <c r="F453" s="212"/>
      <c r="G453" s="212"/>
      <c r="H453" s="212">
        <v>2018</v>
      </c>
      <c r="I453" s="212">
        <v>2020</v>
      </c>
      <c r="J453" s="212">
        <f t="shared" si="186"/>
        <v>1.944</v>
      </c>
      <c r="K453" s="212">
        <v>0.648</v>
      </c>
      <c r="L453" s="212">
        <v>0.648</v>
      </c>
      <c r="M453" s="212">
        <v>0.648</v>
      </c>
      <c r="N453" s="212">
        <v>1.944</v>
      </c>
      <c r="O453" s="212"/>
      <c r="P453" s="212"/>
      <c r="Q453" s="212"/>
      <c r="R453" s="212"/>
      <c r="S453" s="220" t="s">
        <v>2504</v>
      </c>
      <c r="T453" s="220" t="s">
        <v>2505</v>
      </c>
      <c r="U453" s="220"/>
      <c r="V453" s="113"/>
      <c r="W453" s="113"/>
      <c r="X453" s="113"/>
      <c r="Y453" s="113"/>
      <c r="Z453" s="244" t="s">
        <v>1474</v>
      </c>
      <c r="AA453" s="164"/>
    </row>
    <row r="454" ht="23.25" customHeight="1" spans="1:27">
      <c r="A454" s="212">
        <v>56</v>
      </c>
      <c r="B454" s="71" t="s">
        <v>449</v>
      </c>
      <c r="C454" s="71" t="s">
        <v>320</v>
      </c>
      <c r="D454" s="71" t="s">
        <v>147</v>
      </c>
      <c r="E454" s="212">
        <f t="shared" ref="E454:G454" si="188">SUM(E455:E464)</f>
        <v>246</v>
      </c>
      <c r="F454" s="212">
        <f t="shared" si="188"/>
        <v>112</v>
      </c>
      <c r="G454" s="212">
        <f t="shared" si="188"/>
        <v>113</v>
      </c>
      <c r="H454" s="212">
        <v>2018</v>
      </c>
      <c r="I454" s="212">
        <v>2020</v>
      </c>
      <c r="J454" s="212">
        <f t="shared" si="186"/>
        <v>84.594</v>
      </c>
      <c r="K454" s="212">
        <f t="shared" ref="K454:N454" si="189">SUM(K455:K464)</f>
        <v>28.198</v>
      </c>
      <c r="L454" s="212">
        <f t="shared" si="189"/>
        <v>28.198</v>
      </c>
      <c r="M454" s="212">
        <f t="shared" si="189"/>
        <v>28.198</v>
      </c>
      <c r="N454" s="212">
        <f t="shared" si="189"/>
        <v>84.594</v>
      </c>
      <c r="O454" s="212"/>
      <c r="P454" s="212"/>
      <c r="Q454" s="212"/>
      <c r="R454" s="212"/>
      <c r="S454" s="220" t="s">
        <v>2501</v>
      </c>
      <c r="T454" s="220" t="s">
        <v>2581</v>
      </c>
      <c r="U454" s="220" t="s">
        <v>452</v>
      </c>
      <c r="V454" s="113"/>
      <c r="W454" s="113"/>
      <c r="X454" s="113"/>
      <c r="Y454" s="113"/>
      <c r="Z454" s="244" t="s">
        <v>1474</v>
      </c>
      <c r="AA454" s="164"/>
    </row>
    <row r="455" ht="23.25" customHeight="1" spans="1:27">
      <c r="A455" s="212"/>
      <c r="B455" s="71" t="s">
        <v>2503</v>
      </c>
      <c r="C455" s="71" t="s">
        <v>320</v>
      </c>
      <c r="D455" s="71" t="s">
        <v>147</v>
      </c>
      <c r="E455" s="212">
        <v>27</v>
      </c>
      <c r="F455" s="212">
        <v>16</v>
      </c>
      <c r="G455" s="212">
        <v>16</v>
      </c>
      <c r="H455" s="212">
        <v>2018</v>
      </c>
      <c r="I455" s="212">
        <v>2020</v>
      </c>
      <c r="J455" s="212">
        <f t="shared" si="186"/>
        <v>9.648</v>
      </c>
      <c r="K455" s="212">
        <v>3.216</v>
      </c>
      <c r="L455" s="212">
        <v>3.216</v>
      </c>
      <c r="M455" s="212">
        <v>3.216</v>
      </c>
      <c r="N455" s="212">
        <v>9.648</v>
      </c>
      <c r="O455" s="212"/>
      <c r="P455" s="212"/>
      <c r="Q455" s="212"/>
      <c r="R455" s="212"/>
      <c r="S455" s="220" t="s">
        <v>2504</v>
      </c>
      <c r="T455" s="220" t="s">
        <v>2505</v>
      </c>
      <c r="U455" s="220"/>
      <c r="V455" s="113"/>
      <c r="W455" s="113"/>
      <c r="X455" s="113"/>
      <c r="Y455" s="113"/>
      <c r="Z455" s="244" t="s">
        <v>1474</v>
      </c>
      <c r="AA455" s="164"/>
    </row>
    <row r="456" ht="23.25" customHeight="1" spans="1:27">
      <c r="A456" s="212"/>
      <c r="B456" s="71" t="s">
        <v>2506</v>
      </c>
      <c r="C456" s="71" t="s">
        <v>320</v>
      </c>
      <c r="D456" s="71" t="s">
        <v>147</v>
      </c>
      <c r="E456" s="212">
        <v>39</v>
      </c>
      <c r="F456" s="212">
        <v>18</v>
      </c>
      <c r="G456" s="212">
        <v>18</v>
      </c>
      <c r="H456" s="212">
        <v>2018</v>
      </c>
      <c r="I456" s="212">
        <v>2020</v>
      </c>
      <c r="J456" s="212">
        <f t="shared" si="186"/>
        <v>15.54</v>
      </c>
      <c r="K456" s="212">
        <v>5.18</v>
      </c>
      <c r="L456" s="212">
        <v>5.18</v>
      </c>
      <c r="M456" s="212">
        <v>5.18</v>
      </c>
      <c r="N456" s="212">
        <v>15.54</v>
      </c>
      <c r="O456" s="212"/>
      <c r="P456" s="212"/>
      <c r="Q456" s="212"/>
      <c r="R456" s="212"/>
      <c r="S456" s="220" t="s">
        <v>2621</v>
      </c>
      <c r="T456" s="220" t="s">
        <v>2524</v>
      </c>
      <c r="U456" s="220"/>
      <c r="V456" s="113"/>
      <c r="W456" s="113"/>
      <c r="X456" s="113"/>
      <c r="Y456" s="113"/>
      <c r="Z456" s="244" t="s">
        <v>1474</v>
      </c>
      <c r="AA456" s="164"/>
    </row>
    <row r="457" ht="23.25" customHeight="1" spans="1:27">
      <c r="A457" s="212"/>
      <c r="B457" s="71" t="s">
        <v>2509</v>
      </c>
      <c r="C457" s="71" t="s">
        <v>320</v>
      </c>
      <c r="D457" s="71" t="s">
        <v>147</v>
      </c>
      <c r="E457" s="212">
        <v>30</v>
      </c>
      <c r="F457" s="212">
        <v>18</v>
      </c>
      <c r="G457" s="212">
        <v>18</v>
      </c>
      <c r="H457" s="212">
        <v>2018</v>
      </c>
      <c r="I457" s="212">
        <v>2020</v>
      </c>
      <c r="J457" s="212">
        <f t="shared" si="186"/>
        <v>12.312</v>
      </c>
      <c r="K457" s="212">
        <v>4.104</v>
      </c>
      <c r="L457" s="212">
        <v>4.104</v>
      </c>
      <c r="M457" s="212">
        <v>4.104</v>
      </c>
      <c r="N457" s="212">
        <v>12.312</v>
      </c>
      <c r="O457" s="212"/>
      <c r="P457" s="212"/>
      <c r="Q457" s="212"/>
      <c r="R457" s="212"/>
      <c r="S457" s="220" t="s">
        <v>2688</v>
      </c>
      <c r="T457" s="220" t="s">
        <v>2689</v>
      </c>
      <c r="U457" s="220"/>
      <c r="V457" s="113"/>
      <c r="W457" s="113"/>
      <c r="X457" s="113"/>
      <c r="Y457" s="113"/>
      <c r="Z457" s="244" t="s">
        <v>1474</v>
      </c>
      <c r="AA457" s="164"/>
    </row>
    <row r="458" ht="23.25" customHeight="1" spans="1:27">
      <c r="A458" s="212"/>
      <c r="B458" s="71" t="s">
        <v>2512</v>
      </c>
      <c r="C458" s="71" t="s">
        <v>320</v>
      </c>
      <c r="D458" s="71" t="s">
        <v>147</v>
      </c>
      <c r="E458" s="212">
        <v>24</v>
      </c>
      <c r="F458" s="212">
        <v>17</v>
      </c>
      <c r="G458" s="212">
        <v>17</v>
      </c>
      <c r="H458" s="212">
        <v>2018</v>
      </c>
      <c r="I458" s="212">
        <v>2020</v>
      </c>
      <c r="J458" s="212">
        <f t="shared" si="186"/>
        <v>8.1</v>
      </c>
      <c r="K458" s="212">
        <v>2.7</v>
      </c>
      <c r="L458" s="212">
        <v>2.7</v>
      </c>
      <c r="M458" s="212">
        <v>2.7</v>
      </c>
      <c r="N458" s="212">
        <v>8.1</v>
      </c>
      <c r="O458" s="212"/>
      <c r="P458" s="212"/>
      <c r="Q458" s="212"/>
      <c r="R458" s="212"/>
      <c r="S458" s="220" t="s">
        <v>2690</v>
      </c>
      <c r="T458" s="220" t="s">
        <v>2549</v>
      </c>
      <c r="U458" s="220"/>
      <c r="V458" s="113"/>
      <c r="W458" s="113"/>
      <c r="X458" s="113"/>
      <c r="Y458" s="113"/>
      <c r="Z458" s="244" t="s">
        <v>1474</v>
      </c>
      <c r="AA458" s="164"/>
    </row>
    <row r="459" ht="23.25" customHeight="1" spans="1:27">
      <c r="A459" s="212"/>
      <c r="B459" s="71" t="s">
        <v>2515</v>
      </c>
      <c r="C459" s="71" t="s">
        <v>320</v>
      </c>
      <c r="D459" s="71" t="s">
        <v>147</v>
      </c>
      <c r="E459" s="212">
        <v>20</v>
      </c>
      <c r="F459" s="212">
        <v>13</v>
      </c>
      <c r="G459" s="212">
        <v>13</v>
      </c>
      <c r="H459" s="212">
        <v>2018</v>
      </c>
      <c r="I459" s="212">
        <v>2020</v>
      </c>
      <c r="J459" s="212">
        <f t="shared" si="186"/>
        <v>7.35</v>
      </c>
      <c r="K459" s="212">
        <v>2.45</v>
      </c>
      <c r="L459" s="212">
        <v>2.45</v>
      </c>
      <c r="M459" s="212">
        <v>2.45</v>
      </c>
      <c r="N459" s="212">
        <v>7.35</v>
      </c>
      <c r="O459" s="212"/>
      <c r="P459" s="212"/>
      <c r="Q459" s="212"/>
      <c r="R459" s="212"/>
      <c r="S459" s="220" t="s">
        <v>2691</v>
      </c>
      <c r="T459" s="220" t="s">
        <v>2539</v>
      </c>
      <c r="U459" s="220"/>
      <c r="V459" s="113"/>
      <c r="W459" s="113"/>
      <c r="X459" s="113"/>
      <c r="Y459" s="113"/>
      <c r="Z459" s="244" t="s">
        <v>1474</v>
      </c>
      <c r="AA459" s="164"/>
    </row>
    <row r="460" ht="23.25" customHeight="1" spans="1:27">
      <c r="A460" s="212"/>
      <c r="B460" s="71" t="s">
        <v>2518</v>
      </c>
      <c r="C460" s="71" t="s">
        <v>320</v>
      </c>
      <c r="D460" s="71" t="s">
        <v>147</v>
      </c>
      <c r="E460" s="212">
        <v>27</v>
      </c>
      <c r="F460" s="212">
        <v>8</v>
      </c>
      <c r="G460" s="212">
        <v>8</v>
      </c>
      <c r="H460" s="212">
        <v>2018</v>
      </c>
      <c r="I460" s="212">
        <v>2020</v>
      </c>
      <c r="J460" s="212">
        <f t="shared" si="186"/>
        <v>3.024</v>
      </c>
      <c r="K460" s="212">
        <v>1.008</v>
      </c>
      <c r="L460" s="212">
        <v>1.008</v>
      </c>
      <c r="M460" s="212">
        <v>1.008</v>
      </c>
      <c r="N460" s="212">
        <v>3.024</v>
      </c>
      <c r="O460" s="212"/>
      <c r="P460" s="212"/>
      <c r="Q460" s="212"/>
      <c r="R460" s="212"/>
      <c r="S460" s="220" t="s">
        <v>2540</v>
      </c>
      <c r="T460" s="220" t="s">
        <v>2541</v>
      </c>
      <c r="U460" s="220"/>
      <c r="V460" s="113"/>
      <c r="W460" s="113"/>
      <c r="X460" s="113"/>
      <c r="Y460" s="113"/>
      <c r="Z460" s="244" t="s">
        <v>1474</v>
      </c>
      <c r="AA460" s="164"/>
    </row>
    <row r="461" ht="23.25" customHeight="1" spans="1:27">
      <c r="A461" s="212"/>
      <c r="B461" s="71" t="s">
        <v>2521</v>
      </c>
      <c r="C461" s="71" t="s">
        <v>320</v>
      </c>
      <c r="D461" s="71" t="s">
        <v>147</v>
      </c>
      <c r="E461" s="212">
        <v>24</v>
      </c>
      <c r="F461" s="212">
        <v>11</v>
      </c>
      <c r="G461" s="212">
        <v>11</v>
      </c>
      <c r="H461" s="212">
        <v>2018</v>
      </c>
      <c r="I461" s="212">
        <v>2020</v>
      </c>
      <c r="J461" s="212">
        <f t="shared" si="186"/>
        <v>8.676</v>
      </c>
      <c r="K461" s="212">
        <v>2.892</v>
      </c>
      <c r="L461" s="212">
        <v>2.892</v>
      </c>
      <c r="M461" s="212">
        <v>2.892</v>
      </c>
      <c r="N461" s="212">
        <v>8.676</v>
      </c>
      <c r="O461" s="212"/>
      <c r="P461" s="212"/>
      <c r="Q461" s="212"/>
      <c r="R461" s="212"/>
      <c r="S461" s="220" t="s">
        <v>2522</v>
      </c>
      <c r="T461" s="220" t="s">
        <v>2523</v>
      </c>
      <c r="U461" s="220"/>
      <c r="V461" s="113"/>
      <c r="W461" s="113"/>
      <c r="X461" s="113"/>
      <c r="Y461" s="113"/>
      <c r="Z461" s="244" t="s">
        <v>1474</v>
      </c>
      <c r="AA461" s="164"/>
    </row>
    <row r="462" ht="23.25" customHeight="1" spans="1:27">
      <c r="A462" s="212"/>
      <c r="B462" s="71" t="s">
        <v>2526</v>
      </c>
      <c r="C462" s="71" t="s">
        <v>320</v>
      </c>
      <c r="D462" s="71" t="s">
        <v>147</v>
      </c>
      <c r="E462" s="212">
        <v>27</v>
      </c>
      <c r="F462" s="212">
        <v>4</v>
      </c>
      <c r="G462" s="212">
        <v>5</v>
      </c>
      <c r="H462" s="212">
        <v>2018</v>
      </c>
      <c r="I462" s="212">
        <v>2020</v>
      </c>
      <c r="J462" s="212">
        <f t="shared" si="186"/>
        <v>10.26</v>
      </c>
      <c r="K462" s="212">
        <v>3.42</v>
      </c>
      <c r="L462" s="212">
        <v>3.42</v>
      </c>
      <c r="M462" s="212">
        <v>3.42</v>
      </c>
      <c r="N462" s="212">
        <v>10.26</v>
      </c>
      <c r="O462" s="212"/>
      <c r="P462" s="212"/>
      <c r="Q462" s="212"/>
      <c r="R462" s="212"/>
      <c r="S462" s="220" t="s">
        <v>2542</v>
      </c>
      <c r="T462" s="220" t="s">
        <v>2528</v>
      </c>
      <c r="U462" s="220"/>
      <c r="V462" s="113"/>
      <c r="W462" s="113"/>
      <c r="X462" s="113"/>
      <c r="Y462" s="113"/>
      <c r="Z462" s="244" t="s">
        <v>1474</v>
      </c>
      <c r="AA462" s="164"/>
    </row>
    <row r="463" ht="23.25" customHeight="1" spans="1:27">
      <c r="A463" s="212"/>
      <c r="B463" s="71" t="s">
        <v>2529</v>
      </c>
      <c r="C463" s="71" t="s">
        <v>320</v>
      </c>
      <c r="D463" s="71" t="s">
        <v>147</v>
      </c>
      <c r="E463" s="212">
        <v>19</v>
      </c>
      <c r="F463" s="212">
        <v>5</v>
      </c>
      <c r="G463" s="212">
        <v>5</v>
      </c>
      <c r="H463" s="212">
        <v>2018</v>
      </c>
      <c r="I463" s="212">
        <v>2020</v>
      </c>
      <c r="J463" s="212">
        <f t="shared" si="186"/>
        <v>6.444</v>
      </c>
      <c r="K463" s="212">
        <v>2.148</v>
      </c>
      <c r="L463" s="212">
        <v>2.148</v>
      </c>
      <c r="M463" s="212">
        <v>2.148</v>
      </c>
      <c r="N463" s="212">
        <v>6.444</v>
      </c>
      <c r="O463" s="212"/>
      <c r="P463" s="212"/>
      <c r="Q463" s="212"/>
      <c r="R463" s="212"/>
      <c r="S463" s="220" t="s">
        <v>2530</v>
      </c>
      <c r="T463" s="220" t="s">
        <v>2557</v>
      </c>
      <c r="U463" s="220"/>
      <c r="V463" s="113"/>
      <c r="W463" s="113"/>
      <c r="X463" s="113"/>
      <c r="Y463" s="113"/>
      <c r="Z463" s="244" t="s">
        <v>1474</v>
      </c>
      <c r="AA463" s="164"/>
    </row>
    <row r="464" ht="23.25" customHeight="1" spans="1:27">
      <c r="A464" s="212"/>
      <c r="B464" s="71" t="s">
        <v>2532</v>
      </c>
      <c r="C464" s="71" t="s">
        <v>320</v>
      </c>
      <c r="D464" s="71" t="s">
        <v>147</v>
      </c>
      <c r="E464" s="212">
        <v>9</v>
      </c>
      <c r="F464" s="212">
        <v>2</v>
      </c>
      <c r="G464" s="212">
        <v>2</v>
      </c>
      <c r="H464" s="212">
        <v>2018</v>
      </c>
      <c r="I464" s="212">
        <v>2020</v>
      </c>
      <c r="J464" s="212">
        <f t="shared" si="186"/>
        <v>3.24</v>
      </c>
      <c r="K464" s="212">
        <v>1.08</v>
      </c>
      <c r="L464" s="212">
        <v>1.08</v>
      </c>
      <c r="M464" s="212">
        <v>1.08</v>
      </c>
      <c r="N464" s="212">
        <v>3.24</v>
      </c>
      <c r="O464" s="212"/>
      <c r="P464" s="212"/>
      <c r="Q464" s="212"/>
      <c r="R464" s="212"/>
      <c r="S464" s="220" t="s">
        <v>2533</v>
      </c>
      <c r="T464" s="220" t="s">
        <v>2534</v>
      </c>
      <c r="U464" s="220"/>
      <c r="V464" s="113"/>
      <c r="W464" s="113"/>
      <c r="X464" s="113"/>
      <c r="Y464" s="113"/>
      <c r="Z464" s="244" t="s">
        <v>1474</v>
      </c>
      <c r="AA464" s="164"/>
    </row>
    <row r="465" ht="23.25" customHeight="1" spans="1:27">
      <c r="A465" s="212">
        <v>57</v>
      </c>
      <c r="B465" s="71" t="s">
        <v>457</v>
      </c>
      <c r="C465" s="71" t="s">
        <v>320</v>
      </c>
      <c r="D465" s="71"/>
      <c r="E465" s="212"/>
      <c r="F465" s="212"/>
      <c r="G465" s="212"/>
      <c r="H465" s="212"/>
      <c r="I465" s="212"/>
      <c r="J465" s="212"/>
      <c r="K465" s="212"/>
      <c r="L465" s="212"/>
      <c r="M465" s="212"/>
      <c r="N465" s="212"/>
      <c r="O465" s="212"/>
      <c r="P465" s="212"/>
      <c r="Q465" s="212"/>
      <c r="R465" s="212"/>
      <c r="S465" s="220"/>
      <c r="T465" s="220"/>
      <c r="U465" s="220" t="s">
        <v>320</v>
      </c>
      <c r="V465" s="113"/>
      <c r="W465" s="113"/>
      <c r="X465" s="113"/>
      <c r="Y465" s="113"/>
      <c r="Z465" s="244"/>
      <c r="AA465" s="164"/>
    </row>
    <row r="466" ht="23.25" customHeight="1" spans="1:27">
      <c r="A466" s="212">
        <v>58</v>
      </c>
      <c r="B466" s="71" t="s">
        <v>458</v>
      </c>
      <c r="C466" s="71" t="s">
        <v>320</v>
      </c>
      <c r="D466" s="71" t="s">
        <v>147</v>
      </c>
      <c r="E466" s="212"/>
      <c r="F466" s="212"/>
      <c r="G466" s="212"/>
      <c r="H466" s="212"/>
      <c r="I466" s="212"/>
      <c r="J466" s="212"/>
      <c r="K466" s="212"/>
      <c r="L466" s="212"/>
      <c r="M466" s="212"/>
      <c r="N466" s="212"/>
      <c r="O466" s="212"/>
      <c r="P466" s="212"/>
      <c r="Q466" s="212"/>
      <c r="R466" s="212"/>
      <c r="S466" s="220"/>
      <c r="T466" s="220"/>
      <c r="U466" s="220" t="s">
        <v>338</v>
      </c>
      <c r="V466" s="113"/>
      <c r="W466" s="113"/>
      <c r="X466" s="113"/>
      <c r="Y466" s="113"/>
      <c r="Z466" s="244"/>
      <c r="AA466" s="164"/>
    </row>
    <row r="467" ht="23.25" customHeight="1" spans="1:27">
      <c r="A467" s="212">
        <v>59</v>
      </c>
      <c r="B467" s="71" t="s">
        <v>459</v>
      </c>
      <c r="C467" s="71" t="s">
        <v>320</v>
      </c>
      <c r="D467" s="71" t="s">
        <v>147</v>
      </c>
      <c r="E467" s="212"/>
      <c r="F467" s="212"/>
      <c r="G467" s="212"/>
      <c r="H467" s="212"/>
      <c r="I467" s="212"/>
      <c r="J467" s="212"/>
      <c r="K467" s="212"/>
      <c r="L467" s="212"/>
      <c r="M467" s="212"/>
      <c r="N467" s="212"/>
      <c r="O467" s="212"/>
      <c r="P467" s="212"/>
      <c r="Q467" s="212"/>
      <c r="R467" s="212"/>
      <c r="S467" s="220"/>
      <c r="T467" s="220"/>
      <c r="U467" s="220" t="s">
        <v>338</v>
      </c>
      <c r="V467" s="113"/>
      <c r="W467" s="113"/>
      <c r="X467" s="113"/>
      <c r="Y467" s="113"/>
      <c r="Z467" s="244"/>
      <c r="AA467" s="164"/>
    </row>
    <row r="468" ht="23.25" customHeight="1" spans="1:27">
      <c r="A468" s="212">
        <v>60</v>
      </c>
      <c r="B468" s="71" t="s">
        <v>951</v>
      </c>
      <c r="C468" s="71" t="s">
        <v>320</v>
      </c>
      <c r="D468" s="71" t="s">
        <v>320</v>
      </c>
      <c r="E468" s="212"/>
      <c r="F468" s="212"/>
      <c r="G468" s="212"/>
      <c r="H468" s="212"/>
      <c r="I468" s="212"/>
      <c r="J468" s="212">
        <f t="shared" ref="J468:R468" si="190">J469+J480+J490+J497+J498+J502+J519+J531+J537+J549</f>
        <v>2136.17</v>
      </c>
      <c r="K468" s="212">
        <f t="shared" si="190"/>
        <v>1114.92</v>
      </c>
      <c r="L468" s="212">
        <f t="shared" si="190"/>
        <v>1021.25</v>
      </c>
      <c r="M468" s="212">
        <f t="shared" si="190"/>
        <v>0</v>
      </c>
      <c r="N468" s="212">
        <f t="shared" si="190"/>
        <v>159.79</v>
      </c>
      <c r="O468" s="212">
        <f t="shared" si="190"/>
        <v>1149.25</v>
      </c>
      <c r="P468" s="212">
        <f t="shared" si="190"/>
        <v>827.13</v>
      </c>
      <c r="Q468" s="212">
        <f t="shared" si="190"/>
        <v>0</v>
      </c>
      <c r="R468" s="212">
        <f t="shared" si="190"/>
        <v>0</v>
      </c>
      <c r="S468" s="220"/>
      <c r="T468" s="220"/>
      <c r="U468" s="220"/>
      <c r="V468" s="113"/>
      <c r="W468" s="113"/>
      <c r="X468" s="113"/>
      <c r="Y468" s="113"/>
      <c r="Z468" s="244"/>
      <c r="AA468" s="164"/>
    </row>
    <row r="469" ht="23.25" customHeight="1" spans="1:27">
      <c r="A469" s="212">
        <v>61</v>
      </c>
      <c r="B469" s="71" t="s">
        <v>1175</v>
      </c>
      <c r="C469" s="71" t="s">
        <v>320</v>
      </c>
      <c r="D469" s="71" t="s">
        <v>2692</v>
      </c>
      <c r="E469" s="212">
        <v>2.37</v>
      </c>
      <c r="F469" s="212">
        <f>SUM(F470:F479)</f>
        <v>1730</v>
      </c>
      <c r="G469" s="212">
        <f>SUM(G470:G479)</f>
        <v>6918</v>
      </c>
      <c r="H469" s="212">
        <v>2018</v>
      </c>
      <c r="I469" s="212">
        <v>2020</v>
      </c>
      <c r="J469" s="212"/>
      <c r="K469" s="212"/>
      <c r="L469" s="212"/>
      <c r="M469" s="212"/>
      <c r="N469" s="212"/>
      <c r="O469" s="212"/>
      <c r="P469" s="212"/>
      <c r="Q469" s="212"/>
      <c r="R469" s="212"/>
      <c r="S469" s="220"/>
      <c r="T469" s="220"/>
      <c r="U469" s="220"/>
      <c r="V469" s="113"/>
      <c r="W469" s="113"/>
      <c r="X469" s="113"/>
      <c r="Y469" s="113"/>
      <c r="Z469" s="244"/>
      <c r="AA469" s="164"/>
    </row>
    <row r="470" ht="23.25" customHeight="1" spans="1:27">
      <c r="A470" s="212"/>
      <c r="B470" s="215" t="s">
        <v>2503</v>
      </c>
      <c r="C470" s="71" t="s">
        <v>320</v>
      </c>
      <c r="D470" s="71" t="s">
        <v>2692</v>
      </c>
      <c r="E470" s="212">
        <v>1.77</v>
      </c>
      <c r="F470" s="251">
        <v>267</v>
      </c>
      <c r="G470" s="251">
        <v>1111</v>
      </c>
      <c r="H470" s="212" t="s">
        <v>2592</v>
      </c>
      <c r="I470" s="212" t="s">
        <v>2593</v>
      </c>
      <c r="J470" s="212"/>
      <c r="K470" s="212"/>
      <c r="L470" s="212"/>
      <c r="M470" s="212"/>
      <c r="N470" s="212"/>
      <c r="O470" s="212"/>
      <c r="P470" s="212"/>
      <c r="Q470" s="212"/>
      <c r="R470" s="212"/>
      <c r="S470" s="220" t="s">
        <v>2504</v>
      </c>
      <c r="T470" s="220" t="s">
        <v>2505</v>
      </c>
      <c r="U470" s="220"/>
      <c r="V470" s="113"/>
      <c r="W470" s="113"/>
      <c r="X470" s="113"/>
      <c r="Y470" s="113"/>
      <c r="Z470" s="244"/>
      <c r="AA470" s="164"/>
    </row>
    <row r="471" ht="23.25" customHeight="1" spans="1:27">
      <c r="A471" s="212"/>
      <c r="B471" s="215" t="s">
        <v>2506</v>
      </c>
      <c r="C471" s="71" t="s">
        <v>320</v>
      </c>
      <c r="D471" s="71" t="s">
        <v>2692</v>
      </c>
      <c r="E471" s="212">
        <v>3.13</v>
      </c>
      <c r="F471" s="251">
        <v>364</v>
      </c>
      <c r="G471" s="251">
        <v>1583</v>
      </c>
      <c r="H471" s="212" t="s">
        <v>2592</v>
      </c>
      <c r="I471" s="212" t="s">
        <v>2593</v>
      </c>
      <c r="J471" s="212"/>
      <c r="K471" s="212"/>
      <c r="L471" s="212"/>
      <c r="M471" s="212"/>
      <c r="N471" s="212"/>
      <c r="O471" s="212"/>
      <c r="P471" s="212"/>
      <c r="Q471" s="212"/>
      <c r="R471" s="212"/>
      <c r="S471" s="220" t="s">
        <v>2621</v>
      </c>
      <c r="T471" s="220" t="s">
        <v>2525</v>
      </c>
      <c r="U471" s="220"/>
      <c r="V471" s="113"/>
      <c r="W471" s="113"/>
      <c r="X471" s="113"/>
      <c r="Y471" s="113"/>
      <c r="Z471" s="244"/>
      <c r="AA471" s="164"/>
    </row>
    <row r="472" ht="23.25" customHeight="1" spans="1:27">
      <c r="A472" s="212"/>
      <c r="B472" s="215" t="s">
        <v>2509</v>
      </c>
      <c r="C472" s="71" t="s">
        <v>320</v>
      </c>
      <c r="D472" s="71" t="s">
        <v>2692</v>
      </c>
      <c r="E472" s="212">
        <v>2.76</v>
      </c>
      <c r="F472" s="251">
        <v>266</v>
      </c>
      <c r="G472" s="251">
        <v>1019</v>
      </c>
      <c r="H472" s="212" t="s">
        <v>2592</v>
      </c>
      <c r="I472" s="212" t="s">
        <v>2593</v>
      </c>
      <c r="J472" s="212"/>
      <c r="K472" s="212"/>
      <c r="L472" s="212"/>
      <c r="M472" s="212"/>
      <c r="N472" s="212"/>
      <c r="O472" s="212"/>
      <c r="P472" s="212"/>
      <c r="Q472" s="212"/>
      <c r="R472" s="212"/>
      <c r="S472" s="220" t="s">
        <v>2536</v>
      </c>
      <c r="T472" s="220" t="s">
        <v>2537</v>
      </c>
      <c r="U472" s="220"/>
      <c r="V472" s="113"/>
      <c r="W472" s="113"/>
      <c r="X472" s="113"/>
      <c r="Y472" s="113"/>
      <c r="Z472" s="244"/>
      <c r="AA472" s="164"/>
    </row>
    <row r="473" ht="23.25" customHeight="1" spans="1:27">
      <c r="A473" s="212"/>
      <c r="B473" s="215" t="s">
        <v>2512</v>
      </c>
      <c r="C473" s="71" t="s">
        <v>320</v>
      </c>
      <c r="D473" s="71" t="s">
        <v>2692</v>
      </c>
      <c r="E473" s="212">
        <v>1.9</v>
      </c>
      <c r="F473" s="251">
        <v>185</v>
      </c>
      <c r="G473" s="251">
        <v>815</v>
      </c>
      <c r="H473" s="212" t="s">
        <v>2592</v>
      </c>
      <c r="I473" s="212" t="s">
        <v>2593</v>
      </c>
      <c r="J473" s="212"/>
      <c r="K473" s="212"/>
      <c r="L473" s="212"/>
      <c r="M473" s="212"/>
      <c r="N473" s="212"/>
      <c r="O473" s="212"/>
      <c r="P473" s="212"/>
      <c r="Q473" s="212"/>
      <c r="R473" s="212"/>
      <c r="S473" s="220" t="s">
        <v>2513</v>
      </c>
      <c r="T473" s="220" t="s">
        <v>2514</v>
      </c>
      <c r="U473" s="220"/>
      <c r="V473" s="113"/>
      <c r="W473" s="113"/>
      <c r="X473" s="113"/>
      <c r="Y473" s="113"/>
      <c r="Z473" s="244"/>
      <c r="AA473" s="164"/>
    </row>
    <row r="474" ht="23.25" customHeight="1" spans="1:27">
      <c r="A474" s="212"/>
      <c r="B474" s="215" t="s">
        <v>2515</v>
      </c>
      <c r="C474" s="71" t="s">
        <v>320</v>
      </c>
      <c r="D474" s="71" t="s">
        <v>2692</v>
      </c>
      <c r="E474" s="212">
        <v>4.88</v>
      </c>
      <c r="F474" s="251">
        <v>237</v>
      </c>
      <c r="G474" s="251">
        <v>984</v>
      </c>
      <c r="H474" s="212" t="s">
        <v>2592</v>
      </c>
      <c r="I474" s="212" t="s">
        <v>2593</v>
      </c>
      <c r="J474" s="212"/>
      <c r="K474" s="212"/>
      <c r="L474" s="212"/>
      <c r="M474" s="212"/>
      <c r="N474" s="212"/>
      <c r="O474" s="212"/>
      <c r="P474" s="212"/>
      <c r="Q474" s="212"/>
      <c r="R474" s="212"/>
      <c r="S474" s="220" t="s">
        <v>2538</v>
      </c>
      <c r="T474" s="220" t="s">
        <v>2517</v>
      </c>
      <c r="U474" s="220"/>
      <c r="V474" s="113"/>
      <c r="W474" s="113"/>
      <c r="X474" s="113"/>
      <c r="Y474" s="113"/>
      <c r="Z474" s="244"/>
      <c r="AA474" s="164"/>
    </row>
    <row r="475" ht="23.25" customHeight="1" spans="1:27">
      <c r="A475" s="212"/>
      <c r="B475" s="215" t="s">
        <v>2518</v>
      </c>
      <c r="C475" s="71" t="s">
        <v>320</v>
      </c>
      <c r="D475" s="71" t="s">
        <v>2692</v>
      </c>
      <c r="E475" s="212">
        <v>2.14</v>
      </c>
      <c r="F475" s="251">
        <v>129</v>
      </c>
      <c r="G475" s="251">
        <v>503</v>
      </c>
      <c r="H475" s="212" t="s">
        <v>2592</v>
      </c>
      <c r="I475" s="212" t="s">
        <v>2593</v>
      </c>
      <c r="J475" s="71"/>
      <c r="K475" s="212"/>
      <c r="L475" s="212"/>
      <c r="M475" s="212"/>
      <c r="N475" s="212"/>
      <c r="O475" s="212"/>
      <c r="P475" s="212"/>
      <c r="Q475" s="212"/>
      <c r="R475" s="212"/>
      <c r="S475" s="220" t="s">
        <v>2540</v>
      </c>
      <c r="T475" s="220" t="s">
        <v>2520</v>
      </c>
      <c r="U475" s="220"/>
      <c r="V475" s="113"/>
      <c r="W475" s="113"/>
      <c r="X475" s="113"/>
      <c r="Y475" s="113"/>
      <c r="Z475" s="244"/>
      <c r="AA475" s="164"/>
    </row>
    <row r="476" ht="23.25" customHeight="1" spans="1:27">
      <c r="A476" s="212"/>
      <c r="B476" s="215" t="s">
        <v>2521</v>
      </c>
      <c r="C476" s="71" t="s">
        <v>320</v>
      </c>
      <c r="D476" s="71" t="s">
        <v>2692</v>
      </c>
      <c r="E476" s="212">
        <v>2.07</v>
      </c>
      <c r="F476" s="251">
        <v>116</v>
      </c>
      <c r="G476" s="251">
        <v>391</v>
      </c>
      <c r="H476" s="212" t="s">
        <v>2592</v>
      </c>
      <c r="I476" s="212" t="s">
        <v>2593</v>
      </c>
      <c r="J476" s="212"/>
      <c r="K476" s="212"/>
      <c r="L476" s="212"/>
      <c r="M476" s="212"/>
      <c r="N476" s="212"/>
      <c r="O476" s="212"/>
      <c r="P476" s="212"/>
      <c r="Q476" s="212"/>
      <c r="R476" s="212"/>
      <c r="S476" s="220" t="s">
        <v>2522</v>
      </c>
      <c r="T476" s="220" t="s">
        <v>2523</v>
      </c>
      <c r="U476" s="220"/>
      <c r="V476" s="113"/>
      <c r="W476" s="113"/>
      <c r="X476" s="113"/>
      <c r="Y476" s="113"/>
      <c r="Z476" s="244"/>
      <c r="AA476" s="164"/>
    </row>
    <row r="477" ht="23.25" customHeight="1" spans="1:27">
      <c r="A477" s="212"/>
      <c r="B477" s="215" t="s">
        <v>2526</v>
      </c>
      <c r="C477" s="71" t="s">
        <v>320</v>
      </c>
      <c r="D477" s="71" t="s">
        <v>2692</v>
      </c>
      <c r="E477" s="212">
        <v>1.64</v>
      </c>
      <c r="F477" s="251">
        <v>70</v>
      </c>
      <c r="G477" s="251">
        <v>222</v>
      </c>
      <c r="H477" s="212" t="s">
        <v>2592</v>
      </c>
      <c r="I477" s="212" t="s">
        <v>2593</v>
      </c>
      <c r="J477" s="212"/>
      <c r="K477" s="212"/>
      <c r="L477" s="212"/>
      <c r="M477" s="212"/>
      <c r="N477" s="212"/>
      <c r="O477" s="212"/>
      <c r="P477" s="212"/>
      <c r="Q477" s="212"/>
      <c r="R477" s="212"/>
      <c r="S477" s="220" t="s">
        <v>2693</v>
      </c>
      <c r="T477" s="220" t="s">
        <v>2595</v>
      </c>
      <c r="U477" s="220"/>
      <c r="V477" s="113"/>
      <c r="W477" s="113"/>
      <c r="X477" s="113"/>
      <c r="Y477" s="113"/>
      <c r="Z477" s="244"/>
      <c r="AA477" s="164"/>
    </row>
    <row r="478" ht="23.25" customHeight="1" spans="1:27">
      <c r="A478" s="212"/>
      <c r="B478" s="215" t="s">
        <v>2529</v>
      </c>
      <c r="C478" s="71" t="s">
        <v>320</v>
      </c>
      <c r="D478" s="71" t="s">
        <v>2692</v>
      </c>
      <c r="E478" s="212">
        <v>2.74</v>
      </c>
      <c r="F478" s="251">
        <v>50</v>
      </c>
      <c r="G478" s="251">
        <v>161</v>
      </c>
      <c r="H478" s="212" t="s">
        <v>2592</v>
      </c>
      <c r="I478" s="212" t="s">
        <v>2593</v>
      </c>
      <c r="J478" s="212"/>
      <c r="K478" s="212"/>
      <c r="L478" s="212"/>
      <c r="M478" s="212"/>
      <c r="N478" s="212"/>
      <c r="O478" s="212"/>
      <c r="P478" s="212"/>
      <c r="Q478" s="212"/>
      <c r="R478" s="212"/>
      <c r="S478" s="220" t="s">
        <v>2556</v>
      </c>
      <c r="T478" s="220" t="s">
        <v>2531</v>
      </c>
      <c r="U478" s="220"/>
      <c r="V478" s="113"/>
      <c r="W478" s="113"/>
      <c r="X478" s="113"/>
      <c r="Y478" s="113"/>
      <c r="Z478" s="244"/>
      <c r="AA478" s="164"/>
    </row>
    <row r="479" ht="23.25" customHeight="1" spans="1:26">
      <c r="A479" s="212"/>
      <c r="B479" s="215" t="s">
        <v>2532</v>
      </c>
      <c r="C479" s="71" t="s">
        <v>320</v>
      </c>
      <c r="D479" s="71" t="s">
        <v>2692</v>
      </c>
      <c r="E479" s="71">
        <v>1.2</v>
      </c>
      <c r="F479" s="251">
        <v>46</v>
      </c>
      <c r="G479" s="251">
        <v>129</v>
      </c>
      <c r="H479" s="212" t="s">
        <v>2592</v>
      </c>
      <c r="I479" s="212" t="s">
        <v>2593</v>
      </c>
      <c r="J479" s="212"/>
      <c r="K479" s="212"/>
      <c r="L479" s="212"/>
      <c r="M479" s="212"/>
      <c r="N479" s="212"/>
      <c r="O479" s="212"/>
      <c r="P479" s="212"/>
      <c r="Q479" s="212"/>
      <c r="R479" s="212"/>
      <c r="S479" s="220" t="s">
        <v>2543</v>
      </c>
      <c r="T479" s="220" t="s">
        <v>2534</v>
      </c>
      <c r="U479" s="220"/>
      <c r="V479" s="113"/>
      <c r="W479" s="113"/>
      <c r="X479" s="113"/>
      <c r="Y479" s="113"/>
      <c r="Z479" s="113"/>
    </row>
    <row r="480" ht="23.25" customHeight="1" spans="1:26">
      <c r="A480" s="212">
        <v>62</v>
      </c>
      <c r="B480" s="71" t="s">
        <v>462</v>
      </c>
      <c r="C480" s="71" t="s">
        <v>320</v>
      </c>
      <c r="D480" s="71" t="s">
        <v>192</v>
      </c>
      <c r="E480" s="212">
        <f t="shared" ref="E480:G480" si="191">E481</f>
        <v>55.33</v>
      </c>
      <c r="F480" s="212">
        <f t="shared" si="191"/>
        <v>0</v>
      </c>
      <c r="G480" s="212">
        <f t="shared" si="191"/>
        <v>0</v>
      </c>
      <c r="H480" s="212">
        <v>2018</v>
      </c>
      <c r="I480" s="212">
        <v>2019</v>
      </c>
      <c r="J480" s="212">
        <f t="shared" ref="J480:R480" si="192">J481</f>
        <v>541</v>
      </c>
      <c r="K480" s="212">
        <f t="shared" si="192"/>
        <v>328</v>
      </c>
      <c r="L480" s="212">
        <f t="shared" si="192"/>
        <v>213</v>
      </c>
      <c r="M480" s="212">
        <f t="shared" si="192"/>
        <v>0</v>
      </c>
      <c r="N480" s="212">
        <f t="shared" si="192"/>
        <v>110</v>
      </c>
      <c r="O480" s="212">
        <f t="shared" si="192"/>
        <v>213</v>
      </c>
      <c r="P480" s="212">
        <f t="shared" si="192"/>
        <v>218</v>
      </c>
      <c r="Q480" s="212">
        <f t="shared" si="192"/>
        <v>0</v>
      </c>
      <c r="R480" s="212">
        <f t="shared" si="192"/>
        <v>0</v>
      </c>
      <c r="S480" s="220" t="s">
        <v>2501</v>
      </c>
      <c r="T480" s="220" t="s">
        <v>2502</v>
      </c>
      <c r="U480" s="220" t="s">
        <v>320</v>
      </c>
      <c r="V480" s="113"/>
      <c r="W480" s="113"/>
      <c r="X480" s="113"/>
      <c r="Y480" s="113"/>
      <c r="Z480" s="113"/>
    </row>
    <row r="481" ht="23.25" customHeight="1" spans="1:26">
      <c r="A481" s="212">
        <v>63</v>
      </c>
      <c r="B481" s="71" t="s">
        <v>464</v>
      </c>
      <c r="C481" s="71" t="s">
        <v>1124</v>
      </c>
      <c r="D481" s="71" t="s">
        <v>192</v>
      </c>
      <c r="E481" s="212">
        <f t="shared" ref="E481:G481" si="193">SUM(E482:E489)</f>
        <v>55.33</v>
      </c>
      <c r="F481" s="212">
        <f t="shared" si="193"/>
        <v>0</v>
      </c>
      <c r="G481" s="212">
        <f t="shared" si="193"/>
        <v>0</v>
      </c>
      <c r="H481" s="212">
        <v>2018</v>
      </c>
      <c r="I481" s="212">
        <v>2019</v>
      </c>
      <c r="J481" s="212">
        <f t="shared" ref="J481:P481" si="194">SUM(J482:J489)</f>
        <v>541</v>
      </c>
      <c r="K481" s="212">
        <f t="shared" si="194"/>
        <v>328</v>
      </c>
      <c r="L481" s="212">
        <f t="shared" si="194"/>
        <v>213</v>
      </c>
      <c r="M481" s="212">
        <f t="shared" si="194"/>
        <v>0</v>
      </c>
      <c r="N481" s="212">
        <f t="shared" si="194"/>
        <v>110</v>
      </c>
      <c r="O481" s="212">
        <f t="shared" si="194"/>
        <v>213</v>
      </c>
      <c r="P481" s="212">
        <f t="shared" si="194"/>
        <v>218</v>
      </c>
      <c r="Q481" s="212"/>
      <c r="R481" s="212"/>
      <c r="S481" s="220"/>
      <c r="T481" s="220"/>
      <c r="U481" s="220" t="s">
        <v>271</v>
      </c>
      <c r="V481" s="113"/>
      <c r="W481" s="113"/>
      <c r="X481" s="113"/>
      <c r="Y481" s="113"/>
      <c r="Z481" s="113"/>
    </row>
    <row r="482" ht="36" spans="1:26">
      <c r="A482" s="212"/>
      <c r="B482" s="71" t="s">
        <v>2694</v>
      </c>
      <c r="C482" s="71" t="s">
        <v>1124</v>
      </c>
      <c r="D482" s="71" t="s">
        <v>192</v>
      </c>
      <c r="E482" s="212">
        <v>5.9</v>
      </c>
      <c r="F482" s="212"/>
      <c r="G482" s="212"/>
      <c r="H482" s="212">
        <v>2018</v>
      </c>
      <c r="I482" s="212">
        <v>2018</v>
      </c>
      <c r="J482" s="212">
        <f t="shared" ref="J482:J488" si="195">K482+L482+M482</f>
        <v>70</v>
      </c>
      <c r="K482" s="212">
        <v>70</v>
      </c>
      <c r="L482" s="212"/>
      <c r="M482" s="212"/>
      <c r="N482" s="212">
        <v>38</v>
      </c>
      <c r="O482" s="212"/>
      <c r="P482" s="212">
        <v>32</v>
      </c>
      <c r="Q482" s="212"/>
      <c r="R482" s="212"/>
      <c r="S482" s="220"/>
      <c r="T482" s="220"/>
      <c r="U482" s="220"/>
      <c r="V482" s="113"/>
      <c r="W482" s="113"/>
      <c r="X482" s="113"/>
      <c r="Y482" s="113"/>
      <c r="Z482" s="113" t="s">
        <v>1441</v>
      </c>
    </row>
    <row r="483" ht="36" spans="1:26">
      <c r="A483" s="212"/>
      <c r="B483" s="71" t="s">
        <v>2695</v>
      </c>
      <c r="C483" s="71" t="s">
        <v>1124</v>
      </c>
      <c r="D483" s="71" t="s">
        <v>192</v>
      </c>
      <c r="E483" s="212">
        <v>8.63</v>
      </c>
      <c r="F483" s="212"/>
      <c r="G483" s="212"/>
      <c r="H483" s="212">
        <v>2018</v>
      </c>
      <c r="I483" s="212">
        <v>2018</v>
      </c>
      <c r="J483" s="212">
        <f t="shared" si="195"/>
        <v>142</v>
      </c>
      <c r="K483" s="212">
        <v>142</v>
      </c>
      <c r="L483" s="212"/>
      <c r="M483" s="212"/>
      <c r="N483" s="212">
        <v>72</v>
      </c>
      <c r="O483" s="212"/>
      <c r="P483" s="212">
        <v>70</v>
      </c>
      <c r="Q483" s="212"/>
      <c r="R483" s="212"/>
      <c r="S483" s="220"/>
      <c r="T483" s="220"/>
      <c r="U483" s="220"/>
      <c r="V483" s="113"/>
      <c r="W483" s="113"/>
      <c r="X483" s="113"/>
      <c r="Y483" s="113"/>
      <c r="Z483" s="113" t="s">
        <v>1441</v>
      </c>
    </row>
    <row r="484" ht="36" spans="1:26">
      <c r="A484" s="212"/>
      <c r="B484" s="71" t="s">
        <v>2696</v>
      </c>
      <c r="C484" s="71" t="s">
        <v>1124</v>
      </c>
      <c r="D484" s="71" t="s">
        <v>192</v>
      </c>
      <c r="E484" s="212">
        <v>4.9</v>
      </c>
      <c r="F484" s="212"/>
      <c r="G484" s="212"/>
      <c r="H484" s="212">
        <v>2018</v>
      </c>
      <c r="I484" s="212">
        <v>2018</v>
      </c>
      <c r="J484" s="212">
        <f t="shared" si="195"/>
        <v>33</v>
      </c>
      <c r="K484" s="212">
        <v>33</v>
      </c>
      <c r="L484" s="212"/>
      <c r="M484" s="212"/>
      <c r="N484" s="212"/>
      <c r="O484" s="212"/>
      <c r="P484" s="212">
        <v>33</v>
      </c>
      <c r="Q484" s="212"/>
      <c r="R484" s="212"/>
      <c r="S484" s="220"/>
      <c r="T484" s="220"/>
      <c r="U484" s="220"/>
      <c r="V484" s="113"/>
      <c r="W484" s="113"/>
      <c r="X484" s="113"/>
      <c r="Y484" s="113"/>
      <c r="Z484" s="113" t="s">
        <v>1441</v>
      </c>
    </row>
    <row r="485" ht="36" spans="1:26">
      <c r="A485" s="212"/>
      <c r="B485" s="71" t="s">
        <v>2697</v>
      </c>
      <c r="C485" s="71" t="s">
        <v>1124</v>
      </c>
      <c r="D485" s="71" t="s">
        <v>192</v>
      </c>
      <c r="E485" s="212">
        <v>7</v>
      </c>
      <c r="F485" s="212"/>
      <c r="G485" s="212"/>
      <c r="H485" s="212">
        <v>2018</v>
      </c>
      <c r="I485" s="212">
        <v>2018</v>
      </c>
      <c r="J485" s="212">
        <f t="shared" si="195"/>
        <v>47</v>
      </c>
      <c r="K485" s="212">
        <v>47</v>
      </c>
      <c r="L485" s="212"/>
      <c r="M485" s="212"/>
      <c r="N485" s="212"/>
      <c r="O485" s="212"/>
      <c r="P485" s="212">
        <v>47</v>
      </c>
      <c r="Q485" s="212"/>
      <c r="R485" s="212"/>
      <c r="S485" s="220"/>
      <c r="T485" s="220"/>
      <c r="U485" s="220"/>
      <c r="V485" s="113"/>
      <c r="W485" s="113"/>
      <c r="X485" s="113"/>
      <c r="Y485" s="113"/>
      <c r="Z485" s="113" t="s">
        <v>1441</v>
      </c>
    </row>
    <row r="486" ht="36" spans="1:26">
      <c r="A486" s="212"/>
      <c r="B486" s="71" t="s">
        <v>2698</v>
      </c>
      <c r="C486" s="71" t="s">
        <v>1124</v>
      </c>
      <c r="D486" s="71" t="s">
        <v>192</v>
      </c>
      <c r="E486" s="212">
        <v>5.3</v>
      </c>
      <c r="F486" s="212"/>
      <c r="G486" s="212"/>
      <c r="H486" s="212">
        <v>2018</v>
      </c>
      <c r="I486" s="212">
        <v>2018</v>
      </c>
      <c r="J486" s="212">
        <f t="shared" si="195"/>
        <v>36</v>
      </c>
      <c r="K486" s="212">
        <v>36</v>
      </c>
      <c r="L486" s="212"/>
      <c r="M486" s="212"/>
      <c r="N486" s="212"/>
      <c r="O486" s="212"/>
      <c r="P486" s="212">
        <v>36</v>
      </c>
      <c r="Q486" s="212"/>
      <c r="R486" s="212"/>
      <c r="S486" s="220"/>
      <c r="T486" s="220"/>
      <c r="U486" s="220"/>
      <c r="V486" s="113"/>
      <c r="W486" s="113"/>
      <c r="X486" s="113"/>
      <c r="Y486" s="113"/>
      <c r="Z486" s="113" t="s">
        <v>1441</v>
      </c>
    </row>
    <row r="487" ht="24" spans="1:26">
      <c r="A487" s="212"/>
      <c r="B487" s="71" t="s">
        <v>2699</v>
      </c>
      <c r="C487" s="71" t="s">
        <v>1124</v>
      </c>
      <c r="D487" s="71" t="s">
        <v>192</v>
      </c>
      <c r="E487" s="212">
        <v>5.3</v>
      </c>
      <c r="F487" s="212"/>
      <c r="G487" s="212"/>
      <c r="H487" s="212">
        <v>2019</v>
      </c>
      <c r="I487" s="212">
        <v>2019</v>
      </c>
      <c r="J487" s="212">
        <v>40</v>
      </c>
      <c r="K487" s="102"/>
      <c r="L487" s="212">
        <v>40</v>
      </c>
      <c r="M487" s="212"/>
      <c r="N487" s="212"/>
      <c r="O487" s="212">
        <f t="shared" ref="O487:O489" si="196">J487</f>
        <v>40</v>
      </c>
      <c r="P487" s="102"/>
      <c r="Q487" s="212"/>
      <c r="R487" s="212"/>
      <c r="S487" s="220"/>
      <c r="T487" s="220"/>
      <c r="U487" s="220"/>
      <c r="V487" s="113"/>
      <c r="W487" s="113"/>
      <c r="X487" s="113"/>
      <c r="Y487" s="113"/>
      <c r="Z487" s="113" t="s">
        <v>2606</v>
      </c>
    </row>
    <row r="488" ht="48" spans="1:26">
      <c r="A488" s="212"/>
      <c r="B488" s="71" t="s">
        <v>2700</v>
      </c>
      <c r="C488" s="71" t="s">
        <v>1124</v>
      </c>
      <c r="D488" s="71" t="s">
        <v>192</v>
      </c>
      <c r="E488" s="212">
        <v>14.3</v>
      </c>
      <c r="F488" s="212"/>
      <c r="G488" s="212"/>
      <c r="H488" s="212">
        <v>2019</v>
      </c>
      <c r="I488" s="212">
        <v>2019</v>
      </c>
      <c r="J488" s="212">
        <f t="shared" si="195"/>
        <v>143</v>
      </c>
      <c r="K488" s="102"/>
      <c r="L488" s="212">
        <v>143</v>
      </c>
      <c r="M488" s="212"/>
      <c r="N488" s="212"/>
      <c r="O488" s="212">
        <f t="shared" si="196"/>
        <v>143</v>
      </c>
      <c r="P488" s="102"/>
      <c r="Q488" s="212"/>
      <c r="R488" s="212"/>
      <c r="S488" s="220"/>
      <c r="T488" s="220"/>
      <c r="U488" s="220"/>
      <c r="V488" s="113"/>
      <c r="W488" s="113"/>
      <c r="X488" s="113"/>
      <c r="Y488" s="113"/>
      <c r="Z488" s="113" t="s">
        <v>2606</v>
      </c>
    </row>
    <row r="489" ht="36" spans="1:26">
      <c r="A489" s="212"/>
      <c r="B489" s="71" t="s">
        <v>2701</v>
      </c>
      <c r="C489" s="71" t="s">
        <v>1124</v>
      </c>
      <c r="D489" s="71" t="s">
        <v>192</v>
      </c>
      <c r="E489" s="212">
        <v>4</v>
      </c>
      <c r="F489" s="212"/>
      <c r="G489" s="212"/>
      <c r="H489" s="212">
        <v>2019</v>
      </c>
      <c r="I489" s="212">
        <v>2019</v>
      </c>
      <c r="J489" s="212">
        <v>30</v>
      </c>
      <c r="K489" s="102"/>
      <c r="L489" s="212">
        <v>30</v>
      </c>
      <c r="M489" s="212"/>
      <c r="N489" s="212"/>
      <c r="O489" s="212">
        <f t="shared" si="196"/>
        <v>30</v>
      </c>
      <c r="P489" s="102"/>
      <c r="Q489" s="212"/>
      <c r="R489" s="212"/>
      <c r="S489" s="220"/>
      <c r="T489" s="220"/>
      <c r="U489" s="220"/>
      <c r="V489" s="113"/>
      <c r="W489" s="113"/>
      <c r="X489" s="113"/>
      <c r="Y489" s="113"/>
      <c r="Z489" s="113" t="s">
        <v>2606</v>
      </c>
    </row>
    <row r="490" ht="51.95" customHeight="1" spans="1:26">
      <c r="A490" s="212">
        <v>64</v>
      </c>
      <c r="B490" s="71" t="s">
        <v>495</v>
      </c>
      <c r="C490" s="71" t="s">
        <v>1124</v>
      </c>
      <c r="D490" s="71" t="s">
        <v>496</v>
      </c>
      <c r="E490" s="212">
        <f t="shared" ref="E490:G490" si="197">SUM(E491:E496)</f>
        <v>17</v>
      </c>
      <c r="F490" s="212">
        <f t="shared" si="197"/>
        <v>110</v>
      </c>
      <c r="G490" s="212">
        <f t="shared" si="197"/>
        <v>479</v>
      </c>
      <c r="H490" s="212">
        <v>2018</v>
      </c>
      <c r="I490" s="212">
        <v>2018</v>
      </c>
      <c r="J490" s="212">
        <v>547.13</v>
      </c>
      <c r="K490" s="212">
        <v>547.13</v>
      </c>
      <c r="L490" s="212"/>
      <c r="M490" s="212"/>
      <c r="N490" s="212"/>
      <c r="O490" s="212"/>
      <c r="P490" s="212">
        <v>547.13</v>
      </c>
      <c r="Q490" s="212"/>
      <c r="R490" s="212"/>
      <c r="S490" s="220" t="s">
        <v>2501</v>
      </c>
      <c r="T490" s="220" t="s">
        <v>2502</v>
      </c>
      <c r="U490" s="220" t="s">
        <v>497</v>
      </c>
      <c r="V490" s="113"/>
      <c r="W490" s="113"/>
      <c r="X490" s="113"/>
      <c r="Y490" s="113"/>
      <c r="Z490" s="113" t="s">
        <v>1441</v>
      </c>
    </row>
    <row r="491" ht="21.95" customHeight="1" spans="1:26">
      <c r="A491" s="212"/>
      <c r="B491" s="71" t="s">
        <v>2512</v>
      </c>
      <c r="C491" s="71" t="s">
        <v>1124</v>
      </c>
      <c r="D491" s="71" t="s">
        <v>496</v>
      </c>
      <c r="E491" s="212">
        <v>3</v>
      </c>
      <c r="F491" s="212">
        <v>16</v>
      </c>
      <c r="G491" s="212">
        <v>74</v>
      </c>
      <c r="H491" s="212">
        <v>2018</v>
      </c>
      <c r="I491" s="212">
        <v>2018</v>
      </c>
      <c r="J491" s="212"/>
      <c r="K491" s="212"/>
      <c r="L491" s="212"/>
      <c r="M491" s="212"/>
      <c r="N491" s="212"/>
      <c r="O491" s="212"/>
      <c r="P491" s="212"/>
      <c r="Q491" s="212"/>
      <c r="R491" s="212"/>
      <c r="S491" s="220" t="s">
        <v>2513</v>
      </c>
      <c r="T491" s="220" t="s">
        <v>2514</v>
      </c>
      <c r="U491" s="220"/>
      <c r="V491" s="113"/>
      <c r="W491" s="113"/>
      <c r="X491" s="113"/>
      <c r="Y491" s="113"/>
      <c r="Z491" s="113" t="s">
        <v>1441</v>
      </c>
    </row>
    <row r="492" ht="21.95" customHeight="1" spans="1:26">
      <c r="A492" s="212"/>
      <c r="B492" s="71" t="s">
        <v>2526</v>
      </c>
      <c r="C492" s="71" t="s">
        <v>1124</v>
      </c>
      <c r="D492" s="71" t="s">
        <v>496</v>
      </c>
      <c r="E492" s="212">
        <v>3</v>
      </c>
      <c r="F492" s="212">
        <v>6</v>
      </c>
      <c r="G492" s="212">
        <v>22</v>
      </c>
      <c r="H492" s="212">
        <v>2018</v>
      </c>
      <c r="I492" s="212">
        <v>2018</v>
      </c>
      <c r="J492" s="212"/>
      <c r="K492" s="212"/>
      <c r="L492" s="212"/>
      <c r="M492" s="212"/>
      <c r="N492" s="212"/>
      <c r="O492" s="212"/>
      <c r="P492" s="212"/>
      <c r="Q492" s="212"/>
      <c r="R492" s="212"/>
      <c r="S492" s="220" t="s">
        <v>2542</v>
      </c>
      <c r="T492" s="220" t="s">
        <v>2528</v>
      </c>
      <c r="U492" s="220"/>
      <c r="V492" s="113"/>
      <c r="W492" s="113"/>
      <c r="X492" s="113"/>
      <c r="Y492" s="113"/>
      <c r="Z492" s="113" t="s">
        <v>1441</v>
      </c>
    </row>
    <row r="493" ht="21.95" customHeight="1" spans="1:26">
      <c r="A493" s="212"/>
      <c r="B493" s="71" t="s">
        <v>2506</v>
      </c>
      <c r="C493" s="71" t="s">
        <v>1124</v>
      </c>
      <c r="D493" s="71" t="s">
        <v>496</v>
      </c>
      <c r="E493" s="212">
        <v>5</v>
      </c>
      <c r="F493" s="212">
        <v>51</v>
      </c>
      <c r="G493" s="212">
        <v>225</v>
      </c>
      <c r="H493" s="212">
        <v>2018</v>
      </c>
      <c r="I493" s="212">
        <v>2018</v>
      </c>
      <c r="J493" s="212"/>
      <c r="K493" s="212"/>
      <c r="L493" s="212"/>
      <c r="M493" s="212"/>
      <c r="N493" s="212"/>
      <c r="O493" s="212"/>
      <c r="P493" s="212"/>
      <c r="Q493" s="212"/>
      <c r="R493" s="212"/>
      <c r="S493" s="220" t="s">
        <v>2507</v>
      </c>
      <c r="T493" s="220" t="s">
        <v>2600</v>
      </c>
      <c r="U493" s="220"/>
      <c r="V493" s="113"/>
      <c r="W493" s="113"/>
      <c r="X493" s="113"/>
      <c r="Y493" s="113"/>
      <c r="Z493" s="113" t="s">
        <v>1441</v>
      </c>
    </row>
    <row r="494" ht="21.95" customHeight="1" spans="1:26">
      <c r="A494" s="212"/>
      <c r="B494" s="71" t="s">
        <v>2529</v>
      </c>
      <c r="C494" s="71" t="s">
        <v>1124</v>
      </c>
      <c r="D494" s="71" t="s">
        <v>496</v>
      </c>
      <c r="E494" s="212">
        <v>1</v>
      </c>
      <c r="F494" s="212">
        <v>1</v>
      </c>
      <c r="G494" s="212">
        <v>3</v>
      </c>
      <c r="H494" s="212">
        <v>2018</v>
      </c>
      <c r="I494" s="212">
        <v>2018</v>
      </c>
      <c r="J494" s="212"/>
      <c r="K494" s="212"/>
      <c r="L494" s="212"/>
      <c r="M494" s="212"/>
      <c r="N494" s="212"/>
      <c r="O494" s="212"/>
      <c r="P494" s="212"/>
      <c r="Q494" s="212"/>
      <c r="R494" s="212"/>
      <c r="S494" s="220" t="s">
        <v>2556</v>
      </c>
      <c r="T494" s="220" t="s">
        <v>2531</v>
      </c>
      <c r="U494" s="220"/>
      <c r="V494" s="113"/>
      <c r="W494" s="113"/>
      <c r="X494" s="113"/>
      <c r="Y494" s="113"/>
      <c r="Z494" s="113" t="s">
        <v>1441</v>
      </c>
    </row>
    <row r="495" ht="21.95" customHeight="1" spans="1:26">
      <c r="A495" s="212"/>
      <c r="B495" s="71" t="s">
        <v>2503</v>
      </c>
      <c r="C495" s="71" t="s">
        <v>1124</v>
      </c>
      <c r="D495" s="71" t="s">
        <v>496</v>
      </c>
      <c r="E495" s="212">
        <v>2</v>
      </c>
      <c r="F495" s="212">
        <v>19</v>
      </c>
      <c r="G495" s="212">
        <v>92</v>
      </c>
      <c r="H495" s="212">
        <v>2018</v>
      </c>
      <c r="I495" s="212">
        <v>2018</v>
      </c>
      <c r="J495" s="212"/>
      <c r="K495" s="212"/>
      <c r="L495" s="212"/>
      <c r="M495" s="212"/>
      <c r="N495" s="212"/>
      <c r="O495" s="212"/>
      <c r="P495" s="212"/>
      <c r="Q495" s="212"/>
      <c r="R495" s="212"/>
      <c r="S495" s="220" t="s">
        <v>2619</v>
      </c>
      <c r="T495" s="220" t="s">
        <v>2687</v>
      </c>
      <c r="U495" s="220"/>
      <c r="V495" s="113"/>
      <c r="W495" s="113"/>
      <c r="X495" s="113"/>
      <c r="Y495" s="113"/>
      <c r="Z495" s="113" t="s">
        <v>1441</v>
      </c>
    </row>
    <row r="496" ht="21.95" customHeight="1" spans="1:26">
      <c r="A496" s="212"/>
      <c r="B496" s="71" t="s">
        <v>2509</v>
      </c>
      <c r="C496" s="71" t="s">
        <v>1124</v>
      </c>
      <c r="D496" s="71" t="s">
        <v>496</v>
      </c>
      <c r="E496" s="212">
        <v>3</v>
      </c>
      <c r="F496" s="212">
        <v>17</v>
      </c>
      <c r="G496" s="212">
        <v>63</v>
      </c>
      <c r="H496" s="212">
        <v>2018</v>
      </c>
      <c r="I496" s="212">
        <v>2018</v>
      </c>
      <c r="J496" s="212"/>
      <c r="K496" s="212"/>
      <c r="L496" s="212"/>
      <c r="M496" s="212"/>
      <c r="N496" s="212"/>
      <c r="O496" s="212"/>
      <c r="P496" s="212"/>
      <c r="Q496" s="212"/>
      <c r="R496" s="212"/>
      <c r="S496" s="220" t="s">
        <v>2536</v>
      </c>
      <c r="T496" s="220" t="s">
        <v>2537</v>
      </c>
      <c r="U496" s="220"/>
      <c r="V496" s="113"/>
      <c r="W496" s="113"/>
      <c r="X496" s="113"/>
      <c r="Y496" s="113"/>
      <c r="Z496" s="113" t="s">
        <v>1441</v>
      </c>
    </row>
    <row r="497" ht="42" customHeight="1" spans="1:26">
      <c r="A497" s="212">
        <v>65</v>
      </c>
      <c r="B497" s="71" t="s">
        <v>499</v>
      </c>
      <c r="C497" s="71" t="s">
        <v>1124</v>
      </c>
      <c r="D497" s="71" t="s">
        <v>384</v>
      </c>
      <c r="E497" s="212"/>
      <c r="F497" s="212"/>
      <c r="G497" s="212"/>
      <c r="H497" s="212"/>
      <c r="I497" s="212"/>
      <c r="J497" s="212"/>
      <c r="K497" s="212"/>
      <c r="L497" s="212"/>
      <c r="M497" s="212"/>
      <c r="N497" s="212"/>
      <c r="O497" s="212"/>
      <c r="P497" s="212"/>
      <c r="Q497" s="212"/>
      <c r="R497" s="212"/>
      <c r="S497" s="220"/>
      <c r="T497" s="220"/>
      <c r="U497" s="220" t="s">
        <v>500</v>
      </c>
      <c r="V497" s="113"/>
      <c r="W497" s="113"/>
      <c r="X497" s="113"/>
      <c r="Y497" s="113"/>
      <c r="Z497" s="113"/>
    </row>
    <row r="498" ht="23.25" customHeight="1" spans="1:26">
      <c r="A498" s="212">
        <v>66</v>
      </c>
      <c r="B498" s="71" t="s">
        <v>501</v>
      </c>
      <c r="C498" s="71" t="s">
        <v>320</v>
      </c>
      <c r="D498" s="71" t="s">
        <v>320</v>
      </c>
      <c r="E498" s="212">
        <f t="shared" ref="E498:S498" si="198">E499+E500+E501</f>
        <v>0</v>
      </c>
      <c r="F498" s="212">
        <f t="shared" si="198"/>
        <v>0</v>
      </c>
      <c r="G498" s="212">
        <f t="shared" si="198"/>
        <v>0</v>
      </c>
      <c r="H498" s="212">
        <f t="shared" si="198"/>
        <v>0</v>
      </c>
      <c r="I498" s="212">
        <f t="shared" si="198"/>
        <v>0</v>
      </c>
      <c r="J498" s="212">
        <f t="shared" si="198"/>
        <v>0</v>
      </c>
      <c r="K498" s="212">
        <f t="shared" si="198"/>
        <v>0</v>
      </c>
      <c r="L498" s="212">
        <f t="shared" si="198"/>
        <v>0</v>
      </c>
      <c r="M498" s="212">
        <f t="shared" si="198"/>
        <v>0</v>
      </c>
      <c r="N498" s="212">
        <f t="shared" si="198"/>
        <v>0</v>
      </c>
      <c r="O498" s="212">
        <f t="shared" si="198"/>
        <v>0</v>
      </c>
      <c r="P498" s="212">
        <f t="shared" si="198"/>
        <v>0</v>
      </c>
      <c r="Q498" s="212">
        <f t="shared" si="198"/>
        <v>0</v>
      </c>
      <c r="R498" s="212">
        <f t="shared" si="198"/>
        <v>0</v>
      </c>
      <c r="S498" s="220">
        <f t="shared" si="198"/>
        <v>0</v>
      </c>
      <c r="T498" s="220"/>
      <c r="U498" s="220" t="s">
        <v>320</v>
      </c>
      <c r="V498" s="113"/>
      <c r="W498" s="113"/>
      <c r="X498" s="113"/>
      <c r="Y498" s="113"/>
      <c r="Z498" s="113"/>
    </row>
    <row r="499" ht="23.25" customHeight="1" spans="1:26">
      <c r="A499" s="212">
        <v>67</v>
      </c>
      <c r="B499" s="71" t="s">
        <v>502</v>
      </c>
      <c r="C499" s="71" t="s">
        <v>1124</v>
      </c>
      <c r="D499" s="71" t="s">
        <v>496</v>
      </c>
      <c r="E499" s="212"/>
      <c r="F499" s="212"/>
      <c r="G499" s="212"/>
      <c r="H499" s="212"/>
      <c r="I499" s="212"/>
      <c r="J499" s="212"/>
      <c r="K499" s="212"/>
      <c r="L499" s="212"/>
      <c r="M499" s="212"/>
      <c r="N499" s="212"/>
      <c r="O499" s="212"/>
      <c r="P499" s="212"/>
      <c r="Q499" s="212"/>
      <c r="R499" s="212"/>
      <c r="S499" s="220"/>
      <c r="T499" s="220"/>
      <c r="U499" s="220" t="s">
        <v>497</v>
      </c>
      <c r="V499" s="113"/>
      <c r="W499" s="113"/>
      <c r="X499" s="113"/>
      <c r="Y499" s="113"/>
      <c r="Z499" s="113"/>
    </row>
    <row r="500" ht="23.25" customHeight="1" spans="1:26">
      <c r="A500" s="212">
        <v>68</v>
      </c>
      <c r="B500" s="71" t="s">
        <v>503</v>
      </c>
      <c r="C500" s="71" t="s">
        <v>1124</v>
      </c>
      <c r="D500" s="71" t="s">
        <v>496</v>
      </c>
      <c r="E500" s="212"/>
      <c r="F500" s="212"/>
      <c r="G500" s="212"/>
      <c r="H500" s="212"/>
      <c r="I500" s="212"/>
      <c r="J500" s="212"/>
      <c r="K500" s="212"/>
      <c r="L500" s="212"/>
      <c r="M500" s="212"/>
      <c r="N500" s="212"/>
      <c r="O500" s="212"/>
      <c r="P500" s="212"/>
      <c r="Q500" s="212"/>
      <c r="R500" s="212"/>
      <c r="S500" s="220"/>
      <c r="T500" s="220"/>
      <c r="U500" s="220" t="s">
        <v>497</v>
      </c>
      <c r="V500" s="113"/>
      <c r="W500" s="113"/>
      <c r="X500" s="113"/>
      <c r="Y500" s="113"/>
      <c r="Z500" s="113"/>
    </row>
    <row r="501" ht="23.25" customHeight="1" spans="1:26">
      <c r="A501" s="212">
        <v>69</v>
      </c>
      <c r="B501" s="71" t="s">
        <v>504</v>
      </c>
      <c r="C501" s="71" t="s">
        <v>1124</v>
      </c>
      <c r="D501" s="71" t="s">
        <v>496</v>
      </c>
      <c r="E501" s="212"/>
      <c r="F501" s="212"/>
      <c r="G501" s="212"/>
      <c r="H501" s="212"/>
      <c r="I501" s="212"/>
      <c r="J501" s="212"/>
      <c r="K501" s="212"/>
      <c r="L501" s="212"/>
      <c r="M501" s="212"/>
      <c r="N501" s="212"/>
      <c r="O501" s="212"/>
      <c r="P501" s="212"/>
      <c r="Q501" s="212"/>
      <c r="R501" s="212"/>
      <c r="S501" s="220"/>
      <c r="T501" s="220"/>
      <c r="U501" s="220" t="s">
        <v>497</v>
      </c>
      <c r="V501" s="113"/>
      <c r="W501" s="113"/>
      <c r="X501" s="113"/>
      <c r="Y501" s="113"/>
      <c r="Z501" s="113"/>
    </row>
    <row r="502" ht="35.1" customHeight="1" spans="1:26">
      <c r="A502" s="212">
        <v>70</v>
      </c>
      <c r="B502" s="71" t="s">
        <v>505</v>
      </c>
      <c r="C502" s="71" t="s">
        <v>1124</v>
      </c>
      <c r="D502" s="71" t="s">
        <v>150</v>
      </c>
      <c r="E502" s="212">
        <f t="shared" ref="E502:G502" si="199">SUM(E503:E517)</f>
        <v>1624</v>
      </c>
      <c r="F502" s="212">
        <f t="shared" si="199"/>
        <v>155</v>
      </c>
      <c r="G502" s="212">
        <f t="shared" si="199"/>
        <v>549</v>
      </c>
      <c r="H502" s="212">
        <v>2018</v>
      </c>
      <c r="I502" s="212">
        <v>2019</v>
      </c>
      <c r="J502" s="212">
        <f t="shared" ref="J502:O502" si="200">J503+J504+J505+J506+J507+J508+J509+J510+J511+J512+J513+J514+J515+J516+J517+J518</f>
        <v>792.04</v>
      </c>
      <c r="K502" s="212">
        <f t="shared" si="200"/>
        <v>49.79</v>
      </c>
      <c r="L502" s="212">
        <f t="shared" si="200"/>
        <v>742.25</v>
      </c>
      <c r="M502" s="212">
        <f t="shared" si="200"/>
        <v>0</v>
      </c>
      <c r="N502" s="212">
        <f t="shared" si="200"/>
        <v>49.79</v>
      </c>
      <c r="O502" s="212">
        <f t="shared" si="200"/>
        <v>742.25</v>
      </c>
      <c r="P502" s="212">
        <f t="shared" ref="P502:R502" si="201">SUM(P503:P517)</f>
        <v>0</v>
      </c>
      <c r="Q502" s="212">
        <f t="shared" si="201"/>
        <v>0</v>
      </c>
      <c r="R502" s="212">
        <f t="shared" si="201"/>
        <v>0</v>
      </c>
      <c r="S502" s="220" t="s">
        <v>2501</v>
      </c>
      <c r="T502" s="220" t="s">
        <v>2502</v>
      </c>
      <c r="U502" s="220" t="s">
        <v>275</v>
      </c>
      <c r="V502" s="113"/>
      <c r="W502" s="113"/>
      <c r="X502" s="113"/>
      <c r="Y502" s="113"/>
      <c r="Z502" s="113"/>
    </row>
    <row r="503" ht="56.1" customHeight="1" spans="1:26">
      <c r="A503" s="212"/>
      <c r="B503" s="74" t="s">
        <v>2702</v>
      </c>
      <c r="C503" s="71" t="s">
        <v>52</v>
      </c>
      <c r="D503" s="28" t="s">
        <v>147</v>
      </c>
      <c r="E503" s="147">
        <v>38</v>
      </c>
      <c r="F503" s="147">
        <v>6</v>
      </c>
      <c r="G503" s="147">
        <v>22</v>
      </c>
      <c r="H503" s="147">
        <v>2018</v>
      </c>
      <c r="I503" s="147">
        <v>2018</v>
      </c>
      <c r="J503" s="147">
        <v>7.51</v>
      </c>
      <c r="K503" s="147">
        <v>7.51</v>
      </c>
      <c r="L503" s="147"/>
      <c r="M503" s="147"/>
      <c r="N503" s="147">
        <v>7.51</v>
      </c>
      <c r="O503" s="147"/>
      <c r="P503" s="147"/>
      <c r="Q503" s="147"/>
      <c r="R503" s="147"/>
      <c r="S503" s="220" t="s">
        <v>2513</v>
      </c>
      <c r="T503" s="220" t="s">
        <v>2514</v>
      </c>
      <c r="U503" s="220"/>
      <c r="V503" s="113"/>
      <c r="W503" s="113"/>
      <c r="X503" s="113"/>
      <c r="Y503" s="113"/>
      <c r="Z503" s="56" t="s">
        <v>1002</v>
      </c>
    </row>
    <row r="504" ht="81" customHeight="1" spans="1:26">
      <c r="A504" s="212"/>
      <c r="B504" s="74" t="s">
        <v>2703</v>
      </c>
      <c r="C504" s="71" t="s">
        <v>52</v>
      </c>
      <c r="D504" s="28" t="s">
        <v>147</v>
      </c>
      <c r="E504" s="147">
        <v>146</v>
      </c>
      <c r="F504" s="147">
        <v>4</v>
      </c>
      <c r="G504" s="147">
        <v>10</v>
      </c>
      <c r="H504" s="147">
        <v>2018</v>
      </c>
      <c r="I504" s="147">
        <v>2018</v>
      </c>
      <c r="J504" s="147">
        <v>38.08</v>
      </c>
      <c r="K504" s="147">
        <v>38.08</v>
      </c>
      <c r="L504" s="147"/>
      <c r="M504" s="147"/>
      <c r="N504" s="147">
        <v>38.08</v>
      </c>
      <c r="O504" s="147"/>
      <c r="P504" s="147"/>
      <c r="Q504" s="147"/>
      <c r="R504" s="147"/>
      <c r="S504" s="220" t="s">
        <v>2522</v>
      </c>
      <c r="T504" s="220" t="s">
        <v>2523</v>
      </c>
      <c r="U504" s="220"/>
      <c r="V504" s="113"/>
      <c r="W504" s="113"/>
      <c r="X504" s="113"/>
      <c r="Y504" s="113"/>
      <c r="Z504" s="56" t="s">
        <v>1002</v>
      </c>
    </row>
    <row r="505" ht="57" customHeight="1" spans="1:26">
      <c r="A505" s="212"/>
      <c r="B505" s="74" t="s">
        <v>2704</v>
      </c>
      <c r="C505" s="71" t="s">
        <v>52</v>
      </c>
      <c r="D505" s="28" t="s">
        <v>147</v>
      </c>
      <c r="E505" s="147">
        <v>3</v>
      </c>
      <c r="F505" s="147">
        <v>1</v>
      </c>
      <c r="G505" s="147">
        <v>3</v>
      </c>
      <c r="H505" s="147">
        <v>2018</v>
      </c>
      <c r="I505" s="147">
        <v>2018</v>
      </c>
      <c r="J505" s="147">
        <v>2.1</v>
      </c>
      <c r="K505" s="147">
        <v>2.1</v>
      </c>
      <c r="L505" s="147"/>
      <c r="M505" s="147"/>
      <c r="N505" s="147">
        <v>2.1</v>
      </c>
      <c r="O505" s="147"/>
      <c r="P505" s="147"/>
      <c r="Q505" s="147"/>
      <c r="R505" s="147"/>
      <c r="S505" s="220" t="s">
        <v>2556</v>
      </c>
      <c r="T505" s="220" t="s">
        <v>2531</v>
      </c>
      <c r="U505" s="220"/>
      <c r="V505" s="113"/>
      <c r="W505" s="113"/>
      <c r="X505" s="113"/>
      <c r="Y505" s="113"/>
      <c r="Z505" s="56" t="s">
        <v>1002</v>
      </c>
    </row>
    <row r="506" ht="47.1" customHeight="1" spans="1:26">
      <c r="A506" s="212"/>
      <c r="B506" s="74" t="s">
        <v>2705</v>
      </c>
      <c r="C506" s="71" t="s">
        <v>52</v>
      </c>
      <c r="D506" s="28" t="s">
        <v>147</v>
      </c>
      <c r="E506" s="147">
        <v>5</v>
      </c>
      <c r="F506" s="147">
        <v>1</v>
      </c>
      <c r="G506" s="147">
        <v>5</v>
      </c>
      <c r="H506" s="147">
        <v>2018</v>
      </c>
      <c r="I506" s="147">
        <v>2018</v>
      </c>
      <c r="J506" s="147">
        <v>2.1</v>
      </c>
      <c r="K506" s="147">
        <v>2.1</v>
      </c>
      <c r="L506" s="147"/>
      <c r="M506" s="147"/>
      <c r="N506" s="147">
        <v>2.1</v>
      </c>
      <c r="O506" s="147"/>
      <c r="P506" s="147"/>
      <c r="Q506" s="147"/>
      <c r="R506" s="147"/>
      <c r="S506" s="220" t="s">
        <v>2619</v>
      </c>
      <c r="T506" s="220" t="s">
        <v>2687</v>
      </c>
      <c r="U506" s="220"/>
      <c r="V506" s="113"/>
      <c r="W506" s="113"/>
      <c r="X506" s="113"/>
      <c r="Y506" s="113"/>
      <c r="Z506" s="56" t="s">
        <v>1002</v>
      </c>
    </row>
    <row r="507" ht="35.1" customHeight="1" spans="1:26">
      <c r="A507" s="212"/>
      <c r="B507" s="74" t="s">
        <v>2706</v>
      </c>
      <c r="C507" s="71" t="s">
        <v>162</v>
      </c>
      <c r="D507" s="28" t="s">
        <v>147</v>
      </c>
      <c r="E507" s="147">
        <v>12</v>
      </c>
      <c r="F507" s="147"/>
      <c r="G507" s="147"/>
      <c r="H507" s="147">
        <v>2019</v>
      </c>
      <c r="I507" s="147">
        <v>2019</v>
      </c>
      <c r="J507" s="147"/>
      <c r="K507" s="147"/>
      <c r="L507" s="147"/>
      <c r="M507" s="147"/>
      <c r="N507" s="147"/>
      <c r="O507" s="147"/>
      <c r="P507" s="147"/>
      <c r="Q507" s="147"/>
      <c r="R507" s="212"/>
      <c r="S507" s="220" t="s">
        <v>2523</v>
      </c>
      <c r="T507" s="220" t="s">
        <v>2522</v>
      </c>
      <c r="U507" s="220"/>
      <c r="V507" s="113"/>
      <c r="W507" s="113"/>
      <c r="X507" s="113"/>
      <c r="Y507" s="113"/>
      <c r="Z507" s="56" t="s">
        <v>1010</v>
      </c>
    </row>
    <row r="508" ht="56.1" customHeight="1" spans="1:26">
      <c r="A508" s="212"/>
      <c r="B508" s="74" t="s">
        <v>2707</v>
      </c>
      <c r="C508" s="71" t="s">
        <v>162</v>
      </c>
      <c r="D508" s="28" t="s">
        <v>147</v>
      </c>
      <c r="E508" s="147">
        <v>86</v>
      </c>
      <c r="F508" s="147">
        <v>4</v>
      </c>
      <c r="G508" s="147">
        <v>14</v>
      </c>
      <c r="H508" s="147">
        <v>2019</v>
      </c>
      <c r="I508" s="147">
        <v>2019</v>
      </c>
      <c r="J508" s="147">
        <f t="shared" ref="J508:J518" si="202">K508+L508+M508</f>
        <v>12.04</v>
      </c>
      <c r="K508" s="147"/>
      <c r="L508" s="147">
        <v>12.04</v>
      </c>
      <c r="M508" s="147"/>
      <c r="N508" s="147"/>
      <c r="O508" s="147">
        <v>12.04</v>
      </c>
      <c r="P508" s="147"/>
      <c r="Q508" s="147"/>
      <c r="R508" s="212"/>
      <c r="S508" s="220" t="s">
        <v>2523</v>
      </c>
      <c r="T508" s="220" t="s">
        <v>2522</v>
      </c>
      <c r="U508" s="220"/>
      <c r="V508" s="113"/>
      <c r="W508" s="113"/>
      <c r="X508" s="113"/>
      <c r="Y508" s="113"/>
      <c r="Z508" s="56" t="s">
        <v>1010</v>
      </c>
    </row>
    <row r="509" ht="44.1" customHeight="1" spans="1:26">
      <c r="A509" s="212"/>
      <c r="B509" s="74" t="s">
        <v>2708</v>
      </c>
      <c r="C509" s="71" t="s">
        <v>52</v>
      </c>
      <c r="D509" s="28" t="s">
        <v>147</v>
      </c>
      <c r="E509" s="147">
        <v>165</v>
      </c>
      <c r="F509" s="147">
        <v>71</v>
      </c>
      <c r="G509" s="147">
        <v>227</v>
      </c>
      <c r="H509" s="147">
        <v>2019</v>
      </c>
      <c r="I509" s="147">
        <v>2019</v>
      </c>
      <c r="J509" s="147">
        <f t="shared" si="202"/>
        <v>23.1</v>
      </c>
      <c r="K509" s="147"/>
      <c r="L509" s="147">
        <f t="shared" ref="L509:L511" si="203">E509*1400/10000</f>
        <v>23.1</v>
      </c>
      <c r="M509" s="147"/>
      <c r="N509" s="147"/>
      <c r="O509" s="147">
        <v>23.1</v>
      </c>
      <c r="P509" s="147"/>
      <c r="Q509" s="147"/>
      <c r="R509" s="212"/>
      <c r="S509" s="220" t="s">
        <v>2542</v>
      </c>
      <c r="T509" s="220" t="s">
        <v>2528</v>
      </c>
      <c r="U509" s="220"/>
      <c r="V509" s="113"/>
      <c r="W509" s="113"/>
      <c r="X509" s="113"/>
      <c r="Y509" s="113"/>
      <c r="Z509" s="56" t="s">
        <v>1010</v>
      </c>
    </row>
    <row r="510" ht="59.1" customHeight="1" spans="1:26">
      <c r="A510" s="212"/>
      <c r="B510" s="74" t="s">
        <v>2709</v>
      </c>
      <c r="C510" s="71" t="s">
        <v>52</v>
      </c>
      <c r="D510" s="28" t="s">
        <v>147</v>
      </c>
      <c r="E510" s="147">
        <v>321</v>
      </c>
      <c r="F510" s="147">
        <v>6</v>
      </c>
      <c r="G510" s="147">
        <v>23</v>
      </c>
      <c r="H510" s="147">
        <v>2019</v>
      </c>
      <c r="I510" s="147">
        <v>2019</v>
      </c>
      <c r="J510" s="147">
        <f t="shared" si="202"/>
        <v>44.94</v>
      </c>
      <c r="K510" s="147"/>
      <c r="L510" s="147">
        <f t="shared" si="203"/>
        <v>44.94</v>
      </c>
      <c r="M510" s="147"/>
      <c r="N510" s="147"/>
      <c r="O510" s="147">
        <v>44.94</v>
      </c>
      <c r="P510" s="147"/>
      <c r="Q510" s="147"/>
      <c r="R510" s="212"/>
      <c r="S510" s="220" t="s">
        <v>2693</v>
      </c>
      <c r="T510" s="220" t="s">
        <v>2595</v>
      </c>
      <c r="U510" s="220"/>
      <c r="V510" s="113"/>
      <c r="W510" s="113"/>
      <c r="X510" s="113"/>
      <c r="Y510" s="113"/>
      <c r="Z510" s="56" t="s">
        <v>1010</v>
      </c>
    </row>
    <row r="511" ht="48" customHeight="1" spans="1:26">
      <c r="A511" s="212"/>
      <c r="B511" s="252" t="s">
        <v>2710</v>
      </c>
      <c r="C511" s="253" t="s">
        <v>52</v>
      </c>
      <c r="D511" s="254" t="s">
        <v>147</v>
      </c>
      <c r="E511" s="147">
        <v>168</v>
      </c>
      <c r="F511" s="147">
        <v>2</v>
      </c>
      <c r="G511" s="147">
        <v>6</v>
      </c>
      <c r="H511" s="147">
        <v>2019</v>
      </c>
      <c r="I511" s="147">
        <v>2019</v>
      </c>
      <c r="J511" s="147">
        <f t="shared" si="202"/>
        <v>23.52</v>
      </c>
      <c r="K511" s="147"/>
      <c r="L511" s="147">
        <f t="shared" si="203"/>
        <v>23.52</v>
      </c>
      <c r="M511" s="147"/>
      <c r="N511" s="147"/>
      <c r="O511" s="147">
        <v>23.52</v>
      </c>
      <c r="P511" s="147"/>
      <c r="Q511" s="147"/>
      <c r="R511" s="212"/>
      <c r="S511" s="220" t="s">
        <v>2693</v>
      </c>
      <c r="T511" s="220" t="s">
        <v>2595</v>
      </c>
      <c r="U511" s="220"/>
      <c r="V511" s="113"/>
      <c r="W511" s="113"/>
      <c r="X511" s="113"/>
      <c r="Y511" s="113"/>
      <c r="Z511" s="56" t="s">
        <v>1010</v>
      </c>
    </row>
    <row r="512" ht="62.1" customHeight="1" spans="1:26">
      <c r="A512" s="212"/>
      <c r="B512" s="73" t="s">
        <v>2711</v>
      </c>
      <c r="C512" s="71" t="s">
        <v>162</v>
      </c>
      <c r="D512" s="28" t="s">
        <v>147</v>
      </c>
      <c r="E512" s="147">
        <v>68</v>
      </c>
      <c r="F512" s="147">
        <v>5</v>
      </c>
      <c r="G512" s="147">
        <v>19</v>
      </c>
      <c r="H512" s="147">
        <v>2019</v>
      </c>
      <c r="I512" s="147">
        <v>2019</v>
      </c>
      <c r="J512" s="147">
        <f t="shared" si="202"/>
        <v>9.52</v>
      </c>
      <c r="K512" s="147"/>
      <c r="L512" s="147">
        <v>9.52</v>
      </c>
      <c r="M512" s="147"/>
      <c r="N512" s="147"/>
      <c r="O512" s="147">
        <v>9.52</v>
      </c>
      <c r="P512" s="147"/>
      <c r="Q512" s="147"/>
      <c r="R512" s="212"/>
      <c r="S512" s="220" t="s">
        <v>2536</v>
      </c>
      <c r="T512" s="220" t="s">
        <v>2537</v>
      </c>
      <c r="U512" s="220"/>
      <c r="V512" s="113"/>
      <c r="W512" s="113"/>
      <c r="X512" s="113"/>
      <c r="Y512" s="113"/>
      <c r="Z512" s="56" t="s">
        <v>1010</v>
      </c>
    </row>
    <row r="513" ht="48.95" customHeight="1" spans="1:26">
      <c r="A513" s="212"/>
      <c r="B513" s="73" t="s">
        <v>2712</v>
      </c>
      <c r="C513" s="71" t="s">
        <v>162</v>
      </c>
      <c r="D513" s="28" t="s">
        <v>147</v>
      </c>
      <c r="E513" s="147">
        <v>170</v>
      </c>
      <c r="F513" s="147">
        <v>14</v>
      </c>
      <c r="G513" s="147">
        <v>61</v>
      </c>
      <c r="H513" s="147">
        <v>2019</v>
      </c>
      <c r="I513" s="147">
        <v>2019</v>
      </c>
      <c r="J513" s="147">
        <f t="shared" si="202"/>
        <v>23.8</v>
      </c>
      <c r="K513" s="147"/>
      <c r="L513" s="147">
        <f t="shared" ref="L513:L517" si="204">E513*1400/10000</f>
        <v>23.8</v>
      </c>
      <c r="M513" s="147"/>
      <c r="N513" s="147"/>
      <c r="O513" s="147">
        <v>23.8</v>
      </c>
      <c r="P513" s="147"/>
      <c r="Q513" s="147"/>
      <c r="R513" s="212"/>
      <c r="S513" s="220" t="s">
        <v>2536</v>
      </c>
      <c r="T513" s="220" t="s">
        <v>2537</v>
      </c>
      <c r="U513" s="220"/>
      <c r="V513" s="113"/>
      <c r="W513" s="113"/>
      <c r="X513" s="113"/>
      <c r="Y513" s="113"/>
      <c r="Z513" s="56" t="s">
        <v>1010</v>
      </c>
    </row>
    <row r="514" ht="45" customHeight="1" spans="1:26">
      <c r="A514" s="212"/>
      <c r="B514" s="73" t="s">
        <v>2713</v>
      </c>
      <c r="C514" s="71" t="s">
        <v>162</v>
      </c>
      <c r="D514" s="28" t="s">
        <v>147</v>
      </c>
      <c r="E514" s="147">
        <v>157</v>
      </c>
      <c r="F514" s="147">
        <v>16</v>
      </c>
      <c r="G514" s="147">
        <v>59</v>
      </c>
      <c r="H514" s="147">
        <v>2019</v>
      </c>
      <c r="I514" s="147">
        <v>2019</v>
      </c>
      <c r="J514" s="147">
        <f t="shared" si="202"/>
        <v>21.98</v>
      </c>
      <c r="K514" s="147"/>
      <c r="L514" s="147">
        <f t="shared" si="204"/>
        <v>21.98</v>
      </c>
      <c r="M514" s="147"/>
      <c r="N514" s="147"/>
      <c r="O514" s="147">
        <v>21.98</v>
      </c>
      <c r="P514" s="147"/>
      <c r="Q514" s="147"/>
      <c r="R514" s="212"/>
      <c r="S514" s="220" t="s">
        <v>2536</v>
      </c>
      <c r="T514" s="220" t="s">
        <v>2537</v>
      </c>
      <c r="U514" s="220"/>
      <c r="V514" s="113"/>
      <c r="W514" s="113"/>
      <c r="X514" s="113"/>
      <c r="Y514" s="113"/>
      <c r="Z514" s="56" t="s">
        <v>1010</v>
      </c>
    </row>
    <row r="515" ht="47.1" customHeight="1" spans="1:26">
      <c r="A515" s="212"/>
      <c r="B515" s="73" t="s">
        <v>2714</v>
      </c>
      <c r="C515" s="71" t="s">
        <v>52</v>
      </c>
      <c r="D515" s="28" t="s">
        <v>147</v>
      </c>
      <c r="E515" s="147">
        <v>55</v>
      </c>
      <c r="F515" s="147">
        <v>6</v>
      </c>
      <c r="G515" s="147">
        <v>24</v>
      </c>
      <c r="H515" s="147">
        <v>2019</v>
      </c>
      <c r="I515" s="147">
        <v>2019</v>
      </c>
      <c r="J515" s="147">
        <f t="shared" si="202"/>
        <v>7.7</v>
      </c>
      <c r="K515" s="147"/>
      <c r="L515" s="147">
        <v>7.7</v>
      </c>
      <c r="M515" s="147"/>
      <c r="N515" s="147"/>
      <c r="O515" s="147">
        <v>7.7</v>
      </c>
      <c r="P515" s="147"/>
      <c r="Q515" s="147"/>
      <c r="R515" s="212"/>
      <c r="S515" s="220" t="s">
        <v>2507</v>
      </c>
      <c r="T515" s="220" t="s">
        <v>2600</v>
      </c>
      <c r="U515" s="220"/>
      <c r="V515" s="113"/>
      <c r="W515" s="113"/>
      <c r="X515" s="113"/>
      <c r="Y515" s="113"/>
      <c r="Z515" s="56" t="s">
        <v>1010</v>
      </c>
    </row>
    <row r="516" ht="45" customHeight="1" spans="1:26">
      <c r="A516" s="212"/>
      <c r="B516" s="73" t="s">
        <v>2715</v>
      </c>
      <c r="C516" s="71" t="s">
        <v>52</v>
      </c>
      <c r="D516" s="28" t="s">
        <v>147</v>
      </c>
      <c r="E516" s="147">
        <v>75</v>
      </c>
      <c r="F516" s="147">
        <v>11</v>
      </c>
      <c r="G516" s="147">
        <v>47</v>
      </c>
      <c r="H516" s="147">
        <v>2019</v>
      </c>
      <c r="I516" s="147">
        <v>2019</v>
      </c>
      <c r="J516" s="147">
        <f t="shared" si="202"/>
        <v>10.5</v>
      </c>
      <c r="K516" s="147"/>
      <c r="L516" s="147">
        <v>10.5</v>
      </c>
      <c r="M516" s="147"/>
      <c r="N516" s="147"/>
      <c r="O516" s="147">
        <v>10.5</v>
      </c>
      <c r="P516" s="147"/>
      <c r="Q516" s="147"/>
      <c r="R516" s="212"/>
      <c r="S516" s="220" t="s">
        <v>2507</v>
      </c>
      <c r="T516" s="220" t="s">
        <v>2600</v>
      </c>
      <c r="U516" s="220"/>
      <c r="V516" s="113"/>
      <c r="W516" s="113"/>
      <c r="X516" s="113"/>
      <c r="Y516" s="113"/>
      <c r="Z516" s="56" t="s">
        <v>1010</v>
      </c>
    </row>
    <row r="517" ht="45.95" customHeight="1" spans="1:26">
      <c r="A517" s="212"/>
      <c r="B517" s="73" t="s">
        <v>2716</v>
      </c>
      <c r="C517" s="71" t="s">
        <v>52</v>
      </c>
      <c r="D517" s="28" t="s">
        <v>147</v>
      </c>
      <c r="E517" s="147">
        <v>155</v>
      </c>
      <c r="F517" s="147">
        <v>8</v>
      </c>
      <c r="G517" s="147">
        <v>29</v>
      </c>
      <c r="H517" s="147">
        <v>2019</v>
      </c>
      <c r="I517" s="147">
        <v>2019</v>
      </c>
      <c r="J517" s="147">
        <f t="shared" si="202"/>
        <v>21.7</v>
      </c>
      <c r="K517" s="147"/>
      <c r="L517" s="147">
        <f t="shared" si="204"/>
        <v>21.7</v>
      </c>
      <c r="M517" s="147"/>
      <c r="N517" s="147"/>
      <c r="O517" s="147">
        <v>21.7</v>
      </c>
      <c r="P517" s="147"/>
      <c r="Q517" s="147"/>
      <c r="R517" s="212"/>
      <c r="S517" s="220" t="s">
        <v>2507</v>
      </c>
      <c r="T517" s="220" t="s">
        <v>2600</v>
      </c>
      <c r="U517" s="220"/>
      <c r="V517" s="113"/>
      <c r="W517" s="113"/>
      <c r="X517" s="113"/>
      <c r="Y517" s="113"/>
      <c r="Z517" s="56" t="s">
        <v>1010</v>
      </c>
    </row>
    <row r="518" ht="90.95" customHeight="1" spans="1:26">
      <c r="A518" s="212"/>
      <c r="B518" s="73" t="s">
        <v>2717</v>
      </c>
      <c r="C518" s="71" t="s">
        <v>52</v>
      </c>
      <c r="D518" s="28" t="s">
        <v>1018</v>
      </c>
      <c r="E518" s="140">
        <v>684</v>
      </c>
      <c r="F518" s="140">
        <v>164</v>
      </c>
      <c r="G518" s="140">
        <v>674</v>
      </c>
      <c r="H518" s="147">
        <v>2019</v>
      </c>
      <c r="I518" s="147">
        <v>2019</v>
      </c>
      <c r="J518" s="147">
        <f t="shared" si="202"/>
        <v>543.45</v>
      </c>
      <c r="K518" s="147"/>
      <c r="L518" s="140">
        <v>543.45</v>
      </c>
      <c r="M518" s="147"/>
      <c r="N518" s="147"/>
      <c r="O518" s="147">
        <f>J518</f>
        <v>543.45</v>
      </c>
      <c r="P518" s="147"/>
      <c r="Q518" s="147"/>
      <c r="R518" s="212"/>
      <c r="S518" s="220"/>
      <c r="T518" s="220"/>
      <c r="U518" s="220"/>
      <c r="V518" s="113"/>
      <c r="W518" s="113"/>
      <c r="X518" s="113"/>
      <c r="Y518" s="113"/>
      <c r="Z518" s="56" t="s">
        <v>2718</v>
      </c>
    </row>
    <row r="519" ht="23.25" customHeight="1" spans="1:26">
      <c r="A519" s="212">
        <v>71</v>
      </c>
      <c r="B519" s="71" t="s">
        <v>537</v>
      </c>
      <c r="C519" s="227" t="s">
        <v>52</v>
      </c>
      <c r="D519" s="227" t="s">
        <v>150</v>
      </c>
      <c r="E519" s="212">
        <f t="shared" ref="E519:G519" si="205">E520+E522</f>
        <v>9</v>
      </c>
      <c r="F519" s="212">
        <f t="shared" si="205"/>
        <v>1463</v>
      </c>
      <c r="G519" s="212">
        <f t="shared" si="205"/>
        <v>5808</v>
      </c>
      <c r="H519" s="212">
        <v>2018</v>
      </c>
      <c r="I519" s="212">
        <v>2020</v>
      </c>
      <c r="J519" s="212">
        <f t="shared" ref="J519:R519" si="206">J520+J522</f>
        <v>62</v>
      </c>
      <c r="K519" s="212">
        <f t="shared" si="206"/>
        <v>46</v>
      </c>
      <c r="L519" s="212">
        <f t="shared" si="206"/>
        <v>16</v>
      </c>
      <c r="M519" s="212">
        <f t="shared" si="206"/>
        <v>0</v>
      </c>
      <c r="N519" s="212">
        <f t="shared" si="206"/>
        <v>0</v>
      </c>
      <c r="O519" s="212">
        <f t="shared" si="206"/>
        <v>0</v>
      </c>
      <c r="P519" s="212">
        <f t="shared" si="206"/>
        <v>62</v>
      </c>
      <c r="Q519" s="212">
        <f t="shared" si="206"/>
        <v>0</v>
      </c>
      <c r="R519" s="212">
        <f t="shared" si="206"/>
        <v>0</v>
      </c>
      <c r="S519" s="220" t="s">
        <v>2501</v>
      </c>
      <c r="T519" s="220" t="s">
        <v>2502</v>
      </c>
      <c r="U519" s="220"/>
      <c r="V519" s="113"/>
      <c r="W519" s="113"/>
      <c r="X519" s="113"/>
      <c r="Y519" s="113"/>
      <c r="Z519" s="113"/>
    </row>
    <row r="520" ht="23.25" customHeight="1" spans="1:26">
      <c r="A520" s="212"/>
      <c r="B520" s="227" t="s">
        <v>2451</v>
      </c>
      <c r="C520" s="227" t="s">
        <v>52</v>
      </c>
      <c r="D520" s="227" t="s">
        <v>150</v>
      </c>
      <c r="E520" s="255">
        <v>1</v>
      </c>
      <c r="F520" s="255">
        <v>46</v>
      </c>
      <c r="G520" s="255">
        <v>129</v>
      </c>
      <c r="H520" s="255">
        <v>2018</v>
      </c>
      <c r="I520" s="255">
        <v>2020</v>
      </c>
      <c r="J520" s="255">
        <v>30</v>
      </c>
      <c r="K520" s="255">
        <v>30</v>
      </c>
      <c r="L520" s="255"/>
      <c r="M520" s="255"/>
      <c r="N520" s="255"/>
      <c r="O520" s="255"/>
      <c r="P520" s="255">
        <v>30</v>
      </c>
      <c r="Q520" s="255"/>
      <c r="R520" s="76"/>
      <c r="S520" s="220"/>
      <c r="T520" s="220"/>
      <c r="U520" s="220" t="s">
        <v>358</v>
      </c>
      <c r="V520" s="113"/>
      <c r="W520" s="113"/>
      <c r="X520" s="113"/>
      <c r="Y520" s="113"/>
      <c r="Z520" s="113"/>
    </row>
    <row r="521" ht="23.25" customHeight="1" spans="1:26">
      <c r="A521" s="212"/>
      <c r="B521" s="227" t="s">
        <v>2719</v>
      </c>
      <c r="C521" s="227" t="s">
        <v>52</v>
      </c>
      <c r="D521" s="227" t="s">
        <v>150</v>
      </c>
      <c r="E521" s="255">
        <v>1</v>
      </c>
      <c r="F521" s="255">
        <v>46</v>
      </c>
      <c r="G521" s="255">
        <v>129</v>
      </c>
      <c r="H521" s="255">
        <v>2018</v>
      </c>
      <c r="I521" s="255">
        <v>2018</v>
      </c>
      <c r="J521" s="255">
        <v>30</v>
      </c>
      <c r="K521" s="255">
        <v>30</v>
      </c>
      <c r="L521" s="255"/>
      <c r="M521" s="255"/>
      <c r="N521" s="255"/>
      <c r="O521" s="255"/>
      <c r="P521" s="255">
        <v>30</v>
      </c>
      <c r="Q521" s="255"/>
      <c r="R521" s="76"/>
      <c r="S521" s="220" t="s">
        <v>2685</v>
      </c>
      <c r="T521" s="220" t="s">
        <v>2640</v>
      </c>
      <c r="U521" s="220"/>
      <c r="V521" s="113"/>
      <c r="W521" s="113"/>
      <c r="X521" s="113"/>
      <c r="Y521" s="113"/>
      <c r="Z521" s="113" t="s">
        <v>1441</v>
      </c>
    </row>
    <row r="522" ht="23.25" customHeight="1" spans="1:26">
      <c r="A522" s="212"/>
      <c r="B522" s="227" t="s">
        <v>2720</v>
      </c>
      <c r="C522" s="227" t="s">
        <v>52</v>
      </c>
      <c r="D522" s="227" t="s">
        <v>1023</v>
      </c>
      <c r="E522" s="255">
        <f t="shared" ref="E522:G522" si="207">SUM(E523:E530)</f>
        <v>8</v>
      </c>
      <c r="F522" s="255">
        <f t="shared" si="207"/>
        <v>1417</v>
      </c>
      <c r="G522" s="255">
        <f t="shared" si="207"/>
        <v>5679</v>
      </c>
      <c r="H522" s="255">
        <v>2018</v>
      </c>
      <c r="I522" s="255">
        <v>2019</v>
      </c>
      <c r="J522" s="255">
        <f t="shared" ref="J522:Q522" si="208">SUM(J523:J530)</f>
        <v>32</v>
      </c>
      <c r="K522" s="255">
        <f t="shared" si="208"/>
        <v>16</v>
      </c>
      <c r="L522" s="255">
        <f t="shared" si="208"/>
        <v>16</v>
      </c>
      <c r="M522" s="255">
        <f t="shared" si="208"/>
        <v>0</v>
      </c>
      <c r="N522" s="255">
        <f t="shared" si="208"/>
        <v>0</v>
      </c>
      <c r="O522" s="255">
        <f t="shared" si="208"/>
        <v>0</v>
      </c>
      <c r="P522" s="255">
        <f t="shared" si="208"/>
        <v>32</v>
      </c>
      <c r="Q522" s="255">
        <f t="shared" si="208"/>
        <v>0</v>
      </c>
      <c r="R522" s="76"/>
      <c r="S522" s="220"/>
      <c r="T522" s="220"/>
      <c r="U522" s="220"/>
      <c r="V522" s="113"/>
      <c r="W522" s="113"/>
      <c r="X522" s="113"/>
      <c r="Y522" s="113"/>
      <c r="Z522" s="113"/>
    </row>
    <row r="523" ht="23.25" customHeight="1" spans="1:26">
      <c r="A523" s="212"/>
      <c r="B523" s="71" t="s">
        <v>2521</v>
      </c>
      <c r="C523" s="227" t="s">
        <v>52</v>
      </c>
      <c r="D523" s="227" t="s">
        <v>1023</v>
      </c>
      <c r="E523" s="255">
        <v>1</v>
      </c>
      <c r="F523" s="255">
        <v>116</v>
      </c>
      <c r="G523" s="255">
        <v>391</v>
      </c>
      <c r="H523" s="255">
        <v>2018</v>
      </c>
      <c r="I523" s="255">
        <v>2018</v>
      </c>
      <c r="J523" s="255">
        <v>4</v>
      </c>
      <c r="K523" s="255"/>
      <c r="L523" s="255">
        <v>4</v>
      </c>
      <c r="M523" s="255"/>
      <c r="N523" s="255"/>
      <c r="O523" s="255"/>
      <c r="P523" s="255">
        <v>4</v>
      </c>
      <c r="Q523" s="255"/>
      <c r="R523" s="76"/>
      <c r="S523" s="220" t="s">
        <v>2522</v>
      </c>
      <c r="T523" s="220" t="s">
        <v>2523</v>
      </c>
      <c r="U523" s="220"/>
      <c r="V523" s="113"/>
      <c r="W523" s="113"/>
      <c r="X523" s="113"/>
      <c r="Y523" s="113"/>
      <c r="Z523" s="113" t="s">
        <v>1441</v>
      </c>
    </row>
    <row r="524" ht="23.25" customHeight="1" spans="1:26">
      <c r="A524" s="212"/>
      <c r="B524" s="71" t="s">
        <v>2526</v>
      </c>
      <c r="C524" s="227" t="s">
        <v>52</v>
      </c>
      <c r="D524" s="227" t="s">
        <v>1023</v>
      </c>
      <c r="E524" s="255">
        <v>1</v>
      </c>
      <c r="F524" s="255">
        <v>70</v>
      </c>
      <c r="G524" s="255">
        <v>222</v>
      </c>
      <c r="H524" s="255">
        <v>2018</v>
      </c>
      <c r="I524" s="255">
        <v>2018</v>
      </c>
      <c r="J524" s="255">
        <v>4</v>
      </c>
      <c r="K524" s="255">
        <v>4</v>
      </c>
      <c r="L524" s="255"/>
      <c r="M524" s="255"/>
      <c r="N524" s="255"/>
      <c r="O524" s="255"/>
      <c r="P524" s="255">
        <v>4</v>
      </c>
      <c r="Q524" s="255"/>
      <c r="R524" s="76"/>
      <c r="S524" s="220" t="s">
        <v>2542</v>
      </c>
      <c r="T524" s="220" t="s">
        <v>2528</v>
      </c>
      <c r="U524" s="220"/>
      <c r="V524" s="113"/>
      <c r="W524" s="113"/>
      <c r="X524" s="113"/>
      <c r="Y524" s="113"/>
      <c r="Z524" s="113" t="s">
        <v>1441</v>
      </c>
    </row>
    <row r="525" ht="23.25" customHeight="1" spans="1:26">
      <c r="A525" s="212"/>
      <c r="B525" s="71" t="s">
        <v>2509</v>
      </c>
      <c r="C525" s="227" t="s">
        <v>52</v>
      </c>
      <c r="D525" s="227" t="s">
        <v>1023</v>
      </c>
      <c r="E525" s="255">
        <v>1</v>
      </c>
      <c r="F525" s="255">
        <v>266</v>
      </c>
      <c r="G525" s="255">
        <v>1019</v>
      </c>
      <c r="H525" s="255">
        <v>2018</v>
      </c>
      <c r="I525" s="255">
        <v>2019</v>
      </c>
      <c r="J525" s="255">
        <v>4</v>
      </c>
      <c r="K525" s="255"/>
      <c r="L525" s="255">
        <v>4</v>
      </c>
      <c r="M525" s="255"/>
      <c r="N525" s="255"/>
      <c r="O525" s="255"/>
      <c r="P525" s="255">
        <v>4</v>
      </c>
      <c r="Q525" s="255"/>
      <c r="R525" s="76"/>
      <c r="S525" s="220" t="s">
        <v>2586</v>
      </c>
      <c r="T525" s="220" t="s">
        <v>2587</v>
      </c>
      <c r="U525" s="220"/>
      <c r="V525" s="113"/>
      <c r="W525" s="113"/>
      <c r="X525" s="113"/>
      <c r="Y525" s="113"/>
      <c r="Z525" s="113" t="s">
        <v>1474</v>
      </c>
    </row>
    <row r="526" ht="23.25" customHeight="1" spans="1:26">
      <c r="A526" s="212"/>
      <c r="B526" s="71" t="s">
        <v>2512</v>
      </c>
      <c r="C526" s="227" t="s">
        <v>52</v>
      </c>
      <c r="D526" s="227" t="s">
        <v>1023</v>
      </c>
      <c r="E526" s="255">
        <v>1</v>
      </c>
      <c r="F526" s="255">
        <v>185</v>
      </c>
      <c r="G526" s="255">
        <v>815</v>
      </c>
      <c r="H526" s="255">
        <v>2018</v>
      </c>
      <c r="I526" s="255">
        <v>2018</v>
      </c>
      <c r="J526" s="255">
        <v>4</v>
      </c>
      <c r="K526" s="255">
        <v>4</v>
      </c>
      <c r="L526" s="255"/>
      <c r="M526" s="255"/>
      <c r="N526" s="255"/>
      <c r="O526" s="255"/>
      <c r="P526" s="255">
        <v>4</v>
      </c>
      <c r="Q526" s="255"/>
      <c r="R526" s="76"/>
      <c r="S526" s="220" t="s">
        <v>2513</v>
      </c>
      <c r="T526" s="220" t="s">
        <v>2514</v>
      </c>
      <c r="U526" s="220"/>
      <c r="V526" s="113"/>
      <c r="W526" s="113"/>
      <c r="X526" s="113"/>
      <c r="Y526" s="113"/>
      <c r="Z526" s="113" t="s">
        <v>1441</v>
      </c>
    </row>
    <row r="527" ht="23.25" customHeight="1" spans="1:26">
      <c r="A527" s="212"/>
      <c r="B527" s="71" t="s">
        <v>2506</v>
      </c>
      <c r="C527" s="227" t="s">
        <v>52</v>
      </c>
      <c r="D527" s="227" t="s">
        <v>1023</v>
      </c>
      <c r="E527" s="255">
        <v>1</v>
      </c>
      <c r="F527" s="255">
        <v>364</v>
      </c>
      <c r="G527" s="255">
        <v>1584</v>
      </c>
      <c r="H527" s="255">
        <v>2018</v>
      </c>
      <c r="I527" s="255">
        <v>2018</v>
      </c>
      <c r="J527" s="255">
        <f t="shared" ref="J527:J535" si="209">K527+L527+M527</f>
        <v>4</v>
      </c>
      <c r="K527" s="255">
        <v>4</v>
      </c>
      <c r="L527" s="255"/>
      <c r="M527" s="255"/>
      <c r="N527" s="255"/>
      <c r="O527" s="255"/>
      <c r="P527" s="255">
        <v>4</v>
      </c>
      <c r="Q527" s="255"/>
      <c r="R527" s="76"/>
      <c r="S527" s="220" t="s">
        <v>2507</v>
      </c>
      <c r="T527" s="220" t="s">
        <v>2600</v>
      </c>
      <c r="U527" s="220"/>
      <c r="V527" s="113"/>
      <c r="W527" s="113"/>
      <c r="X527" s="113"/>
      <c r="Y527" s="113"/>
      <c r="Z527" s="113" t="s">
        <v>1441</v>
      </c>
    </row>
    <row r="528" ht="23.25" customHeight="1" spans="1:26">
      <c r="A528" s="212"/>
      <c r="B528" s="71" t="s">
        <v>2529</v>
      </c>
      <c r="C528" s="227" t="s">
        <v>52</v>
      </c>
      <c r="D528" s="227" t="s">
        <v>1023</v>
      </c>
      <c r="E528" s="255">
        <v>1</v>
      </c>
      <c r="F528" s="255">
        <v>50</v>
      </c>
      <c r="G528" s="255">
        <v>161</v>
      </c>
      <c r="H528" s="255">
        <v>2018</v>
      </c>
      <c r="I528" s="255">
        <v>2019</v>
      </c>
      <c r="J528" s="255">
        <f t="shared" si="209"/>
        <v>4</v>
      </c>
      <c r="K528" s="255"/>
      <c r="L528" s="255">
        <v>4</v>
      </c>
      <c r="M528" s="255"/>
      <c r="N528" s="255"/>
      <c r="O528" s="255"/>
      <c r="P528" s="255">
        <v>4</v>
      </c>
      <c r="Q528" s="255"/>
      <c r="R528" s="76"/>
      <c r="S528" s="220" t="s">
        <v>2556</v>
      </c>
      <c r="T528" s="220" t="s">
        <v>2531</v>
      </c>
      <c r="U528" s="220"/>
      <c r="V528" s="113"/>
      <c r="W528" s="113"/>
      <c r="X528" s="113"/>
      <c r="Y528" s="113"/>
      <c r="Z528" s="113" t="s">
        <v>1474</v>
      </c>
    </row>
    <row r="529" ht="23.25" customHeight="1" spans="1:26">
      <c r="A529" s="212"/>
      <c r="B529" s="227" t="s">
        <v>2518</v>
      </c>
      <c r="C529" s="227" t="s">
        <v>52</v>
      </c>
      <c r="D529" s="227" t="s">
        <v>1023</v>
      </c>
      <c r="E529" s="255">
        <v>1</v>
      </c>
      <c r="F529" s="255">
        <v>129</v>
      </c>
      <c r="G529" s="255">
        <v>503</v>
      </c>
      <c r="H529" s="255">
        <v>2018</v>
      </c>
      <c r="I529" s="255">
        <v>2018</v>
      </c>
      <c r="J529" s="255">
        <v>4</v>
      </c>
      <c r="K529" s="255">
        <v>4</v>
      </c>
      <c r="L529" s="255"/>
      <c r="M529" s="255"/>
      <c r="N529" s="255"/>
      <c r="O529" s="255"/>
      <c r="P529" s="255">
        <v>4</v>
      </c>
      <c r="Q529" s="255"/>
      <c r="R529" s="76"/>
      <c r="S529" s="220" t="s">
        <v>2540</v>
      </c>
      <c r="T529" s="220" t="s">
        <v>2520</v>
      </c>
      <c r="U529" s="220"/>
      <c r="V529" s="113"/>
      <c r="W529" s="113"/>
      <c r="X529" s="113"/>
      <c r="Y529" s="113"/>
      <c r="Z529" s="113" t="s">
        <v>1441</v>
      </c>
    </row>
    <row r="530" ht="23.25" customHeight="1" spans="1:26">
      <c r="A530" s="212"/>
      <c r="B530" s="227" t="s">
        <v>2515</v>
      </c>
      <c r="C530" s="227" t="s">
        <v>52</v>
      </c>
      <c r="D530" s="227" t="s">
        <v>1023</v>
      </c>
      <c r="E530" s="255">
        <v>1</v>
      </c>
      <c r="F530" s="255">
        <v>237</v>
      </c>
      <c r="G530" s="255">
        <v>984</v>
      </c>
      <c r="H530" s="255">
        <v>2018</v>
      </c>
      <c r="I530" s="255">
        <v>2019</v>
      </c>
      <c r="J530" s="255">
        <v>4</v>
      </c>
      <c r="K530" s="255"/>
      <c r="L530" s="255">
        <v>4</v>
      </c>
      <c r="M530" s="255"/>
      <c r="N530" s="255"/>
      <c r="O530" s="255"/>
      <c r="P530" s="255">
        <v>4</v>
      </c>
      <c r="Q530" s="255"/>
      <c r="R530" s="76"/>
      <c r="S530" s="220" t="s">
        <v>2721</v>
      </c>
      <c r="T530" s="220" t="s">
        <v>1277</v>
      </c>
      <c r="U530" s="220"/>
      <c r="V530" s="113"/>
      <c r="W530" s="113"/>
      <c r="X530" s="113"/>
      <c r="Y530" s="113"/>
      <c r="Z530" s="113" t="s">
        <v>1474</v>
      </c>
    </row>
    <row r="531" ht="23.25" customHeight="1" spans="1:26">
      <c r="A531" s="212">
        <v>72</v>
      </c>
      <c r="B531" s="71" t="s">
        <v>552</v>
      </c>
      <c r="C531" s="71"/>
      <c r="D531" s="71" t="s">
        <v>384</v>
      </c>
      <c r="E531" s="212">
        <f t="shared" ref="E531:G531" si="210">SUM(E532:E535)</f>
        <v>123</v>
      </c>
      <c r="F531" s="212">
        <f t="shared" si="210"/>
        <v>69</v>
      </c>
      <c r="G531" s="212">
        <f t="shared" si="210"/>
        <v>314</v>
      </c>
      <c r="H531" s="212">
        <v>2018</v>
      </c>
      <c r="I531" s="212">
        <v>2019</v>
      </c>
      <c r="J531" s="212">
        <f t="shared" si="209"/>
        <v>80</v>
      </c>
      <c r="K531" s="212">
        <f t="shared" ref="K531:M531" si="211">SUM(K532:K535)</f>
        <v>30</v>
      </c>
      <c r="L531" s="212">
        <f t="shared" si="211"/>
        <v>50</v>
      </c>
      <c r="M531" s="212">
        <f t="shared" si="211"/>
        <v>0</v>
      </c>
      <c r="N531" s="212"/>
      <c r="O531" s="212">
        <v>80</v>
      </c>
      <c r="P531" s="212"/>
      <c r="Q531" s="212"/>
      <c r="R531" s="212"/>
      <c r="S531" s="220" t="s">
        <v>2501</v>
      </c>
      <c r="T531" s="220" t="s">
        <v>2502</v>
      </c>
      <c r="U531" s="220"/>
      <c r="V531" s="113"/>
      <c r="W531" s="113"/>
      <c r="X531" s="113"/>
      <c r="Y531" s="113"/>
      <c r="Z531" s="113"/>
    </row>
    <row r="532" ht="48.95" customHeight="1" spans="1:26">
      <c r="A532" s="212"/>
      <c r="B532" s="71" t="s">
        <v>2722</v>
      </c>
      <c r="C532" s="71" t="s">
        <v>970</v>
      </c>
      <c r="D532" s="71" t="s">
        <v>384</v>
      </c>
      <c r="E532" s="140">
        <v>20</v>
      </c>
      <c r="F532" s="140">
        <v>5</v>
      </c>
      <c r="G532" s="140">
        <v>24</v>
      </c>
      <c r="H532" s="140">
        <v>2018</v>
      </c>
      <c r="I532" s="140">
        <v>2019</v>
      </c>
      <c r="J532" s="212">
        <f t="shared" si="209"/>
        <v>20</v>
      </c>
      <c r="K532" s="212">
        <v>10</v>
      </c>
      <c r="L532" s="212">
        <v>10</v>
      </c>
      <c r="M532" s="212"/>
      <c r="N532" s="212"/>
      <c r="O532" s="212">
        <v>20</v>
      </c>
      <c r="P532" s="212"/>
      <c r="Q532" s="212"/>
      <c r="R532" s="212"/>
      <c r="S532" s="220" t="s">
        <v>2504</v>
      </c>
      <c r="T532" s="220" t="s">
        <v>2505</v>
      </c>
      <c r="U532" s="220"/>
      <c r="V532" s="113"/>
      <c r="W532" s="113"/>
      <c r="X532" s="113"/>
      <c r="Y532" s="113"/>
      <c r="Z532" s="113" t="s">
        <v>1474</v>
      </c>
    </row>
    <row r="533" ht="45" customHeight="1" spans="1:26">
      <c r="A533" s="212"/>
      <c r="B533" s="71" t="s">
        <v>2723</v>
      </c>
      <c r="C533" s="212" t="s">
        <v>52</v>
      </c>
      <c r="D533" s="71" t="s">
        <v>384</v>
      </c>
      <c r="E533" s="212"/>
      <c r="F533" s="212">
        <v>25</v>
      </c>
      <c r="G533" s="212">
        <v>95</v>
      </c>
      <c r="H533" s="140">
        <v>2019</v>
      </c>
      <c r="I533" s="140">
        <v>2019</v>
      </c>
      <c r="J533" s="212">
        <f t="shared" si="209"/>
        <v>20</v>
      </c>
      <c r="K533" s="212"/>
      <c r="L533" s="212">
        <v>20</v>
      </c>
      <c r="M533" s="212"/>
      <c r="N533" s="212"/>
      <c r="O533" s="212">
        <v>20</v>
      </c>
      <c r="P533" s="212"/>
      <c r="Q533" s="212"/>
      <c r="R533" s="212"/>
      <c r="S533" s="220" t="s">
        <v>2507</v>
      </c>
      <c r="T533" s="220" t="s">
        <v>2600</v>
      </c>
      <c r="U533" s="220"/>
      <c r="V533" s="113"/>
      <c r="W533" s="113"/>
      <c r="X533" s="113"/>
      <c r="Y533" s="113"/>
      <c r="Z533" s="113" t="s">
        <v>1474</v>
      </c>
    </row>
    <row r="534" ht="45.95" customHeight="1" spans="1:26">
      <c r="A534" s="212"/>
      <c r="B534" s="71" t="s">
        <v>2724</v>
      </c>
      <c r="C534" s="71" t="s">
        <v>970</v>
      </c>
      <c r="D534" s="71" t="s">
        <v>384</v>
      </c>
      <c r="E534" s="140">
        <v>49</v>
      </c>
      <c r="F534" s="140">
        <v>13</v>
      </c>
      <c r="G534" s="140">
        <v>49</v>
      </c>
      <c r="H534" s="140">
        <v>2018</v>
      </c>
      <c r="I534" s="140">
        <v>2019</v>
      </c>
      <c r="J534" s="212">
        <f t="shared" si="209"/>
        <v>20</v>
      </c>
      <c r="K534" s="212">
        <v>10</v>
      </c>
      <c r="L534" s="212">
        <v>10</v>
      </c>
      <c r="M534" s="212"/>
      <c r="N534" s="212"/>
      <c r="O534" s="212">
        <v>20</v>
      </c>
      <c r="P534" s="212"/>
      <c r="Q534" s="212"/>
      <c r="R534" s="212"/>
      <c r="S534" s="220" t="s">
        <v>2519</v>
      </c>
      <c r="T534" s="220" t="s">
        <v>2520</v>
      </c>
      <c r="U534" s="220"/>
      <c r="V534" s="113"/>
      <c r="W534" s="113"/>
      <c r="X534" s="113"/>
      <c r="Y534" s="113"/>
      <c r="Z534" s="113" t="s">
        <v>1474</v>
      </c>
    </row>
    <row r="535" ht="45.95" customHeight="1" spans="1:26">
      <c r="A535" s="212"/>
      <c r="B535" s="71" t="s">
        <v>2725</v>
      </c>
      <c r="C535" s="256" t="s">
        <v>970</v>
      </c>
      <c r="D535" s="71" t="s">
        <v>384</v>
      </c>
      <c r="E535" s="140">
        <v>54</v>
      </c>
      <c r="F535" s="140">
        <v>26</v>
      </c>
      <c r="G535" s="140">
        <v>146</v>
      </c>
      <c r="H535" s="140">
        <v>2018</v>
      </c>
      <c r="I535" s="140">
        <v>2019</v>
      </c>
      <c r="J535" s="212">
        <f t="shared" si="209"/>
        <v>20</v>
      </c>
      <c r="K535" s="212">
        <v>10</v>
      </c>
      <c r="L535" s="212">
        <v>10</v>
      </c>
      <c r="M535" s="212"/>
      <c r="N535" s="212"/>
      <c r="O535" s="212">
        <v>20</v>
      </c>
      <c r="P535" s="212"/>
      <c r="Q535" s="212"/>
      <c r="R535" s="212"/>
      <c r="S535" s="220" t="s">
        <v>2519</v>
      </c>
      <c r="T535" s="220" t="s">
        <v>2520</v>
      </c>
      <c r="U535" s="220"/>
      <c r="V535" s="113"/>
      <c r="W535" s="113"/>
      <c r="X535" s="113"/>
      <c r="Y535" s="113"/>
      <c r="Z535" s="113" t="s">
        <v>1474</v>
      </c>
    </row>
    <row r="536" ht="42" customHeight="1" spans="1:26">
      <c r="A536" s="212"/>
      <c r="B536" s="71" t="s">
        <v>554</v>
      </c>
      <c r="C536" s="71" t="s">
        <v>52</v>
      </c>
      <c r="D536" s="71" t="s">
        <v>150</v>
      </c>
      <c r="E536" s="212"/>
      <c r="F536" s="212"/>
      <c r="G536" s="212"/>
      <c r="H536" s="212"/>
      <c r="I536" s="212"/>
      <c r="J536" s="212"/>
      <c r="K536" s="212"/>
      <c r="L536" s="212"/>
      <c r="M536" s="212"/>
      <c r="N536" s="212"/>
      <c r="O536" s="212"/>
      <c r="P536" s="212"/>
      <c r="Q536" s="212"/>
      <c r="R536" s="212"/>
      <c r="S536" s="220"/>
      <c r="T536" s="220"/>
      <c r="U536" s="220" t="s">
        <v>553</v>
      </c>
      <c r="V536" s="113"/>
      <c r="W536" s="113"/>
      <c r="X536" s="113"/>
      <c r="Y536" s="113"/>
      <c r="Z536" s="113"/>
    </row>
    <row r="537" ht="29.25" customHeight="1" spans="1:26">
      <c r="A537" s="212">
        <v>73</v>
      </c>
      <c r="B537" s="71" t="s">
        <v>555</v>
      </c>
      <c r="C537" s="71" t="s">
        <v>320</v>
      </c>
      <c r="D537" s="71" t="s">
        <v>320</v>
      </c>
      <c r="E537" s="212">
        <f t="shared" ref="E537:R537" si="212">E538</f>
        <v>3550</v>
      </c>
      <c r="F537" s="212">
        <f t="shared" si="212"/>
        <v>470</v>
      </c>
      <c r="G537" s="212">
        <f t="shared" si="212"/>
        <v>636</v>
      </c>
      <c r="H537" s="212">
        <f t="shared" si="212"/>
        <v>2018</v>
      </c>
      <c r="I537" s="212">
        <f t="shared" si="212"/>
        <v>2020</v>
      </c>
      <c r="J537" s="212">
        <f t="shared" si="212"/>
        <v>0</v>
      </c>
      <c r="K537" s="212">
        <f t="shared" si="212"/>
        <v>0</v>
      </c>
      <c r="L537" s="212">
        <f t="shared" si="212"/>
        <v>0</v>
      </c>
      <c r="M537" s="212">
        <f t="shared" si="212"/>
        <v>0</v>
      </c>
      <c r="N537" s="212">
        <f t="shared" si="212"/>
        <v>0</v>
      </c>
      <c r="O537" s="212">
        <f t="shared" si="212"/>
        <v>0</v>
      </c>
      <c r="P537" s="212">
        <f t="shared" si="212"/>
        <v>0</v>
      </c>
      <c r="Q537" s="212">
        <f t="shared" si="212"/>
        <v>0</v>
      </c>
      <c r="R537" s="212">
        <f t="shared" si="212"/>
        <v>0</v>
      </c>
      <c r="S537" s="220" t="s">
        <v>2501</v>
      </c>
      <c r="T537" s="220" t="s">
        <v>2535</v>
      </c>
      <c r="U537" s="220" t="s">
        <v>320</v>
      </c>
      <c r="V537" s="113"/>
      <c r="W537" s="113"/>
      <c r="X537" s="113"/>
      <c r="Y537" s="113"/>
      <c r="Z537" s="113"/>
    </row>
    <row r="538" ht="110.1" customHeight="1" spans="1:26">
      <c r="A538" s="212"/>
      <c r="B538" s="71" t="s">
        <v>1225</v>
      </c>
      <c r="C538" s="71" t="s">
        <v>320</v>
      </c>
      <c r="D538" s="71" t="s">
        <v>147</v>
      </c>
      <c r="E538" s="212">
        <f t="shared" ref="E538:G538" si="213">SUM(E539:E548)</f>
        <v>3550</v>
      </c>
      <c r="F538" s="212">
        <f t="shared" si="213"/>
        <v>470</v>
      </c>
      <c r="G538" s="212">
        <f t="shared" si="213"/>
        <v>636</v>
      </c>
      <c r="H538" s="212">
        <v>2018</v>
      </c>
      <c r="I538" s="212">
        <v>2020</v>
      </c>
      <c r="J538" s="212"/>
      <c r="K538" s="212"/>
      <c r="L538" s="212"/>
      <c r="M538" s="212"/>
      <c r="N538" s="212"/>
      <c r="O538" s="212"/>
      <c r="P538" s="212"/>
      <c r="Q538" s="212"/>
      <c r="R538" s="212"/>
      <c r="S538" s="220"/>
      <c r="T538" s="220"/>
      <c r="U538" s="220" t="s">
        <v>294</v>
      </c>
      <c r="V538" s="113"/>
      <c r="W538" s="113"/>
      <c r="X538" s="113"/>
      <c r="Y538" s="113"/>
      <c r="Z538" s="113"/>
    </row>
    <row r="539" ht="17.25" customHeight="1" spans="1:26">
      <c r="A539" s="212"/>
      <c r="B539" s="215" t="s">
        <v>2503</v>
      </c>
      <c r="C539" s="71" t="s">
        <v>320</v>
      </c>
      <c r="D539" s="71" t="s">
        <v>147</v>
      </c>
      <c r="E539" s="212">
        <v>462</v>
      </c>
      <c r="F539" s="212">
        <v>19</v>
      </c>
      <c r="G539" s="212">
        <v>25</v>
      </c>
      <c r="H539" s="212">
        <v>2018</v>
      </c>
      <c r="I539" s="212">
        <v>2020</v>
      </c>
      <c r="J539" s="212"/>
      <c r="K539" s="212"/>
      <c r="L539" s="212"/>
      <c r="M539" s="212"/>
      <c r="N539" s="212"/>
      <c r="O539" s="212"/>
      <c r="P539" s="212"/>
      <c r="Q539" s="212"/>
      <c r="R539" s="212"/>
      <c r="S539" s="220" t="s">
        <v>2619</v>
      </c>
      <c r="T539" s="220" t="s">
        <v>2687</v>
      </c>
      <c r="U539" s="220"/>
      <c r="V539" s="113"/>
      <c r="W539" s="113"/>
      <c r="X539" s="113"/>
      <c r="Y539" s="113"/>
      <c r="Z539" s="113"/>
    </row>
    <row r="540" ht="17.25" customHeight="1" spans="1:26">
      <c r="A540" s="212"/>
      <c r="B540" s="215" t="s">
        <v>2506</v>
      </c>
      <c r="C540" s="71" t="s">
        <v>320</v>
      </c>
      <c r="D540" s="71" t="s">
        <v>147</v>
      </c>
      <c r="E540" s="212">
        <v>541</v>
      </c>
      <c r="F540" s="212">
        <v>102</v>
      </c>
      <c r="G540" s="212">
        <v>125</v>
      </c>
      <c r="H540" s="212">
        <v>2018</v>
      </c>
      <c r="I540" s="212">
        <v>2020</v>
      </c>
      <c r="J540" s="212"/>
      <c r="K540" s="212"/>
      <c r="L540" s="212"/>
      <c r="M540" s="212"/>
      <c r="N540" s="212"/>
      <c r="O540" s="212"/>
      <c r="P540" s="212"/>
      <c r="Q540" s="212"/>
      <c r="R540" s="212"/>
      <c r="S540" s="220" t="s">
        <v>2507</v>
      </c>
      <c r="T540" s="220" t="s">
        <v>2600</v>
      </c>
      <c r="U540" s="220"/>
      <c r="V540" s="113"/>
      <c r="W540" s="113"/>
      <c r="X540" s="113"/>
      <c r="Y540" s="113"/>
      <c r="Z540" s="113"/>
    </row>
    <row r="541" ht="17.25" customHeight="1" spans="1:26">
      <c r="A541" s="212"/>
      <c r="B541" s="215" t="s">
        <v>2509</v>
      </c>
      <c r="C541" s="71" t="s">
        <v>320</v>
      </c>
      <c r="D541" s="71" t="s">
        <v>147</v>
      </c>
      <c r="E541" s="212">
        <v>429</v>
      </c>
      <c r="F541" s="212">
        <v>96</v>
      </c>
      <c r="G541" s="212">
        <v>137</v>
      </c>
      <c r="H541" s="212">
        <v>2018</v>
      </c>
      <c r="I541" s="212">
        <v>2020</v>
      </c>
      <c r="J541" s="212"/>
      <c r="K541" s="212"/>
      <c r="L541" s="212"/>
      <c r="M541" s="212"/>
      <c r="N541" s="212"/>
      <c r="O541" s="212"/>
      <c r="P541" s="212"/>
      <c r="Q541" s="212"/>
      <c r="R541" s="212"/>
      <c r="S541" s="220" t="s">
        <v>2536</v>
      </c>
      <c r="T541" s="220" t="s">
        <v>2537</v>
      </c>
      <c r="U541" s="220"/>
      <c r="V541" s="113"/>
      <c r="W541" s="113"/>
      <c r="X541" s="113"/>
      <c r="Y541" s="113"/>
      <c r="Z541" s="113"/>
    </row>
    <row r="542" ht="17.25" customHeight="1" spans="1:26">
      <c r="A542" s="212"/>
      <c r="B542" s="215" t="s">
        <v>2512</v>
      </c>
      <c r="C542" s="71" t="s">
        <v>320</v>
      </c>
      <c r="D542" s="71" t="s">
        <v>147</v>
      </c>
      <c r="E542" s="212">
        <v>245</v>
      </c>
      <c r="F542" s="212">
        <v>67</v>
      </c>
      <c r="G542" s="212">
        <v>92</v>
      </c>
      <c r="H542" s="212">
        <v>2018</v>
      </c>
      <c r="I542" s="212">
        <v>2020</v>
      </c>
      <c r="J542" s="212"/>
      <c r="K542" s="212"/>
      <c r="L542" s="212"/>
      <c r="M542" s="212"/>
      <c r="N542" s="212"/>
      <c r="O542" s="212"/>
      <c r="P542" s="212"/>
      <c r="Q542" s="212"/>
      <c r="R542" s="212"/>
      <c r="S542" s="220" t="s">
        <v>2513</v>
      </c>
      <c r="T542" s="220" t="s">
        <v>2514</v>
      </c>
      <c r="U542" s="220"/>
      <c r="V542" s="113"/>
      <c r="W542" s="113"/>
      <c r="X542" s="113"/>
      <c r="Y542" s="113"/>
      <c r="Z542" s="113"/>
    </row>
    <row r="543" ht="17.25" customHeight="1" spans="1:26">
      <c r="A543" s="212"/>
      <c r="B543" s="215" t="s">
        <v>2515</v>
      </c>
      <c r="C543" s="71" t="s">
        <v>320</v>
      </c>
      <c r="D543" s="71" t="s">
        <v>147</v>
      </c>
      <c r="E543" s="212">
        <v>374</v>
      </c>
      <c r="F543" s="212">
        <v>87</v>
      </c>
      <c r="G543" s="212">
        <v>119</v>
      </c>
      <c r="H543" s="212">
        <v>2018</v>
      </c>
      <c r="I543" s="212">
        <v>2020</v>
      </c>
      <c r="J543" s="212"/>
      <c r="K543" s="212"/>
      <c r="L543" s="212"/>
      <c r="M543" s="212"/>
      <c r="N543" s="212"/>
      <c r="O543" s="212"/>
      <c r="P543" s="212"/>
      <c r="Q543" s="212"/>
      <c r="R543" s="212"/>
      <c r="S543" s="220" t="s">
        <v>2721</v>
      </c>
      <c r="T543" s="220" t="s">
        <v>1277</v>
      </c>
      <c r="U543" s="220"/>
      <c r="V543" s="113"/>
      <c r="W543" s="113"/>
      <c r="X543" s="113"/>
      <c r="Y543" s="113"/>
      <c r="Z543" s="113"/>
    </row>
    <row r="544" ht="17.25" customHeight="1" spans="1:26">
      <c r="A544" s="212"/>
      <c r="B544" s="215" t="s">
        <v>2518</v>
      </c>
      <c r="C544" s="71" t="s">
        <v>320</v>
      </c>
      <c r="D544" s="71" t="s">
        <v>147</v>
      </c>
      <c r="E544" s="212">
        <v>460</v>
      </c>
      <c r="F544" s="212">
        <v>42</v>
      </c>
      <c r="G544" s="212">
        <v>59</v>
      </c>
      <c r="H544" s="212">
        <v>2018</v>
      </c>
      <c r="I544" s="212">
        <v>2020</v>
      </c>
      <c r="J544" s="212"/>
      <c r="K544" s="212"/>
      <c r="L544" s="212"/>
      <c r="M544" s="212"/>
      <c r="N544" s="212"/>
      <c r="O544" s="212"/>
      <c r="P544" s="212"/>
      <c r="Q544" s="212"/>
      <c r="R544" s="212"/>
      <c r="S544" s="220" t="s">
        <v>2519</v>
      </c>
      <c r="T544" s="220" t="s">
        <v>2520</v>
      </c>
      <c r="U544" s="220"/>
      <c r="V544" s="113"/>
      <c r="W544" s="113"/>
      <c r="X544" s="113"/>
      <c r="Y544" s="113"/>
      <c r="Z544" s="113"/>
    </row>
    <row r="545" ht="17.25" customHeight="1" spans="1:26">
      <c r="A545" s="212"/>
      <c r="B545" s="215" t="s">
        <v>2521</v>
      </c>
      <c r="C545" s="71" t="s">
        <v>320</v>
      </c>
      <c r="D545" s="71" t="s">
        <v>147</v>
      </c>
      <c r="E545" s="212">
        <v>197</v>
      </c>
      <c r="F545" s="212">
        <v>31</v>
      </c>
      <c r="G545" s="212">
        <v>40</v>
      </c>
      <c r="H545" s="212">
        <v>2018</v>
      </c>
      <c r="I545" s="212">
        <v>2020</v>
      </c>
      <c r="J545" s="212"/>
      <c r="K545" s="212"/>
      <c r="L545" s="212"/>
      <c r="M545" s="212"/>
      <c r="N545" s="212"/>
      <c r="O545" s="212"/>
      <c r="P545" s="212"/>
      <c r="Q545" s="212"/>
      <c r="R545" s="212"/>
      <c r="S545" s="220" t="s">
        <v>2522</v>
      </c>
      <c r="T545" s="220" t="s">
        <v>2523</v>
      </c>
      <c r="U545" s="220"/>
      <c r="V545" s="113"/>
      <c r="W545" s="113"/>
      <c r="X545" s="113"/>
      <c r="Y545" s="113"/>
      <c r="Z545" s="113"/>
    </row>
    <row r="546" ht="17.25" customHeight="1" spans="1:26">
      <c r="A546" s="212"/>
      <c r="B546" s="215" t="s">
        <v>2526</v>
      </c>
      <c r="C546" s="71" t="s">
        <v>320</v>
      </c>
      <c r="D546" s="71" t="s">
        <v>147</v>
      </c>
      <c r="E546" s="212">
        <v>318</v>
      </c>
      <c r="F546" s="212">
        <v>7</v>
      </c>
      <c r="G546" s="212">
        <v>11</v>
      </c>
      <c r="H546" s="212">
        <v>2018</v>
      </c>
      <c r="I546" s="212">
        <v>2020</v>
      </c>
      <c r="J546" s="212"/>
      <c r="K546" s="212"/>
      <c r="L546" s="212"/>
      <c r="M546" s="212"/>
      <c r="N546" s="212"/>
      <c r="O546" s="212"/>
      <c r="P546" s="212"/>
      <c r="Q546" s="212"/>
      <c r="R546" s="212"/>
      <c r="S546" s="220" t="s">
        <v>2693</v>
      </c>
      <c r="T546" s="220" t="s">
        <v>2595</v>
      </c>
      <c r="U546" s="220"/>
      <c r="V546" s="113"/>
      <c r="W546" s="113"/>
      <c r="X546" s="113"/>
      <c r="Y546" s="113"/>
      <c r="Z546" s="113"/>
    </row>
    <row r="547" ht="20.25" customHeight="1" spans="1:26">
      <c r="A547" s="212"/>
      <c r="B547" s="215" t="s">
        <v>2529</v>
      </c>
      <c r="C547" s="71" t="s">
        <v>320</v>
      </c>
      <c r="D547" s="71" t="s">
        <v>147</v>
      </c>
      <c r="E547" s="212">
        <v>187</v>
      </c>
      <c r="F547" s="212">
        <v>6</v>
      </c>
      <c r="G547" s="212">
        <v>11</v>
      </c>
      <c r="H547" s="212">
        <v>2018</v>
      </c>
      <c r="I547" s="212">
        <v>2020</v>
      </c>
      <c r="J547" s="212"/>
      <c r="K547" s="212"/>
      <c r="L547" s="212"/>
      <c r="M547" s="212"/>
      <c r="N547" s="212"/>
      <c r="O547" s="212"/>
      <c r="P547" s="212"/>
      <c r="Q547" s="212"/>
      <c r="R547" s="212"/>
      <c r="S547" s="220" t="s">
        <v>2556</v>
      </c>
      <c r="T547" s="220" t="s">
        <v>2531</v>
      </c>
      <c r="U547" s="220"/>
      <c r="V547" s="113"/>
      <c r="W547" s="113"/>
      <c r="X547" s="113"/>
      <c r="Y547" s="113"/>
      <c r="Z547" s="113"/>
    </row>
    <row r="548" ht="20.25" customHeight="1" spans="1:26">
      <c r="A548" s="212"/>
      <c r="B548" s="215" t="s">
        <v>2532</v>
      </c>
      <c r="C548" s="71" t="s">
        <v>320</v>
      </c>
      <c r="D548" s="71" t="s">
        <v>147</v>
      </c>
      <c r="E548" s="212">
        <v>337</v>
      </c>
      <c r="F548" s="212">
        <v>13</v>
      </c>
      <c r="G548" s="212">
        <v>17</v>
      </c>
      <c r="H548" s="212">
        <v>2018</v>
      </c>
      <c r="I548" s="212">
        <v>2020</v>
      </c>
      <c r="J548" s="212"/>
      <c r="K548" s="212"/>
      <c r="L548" s="212"/>
      <c r="M548" s="212"/>
      <c r="N548" s="212"/>
      <c r="O548" s="212"/>
      <c r="P548" s="212"/>
      <c r="Q548" s="212"/>
      <c r="R548" s="212"/>
      <c r="S548" s="220" t="s">
        <v>2685</v>
      </c>
      <c r="T548" s="220" t="s">
        <v>2640</v>
      </c>
      <c r="U548" s="220"/>
      <c r="V548" s="113"/>
      <c r="W548" s="113"/>
      <c r="X548" s="113"/>
      <c r="Y548" s="113"/>
      <c r="Z548" s="113"/>
    </row>
    <row r="549" ht="30" customHeight="1" spans="1:26">
      <c r="A549" s="212">
        <v>74</v>
      </c>
      <c r="B549" s="71" t="s">
        <v>570</v>
      </c>
      <c r="C549" s="71" t="s">
        <v>52</v>
      </c>
      <c r="D549" s="71" t="s">
        <v>150</v>
      </c>
      <c r="E549" s="212">
        <f t="shared" ref="E549:G549" si="214">E550+E551</f>
        <v>24</v>
      </c>
      <c r="F549" s="212">
        <f t="shared" si="214"/>
        <v>16</v>
      </c>
      <c r="G549" s="212">
        <f t="shared" si="214"/>
        <v>62</v>
      </c>
      <c r="H549" s="212">
        <v>2018</v>
      </c>
      <c r="I549" s="212">
        <v>2018</v>
      </c>
      <c r="J549" s="212">
        <f t="shared" ref="J549:Q549" si="215">J550+J551</f>
        <v>114</v>
      </c>
      <c r="K549" s="212">
        <f t="shared" si="215"/>
        <v>114</v>
      </c>
      <c r="L549" s="212">
        <f t="shared" si="215"/>
        <v>0</v>
      </c>
      <c r="M549" s="212">
        <f t="shared" si="215"/>
        <v>0</v>
      </c>
      <c r="N549" s="212">
        <f t="shared" si="215"/>
        <v>0</v>
      </c>
      <c r="O549" s="212">
        <f t="shared" si="215"/>
        <v>114</v>
      </c>
      <c r="P549" s="212">
        <f t="shared" si="215"/>
        <v>0</v>
      </c>
      <c r="Q549" s="212">
        <f t="shared" si="215"/>
        <v>0</v>
      </c>
      <c r="R549" s="212"/>
      <c r="S549" s="220" t="s">
        <v>2501</v>
      </c>
      <c r="T549" s="220" t="s">
        <v>2502</v>
      </c>
      <c r="U549" s="220" t="s">
        <v>273</v>
      </c>
      <c r="V549" s="113"/>
      <c r="W549" s="113"/>
      <c r="X549" s="113"/>
      <c r="Y549" s="113"/>
      <c r="Z549" s="113"/>
    </row>
    <row r="550" ht="39" customHeight="1" spans="1:26">
      <c r="A550" s="212"/>
      <c r="B550" s="71" t="s">
        <v>2726</v>
      </c>
      <c r="C550" s="71" t="s">
        <v>52</v>
      </c>
      <c r="D550" s="71" t="s">
        <v>1517</v>
      </c>
      <c r="E550" s="212">
        <v>23</v>
      </c>
      <c r="F550" s="212">
        <v>2</v>
      </c>
      <c r="G550" s="212">
        <v>8</v>
      </c>
      <c r="H550" s="212">
        <v>2018</v>
      </c>
      <c r="I550" s="212">
        <v>2018</v>
      </c>
      <c r="J550" s="212">
        <f>K550+L550+M550</f>
        <v>15</v>
      </c>
      <c r="K550" s="212">
        <v>15</v>
      </c>
      <c r="L550" s="212"/>
      <c r="M550" s="212"/>
      <c r="N550" s="212"/>
      <c r="O550" s="212">
        <v>15</v>
      </c>
      <c r="P550" s="212"/>
      <c r="Q550" s="212"/>
      <c r="R550" s="212"/>
      <c r="S550" s="220" t="s">
        <v>2504</v>
      </c>
      <c r="T550" s="220" t="s">
        <v>2505</v>
      </c>
      <c r="U550" s="220"/>
      <c r="V550" s="113"/>
      <c r="W550" s="113"/>
      <c r="X550" s="113"/>
      <c r="Y550" s="113"/>
      <c r="Z550" s="113" t="s">
        <v>1441</v>
      </c>
    </row>
    <row r="551" ht="51" customHeight="1" spans="1:26">
      <c r="A551" s="212"/>
      <c r="B551" s="71" t="s">
        <v>2727</v>
      </c>
      <c r="C551" s="71" t="s">
        <v>52</v>
      </c>
      <c r="D551" s="71" t="s">
        <v>150</v>
      </c>
      <c r="E551" s="212">
        <v>1</v>
      </c>
      <c r="F551" s="212">
        <v>14</v>
      </c>
      <c r="G551" s="212">
        <v>54</v>
      </c>
      <c r="H551" s="212">
        <v>2018</v>
      </c>
      <c r="I551" s="212">
        <v>2018</v>
      </c>
      <c r="J551" s="212">
        <f>K551+L551+M551</f>
        <v>99</v>
      </c>
      <c r="K551" s="212">
        <v>99</v>
      </c>
      <c r="L551" s="212"/>
      <c r="M551" s="212"/>
      <c r="N551" s="212"/>
      <c r="O551" s="212">
        <v>99</v>
      </c>
      <c r="P551" s="212"/>
      <c r="Q551" s="212"/>
      <c r="R551" s="212"/>
      <c r="S551" s="220" t="s">
        <v>2536</v>
      </c>
      <c r="T551" s="220" t="s">
        <v>2537</v>
      </c>
      <c r="U551" s="220"/>
      <c r="V551" s="113"/>
      <c r="W551" s="113"/>
      <c r="X551" s="113"/>
      <c r="Y551" s="113"/>
      <c r="Z551" s="113" t="s">
        <v>1441</v>
      </c>
    </row>
    <row r="552" ht="53.25" customHeight="1" spans="1:26">
      <c r="A552" s="212">
        <v>75</v>
      </c>
      <c r="B552" s="71" t="s">
        <v>1048</v>
      </c>
      <c r="C552" s="71" t="s">
        <v>320</v>
      </c>
      <c r="D552" s="71" t="s">
        <v>320</v>
      </c>
      <c r="E552" s="71"/>
      <c r="F552" s="71"/>
      <c r="G552" s="71"/>
      <c r="H552" s="71"/>
      <c r="I552" s="71"/>
      <c r="J552" s="71">
        <f t="shared" ref="J552:P552" si="216">J553+J567+J568</f>
        <v>0</v>
      </c>
      <c r="K552" s="71">
        <f t="shared" si="216"/>
        <v>0</v>
      </c>
      <c r="L552" s="71">
        <f t="shared" si="216"/>
        <v>0</v>
      </c>
      <c r="M552" s="71">
        <f t="shared" si="216"/>
        <v>0</v>
      </c>
      <c r="N552" s="71">
        <f t="shared" si="216"/>
        <v>0</v>
      </c>
      <c r="O552" s="71">
        <f t="shared" si="216"/>
        <v>0</v>
      </c>
      <c r="P552" s="71">
        <f t="shared" si="216"/>
        <v>0</v>
      </c>
      <c r="Q552" s="212"/>
      <c r="R552" s="212"/>
      <c r="S552" s="220"/>
      <c r="T552" s="220"/>
      <c r="U552" s="220"/>
      <c r="V552" s="113"/>
      <c r="W552" s="113"/>
      <c r="X552" s="113"/>
      <c r="Y552" s="113"/>
      <c r="Z552" s="113"/>
    </row>
    <row r="553" ht="23.25" customHeight="1" spans="1:26">
      <c r="A553" s="212">
        <v>76</v>
      </c>
      <c r="B553" s="71" t="s">
        <v>1049</v>
      </c>
      <c r="C553" s="71" t="s">
        <v>320</v>
      </c>
      <c r="D553" s="71" t="s">
        <v>320</v>
      </c>
      <c r="E553" s="212">
        <f t="shared" ref="E553:R553" si="217">E554+E555+E556</f>
        <v>10</v>
      </c>
      <c r="F553" s="212">
        <f t="shared" si="217"/>
        <v>1730</v>
      </c>
      <c r="G553" s="212">
        <f t="shared" si="217"/>
        <v>6918</v>
      </c>
      <c r="H553" s="212">
        <f t="shared" si="217"/>
        <v>2018</v>
      </c>
      <c r="I553" s="212">
        <f t="shared" si="217"/>
        <v>2020</v>
      </c>
      <c r="J553" s="212">
        <f t="shared" si="217"/>
        <v>0</v>
      </c>
      <c r="K553" s="212">
        <f t="shared" si="217"/>
        <v>0</v>
      </c>
      <c r="L553" s="212">
        <f t="shared" si="217"/>
        <v>0</v>
      </c>
      <c r="M553" s="212">
        <f t="shared" si="217"/>
        <v>0</v>
      </c>
      <c r="N553" s="212">
        <f t="shared" si="217"/>
        <v>0</v>
      </c>
      <c r="O553" s="212">
        <f t="shared" si="217"/>
        <v>0</v>
      </c>
      <c r="P553" s="212">
        <f t="shared" si="217"/>
        <v>0</v>
      </c>
      <c r="Q553" s="212">
        <f t="shared" si="217"/>
        <v>0</v>
      </c>
      <c r="R553" s="212">
        <f t="shared" si="217"/>
        <v>0</v>
      </c>
      <c r="S553" s="220" t="s">
        <v>2501</v>
      </c>
      <c r="T553" s="220" t="s">
        <v>2502</v>
      </c>
      <c r="U553" s="220" t="s">
        <v>320</v>
      </c>
      <c r="V553" s="113"/>
      <c r="W553" s="113"/>
      <c r="X553" s="113"/>
      <c r="Y553" s="113"/>
      <c r="Z553" s="113"/>
    </row>
    <row r="554" ht="24" spans="1:26">
      <c r="A554" s="212">
        <v>77</v>
      </c>
      <c r="B554" s="71" t="s">
        <v>1237</v>
      </c>
      <c r="C554" s="71" t="s">
        <v>52</v>
      </c>
      <c r="D554" s="71" t="s">
        <v>202</v>
      </c>
      <c r="E554" s="212"/>
      <c r="F554" s="212"/>
      <c r="G554" s="212"/>
      <c r="H554" s="212"/>
      <c r="I554" s="212"/>
      <c r="J554" s="212"/>
      <c r="K554" s="212"/>
      <c r="L554" s="212"/>
      <c r="M554" s="212"/>
      <c r="N554" s="212"/>
      <c r="O554" s="212"/>
      <c r="P554" s="212"/>
      <c r="Q554" s="212"/>
      <c r="R554" s="212"/>
      <c r="S554" s="220"/>
      <c r="T554" s="220"/>
      <c r="U554" s="220" t="s">
        <v>497</v>
      </c>
      <c r="V554" s="113"/>
      <c r="W554" s="113"/>
      <c r="X554" s="113"/>
      <c r="Y554" s="113"/>
      <c r="Z554" s="113"/>
    </row>
    <row r="555" ht="24" spans="1:26">
      <c r="A555" s="212">
        <v>78</v>
      </c>
      <c r="B555" s="71" t="s">
        <v>1238</v>
      </c>
      <c r="C555" s="71" t="s">
        <v>320</v>
      </c>
      <c r="D555" s="71" t="s">
        <v>320</v>
      </c>
      <c r="E555" s="212"/>
      <c r="F555" s="212"/>
      <c r="G555" s="212"/>
      <c r="H555" s="212"/>
      <c r="I555" s="212"/>
      <c r="J555" s="212"/>
      <c r="K555" s="212"/>
      <c r="L555" s="212"/>
      <c r="M555" s="212"/>
      <c r="N555" s="212"/>
      <c r="O555" s="212"/>
      <c r="P555" s="212"/>
      <c r="Q555" s="212"/>
      <c r="R555" s="212"/>
      <c r="S555" s="220"/>
      <c r="T555" s="220"/>
      <c r="U555" s="220" t="s">
        <v>160</v>
      </c>
      <c r="V555" s="113"/>
      <c r="W555" s="113"/>
      <c r="X555" s="113"/>
      <c r="Y555" s="113"/>
      <c r="Z555" s="113"/>
    </row>
    <row r="556" ht="36" spans="1:26">
      <c r="A556" s="212">
        <v>79</v>
      </c>
      <c r="B556" s="71" t="s">
        <v>1239</v>
      </c>
      <c r="C556" s="71" t="s">
        <v>320</v>
      </c>
      <c r="D556" s="71" t="s">
        <v>320</v>
      </c>
      <c r="E556" s="71">
        <f>SUM(E557:E566)</f>
        <v>10</v>
      </c>
      <c r="F556" s="71">
        <f>SUM(F557:F566)</f>
        <v>1730</v>
      </c>
      <c r="G556" s="71">
        <f>SUM(G557:G566)</f>
        <v>6918</v>
      </c>
      <c r="H556" s="71">
        <v>2018</v>
      </c>
      <c r="I556" s="71">
        <v>2020</v>
      </c>
      <c r="J556" s="71"/>
      <c r="K556" s="71"/>
      <c r="L556" s="71"/>
      <c r="M556" s="71"/>
      <c r="N556" s="71"/>
      <c r="O556" s="71"/>
      <c r="P556" s="71"/>
      <c r="Q556" s="71"/>
      <c r="R556" s="71"/>
      <c r="S556" s="220"/>
      <c r="T556" s="220"/>
      <c r="U556" s="220" t="s">
        <v>2728</v>
      </c>
      <c r="V556" s="113"/>
      <c r="W556" s="113"/>
      <c r="X556" s="113"/>
      <c r="Y556" s="113"/>
      <c r="Z556" s="113"/>
    </row>
    <row r="557" ht="67.5" spans="1:26">
      <c r="A557" s="212"/>
      <c r="B557" s="215" t="s">
        <v>2729</v>
      </c>
      <c r="C557" s="71" t="s">
        <v>320</v>
      </c>
      <c r="D557" s="71" t="s">
        <v>150</v>
      </c>
      <c r="E557" s="212">
        <v>1</v>
      </c>
      <c r="F557" s="212">
        <v>267</v>
      </c>
      <c r="G557" s="212">
        <v>1111</v>
      </c>
      <c r="H557" s="212">
        <v>2018</v>
      </c>
      <c r="I557" s="212">
        <v>2020</v>
      </c>
      <c r="J557" s="212"/>
      <c r="K557" s="212"/>
      <c r="L557" s="212"/>
      <c r="M557" s="212"/>
      <c r="N557" s="102"/>
      <c r="O557" s="102"/>
      <c r="P557" s="212"/>
      <c r="Q557" s="212"/>
      <c r="R557" s="212"/>
      <c r="S557" s="220" t="s">
        <v>2504</v>
      </c>
      <c r="T557" s="220" t="s">
        <v>2505</v>
      </c>
      <c r="U557" s="220" t="s">
        <v>2730</v>
      </c>
      <c r="V557" s="113"/>
      <c r="W557" s="113"/>
      <c r="X557" s="113"/>
      <c r="Y557" s="113"/>
      <c r="Z557" s="244" t="s">
        <v>2731</v>
      </c>
    </row>
    <row r="558" ht="67.5" spans="1:26">
      <c r="A558" s="212"/>
      <c r="B558" s="215" t="s">
        <v>2732</v>
      </c>
      <c r="C558" s="71" t="s">
        <v>320</v>
      </c>
      <c r="D558" s="71" t="s">
        <v>150</v>
      </c>
      <c r="E558" s="212">
        <v>1</v>
      </c>
      <c r="F558" s="227">
        <v>364</v>
      </c>
      <c r="G558" s="227">
        <v>1583</v>
      </c>
      <c r="H558" s="212">
        <v>2018</v>
      </c>
      <c r="I558" s="212">
        <v>2020</v>
      </c>
      <c r="J558" s="212"/>
      <c r="K558" s="212"/>
      <c r="L558" s="212"/>
      <c r="M558" s="212"/>
      <c r="N558" s="102"/>
      <c r="O558" s="102"/>
      <c r="P558" s="212"/>
      <c r="Q558" s="212"/>
      <c r="R558" s="212"/>
      <c r="S558" s="220" t="s">
        <v>2524</v>
      </c>
      <c r="T558" s="220" t="s">
        <v>2525</v>
      </c>
      <c r="U558" s="220" t="s">
        <v>2733</v>
      </c>
      <c r="V558" s="113"/>
      <c r="W558" s="113"/>
      <c r="X558" s="113"/>
      <c r="Y558" s="113"/>
      <c r="Z558" s="244" t="s">
        <v>2731</v>
      </c>
    </row>
    <row r="559" ht="67.5" spans="1:26">
      <c r="A559" s="212"/>
      <c r="B559" s="215" t="s">
        <v>2734</v>
      </c>
      <c r="C559" s="71" t="s">
        <v>320</v>
      </c>
      <c r="D559" s="71" t="s">
        <v>150</v>
      </c>
      <c r="E559" s="212">
        <v>1</v>
      </c>
      <c r="F559" s="227">
        <v>266</v>
      </c>
      <c r="G559" s="227">
        <v>1019</v>
      </c>
      <c r="H559" s="212">
        <v>2018</v>
      </c>
      <c r="I559" s="212">
        <v>2020</v>
      </c>
      <c r="J559" s="212"/>
      <c r="K559" s="212"/>
      <c r="L559" s="212"/>
      <c r="M559" s="212"/>
      <c r="N559" s="102"/>
      <c r="O559" s="102"/>
      <c r="P559" s="212"/>
      <c r="Q559" s="212"/>
      <c r="R559" s="212"/>
      <c r="S559" s="220" t="s">
        <v>2536</v>
      </c>
      <c r="T559" s="220" t="s">
        <v>2537</v>
      </c>
      <c r="U559" s="220" t="s">
        <v>2733</v>
      </c>
      <c r="V559" s="113"/>
      <c r="W559" s="113"/>
      <c r="X559" s="113"/>
      <c r="Y559" s="113"/>
      <c r="Z559" s="244" t="s">
        <v>2731</v>
      </c>
    </row>
    <row r="560" ht="67.5" spans="1:26">
      <c r="A560" s="212"/>
      <c r="B560" s="215" t="s">
        <v>2735</v>
      </c>
      <c r="C560" s="71" t="s">
        <v>320</v>
      </c>
      <c r="D560" s="71" t="s">
        <v>150</v>
      </c>
      <c r="E560" s="212">
        <v>1</v>
      </c>
      <c r="F560" s="228">
        <v>185</v>
      </c>
      <c r="G560" s="228">
        <v>815</v>
      </c>
      <c r="H560" s="212">
        <v>2018</v>
      </c>
      <c r="I560" s="212">
        <v>2020</v>
      </c>
      <c r="J560" s="212"/>
      <c r="K560" s="212"/>
      <c r="L560" s="212"/>
      <c r="M560" s="212"/>
      <c r="N560" s="102"/>
      <c r="O560" s="102"/>
      <c r="P560" s="212"/>
      <c r="Q560" s="212"/>
      <c r="R560" s="212"/>
      <c r="S560" s="220" t="s">
        <v>2513</v>
      </c>
      <c r="T560" s="220" t="s">
        <v>2514</v>
      </c>
      <c r="U560" s="220" t="s">
        <v>2733</v>
      </c>
      <c r="V560" s="113"/>
      <c r="W560" s="113"/>
      <c r="X560" s="113"/>
      <c r="Y560" s="113"/>
      <c r="Z560" s="244" t="s">
        <v>2731</v>
      </c>
    </row>
    <row r="561" ht="67.5" spans="1:26">
      <c r="A561" s="212"/>
      <c r="B561" s="215" t="s">
        <v>2736</v>
      </c>
      <c r="C561" s="71" t="s">
        <v>320</v>
      </c>
      <c r="D561" s="71" t="s">
        <v>150</v>
      </c>
      <c r="E561" s="212">
        <v>1</v>
      </c>
      <c r="F561" s="71">
        <v>237</v>
      </c>
      <c r="G561" s="71">
        <v>984</v>
      </c>
      <c r="H561" s="212">
        <v>2018</v>
      </c>
      <c r="I561" s="212">
        <v>2020</v>
      </c>
      <c r="J561" s="212"/>
      <c r="K561" s="212"/>
      <c r="L561" s="212"/>
      <c r="M561" s="212"/>
      <c r="N561" s="102"/>
      <c r="O561" s="102"/>
      <c r="P561" s="212"/>
      <c r="Q561" s="212"/>
      <c r="R561" s="212"/>
      <c r="S561" s="220" t="s">
        <v>2538</v>
      </c>
      <c r="T561" s="220" t="s">
        <v>2517</v>
      </c>
      <c r="U561" s="220" t="s">
        <v>2733</v>
      </c>
      <c r="V561" s="113"/>
      <c r="W561" s="113"/>
      <c r="X561" s="113"/>
      <c r="Y561" s="113"/>
      <c r="Z561" s="244" t="s">
        <v>2731</v>
      </c>
    </row>
    <row r="562" ht="67.5" spans="1:26">
      <c r="A562" s="212"/>
      <c r="B562" s="215" t="s">
        <v>2737</v>
      </c>
      <c r="C562" s="71" t="s">
        <v>320</v>
      </c>
      <c r="D562" s="71" t="s">
        <v>150</v>
      </c>
      <c r="E562" s="212">
        <v>1</v>
      </c>
      <c r="F562" s="71">
        <v>129</v>
      </c>
      <c r="G562" s="71">
        <v>503</v>
      </c>
      <c r="H562" s="212">
        <v>2018</v>
      </c>
      <c r="I562" s="212">
        <v>2020</v>
      </c>
      <c r="J562" s="212"/>
      <c r="K562" s="212"/>
      <c r="L562" s="212"/>
      <c r="M562" s="212"/>
      <c r="N562" s="102"/>
      <c r="O562" s="102"/>
      <c r="P562" s="212"/>
      <c r="Q562" s="212"/>
      <c r="R562" s="212"/>
      <c r="S562" s="220" t="s">
        <v>2519</v>
      </c>
      <c r="T562" s="220" t="s">
        <v>2520</v>
      </c>
      <c r="U562" s="220" t="s">
        <v>2738</v>
      </c>
      <c r="V562" s="113"/>
      <c r="W562" s="113"/>
      <c r="X562" s="113"/>
      <c r="Y562" s="113"/>
      <c r="Z562" s="244" t="s">
        <v>2731</v>
      </c>
    </row>
    <row r="563" ht="67.5" spans="1:26">
      <c r="A563" s="212"/>
      <c r="B563" s="215" t="s">
        <v>2739</v>
      </c>
      <c r="C563" s="71" t="s">
        <v>320</v>
      </c>
      <c r="D563" s="71" t="s">
        <v>150</v>
      </c>
      <c r="E563" s="212">
        <v>1</v>
      </c>
      <c r="F563" s="76">
        <v>116</v>
      </c>
      <c r="G563" s="76">
        <v>391</v>
      </c>
      <c r="H563" s="212">
        <v>2018</v>
      </c>
      <c r="I563" s="212">
        <v>2020</v>
      </c>
      <c r="J563" s="212"/>
      <c r="K563" s="212"/>
      <c r="L563" s="212"/>
      <c r="M563" s="212"/>
      <c r="N563" s="102"/>
      <c r="O563" s="102"/>
      <c r="P563" s="212"/>
      <c r="Q563" s="212"/>
      <c r="R563" s="212"/>
      <c r="S563" s="220" t="s">
        <v>2522</v>
      </c>
      <c r="T563" s="220" t="s">
        <v>2523</v>
      </c>
      <c r="U563" s="220" t="s">
        <v>2738</v>
      </c>
      <c r="V563" s="113"/>
      <c r="W563" s="113"/>
      <c r="X563" s="113"/>
      <c r="Y563" s="113"/>
      <c r="Z563" s="244" t="s">
        <v>2731</v>
      </c>
    </row>
    <row r="564" ht="67.5" spans="1:26">
      <c r="A564" s="212"/>
      <c r="B564" s="215" t="s">
        <v>2740</v>
      </c>
      <c r="C564" s="71" t="s">
        <v>320</v>
      </c>
      <c r="D564" s="71" t="s">
        <v>150</v>
      </c>
      <c r="E564" s="212">
        <v>1</v>
      </c>
      <c r="F564" s="212">
        <v>70</v>
      </c>
      <c r="G564" s="212">
        <v>222</v>
      </c>
      <c r="H564" s="212">
        <v>2018</v>
      </c>
      <c r="I564" s="212">
        <v>2020</v>
      </c>
      <c r="J564" s="212"/>
      <c r="K564" s="212"/>
      <c r="L564" s="212"/>
      <c r="M564" s="212"/>
      <c r="N564" s="102"/>
      <c r="O564" s="102"/>
      <c r="P564" s="212"/>
      <c r="Q564" s="212"/>
      <c r="R564" s="212"/>
      <c r="S564" s="220" t="s">
        <v>2623</v>
      </c>
      <c r="T564" s="220" t="s">
        <v>2555</v>
      </c>
      <c r="U564" s="220" t="s">
        <v>2738</v>
      </c>
      <c r="V564" s="113"/>
      <c r="W564" s="113"/>
      <c r="X564" s="113"/>
      <c r="Y564" s="113"/>
      <c r="Z564" s="244" t="s">
        <v>2731</v>
      </c>
    </row>
    <row r="565" ht="67.5" spans="1:26">
      <c r="A565" s="212"/>
      <c r="B565" s="215" t="s">
        <v>2741</v>
      </c>
      <c r="C565" s="71" t="s">
        <v>320</v>
      </c>
      <c r="D565" s="71" t="s">
        <v>150</v>
      </c>
      <c r="E565" s="212">
        <v>1</v>
      </c>
      <c r="F565" s="71">
        <v>50</v>
      </c>
      <c r="G565" s="71">
        <v>161</v>
      </c>
      <c r="H565" s="212">
        <v>2018</v>
      </c>
      <c r="I565" s="212">
        <v>2020</v>
      </c>
      <c r="J565" s="212"/>
      <c r="K565" s="212"/>
      <c r="L565" s="212"/>
      <c r="M565" s="212"/>
      <c r="N565" s="102"/>
      <c r="O565" s="102"/>
      <c r="P565" s="212"/>
      <c r="Q565" s="212"/>
      <c r="R565" s="212"/>
      <c r="S565" s="220" t="s">
        <v>2530</v>
      </c>
      <c r="T565" s="220" t="s">
        <v>2639</v>
      </c>
      <c r="U565" s="220" t="s">
        <v>2738</v>
      </c>
      <c r="V565" s="113"/>
      <c r="W565" s="113"/>
      <c r="X565" s="113"/>
      <c r="Y565" s="113"/>
      <c r="Z565" s="244" t="s">
        <v>2731</v>
      </c>
    </row>
    <row r="566" ht="56.25" spans="1:26">
      <c r="A566" s="212"/>
      <c r="B566" s="215" t="s">
        <v>2742</v>
      </c>
      <c r="C566" s="71" t="s">
        <v>320</v>
      </c>
      <c r="D566" s="71" t="s">
        <v>150</v>
      </c>
      <c r="E566" s="212">
        <v>1</v>
      </c>
      <c r="F566" s="227">
        <v>46</v>
      </c>
      <c r="G566" s="71">
        <v>129</v>
      </c>
      <c r="H566" s="212">
        <v>2018</v>
      </c>
      <c r="I566" s="212">
        <v>2020</v>
      </c>
      <c r="J566" s="212"/>
      <c r="K566" s="212"/>
      <c r="L566" s="212"/>
      <c r="M566" s="212"/>
      <c r="N566" s="102"/>
      <c r="O566" s="102"/>
      <c r="P566" s="212"/>
      <c r="Q566" s="212"/>
      <c r="R566" s="212"/>
      <c r="S566" s="220" t="s">
        <v>2543</v>
      </c>
      <c r="T566" s="220" t="s">
        <v>2534</v>
      </c>
      <c r="U566" s="220" t="s">
        <v>2743</v>
      </c>
      <c r="V566" s="113"/>
      <c r="W566" s="113"/>
      <c r="X566" s="113"/>
      <c r="Y566" s="113"/>
      <c r="Z566" s="248" t="s">
        <v>2744</v>
      </c>
    </row>
    <row r="567" ht="25.5" customHeight="1" spans="1:26">
      <c r="A567" s="212">
        <v>80</v>
      </c>
      <c r="B567" s="71" t="s">
        <v>1059</v>
      </c>
      <c r="C567" s="71" t="s">
        <v>52</v>
      </c>
      <c r="D567" s="71" t="s">
        <v>150</v>
      </c>
      <c r="E567" s="212"/>
      <c r="F567" s="212"/>
      <c r="G567" s="212"/>
      <c r="H567" s="212"/>
      <c r="I567" s="212"/>
      <c r="J567" s="212"/>
      <c r="K567" s="212"/>
      <c r="L567" s="212"/>
      <c r="M567" s="212"/>
      <c r="N567" s="212"/>
      <c r="O567" s="212"/>
      <c r="P567" s="212"/>
      <c r="Q567" s="212"/>
      <c r="R567" s="212"/>
      <c r="S567" s="220"/>
      <c r="T567" s="220"/>
      <c r="U567" s="220" t="s">
        <v>43</v>
      </c>
      <c r="V567" s="113"/>
      <c r="W567" s="113"/>
      <c r="X567" s="113"/>
      <c r="Y567" s="113"/>
      <c r="Z567" s="113"/>
    </row>
    <row r="568" ht="30" customHeight="1" spans="1:26">
      <c r="A568" s="212">
        <v>81</v>
      </c>
      <c r="B568" s="71" t="s">
        <v>1060</v>
      </c>
      <c r="C568" s="71" t="s">
        <v>52</v>
      </c>
      <c r="D568" s="71" t="s">
        <v>202</v>
      </c>
      <c r="E568" s="212"/>
      <c r="F568" s="212"/>
      <c r="G568" s="212"/>
      <c r="H568" s="212"/>
      <c r="I568" s="212"/>
      <c r="J568" s="212"/>
      <c r="K568" s="212"/>
      <c r="L568" s="212"/>
      <c r="M568" s="212"/>
      <c r="N568" s="212"/>
      <c r="O568" s="212"/>
      <c r="P568" s="212"/>
      <c r="Q568" s="212"/>
      <c r="R568" s="212"/>
      <c r="S568" s="112"/>
      <c r="T568" s="112"/>
      <c r="U568" s="56"/>
      <c r="V568" s="113"/>
      <c r="W568" s="113"/>
      <c r="X568" s="113"/>
      <c r="Y568" s="113"/>
      <c r="Z568" s="113"/>
    </row>
    <row r="569" ht="18.95" customHeight="1" spans="1:26">
      <c r="A569" s="101"/>
      <c r="B569" s="139" t="s">
        <v>1534</v>
      </c>
      <c r="C569" s="139"/>
      <c r="D569" s="139"/>
      <c r="E569" s="101"/>
      <c r="F569" s="101"/>
      <c r="G569" s="101"/>
      <c r="H569" s="101"/>
      <c r="I569" s="101"/>
      <c r="J569" s="101"/>
      <c r="K569" s="101"/>
      <c r="L569" s="101"/>
      <c r="M569" s="101"/>
      <c r="N569" s="101"/>
      <c r="O569" s="101"/>
      <c r="P569" s="101"/>
      <c r="Q569" s="101"/>
      <c r="R569" s="101"/>
      <c r="S569" s="112"/>
      <c r="T569" s="112"/>
      <c r="U569" s="56"/>
      <c r="V569" s="113"/>
      <c r="W569" s="113"/>
      <c r="X569" s="113"/>
      <c r="Y569" s="113"/>
      <c r="Z569" s="113"/>
    </row>
  </sheetData>
  <mergeCells count="17">
    <mergeCell ref="A1:Z1"/>
    <mergeCell ref="A2:Z2"/>
    <mergeCell ref="A3:Z3"/>
    <mergeCell ref="F4:G4"/>
    <mergeCell ref="H4:I4"/>
    <mergeCell ref="J4:M4"/>
    <mergeCell ref="N4:R4"/>
    <mergeCell ref="AI384:AJ384"/>
    <mergeCell ref="AK384:AL384"/>
    <mergeCell ref="A4:A6"/>
    <mergeCell ref="B4:B6"/>
    <mergeCell ref="C4:C6"/>
    <mergeCell ref="D4:D5"/>
    <mergeCell ref="E4:E5"/>
    <mergeCell ref="U4:U5"/>
    <mergeCell ref="Z4:Z5"/>
    <mergeCell ref="S4:T5"/>
  </mergeCells>
  <dataValidations count="1">
    <dataValidation allowBlank="1" showInputMessage="1" showErrorMessage="1" sqref="A2:A3"/>
  </dataValidations>
  <printOptions horizontalCentered="1"/>
  <pageMargins left="0.2" right="0.2" top="0.309027777777778" bottom="0.388888888888889" header="0.2" footer="0.11875"/>
  <pageSetup paperSize="9" scale="89" orientation="landscape" blackAndWhite="1" verticalDpi="3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V386"/>
  <sheetViews>
    <sheetView view="pageBreakPreview" zoomScale="82" zoomScaleNormal="84" workbookViewId="0">
      <pane xSplit="4" ySplit="6" topLeftCell="E84" activePane="bottomRight" state="frozen"/>
      <selection/>
      <selection pane="topRight"/>
      <selection pane="bottomLeft"/>
      <selection pane="bottomRight" activeCell="M91" sqref="M91"/>
    </sheetView>
  </sheetViews>
  <sheetFormatPr defaultColWidth="10" defaultRowHeight="13.5"/>
  <cols>
    <col min="1" max="1" width="4.38333333333333" style="164" customWidth="1"/>
    <col min="2" max="2" width="19.25" style="164" customWidth="1"/>
    <col min="3" max="3" width="7.38333333333333" style="164" customWidth="1"/>
    <col min="4" max="4" width="5" style="164" customWidth="1"/>
    <col min="5" max="5" width="12.8833333333333" style="164" customWidth="1"/>
    <col min="6" max="6" width="10.8833333333333" style="164" customWidth="1"/>
    <col min="7" max="7" width="9.88333333333333" style="164" customWidth="1"/>
    <col min="8" max="8" width="10.5" style="165" customWidth="1"/>
    <col min="9" max="9" width="7" style="165" customWidth="1"/>
    <col min="10" max="10" width="12.25" style="166" customWidth="1"/>
    <col min="11" max="11" width="10" style="166" customWidth="1"/>
    <col min="12" max="12" width="14.3833333333333" style="166" customWidth="1"/>
    <col min="13" max="13" width="13.1333333333333" style="166" customWidth="1"/>
    <col min="14" max="14" width="10.6333333333333" style="166" customWidth="1"/>
    <col min="15" max="15" width="14.3833333333333" style="166" customWidth="1"/>
    <col min="16" max="16" width="10.6333333333333" style="166" customWidth="1"/>
    <col min="17" max="18" width="8.75" style="166" customWidth="1"/>
    <col min="19" max="21" width="6" style="164" customWidth="1"/>
    <col min="22" max="22" width="18.6333333333333" style="167" customWidth="1"/>
    <col min="23" max="16384" width="10" style="164"/>
  </cols>
  <sheetData>
    <row r="1" ht="14.1" customHeight="1" spans="1:21">
      <c r="A1" s="4" t="s">
        <v>0</v>
      </c>
      <c r="B1" s="4"/>
      <c r="C1" s="4"/>
      <c r="D1" s="4"/>
      <c r="E1" s="4"/>
      <c r="F1" s="4"/>
      <c r="G1" s="4"/>
      <c r="H1" s="168"/>
      <c r="I1" s="168"/>
      <c r="J1" s="179"/>
      <c r="K1" s="179"/>
      <c r="L1" s="179"/>
      <c r="M1" s="179"/>
      <c r="N1" s="179"/>
      <c r="O1" s="179"/>
      <c r="P1" s="179"/>
      <c r="Q1" s="179"/>
      <c r="R1" s="179"/>
      <c r="S1" s="4"/>
      <c r="T1" s="4"/>
      <c r="U1" s="4"/>
    </row>
    <row r="2" ht="29.1" customHeight="1" spans="1:22">
      <c r="A2" s="8" t="s">
        <v>2745</v>
      </c>
      <c r="B2" s="8"/>
      <c r="C2" s="8"/>
      <c r="D2" s="8"/>
      <c r="E2" s="8"/>
      <c r="F2" s="8"/>
      <c r="G2" s="8"/>
      <c r="H2" s="169"/>
      <c r="I2" s="169"/>
      <c r="J2" s="180"/>
      <c r="K2" s="180"/>
      <c r="L2" s="180"/>
      <c r="M2" s="180"/>
      <c r="N2" s="180"/>
      <c r="O2" s="180"/>
      <c r="P2" s="180"/>
      <c r="Q2" s="180"/>
      <c r="R2" s="180"/>
      <c r="S2" s="8"/>
      <c r="T2" s="8"/>
      <c r="U2" s="8"/>
      <c r="V2" s="189"/>
    </row>
    <row r="3" ht="29.1" customHeight="1" spans="1:22">
      <c r="A3" s="170"/>
      <c r="B3" s="170"/>
      <c r="C3" s="170"/>
      <c r="D3" s="170"/>
      <c r="E3" s="170"/>
      <c r="F3" s="170"/>
      <c r="G3" s="170"/>
      <c r="H3" s="171"/>
      <c r="I3" s="171"/>
      <c r="J3" s="170"/>
      <c r="K3" s="170"/>
      <c r="L3" s="170"/>
      <c r="M3" s="170"/>
      <c r="N3" s="170"/>
      <c r="O3" s="170"/>
      <c r="P3" s="170"/>
      <c r="Q3" s="170"/>
      <c r="R3" s="170"/>
      <c r="S3" s="170"/>
      <c r="T3" s="170"/>
      <c r="U3" s="170"/>
      <c r="V3" s="170"/>
    </row>
    <row r="4" s="161" customFormat="1" ht="36" customHeight="1" spans="1:22">
      <c r="A4" s="172" t="s">
        <v>2746</v>
      </c>
      <c r="B4" s="172"/>
      <c r="C4" s="172"/>
      <c r="D4" s="172"/>
      <c r="E4" s="172"/>
      <c r="F4" s="172"/>
      <c r="G4" s="172"/>
      <c r="H4" s="173"/>
      <c r="I4" s="173"/>
      <c r="J4" s="181"/>
      <c r="K4" s="181"/>
      <c r="L4" s="181"/>
      <c r="M4" s="181"/>
      <c r="N4" s="181"/>
      <c r="O4" s="181"/>
      <c r="P4" s="181"/>
      <c r="Q4" s="181"/>
      <c r="R4" s="181"/>
      <c r="S4" s="172"/>
      <c r="T4" s="172"/>
      <c r="U4" s="172"/>
      <c r="V4" s="190"/>
    </row>
    <row r="5" s="161" customFormat="1" ht="27.95" customHeight="1" spans="1:22">
      <c r="A5" s="56" t="s">
        <v>3</v>
      </c>
      <c r="B5" s="56" t="s">
        <v>4</v>
      </c>
      <c r="C5" s="56" t="s">
        <v>1066</v>
      </c>
      <c r="D5" s="56" t="s">
        <v>6</v>
      </c>
      <c r="E5" s="174" t="s">
        <v>736</v>
      </c>
      <c r="F5" s="56" t="s">
        <v>2747</v>
      </c>
      <c r="G5" s="56"/>
      <c r="H5" s="175" t="s">
        <v>11</v>
      </c>
      <c r="I5" s="175"/>
      <c r="J5" s="182" t="s">
        <v>12</v>
      </c>
      <c r="K5" s="182"/>
      <c r="L5" s="182"/>
      <c r="M5" s="182"/>
      <c r="N5" s="183" t="s">
        <v>13</v>
      </c>
      <c r="O5" s="184"/>
      <c r="P5" s="184"/>
      <c r="Q5" s="184"/>
      <c r="R5" s="191"/>
      <c r="S5" s="118" t="s">
        <v>18</v>
      </c>
      <c r="T5" s="118"/>
      <c r="U5" s="118" t="s">
        <v>19</v>
      </c>
      <c r="V5" s="71" t="s">
        <v>20</v>
      </c>
    </row>
    <row r="6" ht="30" customHeight="1" spans="1:22">
      <c r="A6" s="56"/>
      <c r="B6" s="56"/>
      <c r="C6" s="56"/>
      <c r="D6" s="56"/>
      <c r="E6" s="176"/>
      <c r="F6" s="56" t="s">
        <v>384</v>
      </c>
      <c r="G6" s="56" t="s">
        <v>147</v>
      </c>
      <c r="H6" s="175" t="s">
        <v>22</v>
      </c>
      <c r="I6" s="175" t="s">
        <v>23</v>
      </c>
      <c r="J6" s="185" t="s">
        <v>38</v>
      </c>
      <c r="K6" s="185" t="s">
        <v>591</v>
      </c>
      <c r="L6" s="185" t="s">
        <v>592</v>
      </c>
      <c r="M6" s="185" t="s">
        <v>593</v>
      </c>
      <c r="N6" s="56" t="s">
        <v>25</v>
      </c>
      <c r="O6" s="56" t="s">
        <v>26</v>
      </c>
      <c r="P6" s="56" t="s">
        <v>27</v>
      </c>
      <c r="Q6" s="56" t="s">
        <v>28</v>
      </c>
      <c r="R6" s="56" t="s">
        <v>29</v>
      </c>
      <c r="S6" s="118"/>
      <c r="T6" s="118"/>
      <c r="U6" s="118"/>
      <c r="V6" s="71"/>
    </row>
    <row r="7" ht="20.1" customHeight="1" spans="1:22">
      <c r="A7" s="56"/>
      <c r="B7" s="56"/>
      <c r="C7" s="56"/>
      <c r="D7" s="56">
        <v>1</v>
      </c>
      <c r="E7" s="56"/>
      <c r="F7" s="56">
        <v>3</v>
      </c>
      <c r="G7" s="56">
        <v>4</v>
      </c>
      <c r="H7" s="175">
        <v>5</v>
      </c>
      <c r="I7" s="175">
        <v>6</v>
      </c>
      <c r="J7" s="185" t="s">
        <v>740</v>
      </c>
      <c r="K7" s="186">
        <v>8</v>
      </c>
      <c r="L7" s="186">
        <v>9</v>
      </c>
      <c r="M7" s="186">
        <v>10</v>
      </c>
      <c r="N7" s="186">
        <v>11</v>
      </c>
      <c r="O7" s="186">
        <v>12</v>
      </c>
      <c r="P7" s="186">
        <v>13</v>
      </c>
      <c r="Q7" s="186">
        <v>14</v>
      </c>
      <c r="R7" s="186">
        <v>15</v>
      </c>
      <c r="S7" s="186">
        <v>16</v>
      </c>
      <c r="T7" s="186">
        <v>17</v>
      </c>
      <c r="U7" s="186">
        <v>18</v>
      </c>
      <c r="V7" s="71"/>
    </row>
    <row r="8" spans="1:22">
      <c r="A8" s="71">
        <v>0</v>
      </c>
      <c r="B8" s="71" t="s">
        <v>39</v>
      </c>
      <c r="C8" s="71" t="s">
        <v>320</v>
      </c>
      <c r="D8" s="71" t="s">
        <v>320</v>
      </c>
      <c r="E8" s="71"/>
      <c r="F8" s="71">
        <v>1043</v>
      </c>
      <c r="G8" s="71">
        <v>3881</v>
      </c>
      <c r="H8" s="56">
        <v>2018</v>
      </c>
      <c r="I8" s="56">
        <v>2020</v>
      </c>
      <c r="J8" s="187">
        <f t="shared" ref="J8:R8" si="0">J9+J43+J76+J112+J201+J260+J278+J306+J361</f>
        <v>9779.00784473</v>
      </c>
      <c r="K8" s="187">
        <f t="shared" si="0"/>
        <v>3515.867955</v>
      </c>
      <c r="L8" s="187">
        <f t="shared" si="0"/>
        <v>5114.2207253</v>
      </c>
      <c r="M8" s="187">
        <f t="shared" si="0"/>
        <v>1148.91916443</v>
      </c>
      <c r="N8" s="187">
        <f t="shared" si="0"/>
        <v>2422.06635873</v>
      </c>
      <c r="O8" s="187">
        <f t="shared" si="0"/>
        <v>6329.398086</v>
      </c>
      <c r="P8" s="187">
        <f t="shared" si="0"/>
        <v>964.0934</v>
      </c>
      <c r="Q8" s="187">
        <f t="shared" si="0"/>
        <v>63.45</v>
      </c>
      <c r="R8" s="187">
        <f t="shared" si="0"/>
        <v>0</v>
      </c>
      <c r="S8" s="71" t="s">
        <v>320</v>
      </c>
      <c r="T8" s="71" t="s">
        <v>320</v>
      </c>
      <c r="U8" s="71" t="s">
        <v>320</v>
      </c>
      <c r="V8" s="71"/>
    </row>
    <row r="9" s="162" customFormat="1" ht="12" spans="1:22">
      <c r="A9" s="141">
        <v>1</v>
      </c>
      <c r="B9" s="141" t="s">
        <v>742</v>
      </c>
      <c r="C9" s="141" t="s">
        <v>52</v>
      </c>
      <c r="D9" s="141" t="s">
        <v>384</v>
      </c>
      <c r="E9" s="141">
        <f t="shared" ref="E9:G9" si="1">E10+E14+E36</f>
        <v>1135</v>
      </c>
      <c r="F9" s="141">
        <f t="shared" si="1"/>
        <v>564</v>
      </c>
      <c r="G9" s="141">
        <f t="shared" si="1"/>
        <v>1963</v>
      </c>
      <c r="H9" s="141">
        <v>2018</v>
      </c>
      <c r="I9" s="141">
        <v>2019</v>
      </c>
      <c r="J9" s="188">
        <f t="shared" ref="J9:R9" si="2">J10+J14+J36</f>
        <v>2472</v>
      </c>
      <c r="K9" s="188">
        <f t="shared" si="2"/>
        <v>1659.6</v>
      </c>
      <c r="L9" s="188">
        <f t="shared" si="2"/>
        <v>812.4</v>
      </c>
      <c r="M9" s="188">
        <f t="shared" si="2"/>
        <v>0</v>
      </c>
      <c r="N9" s="188">
        <f t="shared" si="2"/>
        <v>195</v>
      </c>
      <c r="O9" s="188">
        <f t="shared" si="2"/>
        <v>1992.6</v>
      </c>
      <c r="P9" s="188">
        <f t="shared" si="2"/>
        <v>284.4</v>
      </c>
      <c r="Q9" s="188">
        <f t="shared" si="2"/>
        <v>0</v>
      </c>
      <c r="R9" s="188">
        <f t="shared" si="2"/>
        <v>0</v>
      </c>
      <c r="S9" s="141" t="s">
        <v>2748</v>
      </c>
      <c r="T9" s="141" t="s">
        <v>2749</v>
      </c>
      <c r="U9" s="141" t="s">
        <v>320</v>
      </c>
      <c r="V9" s="141" t="s">
        <v>41</v>
      </c>
    </row>
    <row r="10" s="162" customFormat="1" ht="29.1" customHeight="1" spans="1:22">
      <c r="A10" s="141">
        <v>2</v>
      </c>
      <c r="B10" s="141" t="s">
        <v>380</v>
      </c>
      <c r="C10" s="141" t="s">
        <v>52</v>
      </c>
      <c r="D10" s="141" t="s">
        <v>384</v>
      </c>
      <c r="E10" s="141">
        <f t="shared" ref="E10:G10" si="3">SUM(E11:E13)</f>
        <v>10</v>
      </c>
      <c r="F10" s="141">
        <f t="shared" si="3"/>
        <v>10</v>
      </c>
      <c r="G10" s="141">
        <f t="shared" si="3"/>
        <v>25</v>
      </c>
      <c r="H10" s="177">
        <v>2018</v>
      </c>
      <c r="I10" s="177" t="s">
        <v>2750</v>
      </c>
      <c r="J10" s="188">
        <f t="shared" ref="J10:N10" si="4">SUM(J11:J13)</f>
        <v>195</v>
      </c>
      <c r="K10" s="188">
        <f t="shared" si="4"/>
        <v>0</v>
      </c>
      <c r="L10" s="188">
        <f t="shared" si="4"/>
        <v>195</v>
      </c>
      <c r="M10" s="188">
        <f t="shared" si="4"/>
        <v>0</v>
      </c>
      <c r="N10" s="188">
        <f t="shared" si="4"/>
        <v>195</v>
      </c>
      <c r="O10" s="188"/>
      <c r="P10" s="188"/>
      <c r="Q10" s="188"/>
      <c r="R10" s="188"/>
      <c r="S10" s="146" t="s">
        <v>2751</v>
      </c>
      <c r="T10" s="146" t="s">
        <v>2752</v>
      </c>
      <c r="U10" s="146" t="s">
        <v>201</v>
      </c>
      <c r="V10" s="141" t="s">
        <v>2753</v>
      </c>
    </row>
    <row r="11" s="162" customFormat="1" ht="24" spans="1:22">
      <c r="A11" s="141"/>
      <c r="B11" s="141" t="s">
        <v>2754</v>
      </c>
      <c r="C11" s="141" t="s">
        <v>52</v>
      </c>
      <c r="D11" s="141" t="s">
        <v>384</v>
      </c>
      <c r="E11" s="141">
        <v>4</v>
      </c>
      <c r="F11" s="141">
        <v>4</v>
      </c>
      <c r="G11" s="141">
        <v>8</v>
      </c>
      <c r="H11" s="178"/>
      <c r="I11" s="178"/>
      <c r="J11" s="188">
        <f t="shared" ref="J11:J13" si="5">K11+L11+M11</f>
        <v>62.4</v>
      </c>
      <c r="K11" s="188"/>
      <c r="L11" s="188">
        <f t="shared" ref="L11:L13" si="6">G11*7.8</f>
        <v>62.4</v>
      </c>
      <c r="M11" s="188"/>
      <c r="N11" s="188">
        <f t="shared" ref="N11:N13" si="7">J11</f>
        <v>62.4</v>
      </c>
      <c r="O11" s="188"/>
      <c r="P11" s="188"/>
      <c r="Q11" s="188"/>
      <c r="R11" s="188"/>
      <c r="S11" s="146"/>
      <c r="T11" s="146"/>
      <c r="U11" s="146"/>
      <c r="V11" s="141" t="s">
        <v>2753</v>
      </c>
    </row>
    <row r="12" s="162" customFormat="1" ht="24" spans="1:22">
      <c r="A12" s="141"/>
      <c r="B12" s="141" t="s">
        <v>2755</v>
      </c>
      <c r="C12" s="141" t="s">
        <v>52</v>
      </c>
      <c r="D12" s="141" t="s">
        <v>384</v>
      </c>
      <c r="E12" s="141">
        <v>4</v>
      </c>
      <c r="F12" s="141">
        <v>4</v>
      </c>
      <c r="G12" s="141">
        <v>13</v>
      </c>
      <c r="H12" s="178"/>
      <c r="I12" s="178"/>
      <c r="J12" s="188">
        <f t="shared" si="5"/>
        <v>101.4</v>
      </c>
      <c r="K12" s="188"/>
      <c r="L12" s="188">
        <f t="shared" si="6"/>
        <v>101.4</v>
      </c>
      <c r="M12" s="188"/>
      <c r="N12" s="188">
        <f t="shared" si="7"/>
        <v>101.4</v>
      </c>
      <c r="O12" s="188"/>
      <c r="P12" s="188"/>
      <c r="Q12" s="188"/>
      <c r="R12" s="188"/>
      <c r="S12" s="146"/>
      <c r="T12" s="146"/>
      <c r="U12" s="146"/>
      <c r="V12" s="141" t="s">
        <v>2753</v>
      </c>
    </row>
    <row r="13" s="162" customFormat="1" ht="24" spans="1:22">
      <c r="A13" s="141"/>
      <c r="B13" s="141" t="s">
        <v>2756</v>
      </c>
      <c r="C13" s="141" t="s">
        <v>52</v>
      </c>
      <c r="D13" s="141" t="s">
        <v>384</v>
      </c>
      <c r="E13" s="141">
        <v>2</v>
      </c>
      <c r="F13" s="141">
        <v>2</v>
      </c>
      <c r="G13" s="141">
        <v>4</v>
      </c>
      <c r="H13" s="178"/>
      <c r="I13" s="178"/>
      <c r="J13" s="188">
        <f t="shared" si="5"/>
        <v>31.2</v>
      </c>
      <c r="K13" s="188"/>
      <c r="L13" s="188">
        <f t="shared" si="6"/>
        <v>31.2</v>
      </c>
      <c r="M13" s="188"/>
      <c r="N13" s="188">
        <f t="shared" si="7"/>
        <v>31.2</v>
      </c>
      <c r="O13" s="188"/>
      <c r="P13" s="188"/>
      <c r="Q13" s="188"/>
      <c r="R13" s="188"/>
      <c r="S13" s="146"/>
      <c r="T13" s="146"/>
      <c r="U13" s="146"/>
      <c r="V13" s="141" t="s">
        <v>2753</v>
      </c>
    </row>
    <row r="14" s="162" customFormat="1" ht="12" spans="1:22">
      <c r="A14" s="141">
        <v>3</v>
      </c>
      <c r="B14" s="141" t="s">
        <v>761</v>
      </c>
      <c r="C14" s="141" t="s">
        <v>52</v>
      </c>
      <c r="D14" s="141" t="s">
        <v>384</v>
      </c>
      <c r="E14" s="141">
        <f t="shared" ref="E14:G14" si="8">E15+E22+E29</f>
        <v>967</v>
      </c>
      <c r="F14" s="141">
        <f t="shared" si="8"/>
        <v>554</v>
      </c>
      <c r="G14" s="141">
        <f t="shared" si="8"/>
        <v>1938</v>
      </c>
      <c r="H14" s="177">
        <v>2018</v>
      </c>
      <c r="I14" s="177" t="s">
        <v>2750</v>
      </c>
      <c r="J14" s="188">
        <f t="shared" ref="J14:R14" si="9">J15+J22+J29</f>
        <v>1992.6</v>
      </c>
      <c r="K14" s="188">
        <f t="shared" si="9"/>
        <v>1659.6</v>
      </c>
      <c r="L14" s="188">
        <f t="shared" si="9"/>
        <v>333</v>
      </c>
      <c r="M14" s="188">
        <f t="shared" si="9"/>
        <v>0</v>
      </c>
      <c r="N14" s="188">
        <f t="shared" si="9"/>
        <v>0</v>
      </c>
      <c r="O14" s="188">
        <f t="shared" si="9"/>
        <v>1992.6</v>
      </c>
      <c r="P14" s="188">
        <f t="shared" si="9"/>
        <v>0</v>
      </c>
      <c r="Q14" s="188">
        <f t="shared" si="9"/>
        <v>0</v>
      </c>
      <c r="R14" s="188">
        <f t="shared" si="9"/>
        <v>0</v>
      </c>
      <c r="S14" s="141" t="s">
        <v>2748</v>
      </c>
      <c r="T14" s="141" t="s">
        <v>2749</v>
      </c>
      <c r="U14" s="141" t="s">
        <v>320</v>
      </c>
      <c r="V14" s="141" t="s">
        <v>41</v>
      </c>
    </row>
    <row r="15" s="162" customFormat="1" ht="24" spans="1:22">
      <c r="A15" s="141">
        <v>4</v>
      </c>
      <c r="B15" s="141" t="s">
        <v>1072</v>
      </c>
      <c r="C15" s="141" t="s">
        <v>52</v>
      </c>
      <c r="D15" s="141" t="s">
        <v>384</v>
      </c>
      <c r="E15" s="141">
        <f t="shared" ref="E15:G15" si="10">SUM(E16:E21)</f>
        <v>111</v>
      </c>
      <c r="F15" s="141">
        <f t="shared" si="10"/>
        <v>83</v>
      </c>
      <c r="G15" s="141">
        <f t="shared" si="10"/>
        <v>301</v>
      </c>
      <c r="H15" s="177">
        <v>2018</v>
      </c>
      <c r="I15" s="177" t="s">
        <v>2750</v>
      </c>
      <c r="J15" s="188">
        <f>SUM(J16:J21)</f>
        <v>333</v>
      </c>
      <c r="K15" s="188">
        <f>SUM(K16:K21)</f>
        <v>0</v>
      </c>
      <c r="L15" s="188">
        <f t="shared" ref="L15:R15" si="11">SUM(L16:L21)</f>
        <v>333</v>
      </c>
      <c r="M15" s="188">
        <f t="shared" si="11"/>
        <v>0</v>
      </c>
      <c r="N15" s="188">
        <f t="shared" si="11"/>
        <v>0</v>
      </c>
      <c r="O15" s="188">
        <f t="shared" si="11"/>
        <v>333</v>
      </c>
      <c r="P15" s="188">
        <f t="shared" si="11"/>
        <v>0</v>
      </c>
      <c r="Q15" s="188">
        <f t="shared" si="11"/>
        <v>0</v>
      </c>
      <c r="R15" s="188">
        <f t="shared" si="11"/>
        <v>0</v>
      </c>
      <c r="S15" s="141" t="s">
        <v>2748</v>
      </c>
      <c r="T15" s="146" t="s">
        <v>2749</v>
      </c>
      <c r="U15" s="146" t="s">
        <v>273</v>
      </c>
      <c r="V15" s="141" t="s">
        <v>2757</v>
      </c>
    </row>
    <row r="16" s="162" customFormat="1" ht="24" spans="1:22">
      <c r="A16" s="141"/>
      <c r="B16" s="141" t="s">
        <v>2758</v>
      </c>
      <c r="C16" s="141" t="s">
        <v>52</v>
      </c>
      <c r="D16" s="141" t="s">
        <v>384</v>
      </c>
      <c r="E16" s="141">
        <v>48</v>
      </c>
      <c r="F16" s="141">
        <v>36</v>
      </c>
      <c r="G16" s="141">
        <v>124</v>
      </c>
      <c r="H16" s="141"/>
      <c r="I16" s="141"/>
      <c r="J16" s="188">
        <f t="shared" ref="J16:J21" si="12">K16+L16+M16</f>
        <v>144</v>
      </c>
      <c r="K16" s="188"/>
      <c r="L16" s="188">
        <v>144</v>
      </c>
      <c r="M16" s="188"/>
      <c r="N16" s="188"/>
      <c r="O16" s="188">
        <f t="shared" ref="O16:O21" si="13">J16</f>
        <v>144</v>
      </c>
      <c r="P16" s="188"/>
      <c r="Q16" s="188"/>
      <c r="R16" s="188"/>
      <c r="S16" s="146"/>
      <c r="T16" s="146"/>
      <c r="U16" s="146"/>
      <c r="V16" s="141" t="s">
        <v>2757</v>
      </c>
    </row>
    <row r="17" s="162" customFormat="1" ht="24" spans="1:22">
      <c r="A17" s="141"/>
      <c r="B17" s="141" t="s">
        <v>2754</v>
      </c>
      <c r="C17" s="141" t="s">
        <v>52</v>
      </c>
      <c r="D17" s="141" t="s">
        <v>384</v>
      </c>
      <c r="E17" s="141">
        <v>10</v>
      </c>
      <c r="F17" s="141">
        <v>9</v>
      </c>
      <c r="G17" s="141">
        <v>27</v>
      </c>
      <c r="H17" s="141"/>
      <c r="I17" s="141"/>
      <c r="J17" s="188">
        <f t="shared" si="12"/>
        <v>30</v>
      </c>
      <c r="K17" s="188"/>
      <c r="L17" s="188">
        <v>30</v>
      </c>
      <c r="M17" s="188"/>
      <c r="N17" s="188"/>
      <c r="O17" s="188">
        <f t="shared" si="13"/>
        <v>30</v>
      </c>
      <c r="P17" s="188"/>
      <c r="Q17" s="188"/>
      <c r="R17" s="188"/>
      <c r="S17" s="146"/>
      <c r="T17" s="146"/>
      <c r="U17" s="146"/>
      <c r="V17" s="141" t="s">
        <v>2757</v>
      </c>
    </row>
    <row r="18" s="162" customFormat="1" ht="24" spans="1:22">
      <c r="A18" s="141"/>
      <c r="B18" s="141" t="s">
        <v>2759</v>
      </c>
      <c r="C18" s="141" t="s">
        <v>52</v>
      </c>
      <c r="D18" s="141" t="s">
        <v>384</v>
      </c>
      <c r="E18" s="141">
        <v>1</v>
      </c>
      <c r="F18" s="141">
        <v>1</v>
      </c>
      <c r="G18" s="141">
        <v>4</v>
      </c>
      <c r="H18" s="141"/>
      <c r="I18" s="141"/>
      <c r="J18" s="188">
        <f t="shared" si="12"/>
        <v>3</v>
      </c>
      <c r="K18" s="188"/>
      <c r="L18" s="188">
        <v>3</v>
      </c>
      <c r="M18" s="188"/>
      <c r="N18" s="188"/>
      <c r="O18" s="188">
        <f t="shared" si="13"/>
        <v>3</v>
      </c>
      <c r="P18" s="188"/>
      <c r="Q18" s="188"/>
      <c r="R18" s="188"/>
      <c r="S18" s="146"/>
      <c r="T18" s="146"/>
      <c r="U18" s="146"/>
      <c r="V18" s="141" t="s">
        <v>2757</v>
      </c>
    </row>
    <row r="19" s="162" customFormat="1" ht="24" spans="1:22">
      <c r="A19" s="141"/>
      <c r="B19" s="141" t="s">
        <v>2760</v>
      </c>
      <c r="C19" s="141" t="s">
        <v>52</v>
      </c>
      <c r="D19" s="141" t="s">
        <v>384</v>
      </c>
      <c r="E19" s="141">
        <v>17</v>
      </c>
      <c r="F19" s="141">
        <v>9</v>
      </c>
      <c r="G19" s="141">
        <v>34</v>
      </c>
      <c r="H19" s="141"/>
      <c r="I19" s="141"/>
      <c r="J19" s="188">
        <f t="shared" si="12"/>
        <v>51</v>
      </c>
      <c r="K19" s="188"/>
      <c r="L19" s="188">
        <v>51</v>
      </c>
      <c r="M19" s="188"/>
      <c r="N19" s="188"/>
      <c r="O19" s="188">
        <f t="shared" si="13"/>
        <v>51</v>
      </c>
      <c r="P19" s="188"/>
      <c r="Q19" s="188"/>
      <c r="R19" s="188"/>
      <c r="S19" s="146"/>
      <c r="T19" s="146"/>
      <c r="U19" s="146"/>
      <c r="V19" s="141" t="s">
        <v>2757</v>
      </c>
    </row>
    <row r="20" s="162" customFormat="1" ht="24" spans="1:22">
      <c r="A20" s="141"/>
      <c r="B20" s="141" t="s">
        <v>2755</v>
      </c>
      <c r="C20" s="141" t="s">
        <v>52</v>
      </c>
      <c r="D20" s="141" t="s">
        <v>384</v>
      </c>
      <c r="E20" s="141">
        <v>25</v>
      </c>
      <c r="F20" s="141">
        <v>18</v>
      </c>
      <c r="G20" s="141">
        <v>67</v>
      </c>
      <c r="H20" s="141"/>
      <c r="I20" s="141"/>
      <c r="J20" s="188">
        <f t="shared" si="12"/>
        <v>75</v>
      </c>
      <c r="K20" s="188"/>
      <c r="L20" s="188">
        <v>75</v>
      </c>
      <c r="M20" s="188"/>
      <c r="N20" s="188"/>
      <c r="O20" s="188">
        <f t="shared" si="13"/>
        <v>75</v>
      </c>
      <c r="P20" s="188"/>
      <c r="Q20" s="188"/>
      <c r="R20" s="188"/>
      <c r="S20" s="146"/>
      <c r="T20" s="146"/>
      <c r="U20" s="146"/>
      <c r="V20" s="141" t="s">
        <v>2757</v>
      </c>
    </row>
    <row r="21" s="162" customFormat="1" ht="24" spans="1:22">
      <c r="A21" s="141"/>
      <c r="B21" s="141" t="s">
        <v>2756</v>
      </c>
      <c r="C21" s="141" t="s">
        <v>52</v>
      </c>
      <c r="D21" s="141" t="s">
        <v>384</v>
      </c>
      <c r="E21" s="141">
        <v>10</v>
      </c>
      <c r="F21" s="141">
        <v>10</v>
      </c>
      <c r="G21" s="141">
        <v>45</v>
      </c>
      <c r="H21" s="141"/>
      <c r="I21" s="141"/>
      <c r="J21" s="188">
        <f t="shared" si="12"/>
        <v>30</v>
      </c>
      <c r="K21" s="188"/>
      <c r="L21" s="188">
        <v>30</v>
      </c>
      <c r="M21" s="188"/>
      <c r="N21" s="188"/>
      <c r="O21" s="188">
        <f t="shared" si="13"/>
        <v>30</v>
      </c>
      <c r="P21" s="188"/>
      <c r="Q21" s="188"/>
      <c r="R21" s="188"/>
      <c r="S21" s="146"/>
      <c r="T21" s="146"/>
      <c r="U21" s="146"/>
      <c r="V21" s="141" t="s">
        <v>2757</v>
      </c>
    </row>
    <row r="22" s="162" customFormat="1" ht="24" spans="1:22">
      <c r="A22" s="141">
        <v>5</v>
      </c>
      <c r="B22" s="141" t="s">
        <v>1074</v>
      </c>
      <c r="C22" s="141" t="s">
        <v>52</v>
      </c>
      <c r="D22" s="141" t="s">
        <v>384</v>
      </c>
      <c r="E22" s="141">
        <f t="shared" ref="E22:G22" si="14">SUM(E23:E28)</f>
        <v>802</v>
      </c>
      <c r="F22" s="141">
        <f t="shared" si="14"/>
        <v>444</v>
      </c>
      <c r="G22" s="141">
        <f t="shared" si="14"/>
        <v>1588</v>
      </c>
      <c r="H22" s="177">
        <v>2018</v>
      </c>
      <c r="I22" s="177" t="s">
        <v>2592</v>
      </c>
      <c r="J22" s="188">
        <f t="shared" ref="J22:R22" si="15">SUM(J23:J28)</f>
        <v>1443.6</v>
      </c>
      <c r="K22" s="188">
        <f t="shared" si="15"/>
        <v>1443.6</v>
      </c>
      <c r="L22" s="188">
        <f t="shared" si="15"/>
        <v>0</v>
      </c>
      <c r="M22" s="188">
        <f t="shared" si="15"/>
        <v>0</v>
      </c>
      <c r="N22" s="188">
        <f t="shared" si="15"/>
        <v>0</v>
      </c>
      <c r="O22" s="188">
        <f t="shared" si="15"/>
        <v>1443.6</v>
      </c>
      <c r="P22" s="188">
        <f t="shared" si="15"/>
        <v>0</v>
      </c>
      <c r="Q22" s="188">
        <f t="shared" si="15"/>
        <v>0</v>
      </c>
      <c r="R22" s="188">
        <f t="shared" si="15"/>
        <v>0</v>
      </c>
      <c r="S22" s="141" t="s">
        <v>2748</v>
      </c>
      <c r="T22" s="146" t="s">
        <v>2749</v>
      </c>
      <c r="U22" s="146" t="s">
        <v>273</v>
      </c>
      <c r="V22" s="141" t="s">
        <v>2761</v>
      </c>
    </row>
    <row r="23" s="162" customFormat="1" ht="24" spans="1:22">
      <c r="A23" s="141"/>
      <c r="B23" s="141" t="s">
        <v>2758</v>
      </c>
      <c r="C23" s="141" t="s">
        <v>52</v>
      </c>
      <c r="D23" s="141" t="s">
        <v>384</v>
      </c>
      <c r="E23" s="141">
        <v>87</v>
      </c>
      <c r="F23" s="141">
        <v>55</v>
      </c>
      <c r="G23" s="141">
        <v>196</v>
      </c>
      <c r="H23" s="141"/>
      <c r="I23" s="141"/>
      <c r="J23" s="188">
        <f t="shared" ref="J23:J28" si="16">SUM(K23:M23)</f>
        <v>156.6</v>
      </c>
      <c r="K23" s="188">
        <f t="shared" ref="K23:K28" si="17">E23*1.8</f>
        <v>156.6</v>
      </c>
      <c r="L23" s="188"/>
      <c r="M23" s="188"/>
      <c r="N23" s="188"/>
      <c r="O23" s="188">
        <f t="shared" ref="O23:O28" si="18">J23</f>
        <v>156.6</v>
      </c>
      <c r="P23" s="188"/>
      <c r="Q23" s="188"/>
      <c r="R23" s="188"/>
      <c r="S23" s="146"/>
      <c r="T23" s="146"/>
      <c r="U23" s="146"/>
      <c r="V23" s="141" t="s">
        <v>2761</v>
      </c>
    </row>
    <row r="24" s="162" customFormat="1" ht="24" spans="1:22">
      <c r="A24" s="141"/>
      <c r="B24" s="141" t="s">
        <v>2754</v>
      </c>
      <c r="C24" s="141" t="s">
        <v>52</v>
      </c>
      <c r="D24" s="141" t="s">
        <v>384</v>
      </c>
      <c r="E24" s="141">
        <v>209</v>
      </c>
      <c r="F24" s="141">
        <v>101</v>
      </c>
      <c r="G24" s="141">
        <v>382</v>
      </c>
      <c r="H24" s="141"/>
      <c r="I24" s="141"/>
      <c r="J24" s="188">
        <f t="shared" si="16"/>
        <v>376.2</v>
      </c>
      <c r="K24" s="188">
        <f t="shared" si="17"/>
        <v>376.2</v>
      </c>
      <c r="L24" s="188"/>
      <c r="M24" s="188"/>
      <c r="N24" s="188"/>
      <c r="O24" s="188">
        <f t="shared" si="18"/>
        <v>376.2</v>
      </c>
      <c r="P24" s="188"/>
      <c r="Q24" s="188"/>
      <c r="R24" s="188"/>
      <c r="S24" s="146"/>
      <c r="T24" s="146"/>
      <c r="U24" s="146"/>
      <c r="V24" s="141" t="s">
        <v>2761</v>
      </c>
    </row>
    <row r="25" s="162" customFormat="1" ht="24" spans="1:22">
      <c r="A25" s="141"/>
      <c r="B25" s="141" t="s">
        <v>2759</v>
      </c>
      <c r="C25" s="141" t="s">
        <v>52</v>
      </c>
      <c r="D25" s="141" t="s">
        <v>384</v>
      </c>
      <c r="E25" s="141">
        <v>30</v>
      </c>
      <c r="F25" s="141">
        <v>12</v>
      </c>
      <c r="G25" s="141">
        <v>41</v>
      </c>
      <c r="H25" s="141"/>
      <c r="I25" s="141"/>
      <c r="J25" s="188">
        <f t="shared" si="16"/>
        <v>54</v>
      </c>
      <c r="K25" s="188">
        <f t="shared" si="17"/>
        <v>54</v>
      </c>
      <c r="L25" s="188"/>
      <c r="M25" s="188"/>
      <c r="N25" s="188"/>
      <c r="O25" s="188">
        <f t="shared" si="18"/>
        <v>54</v>
      </c>
      <c r="P25" s="188"/>
      <c r="Q25" s="188"/>
      <c r="R25" s="188"/>
      <c r="S25" s="146"/>
      <c r="T25" s="146"/>
      <c r="U25" s="146"/>
      <c r="V25" s="141" t="s">
        <v>2761</v>
      </c>
    </row>
    <row r="26" s="162" customFormat="1" ht="24" spans="1:22">
      <c r="A26" s="141"/>
      <c r="B26" s="141" t="s">
        <v>2760</v>
      </c>
      <c r="C26" s="141" t="s">
        <v>52</v>
      </c>
      <c r="D26" s="141" t="s">
        <v>384</v>
      </c>
      <c r="E26" s="141">
        <v>105</v>
      </c>
      <c r="F26" s="141">
        <v>50</v>
      </c>
      <c r="G26" s="141">
        <v>187</v>
      </c>
      <c r="H26" s="141"/>
      <c r="I26" s="141"/>
      <c r="J26" s="188">
        <f t="shared" si="16"/>
        <v>189</v>
      </c>
      <c r="K26" s="188">
        <f t="shared" si="17"/>
        <v>189</v>
      </c>
      <c r="L26" s="188"/>
      <c r="M26" s="188"/>
      <c r="N26" s="188"/>
      <c r="O26" s="188">
        <f t="shared" si="18"/>
        <v>189</v>
      </c>
      <c r="P26" s="188"/>
      <c r="Q26" s="188"/>
      <c r="R26" s="188"/>
      <c r="S26" s="146"/>
      <c r="T26" s="146"/>
      <c r="U26" s="146"/>
      <c r="V26" s="141" t="s">
        <v>2761</v>
      </c>
    </row>
    <row r="27" s="162" customFormat="1" ht="24" spans="1:22">
      <c r="A27" s="141"/>
      <c r="B27" s="141" t="s">
        <v>2755</v>
      </c>
      <c r="C27" s="141" t="s">
        <v>52</v>
      </c>
      <c r="D27" s="141" t="s">
        <v>384</v>
      </c>
      <c r="E27" s="141">
        <v>166</v>
      </c>
      <c r="F27" s="141">
        <v>101</v>
      </c>
      <c r="G27" s="141">
        <v>351</v>
      </c>
      <c r="H27" s="141"/>
      <c r="I27" s="141"/>
      <c r="J27" s="188">
        <f t="shared" si="16"/>
        <v>298.8</v>
      </c>
      <c r="K27" s="188">
        <f t="shared" si="17"/>
        <v>298.8</v>
      </c>
      <c r="L27" s="188"/>
      <c r="M27" s="188"/>
      <c r="N27" s="188"/>
      <c r="O27" s="188">
        <f t="shared" si="18"/>
        <v>298.8</v>
      </c>
      <c r="P27" s="188"/>
      <c r="Q27" s="188"/>
      <c r="R27" s="188"/>
      <c r="S27" s="146"/>
      <c r="T27" s="146"/>
      <c r="U27" s="146"/>
      <c r="V27" s="141" t="s">
        <v>2761</v>
      </c>
    </row>
    <row r="28" s="162" customFormat="1" ht="24" spans="1:22">
      <c r="A28" s="141"/>
      <c r="B28" s="141" t="s">
        <v>2756</v>
      </c>
      <c r="C28" s="141" t="s">
        <v>52</v>
      </c>
      <c r="D28" s="141" t="s">
        <v>384</v>
      </c>
      <c r="E28" s="141">
        <v>205</v>
      </c>
      <c r="F28" s="141">
        <v>125</v>
      </c>
      <c r="G28" s="141">
        <v>431</v>
      </c>
      <c r="H28" s="141"/>
      <c r="I28" s="141"/>
      <c r="J28" s="188">
        <f t="shared" si="16"/>
        <v>369</v>
      </c>
      <c r="K28" s="188">
        <f t="shared" si="17"/>
        <v>369</v>
      </c>
      <c r="L28" s="188"/>
      <c r="M28" s="188"/>
      <c r="N28" s="188"/>
      <c r="O28" s="188">
        <f t="shared" si="18"/>
        <v>369</v>
      </c>
      <c r="P28" s="188"/>
      <c r="Q28" s="188"/>
      <c r="R28" s="188"/>
      <c r="S28" s="146"/>
      <c r="T28" s="146"/>
      <c r="U28" s="146"/>
      <c r="V28" s="141" t="s">
        <v>2761</v>
      </c>
    </row>
    <row r="29" s="162" customFormat="1" ht="24" spans="1:22">
      <c r="A29" s="141">
        <v>6</v>
      </c>
      <c r="B29" s="141" t="s">
        <v>1075</v>
      </c>
      <c r="C29" s="141" t="s">
        <v>52</v>
      </c>
      <c r="D29" s="141" t="s">
        <v>384</v>
      </c>
      <c r="E29" s="141">
        <f t="shared" ref="E29:G29" si="19">SUM(E30:E35)</f>
        <v>54</v>
      </c>
      <c r="F29" s="141">
        <f t="shared" si="19"/>
        <v>27</v>
      </c>
      <c r="G29" s="141">
        <f t="shared" si="19"/>
        <v>49</v>
      </c>
      <c r="H29" s="177">
        <v>2018</v>
      </c>
      <c r="I29" s="177" t="s">
        <v>2592</v>
      </c>
      <c r="J29" s="188">
        <f t="shared" ref="J29:R29" si="20">SUM(J30:J35)</f>
        <v>216</v>
      </c>
      <c r="K29" s="188">
        <f t="shared" si="20"/>
        <v>216</v>
      </c>
      <c r="L29" s="188">
        <f t="shared" si="20"/>
        <v>0</v>
      </c>
      <c r="M29" s="188">
        <f t="shared" si="20"/>
        <v>0</v>
      </c>
      <c r="N29" s="188">
        <f t="shared" si="20"/>
        <v>0</v>
      </c>
      <c r="O29" s="188">
        <f t="shared" si="20"/>
        <v>216</v>
      </c>
      <c r="P29" s="188">
        <f t="shared" si="20"/>
        <v>0</v>
      </c>
      <c r="Q29" s="188">
        <f t="shared" si="20"/>
        <v>0</v>
      </c>
      <c r="R29" s="188">
        <f t="shared" si="20"/>
        <v>0</v>
      </c>
      <c r="S29" s="141" t="s">
        <v>2748</v>
      </c>
      <c r="T29" s="146" t="s">
        <v>2749</v>
      </c>
      <c r="U29" s="146" t="s">
        <v>273</v>
      </c>
      <c r="V29" s="141" t="s">
        <v>2762</v>
      </c>
    </row>
    <row r="30" s="162" customFormat="1" ht="24" spans="1:22">
      <c r="A30" s="141"/>
      <c r="B30" s="141" t="s">
        <v>2758</v>
      </c>
      <c r="C30" s="141" t="s">
        <v>52</v>
      </c>
      <c r="D30" s="141" t="s">
        <v>384</v>
      </c>
      <c r="E30" s="141">
        <v>9</v>
      </c>
      <c r="F30" s="141">
        <v>7</v>
      </c>
      <c r="G30" s="141">
        <v>13</v>
      </c>
      <c r="H30" s="141"/>
      <c r="I30" s="141"/>
      <c r="J30" s="188">
        <f t="shared" ref="J30:J35" si="21">K30+L30+M30</f>
        <v>36</v>
      </c>
      <c r="K30" s="188">
        <f t="shared" ref="K30:K35" si="22">E30*4</f>
        <v>36</v>
      </c>
      <c r="L30" s="188"/>
      <c r="M30" s="188"/>
      <c r="N30" s="188"/>
      <c r="O30" s="188">
        <f t="shared" ref="O30:O35" si="23">J30</f>
        <v>36</v>
      </c>
      <c r="P30" s="188"/>
      <c r="Q30" s="188"/>
      <c r="R30" s="188"/>
      <c r="S30" s="146"/>
      <c r="T30" s="146"/>
      <c r="U30" s="146"/>
      <c r="V30" s="141" t="s">
        <v>2762</v>
      </c>
    </row>
    <row r="31" s="162" customFormat="1" ht="24" spans="1:22">
      <c r="A31" s="141"/>
      <c r="B31" s="141" t="s">
        <v>2754</v>
      </c>
      <c r="C31" s="141" t="s">
        <v>52</v>
      </c>
      <c r="D31" s="141" t="s">
        <v>384</v>
      </c>
      <c r="E31" s="141">
        <v>3</v>
      </c>
      <c r="F31" s="141">
        <v>0</v>
      </c>
      <c r="G31" s="141">
        <v>0</v>
      </c>
      <c r="H31" s="141"/>
      <c r="I31" s="141"/>
      <c r="J31" s="188">
        <f t="shared" si="21"/>
        <v>12</v>
      </c>
      <c r="K31" s="188">
        <f t="shared" si="22"/>
        <v>12</v>
      </c>
      <c r="L31" s="188"/>
      <c r="M31" s="188"/>
      <c r="N31" s="188"/>
      <c r="O31" s="188">
        <f t="shared" si="23"/>
        <v>12</v>
      </c>
      <c r="P31" s="188"/>
      <c r="Q31" s="188"/>
      <c r="R31" s="188"/>
      <c r="S31" s="146"/>
      <c r="T31" s="146"/>
      <c r="U31" s="146"/>
      <c r="V31" s="141" t="s">
        <v>2762</v>
      </c>
    </row>
    <row r="32" s="162" customFormat="1" ht="24" spans="1:22">
      <c r="A32" s="141"/>
      <c r="B32" s="141" t="s">
        <v>2759</v>
      </c>
      <c r="C32" s="141" t="s">
        <v>52</v>
      </c>
      <c r="D32" s="141" t="s">
        <v>384</v>
      </c>
      <c r="E32" s="141">
        <v>15</v>
      </c>
      <c r="F32" s="141">
        <v>5</v>
      </c>
      <c r="G32" s="141">
        <v>9</v>
      </c>
      <c r="H32" s="141"/>
      <c r="I32" s="141"/>
      <c r="J32" s="188">
        <f t="shared" si="21"/>
        <v>60</v>
      </c>
      <c r="K32" s="188">
        <f t="shared" si="22"/>
        <v>60</v>
      </c>
      <c r="L32" s="188"/>
      <c r="M32" s="188"/>
      <c r="N32" s="188"/>
      <c r="O32" s="188">
        <f t="shared" si="23"/>
        <v>60</v>
      </c>
      <c r="P32" s="188"/>
      <c r="Q32" s="188"/>
      <c r="R32" s="188"/>
      <c r="S32" s="146"/>
      <c r="T32" s="146"/>
      <c r="U32" s="146"/>
      <c r="V32" s="141" t="s">
        <v>2762</v>
      </c>
    </row>
    <row r="33" s="162" customFormat="1" ht="24" spans="1:22">
      <c r="A33" s="141"/>
      <c r="B33" s="141" t="s">
        <v>2760</v>
      </c>
      <c r="C33" s="141" t="s">
        <v>52</v>
      </c>
      <c r="D33" s="141" t="s">
        <v>384</v>
      </c>
      <c r="E33" s="141">
        <v>8</v>
      </c>
      <c r="F33" s="141">
        <v>6</v>
      </c>
      <c r="G33" s="141">
        <v>11</v>
      </c>
      <c r="H33" s="141"/>
      <c r="I33" s="141"/>
      <c r="J33" s="188">
        <f t="shared" si="21"/>
        <v>32</v>
      </c>
      <c r="K33" s="188">
        <f t="shared" si="22"/>
        <v>32</v>
      </c>
      <c r="L33" s="188"/>
      <c r="M33" s="188"/>
      <c r="N33" s="188"/>
      <c r="O33" s="188">
        <f t="shared" si="23"/>
        <v>32</v>
      </c>
      <c r="P33" s="188"/>
      <c r="Q33" s="188"/>
      <c r="R33" s="188"/>
      <c r="S33" s="146"/>
      <c r="T33" s="146"/>
      <c r="U33" s="146"/>
      <c r="V33" s="141" t="s">
        <v>2762</v>
      </c>
    </row>
    <row r="34" s="162" customFormat="1" ht="24" spans="1:22">
      <c r="A34" s="141"/>
      <c r="B34" s="141" t="s">
        <v>2755</v>
      </c>
      <c r="C34" s="141" t="s">
        <v>52</v>
      </c>
      <c r="D34" s="141" t="s">
        <v>384</v>
      </c>
      <c r="E34" s="141">
        <v>10</v>
      </c>
      <c r="F34" s="141">
        <v>4</v>
      </c>
      <c r="G34" s="141">
        <v>4</v>
      </c>
      <c r="H34" s="141"/>
      <c r="I34" s="141"/>
      <c r="J34" s="188">
        <f t="shared" si="21"/>
        <v>40</v>
      </c>
      <c r="K34" s="188">
        <f t="shared" si="22"/>
        <v>40</v>
      </c>
      <c r="L34" s="188"/>
      <c r="M34" s="188"/>
      <c r="N34" s="188"/>
      <c r="O34" s="188">
        <f t="shared" si="23"/>
        <v>40</v>
      </c>
      <c r="P34" s="188"/>
      <c r="Q34" s="188"/>
      <c r="R34" s="188"/>
      <c r="S34" s="146"/>
      <c r="T34" s="146"/>
      <c r="U34" s="146"/>
      <c r="V34" s="141" t="s">
        <v>2762</v>
      </c>
    </row>
    <row r="35" s="162" customFormat="1" ht="24" spans="1:22">
      <c r="A35" s="141"/>
      <c r="B35" s="141" t="s">
        <v>2756</v>
      </c>
      <c r="C35" s="141" t="s">
        <v>52</v>
      </c>
      <c r="D35" s="141" t="s">
        <v>384</v>
      </c>
      <c r="E35" s="141">
        <v>9</v>
      </c>
      <c r="F35" s="141">
        <v>5</v>
      </c>
      <c r="G35" s="141">
        <v>12</v>
      </c>
      <c r="H35" s="141"/>
      <c r="I35" s="141"/>
      <c r="J35" s="188">
        <f t="shared" si="21"/>
        <v>36</v>
      </c>
      <c r="K35" s="188">
        <f t="shared" si="22"/>
        <v>36</v>
      </c>
      <c r="L35" s="188"/>
      <c r="M35" s="188"/>
      <c r="N35" s="188"/>
      <c r="O35" s="188">
        <f t="shared" si="23"/>
        <v>36</v>
      </c>
      <c r="P35" s="188"/>
      <c r="Q35" s="188"/>
      <c r="R35" s="188"/>
      <c r="S35" s="146"/>
      <c r="T35" s="146"/>
      <c r="U35" s="146"/>
      <c r="V35" s="141" t="s">
        <v>2762</v>
      </c>
    </row>
    <row r="36" s="162" customFormat="1" ht="24" spans="1:22">
      <c r="A36" s="141">
        <v>7</v>
      </c>
      <c r="B36" s="141" t="s">
        <v>1076</v>
      </c>
      <c r="C36" s="141" t="s">
        <v>52</v>
      </c>
      <c r="D36" s="141" t="s">
        <v>384</v>
      </c>
      <c r="E36" s="141">
        <f t="shared" ref="E36:G36" si="24">SUM(E37:E42)</f>
        <v>158</v>
      </c>
      <c r="F36" s="141">
        <f t="shared" si="24"/>
        <v>0</v>
      </c>
      <c r="G36" s="141">
        <f t="shared" si="24"/>
        <v>0</v>
      </c>
      <c r="H36" s="177">
        <v>2018</v>
      </c>
      <c r="I36" s="177" t="s">
        <v>2592</v>
      </c>
      <c r="J36" s="188">
        <f>SUM(J37:J42)</f>
        <v>284.4</v>
      </c>
      <c r="K36" s="188">
        <f>SUM(K37:K42)</f>
        <v>0</v>
      </c>
      <c r="L36" s="188">
        <f t="shared" ref="L36:R36" si="25">SUM(L37:L42)</f>
        <v>284.4</v>
      </c>
      <c r="M36" s="188">
        <f t="shared" si="25"/>
        <v>0</v>
      </c>
      <c r="N36" s="188">
        <f t="shared" si="25"/>
        <v>0</v>
      </c>
      <c r="O36" s="188">
        <f t="shared" si="25"/>
        <v>0</v>
      </c>
      <c r="P36" s="188">
        <f t="shared" si="25"/>
        <v>284.4</v>
      </c>
      <c r="Q36" s="188">
        <f t="shared" si="25"/>
        <v>0</v>
      </c>
      <c r="R36" s="188">
        <f t="shared" si="25"/>
        <v>0</v>
      </c>
      <c r="S36" s="141" t="s">
        <v>2748</v>
      </c>
      <c r="T36" s="141" t="s">
        <v>2749</v>
      </c>
      <c r="U36" s="146" t="s">
        <v>273</v>
      </c>
      <c r="V36" s="141" t="s">
        <v>2761</v>
      </c>
    </row>
    <row r="37" s="162" customFormat="1" ht="24" spans="1:22">
      <c r="A37" s="141"/>
      <c r="B37" s="141" t="s">
        <v>2758</v>
      </c>
      <c r="C37" s="141" t="s">
        <v>52</v>
      </c>
      <c r="D37" s="141" t="s">
        <v>384</v>
      </c>
      <c r="E37" s="141">
        <v>21</v>
      </c>
      <c r="F37" s="141">
        <v>0</v>
      </c>
      <c r="G37" s="141">
        <v>0</v>
      </c>
      <c r="H37" s="141"/>
      <c r="I37" s="141"/>
      <c r="J37" s="188">
        <f t="shared" ref="J37:J42" si="26">K37+L37+M37</f>
        <v>37.8</v>
      </c>
      <c r="K37" s="188"/>
      <c r="L37" s="188">
        <v>37.8</v>
      </c>
      <c r="M37" s="188"/>
      <c r="N37" s="188"/>
      <c r="O37" s="188"/>
      <c r="P37" s="188">
        <f t="shared" ref="P37:P42" si="27">J37</f>
        <v>37.8</v>
      </c>
      <c r="Q37" s="188"/>
      <c r="R37" s="188"/>
      <c r="S37" s="146"/>
      <c r="T37" s="146"/>
      <c r="U37" s="146"/>
      <c r="V37" s="141" t="s">
        <v>2761</v>
      </c>
    </row>
    <row r="38" s="162" customFormat="1" ht="24" spans="1:22">
      <c r="A38" s="141"/>
      <c r="B38" s="141" t="s">
        <v>2754</v>
      </c>
      <c r="C38" s="141" t="s">
        <v>52</v>
      </c>
      <c r="D38" s="141" t="s">
        <v>384</v>
      </c>
      <c r="E38" s="141">
        <v>30</v>
      </c>
      <c r="F38" s="141">
        <v>0</v>
      </c>
      <c r="G38" s="141">
        <v>0</v>
      </c>
      <c r="H38" s="141"/>
      <c r="I38" s="141"/>
      <c r="J38" s="188">
        <f t="shared" si="26"/>
        <v>54</v>
      </c>
      <c r="K38" s="188"/>
      <c r="L38" s="188">
        <v>54</v>
      </c>
      <c r="M38" s="188"/>
      <c r="N38" s="188"/>
      <c r="O38" s="188"/>
      <c r="P38" s="188">
        <f t="shared" si="27"/>
        <v>54</v>
      </c>
      <c r="Q38" s="188"/>
      <c r="R38" s="188"/>
      <c r="S38" s="146"/>
      <c r="T38" s="146"/>
      <c r="U38" s="146"/>
      <c r="V38" s="141" t="s">
        <v>2761</v>
      </c>
    </row>
    <row r="39" s="162" customFormat="1" ht="24" spans="1:22">
      <c r="A39" s="141"/>
      <c r="B39" s="141" t="s">
        <v>2759</v>
      </c>
      <c r="C39" s="141" t="s">
        <v>52</v>
      </c>
      <c r="D39" s="141" t="s">
        <v>384</v>
      </c>
      <c r="E39" s="141">
        <v>33</v>
      </c>
      <c r="F39" s="141">
        <v>0</v>
      </c>
      <c r="G39" s="141">
        <v>0</v>
      </c>
      <c r="H39" s="141"/>
      <c r="I39" s="141"/>
      <c r="J39" s="188">
        <f t="shared" si="26"/>
        <v>59.4</v>
      </c>
      <c r="K39" s="188"/>
      <c r="L39" s="188">
        <v>59.4</v>
      </c>
      <c r="M39" s="188"/>
      <c r="N39" s="188"/>
      <c r="O39" s="188"/>
      <c r="P39" s="188">
        <f t="shared" si="27"/>
        <v>59.4</v>
      </c>
      <c r="Q39" s="188"/>
      <c r="R39" s="188"/>
      <c r="S39" s="146"/>
      <c r="T39" s="146"/>
      <c r="U39" s="146"/>
      <c r="V39" s="141" t="s">
        <v>2761</v>
      </c>
    </row>
    <row r="40" s="162" customFormat="1" ht="24" spans="1:22">
      <c r="A40" s="141"/>
      <c r="B40" s="141" t="s">
        <v>2760</v>
      </c>
      <c r="C40" s="141" t="s">
        <v>52</v>
      </c>
      <c r="D40" s="141" t="s">
        <v>384</v>
      </c>
      <c r="E40" s="141">
        <v>10</v>
      </c>
      <c r="F40" s="141">
        <v>0</v>
      </c>
      <c r="G40" s="141">
        <v>0</v>
      </c>
      <c r="H40" s="141"/>
      <c r="I40" s="141"/>
      <c r="J40" s="188">
        <f t="shared" si="26"/>
        <v>18</v>
      </c>
      <c r="K40" s="188"/>
      <c r="L40" s="188">
        <v>18</v>
      </c>
      <c r="M40" s="188"/>
      <c r="N40" s="188"/>
      <c r="O40" s="188"/>
      <c r="P40" s="188">
        <f t="shared" si="27"/>
        <v>18</v>
      </c>
      <c r="Q40" s="188"/>
      <c r="R40" s="188"/>
      <c r="S40" s="146"/>
      <c r="T40" s="146"/>
      <c r="U40" s="146"/>
      <c r="V40" s="141" t="s">
        <v>2761</v>
      </c>
    </row>
    <row r="41" s="162" customFormat="1" ht="24" spans="1:22">
      <c r="A41" s="141"/>
      <c r="B41" s="141" t="s">
        <v>2755</v>
      </c>
      <c r="C41" s="141" t="s">
        <v>52</v>
      </c>
      <c r="D41" s="141" t="s">
        <v>384</v>
      </c>
      <c r="E41" s="141">
        <v>18</v>
      </c>
      <c r="F41" s="141">
        <v>0</v>
      </c>
      <c r="G41" s="141">
        <v>0</v>
      </c>
      <c r="H41" s="141"/>
      <c r="I41" s="141"/>
      <c r="J41" s="188">
        <f t="shared" si="26"/>
        <v>32.4</v>
      </c>
      <c r="K41" s="188"/>
      <c r="L41" s="188">
        <v>32.4</v>
      </c>
      <c r="M41" s="188"/>
      <c r="N41" s="188"/>
      <c r="O41" s="188"/>
      <c r="P41" s="188">
        <f t="shared" si="27"/>
        <v>32.4</v>
      </c>
      <c r="Q41" s="188"/>
      <c r="R41" s="188"/>
      <c r="S41" s="146"/>
      <c r="T41" s="146"/>
      <c r="U41" s="146"/>
      <c r="V41" s="141" t="s">
        <v>2761</v>
      </c>
    </row>
    <row r="42" s="162" customFormat="1" ht="24" spans="1:22">
      <c r="A42" s="141"/>
      <c r="B42" s="141" t="s">
        <v>2756</v>
      </c>
      <c r="C42" s="141" t="s">
        <v>52</v>
      </c>
      <c r="D42" s="141" t="s">
        <v>384</v>
      </c>
      <c r="E42" s="141">
        <v>46</v>
      </c>
      <c r="F42" s="141">
        <v>0</v>
      </c>
      <c r="G42" s="141">
        <v>0</v>
      </c>
      <c r="H42" s="141"/>
      <c r="I42" s="141"/>
      <c r="J42" s="188">
        <f t="shared" si="26"/>
        <v>82.8</v>
      </c>
      <c r="K42" s="188"/>
      <c r="L42" s="188">
        <v>82.8</v>
      </c>
      <c r="M42" s="188"/>
      <c r="N42" s="188"/>
      <c r="O42" s="188"/>
      <c r="P42" s="188">
        <f t="shared" si="27"/>
        <v>82.8</v>
      </c>
      <c r="Q42" s="188"/>
      <c r="R42" s="188"/>
      <c r="S42" s="146"/>
      <c r="T42" s="146"/>
      <c r="U42" s="146"/>
      <c r="V42" s="141" t="s">
        <v>2761</v>
      </c>
    </row>
    <row r="43" s="162" customFormat="1" ht="12" spans="1:22">
      <c r="A43" s="141">
        <v>8</v>
      </c>
      <c r="B43" s="141" t="s">
        <v>779</v>
      </c>
      <c r="C43" s="141" t="s">
        <v>320</v>
      </c>
      <c r="D43" s="141" t="s">
        <v>320</v>
      </c>
      <c r="E43" s="141">
        <f t="shared" ref="E43:G43" si="28">E44+E47+E54+E61+E68+E75</f>
        <v>228</v>
      </c>
      <c r="F43" s="141">
        <f t="shared" si="28"/>
        <v>203</v>
      </c>
      <c r="G43" s="141">
        <f t="shared" si="28"/>
        <v>205</v>
      </c>
      <c r="H43" s="141"/>
      <c r="I43" s="141"/>
      <c r="J43" s="141">
        <f t="shared" ref="J43:R43" si="29">J44+J47+J54+J61+J68+J75</f>
        <v>306.675</v>
      </c>
      <c r="K43" s="141">
        <f t="shared" si="29"/>
        <v>102.225</v>
      </c>
      <c r="L43" s="141">
        <f t="shared" si="29"/>
        <v>102.225</v>
      </c>
      <c r="M43" s="141">
        <f t="shared" si="29"/>
        <v>102.225</v>
      </c>
      <c r="N43" s="141">
        <f t="shared" si="29"/>
        <v>140.25</v>
      </c>
      <c r="O43" s="141">
        <f t="shared" si="29"/>
        <v>89.1</v>
      </c>
      <c r="P43" s="141">
        <f t="shared" si="29"/>
        <v>77.325</v>
      </c>
      <c r="Q43" s="141">
        <f t="shared" si="29"/>
        <v>0</v>
      </c>
      <c r="R43" s="141">
        <f t="shared" si="29"/>
        <v>0</v>
      </c>
      <c r="S43" s="146" t="s">
        <v>2751</v>
      </c>
      <c r="T43" s="146" t="s">
        <v>2763</v>
      </c>
      <c r="U43" s="141" t="s">
        <v>294</v>
      </c>
      <c r="V43" s="141" t="s">
        <v>41</v>
      </c>
    </row>
    <row r="44" s="162" customFormat="1" ht="42" customHeight="1" spans="1:22">
      <c r="A44" s="141">
        <v>9</v>
      </c>
      <c r="B44" s="141" t="s">
        <v>2764</v>
      </c>
      <c r="C44" s="141" t="s">
        <v>320</v>
      </c>
      <c r="D44" s="141" t="s">
        <v>147</v>
      </c>
      <c r="E44" s="141"/>
      <c r="F44" s="141"/>
      <c r="G44" s="141"/>
      <c r="H44" s="141"/>
      <c r="I44" s="141"/>
      <c r="J44" s="188"/>
      <c r="K44" s="188"/>
      <c r="L44" s="188"/>
      <c r="M44" s="188"/>
      <c r="N44" s="188"/>
      <c r="O44" s="188"/>
      <c r="P44" s="188"/>
      <c r="Q44" s="188"/>
      <c r="R44" s="188"/>
      <c r="S44" s="146" t="s">
        <v>2751</v>
      </c>
      <c r="T44" s="146" t="s">
        <v>2763</v>
      </c>
      <c r="U44" s="146" t="s">
        <v>294</v>
      </c>
      <c r="V44" s="141" t="s">
        <v>41</v>
      </c>
    </row>
    <row r="45" s="162" customFormat="1" ht="17.1" customHeight="1" spans="1:22">
      <c r="A45" s="141"/>
      <c r="B45" s="141" t="s">
        <v>783</v>
      </c>
      <c r="C45" s="141" t="s">
        <v>320</v>
      </c>
      <c r="D45" s="141" t="s">
        <v>147</v>
      </c>
      <c r="E45" s="141"/>
      <c r="F45" s="141"/>
      <c r="G45" s="141"/>
      <c r="H45" s="141"/>
      <c r="I45" s="141"/>
      <c r="J45" s="188"/>
      <c r="K45" s="188"/>
      <c r="L45" s="188"/>
      <c r="M45" s="188"/>
      <c r="N45" s="188"/>
      <c r="O45" s="188"/>
      <c r="P45" s="188"/>
      <c r="Q45" s="188"/>
      <c r="R45" s="188"/>
      <c r="S45" s="141"/>
      <c r="T45" s="141"/>
      <c r="U45" s="146"/>
      <c r="V45" s="141" t="s">
        <v>41</v>
      </c>
    </row>
    <row r="46" s="162" customFormat="1" ht="17.1" customHeight="1" spans="1:22">
      <c r="A46" s="141"/>
      <c r="B46" s="141" t="s">
        <v>784</v>
      </c>
      <c r="C46" s="141" t="s">
        <v>320</v>
      </c>
      <c r="D46" s="141" t="s">
        <v>147</v>
      </c>
      <c r="E46" s="141"/>
      <c r="F46" s="141"/>
      <c r="G46" s="141"/>
      <c r="H46" s="141"/>
      <c r="I46" s="141"/>
      <c r="J46" s="188"/>
      <c r="K46" s="188"/>
      <c r="L46" s="188"/>
      <c r="M46" s="188"/>
      <c r="N46" s="188"/>
      <c r="O46" s="188"/>
      <c r="P46" s="188"/>
      <c r="Q46" s="188"/>
      <c r="R46" s="188"/>
      <c r="S46" s="141"/>
      <c r="T46" s="141"/>
      <c r="U46" s="146"/>
      <c r="V46" s="141" t="s">
        <v>41</v>
      </c>
    </row>
    <row r="47" s="162" customFormat="1" ht="48" spans="1:22">
      <c r="A47" s="141">
        <v>10</v>
      </c>
      <c r="B47" s="141" t="s">
        <v>319</v>
      </c>
      <c r="C47" s="141" t="s">
        <v>320</v>
      </c>
      <c r="D47" s="141" t="s">
        <v>147</v>
      </c>
      <c r="E47" s="141">
        <f t="shared" ref="E47:G47" si="30">SUM(E48:E53)</f>
        <v>35</v>
      </c>
      <c r="F47" s="141">
        <f t="shared" si="30"/>
        <v>14</v>
      </c>
      <c r="G47" s="141">
        <f t="shared" si="30"/>
        <v>14</v>
      </c>
      <c r="H47" s="177">
        <v>2018</v>
      </c>
      <c r="I47" s="177" t="s">
        <v>2593</v>
      </c>
      <c r="J47" s="188">
        <f t="shared" ref="J47:R47" si="31">SUM(J48:J53)</f>
        <v>13.125</v>
      </c>
      <c r="K47" s="188">
        <f t="shared" si="31"/>
        <v>4.375</v>
      </c>
      <c r="L47" s="188">
        <f t="shared" si="31"/>
        <v>4.375</v>
      </c>
      <c r="M47" s="188">
        <f t="shared" si="31"/>
        <v>4.375</v>
      </c>
      <c r="N47" s="188">
        <f t="shared" si="31"/>
        <v>0</v>
      </c>
      <c r="O47" s="188">
        <f t="shared" si="31"/>
        <v>0</v>
      </c>
      <c r="P47" s="188">
        <f t="shared" si="31"/>
        <v>13.125</v>
      </c>
      <c r="Q47" s="188">
        <f t="shared" si="31"/>
        <v>0</v>
      </c>
      <c r="R47" s="188">
        <f t="shared" si="31"/>
        <v>0</v>
      </c>
      <c r="S47" s="146" t="s">
        <v>2751</v>
      </c>
      <c r="T47" s="146" t="s">
        <v>2763</v>
      </c>
      <c r="U47" s="146" t="s">
        <v>294</v>
      </c>
      <c r="V47" s="141" t="s">
        <v>2765</v>
      </c>
    </row>
    <row r="48" s="162" customFormat="1" ht="15.95" customHeight="1" spans="1:22">
      <c r="A48" s="141"/>
      <c r="B48" s="141" t="s">
        <v>2758</v>
      </c>
      <c r="C48" s="141"/>
      <c r="D48" s="141" t="s">
        <v>147</v>
      </c>
      <c r="E48" s="141">
        <v>7</v>
      </c>
      <c r="F48" s="141">
        <v>1</v>
      </c>
      <c r="G48" s="141">
        <v>1</v>
      </c>
      <c r="H48" s="141"/>
      <c r="I48" s="141"/>
      <c r="J48" s="188">
        <f t="shared" ref="J48:J53" si="32">K48+L48+M48</f>
        <v>2.625</v>
      </c>
      <c r="K48" s="188">
        <f t="shared" ref="K48:K53" si="33">E48*1250/10000</f>
        <v>0.875</v>
      </c>
      <c r="L48" s="188">
        <f t="shared" ref="L48:L53" si="34">E48*1250/10000</f>
        <v>0.875</v>
      </c>
      <c r="M48" s="188">
        <f t="shared" ref="M48:M53" si="35">E48*1250/10000</f>
        <v>0.875</v>
      </c>
      <c r="N48" s="188"/>
      <c r="O48" s="188"/>
      <c r="P48" s="188">
        <f t="shared" ref="P48:P53" si="36">J48</f>
        <v>2.625</v>
      </c>
      <c r="Q48" s="188"/>
      <c r="R48" s="188"/>
      <c r="S48" s="141"/>
      <c r="T48" s="141"/>
      <c r="U48" s="146"/>
      <c r="V48" s="141"/>
    </row>
    <row r="49" s="162" customFormat="1" ht="15.95" customHeight="1" spans="1:22">
      <c r="A49" s="141"/>
      <c r="B49" s="141" t="s">
        <v>2754</v>
      </c>
      <c r="C49" s="141"/>
      <c r="D49" s="141" t="s">
        <v>147</v>
      </c>
      <c r="E49" s="141">
        <v>11</v>
      </c>
      <c r="F49" s="141">
        <v>6</v>
      </c>
      <c r="G49" s="141">
        <v>6</v>
      </c>
      <c r="H49" s="141"/>
      <c r="I49" s="141"/>
      <c r="J49" s="188">
        <f t="shared" si="32"/>
        <v>4.125</v>
      </c>
      <c r="K49" s="188">
        <f t="shared" si="33"/>
        <v>1.375</v>
      </c>
      <c r="L49" s="188">
        <f t="shared" si="34"/>
        <v>1.375</v>
      </c>
      <c r="M49" s="188">
        <f t="shared" si="35"/>
        <v>1.375</v>
      </c>
      <c r="N49" s="188"/>
      <c r="O49" s="188"/>
      <c r="P49" s="188">
        <f t="shared" si="36"/>
        <v>4.125</v>
      </c>
      <c r="Q49" s="188"/>
      <c r="R49" s="188"/>
      <c r="S49" s="141"/>
      <c r="T49" s="141"/>
      <c r="U49" s="146"/>
      <c r="V49" s="141"/>
    </row>
    <row r="50" s="162" customFormat="1" ht="15.95" customHeight="1" spans="1:22">
      <c r="A50" s="141"/>
      <c r="B50" s="141" t="s">
        <v>2759</v>
      </c>
      <c r="C50" s="141"/>
      <c r="D50" s="141" t="s">
        <v>147</v>
      </c>
      <c r="E50" s="141">
        <v>3</v>
      </c>
      <c r="F50" s="141"/>
      <c r="G50" s="141"/>
      <c r="H50" s="141"/>
      <c r="I50" s="141"/>
      <c r="J50" s="188">
        <f t="shared" si="32"/>
        <v>1.125</v>
      </c>
      <c r="K50" s="188">
        <f t="shared" si="33"/>
        <v>0.375</v>
      </c>
      <c r="L50" s="188">
        <f t="shared" si="34"/>
        <v>0.375</v>
      </c>
      <c r="M50" s="188">
        <f t="shared" si="35"/>
        <v>0.375</v>
      </c>
      <c r="N50" s="188"/>
      <c r="O50" s="188"/>
      <c r="P50" s="188">
        <f t="shared" si="36"/>
        <v>1.125</v>
      </c>
      <c r="Q50" s="188"/>
      <c r="R50" s="188"/>
      <c r="S50" s="141"/>
      <c r="T50" s="141"/>
      <c r="U50" s="146"/>
      <c r="V50" s="141"/>
    </row>
    <row r="51" s="162" customFormat="1" ht="15.95" customHeight="1" spans="1:22">
      <c r="A51" s="141"/>
      <c r="B51" s="141" t="s">
        <v>2760</v>
      </c>
      <c r="C51" s="141"/>
      <c r="D51" s="141" t="s">
        <v>147</v>
      </c>
      <c r="E51" s="141">
        <v>4</v>
      </c>
      <c r="F51" s="141">
        <v>1</v>
      </c>
      <c r="G51" s="141">
        <v>1</v>
      </c>
      <c r="H51" s="141"/>
      <c r="I51" s="141"/>
      <c r="J51" s="188">
        <f t="shared" si="32"/>
        <v>1.5</v>
      </c>
      <c r="K51" s="188">
        <f t="shared" si="33"/>
        <v>0.5</v>
      </c>
      <c r="L51" s="188">
        <f t="shared" si="34"/>
        <v>0.5</v>
      </c>
      <c r="M51" s="188">
        <f t="shared" si="35"/>
        <v>0.5</v>
      </c>
      <c r="N51" s="188"/>
      <c r="O51" s="188"/>
      <c r="P51" s="188">
        <f t="shared" si="36"/>
        <v>1.5</v>
      </c>
      <c r="Q51" s="188"/>
      <c r="R51" s="188"/>
      <c r="S51" s="141"/>
      <c r="T51" s="141"/>
      <c r="U51" s="146"/>
      <c r="V51" s="141"/>
    </row>
    <row r="52" s="162" customFormat="1" ht="15.95" customHeight="1" spans="1:22">
      <c r="A52" s="141"/>
      <c r="B52" s="141" t="s">
        <v>2755</v>
      </c>
      <c r="C52" s="141"/>
      <c r="D52" s="141" t="s">
        <v>147</v>
      </c>
      <c r="E52" s="141">
        <v>2</v>
      </c>
      <c r="F52" s="141">
        <v>1</v>
      </c>
      <c r="G52" s="141">
        <v>1</v>
      </c>
      <c r="H52" s="141"/>
      <c r="I52" s="141"/>
      <c r="J52" s="188">
        <f t="shared" si="32"/>
        <v>0.75</v>
      </c>
      <c r="K52" s="188">
        <f t="shared" si="33"/>
        <v>0.25</v>
      </c>
      <c r="L52" s="188">
        <f t="shared" si="34"/>
        <v>0.25</v>
      </c>
      <c r="M52" s="188">
        <f t="shared" si="35"/>
        <v>0.25</v>
      </c>
      <c r="N52" s="188"/>
      <c r="O52" s="188"/>
      <c r="P52" s="188">
        <f t="shared" si="36"/>
        <v>0.75</v>
      </c>
      <c r="Q52" s="188"/>
      <c r="R52" s="188"/>
      <c r="S52" s="141"/>
      <c r="T52" s="141"/>
      <c r="U52" s="146"/>
      <c r="V52" s="141"/>
    </row>
    <row r="53" s="162" customFormat="1" ht="15.95" customHeight="1" spans="1:22">
      <c r="A53" s="141"/>
      <c r="B53" s="141" t="s">
        <v>2756</v>
      </c>
      <c r="C53" s="141"/>
      <c r="D53" s="141" t="s">
        <v>147</v>
      </c>
      <c r="E53" s="141">
        <v>8</v>
      </c>
      <c r="F53" s="141">
        <v>5</v>
      </c>
      <c r="G53" s="141">
        <v>5</v>
      </c>
      <c r="H53" s="141"/>
      <c r="I53" s="141"/>
      <c r="J53" s="188">
        <f t="shared" si="32"/>
        <v>3</v>
      </c>
      <c r="K53" s="188">
        <f t="shared" si="33"/>
        <v>1</v>
      </c>
      <c r="L53" s="188">
        <f t="shared" si="34"/>
        <v>1</v>
      </c>
      <c r="M53" s="188">
        <f t="shared" si="35"/>
        <v>1</v>
      </c>
      <c r="N53" s="188"/>
      <c r="O53" s="188"/>
      <c r="P53" s="188">
        <f t="shared" si="36"/>
        <v>3</v>
      </c>
      <c r="Q53" s="188"/>
      <c r="R53" s="188"/>
      <c r="S53" s="141"/>
      <c r="T53" s="141"/>
      <c r="U53" s="146"/>
      <c r="V53" s="141"/>
    </row>
    <row r="54" s="162" customFormat="1" ht="60" spans="1:22">
      <c r="A54" s="141">
        <v>11</v>
      </c>
      <c r="B54" s="141" t="s">
        <v>321</v>
      </c>
      <c r="C54" s="141" t="s">
        <v>320</v>
      </c>
      <c r="D54" s="141" t="s">
        <v>147</v>
      </c>
      <c r="E54" s="141">
        <f t="shared" ref="E54:G54" si="37">SUM(E55:E60)</f>
        <v>60</v>
      </c>
      <c r="F54" s="141">
        <f t="shared" si="37"/>
        <v>59</v>
      </c>
      <c r="G54" s="141">
        <f t="shared" si="37"/>
        <v>60</v>
      </c>
      <c r="H54" s="177">
        <v>2018</v>
      </c>
      <c r="I54" s="177" t="s">
        <v>2593</v>
      </c>
      <c r="J54" s="188">
        <f t="shared" ref="J54:R54" si="38">SUM(J55:J60)</f>
        <v>99</v>
      </c>
      <c r="K54" s="188">
        <f t="shared" si="38"/>
        <v>33</v>
      </c>
      <c r="L54" s="188">
        <f t="shared" si="38"/>
        <v>33</v>
      </c>
      <c r="M54" s="188">
        <f t="shared" si="38"/>
        <v>33</v>
      </c>
      <c r="N54" s="188">
        <f t="shared" si="38"/>
        <v>76.5</v>
      </c>
      <c r="O54" s="188">
        <f t="shared" si="38"/>
        <v>0</v>
      </c>
      <c r="P54" s="188">
        <f t="shared" si="38"/>
        <v>22.5</v>
      </c>
      <c r="Q54" s="188">
        <f t="shared" si="38"/>
        <v>0</v>
      </c>
      <c r="R54" s="188">
        <f t="shared" si="38"/>
        <v>0</v>
      </c>
      <c r="S54" s="146" t="s">
        <v>2751</v>
      </c>
      <c r="T54" s="146" t="s">
        <v>2763</v>
      </c>
      <c r="U54" s="146" t="s">
        <v>294</v>
      </c>
      <c r="V54" s="141" t="s">
        <v>2766</v>
      </c>
    </row>
    <row r="55" s="162" customFormat="1" ht="15.95" customHeight="1" spans="1:22">
      <c r="A55" s="141"/>
      <c r="B55" s="141" t="s">
        <v>2758</v>
      </c>
      <c r="C55" s="141"/>
      <c r="D55" s="141" t="s">
        <v>147</v>
      </c>
      <c r="E55" s="141">
        <v>11</v>
      </c>
      <c r="F55" s="141">
        <v>11</v>
      </c>
      <c r="G55" s="141">
        <v>11</v>
      </c>
      <c r="H55" s="141"/>
      <c r="I55" s="141"/>
      <c r="J55" s="188">
        <f t="shared" ref="J55:J60" si="39">N55+O55+P55</f>
        <v>18.15</v>
      </c>
      <c r="K55" s="188">
        <f t="shared" ref="K55:K60" si="40">J55/3</f>
        <v>6.05</v>
      </c>
      <c r="L55" s="188">
        <f t="shared" ref="L55:L60" si="41">J55/3</f>
        <v>6.05</v>
      </c>
      <c r="M55" s="188">
        <f t="shared" ref="M55:M60" si="42">J55/3</f>
        <v>6.05</v>
      </c>
      <c r="N55" s="188">
        <f t="shared" ref="N55:N58" si="43">4250*E55*3/10000</f>
        <v>14.025</v>
      </c>
      <c r="O55" s="188"/>
      <c r="P55" s="188">
        <f t="shared" ref="P55:P58" si="44">1250*E55*3/10000</f>
        <v>4.125</v>
      </c>
      <c r="Q55" s="188"/>
      <c r="R55" s="188"/>
      <c r="S55" s="146"/>
      <c r="T55" s="146"/>
      <c r="U55" s="146"/>
      <c r="V55" s="141"/>
    </row>
    <row r="56" s="162" customFormat="1" ht="15.95" customHeight="1" spans="1:22">
      <c r="A56" s="141"/>
      <c r="B56" s="141" t="s">
        <v>2754</v>
      </c>
      <c r="C56" s="141"/>
      <c r="D56" s="141" t="s">
        <v>147</v>
      </c>
      <c r="E56" s="141">
        <v>18</v>
      </c>
      <c r="F56" s="141">
        <v>17</v>
      </c>
      <c r="G56" s="141">
        <v>18</v>
      </c>
      <c r="H56" s="141"/>
      <c r="I56" s="141"/>
      <c r="J56" s="188">
        <f t="shared" si="39"/>
        <v>29.7</v>
      </c>
      <c r="K56" s="188">
        <f t="shared" si="40"/>
        <v>9.9</v>
      </c>
      <c r="L56" s="188">
        <f t="shared" si="41"/>
        <v>9.9</v>
      </c>
      <c r="M56" s="188">
        <f t="shared" si="42"/>
        <v>9.9</v>
      </c>
      <c r="N56" s="188">
        <f t="shared" si="43"/>
        <v>22.95</v>
      </c>
      <c r="O56" s="188"/>
      <c r="P56" s="188">
        <f t="shared" si="44"/>
        <v>6.75</v>
      </c>
      <c r="Q56" s="188"/>
      <c r="R56" s="188"/>
      <c r="S56" s="146"/>
      <c r="T56" s="146"/>
      <c r="U56" s="146"/>
      <c r="V56" s="141"/>
    </row>
    <row r="57" s="162" customFormat="1" ht="15.95" customHeight="1" spans="1:22">
      <c r="A57" s="141"/>
      <c r="B57" s="141" t="s">
        <v>2759</v>
      </c>
      <c r="C57" s="141"/>
      <c r="D57" s="141" t="s">
        <v>147</v>
      </c>
      <c r="E57" s="141">
        <v>4</v>
      </c>
      <c r="F57" s="141">
        <v>4</v>
      </c>
      <c r="G57" s="141">
        <v>4</v>
      </c>
      <c r="H57" s="141"/>
      <c r="I57" s="141"/>
      <c r="J57" s="188">
        <f t="shared" si="39"/>
        <v>6.6</v>
      </c>
      <c r="K57" s="188">
        <f t="shared" si="40"/>
        <v>2.2</v>
      </c>
      <c r="L57" s="188">
        <f t="shared" si="41"/>
        <v>2.2</v>
      </c>
      <c r="M57" s="188">
        <f t="shared" si="42"/>
        <v>2.2</v>
      </c>
      <c r="N57" s="188">
        <f t="shared" si="43"/>
        <v>5.1</v>
      </c>
      <c r="O57" s="188"/>
      <c r="P57" s="188">
        <f t="shared" si="44"/>
        <v>1.5</v>
      </c>
      <c r="Q57" s="188"/>
      <c r="R57" s="188"/>
      <c r="S57" s="146"/>
      <c r="T57" s="146"/>
      <c r="U57" s="146"/>
      <c r="V57" s="141"/>
    </row>
    <row r="58" s="162" customFormat="1" ht="15.95" customHeight="1" spans="1:22">
      <c r="A58" s="141"/>
      <c r="B58" s="141" t="s">
        <v>2760</v>
      </c>
      <c r="C58" s="141"/>
      <c r="D58" s="141" t="s">
        <v>147</v>
      </c>
      <c r="E58" s="141">
        <v>2</v>
      </c>
      <c r="F58" s="141">
        <v>2</v>
      </c>
      <c r="G58" s="141">
        <v>2</v>
      </c>
      <c r="H58" s="141"/>
      <c r="I58" s="141"/>
      <c r="J58" s="188">
        <f t="shared" si="39"/>
        <v>3.3</v>
      </c>
      <c r="K58" s="188">
        <f t="shared" si="40"/>
        <v>1.1</v>
      </c>
      <c r="L58" s="188">
        <f t="shared" si="41"/>
        <v>1.1</v>
      </c>
      <c r="M58" s="188">
        <f t="shared" si="42"/>
        <v>1.1</v>
      </c>
      <c r="N58" s="188">
        <f t="shared" si="43"/>
        <v>2.55</v>
      </c>
      <c r="O58" s="188"/>
      <c r="P58" s="188">
        <f t="shared" si="44"/>
        <v>0.75</v>
      </c>
      <c r="Q58" s="188"/>
      <c r="R58" s="188"/>
      <c r="S58" s="146"/>
      <c r="T58" s="146"/>
      <c r="U58" s="146"/>
      <c r="V58" s="141"/>
    </row>
    <row r="59" s="162" customFormat="1" ht="15.95" customHeight="1" spans="1:22">
      <c r="A59" s="141"/>
      <c r="B59" s="141" t="s">
        <v>2755</v>
      </c>
      <c r="C59" s="141"/>
      <c r="D59" s="141" t="s">
        <v>147</v>
      </c>
      <c r="E59" s="141">
        <v>15</v>
      </c>
      <c r="F59" s="141">
        <v>15</v>
      </c>
      <c r="G59" s="141">
        <v>15</v>
      </c>
      <c r="H59" s="141"/>
      <c r="I59" s="141"/>
      <c r="J59" s="188">
        <f t="shared" si="39"/>
        <v>24.75</v>
      </c>
      <c r="K59" s="188">
        <f t="shared" si="40"/>
        <v>8.25</v>
      </c>
      <c r="L59" s="188">
        <f t="shared" si="41"/>
        <v>8.25</v>
      </c>
      <c r="M59" s="188">
        <f t="shared" si="42"/>
        <v>8.25</v>
      </c>
      <c r="N59" s="188">
        <v>19.125</v>
      </c>
      <c r="O59" s="188"/>
      <c r="P59" s="188">
        <v>5.625</v>
      </c>
      <c r="Q59" s="188"/>
      <c r="R59" s="188"/>
      <c r="S59" s="146"/>
      <c r="T59" s="146"/>
      <c r="U59" s="146"/>
      <c r="V59" s="141"/>
    </row>
    <row r="60" s="162" customFormat="1" ht="15.95" customHeight="1" spans="1:22">
      <c r="A60" s="141"/>
      <c r="B60" s="141" t="s">
        <v>2756</v>
      </c>
      <c r="C60" s="141"/>
      <c r="D60" s="141" t="s">
        <v>147</v>
      </c>
      <c r="E60" s="141">
        <v>10</v>
      </c>
      <c r="F60" s="141">
        <v>10</v>
      </c>
      <c r="G60" s="141">
        <v>10</v>
      </c>
      <c r="H60" s="141"/>
      <c r="I60" s="141"/>
      <c r="J60" s="188">
        <f t="shared" si="39"/>
        <v>16.5</v>
      </c>
      <c r="K60" s="188">
        <f t="shared" si="40"/>
        <v>5.5</v>
      </c>
      <c r="L60" s="188">
        <f t="shared" si="41"/>
        <v>5.5</v>
      </c>
      <c r="M60" s="188">
        <f t="shared" si="42"/>
        <v>5.5</v>
      </c>
      <c r="N60" s="188">
        <f>4250*E60*3/10000</f>
        <v>12.75</v>
      </c>
      <c r="O60" s="188"/>
      <c r="P60" s="188">
        <f>1250*E60*3/10000</f>
        <v>3.75</v>
      </c>
      <c r="Q60" s="188"/>
      <c r="R60" s="188"/>
      <c r="S60" s="146"/>
      <c r="T60" s="146"/>
      <c r="U60" s="146"/>
      <c r="V60" s="141"/>
    </row>
    <row r="61" s="162" customFormat="1" ht="72" spans="1:22">
      <c r="A61" s="141">
        <v>12</v>
      </c>
      <c r="B61" s="141" t="s">
        <v>322</v>
      </c>
      <c r="C61" s="141" t="s">
        <v>320</v>
      </c>
      <c r="D61" s="141" t="s">
        <v>147</v>
      </c>
      <c r="E61" s="141">
        <f t="shared" ref="E61:G61" si="45">SUM(E62:E67)</f>
        <v>59</v>
      </c>
      <c r="F61" s="141">
        <f t="shared" si="45"/>
        <v>59</v>
      </c>
      <c r="G61" s="141">
        <f t="shared" si="45"/>
        <v>59</v>
      </c>
      <c r="H61" s="177">
        <v>2018</v>
      </c>
      <c r="I61" s="177" t="s">
        <v>2593</v>
      </c>
      <c r="J61" s="188">
        <f t="shared" ref="J61:R61" si="46">SUM(J62:J67)</f>
        <v>97.35</v>
      </c>
      <c r="K61" s="188">
        <f t="shared" si="46"/>
        <v>32.45</v>
      </c>
      <c r="L61" s="188">
        <f t="shared" si="46"/>
        <v>32.45</v>
      </c>
      <c r="M61" s="188">
        <f t="shared" si="46"/>
        <v>32.45</v>
      </c>
      <c r="N61" s="188">
        <f t="shared" si="46"/>
        <v>35.4</v>
      </c>
      <c r="O61" s="188">
        <f t="shared" si="46"/>
        <v>53.1</v>
      </c>
      <c r="P61" s="188">
        <f t="shared" si="46"/>
        <v>8.85</v>
      </c>
      <c r="Q61" s="188">
        <f t="shared" si="46"/>
        <v>0</v>
      </c>
      <c r="R61" s="188">
        <f t="shared" si="46"/>
        <v>0</v>
      </c>
      <c r="S61" s="146" t="s">
        <v>2751</v>
      </c>
      <c r="T61" s="146" t="s">
        <v>2763</v>
      </c>
      <c r="U61" s="146" t="s">
        <v>294</v>
      </c>
      <c r="V61" s="141" t="s">
        <v>2767</v>
      </c>
    </row>
    <row r="62" s="162" customFormat="1" ht="12" spans="1:22">
      <c r="A62" s="141"/>
      <c r="B62" s="141" t="s">
        <v>2758</v>
      </c>
      <c r="C62" s="141"/>
      <c r="D62" s="141" t="s">
        <v>147</v>
      </c>
      <c r="E62" s="141">
        <v>5</v>
      </c>
      <c r="F62" s="141">
        <v>5</v>
      </c>
      <c r="G62" s="141">
        <v>5</v>
      </c>
      <c r="H62" s="141"/>
      <c r="I62" s="141"/>
      <c r="J62" s="188">
        <f t="shared" ref="J62:J67" si="47">N62+O62+P62</f>
        <v>8.25</v>
      </c>
      <c r="K62" s="188">
        <f t="shared" ref="K62:K67" si="48">J62/3</f>
        <v>2.75</v>
      </c>
      <c r="L62" s="188">
        <f t="shared" ref="L62:L67" si="49">J62/3</f>
        <v>2.75</v>
      </c>
      <c r="M62" s="188">
        <f t="shared" ref="M62:M67" si="50">J62/3</f>
        <v>2.75</v>
      </c>
      <c r="N62" s="188">
        <v>3</v>
      </c>
      <c r="O62" s="188">
        <v>4.5</v>
      </c>
      <c r="P62" s="188">
        <v>0.75</v>
      </c>
      <c r="Q62" s="188"/>
      <c r="R62" s="188"/>
      <c r="S62" s="146"/>
      <c r="T62" s="146"/>
      <c r="U62" s="146"/>
      <c r="V62" s="141"/>
    </row>
    <row r="63" s="162" customFormat="1" ht="15.95" customHeight="1" spans="1:22">
      <c r="A63" s="141"/>
      <c r="B63" s="141" t="s">
        <v>2754</v>
      </c>
      <c r="C63" s="141"/>
      <c r="D63" s="141" t="s">
        <v>147</v>
      </c>
      <c r="E63" s="141">
        <v>10</v>
      </c>
      <c r="F63" s="141">
        <v>10</v>
      </c>
      <c r="G63" s="141">
        <v>10</v>
      </c>
      <c r="H63" s="141"/>
      <c r="I63" s="141"/>
      <c r="J63" s="188">
        <f t="shared" si="47"/>
        <v>16.5</v>
      </c>
      <c r="K63" s="188">
        <f t="shared" si="48"/>
        <v>5.5</v>
      </c>
      <c r="L63" s="188">
        <f t="shared" si="49"/>
        <v>5.5</v>
      </c>
      <c r="M63" s="188">
        <f t="shared" si="50"/>
        <v>5.5</v>
      </c>
      <c r="N63" s="188">
        <v>6</v>
      </c>
      <c r="O63" s="188">
        <v>9</v>
      </c>
      <c r="P63" s="188">
        <v>1.5</v>
      </c>
      <c r="Q63" s="188"/>
      <c r="R63" s="188"/>
      <c r="S63" s="146"/>
      <c r="T63" s="146"/>
      <c r="U63" s="146"/>
      <c r="V63" s="141"/>
    </row>
    <row r="64" s="162" customFormat="1" ht="15.95" customHeight="1" spans="1:22">
      <c r="A64" s="141"/>
      <c r="B64" s="141" t="s">
        <v>2759</v>
      </c>
      <c r="C64" s="141"/>
      <c r="D64" s="141" t="s">
        <v>147</v>
      </c>
      <c r="E64" s="141">
        <v>9</v>
      </c>
      <c r="F64" s="141">
        <v>9</v>
      </c>
      <c r="G64" s="141">
        <v>9</v>
      </c>
      <c r="H64" s="141"/>
      <c r="I64" s="141"/>
      <c r="J64" s="188">
        <f t="shared" si="47"/>
        <v>14.85</v>
      </c>
      <c r="K64" s="188">
        <f t="shared" si="48"/>
        <v>4.95</v>
      </c>
      <c r="L64" s="188">
        <f t="shared" si="49"/>
        <v>4.95</v>
      </c>
      <c r="M64" s="188">
        <f t="shared" si="50"/>
        <v>4.95</v>
      </c>
      <c r="N64" s="188">
        <v>5.4</v>
      </c>
      <c r="O64" s="188">
        <v>8.1</v>
      </c>
      <c r="P64" s="188">
        <v>1.35</v>
      </c>
      <c r="Q64" s="188"/>
      <c r="R64" s="188"/>
      <c r="S64" s="146"/>
      <c r="T64" s="146"/>
      <c r="U64" s="146"/>
      <c r="V64" s="141"/>
    </row>
    <row r="65" s="162" customFormat="1" ht="15.95" customHeight="1" spans="1:22">
      <c r="A65" s="141"/>
      <c r="B65" s="141" t="s">
        <v>2760</v>
      </c>
      <c r="C65" s="141"/>
      <c r="D65" s="141" t="s">
        <v>147</v>
      </c>
      <c r="E65" s="141">
        <v>9</v>
      </c>
      <c r="F65" s="141">
        <v>9</v>
      </c>
      <c r="G65" s="141">
        <v>9</v>
      </c>
      <c r="H65" s="141"/>
      <c r="I65" s="141"/>
      <c r="J65" s="188">
        <f t="shared" si="47"/>
        <v>14.85</v>
      </c>
      <c r="K65" s="188">
        <f t="shared" si="48"/>
        <v>4.95</v>
      </c>
      <c r="L65" s="188">
        <f t="shared" si="49"/>
        <v>4.95</v>
      </c>
      <c r="M65" s="188">
        <f t="shared" si="50"/>
        <v>4.95</v>
      </c>
      <c r="N65" s="188">
        <v>5.4</v>
      </c>
      <c r="O65" s="188">
        <v>8.1</v>
      </c>
      <c r="P65" s="188">
        <v>1.35</v>
      </c>
      <c r="Q65" s="188"/>
      <c r="R65" s="188"/>
      <c r="S65" s="146"/>
      <c r="T65" s="146"/>
      <c r="U65" s="146"/>
      <c r="V65" s="141"/>
    </row>
    <row r="66" s="162" customFormat="1" ht="15.95" customHeight="1" spans="1:22">
      <c r="A66" s="141"/>
      <c r="B66" s="141" t="s">
        <v>2755</v>
      </c>
      <c r="C66" s="141"/>
      <c r="D66" s="141" t="s">
        <v>147</v>
      </c>
      <c r="E66" s="141">
        <v>17</v>
      </c>
      <c r="F66" s="141">
        <v>17</v>
      </c>
      <c r="G66" s="141">
        <v>17</v>
      </c>
      <c r="H66" s="141"/>
      <c r="I66" s="141"/>
      <c r="J66" s="188">
        <f t="shared" si="47"/>
        <v>28.05</v>
      </c>
      <c r="K66" s="188">
        <f t="shared" si="48"/>
        <v>9.35</v>
      </c>
      <c r="L66" s="188">
        <f t="shared" si="49"/>
        <v>9.35</v>
      </c>
      <c r="M66" s="188">
        <f t="shared" si="50"/>
        <v>9.35</v>
      </c>
      <c r="N66" s="188">
        <v>10.2</v>
      </c>
      <c r="O66" s="188">
        <v>15.3</v>
      </c>
      <c r="P66" s="188">
        <v>2.55</v>
      </c>
      <c r="Q66" s="188"/>
      <c r="R66" s="188"/>
      <c r="S66" s="146"/>
      <c r="T66" s="146"/>
      <c r="U66" s="146"/>
      <c r="V66" s="141"/>
    </row>
    <row r="67" s="162" customFormat="1" ht="18" customHeight="1" spans="1:22">
      <c r="A67" s="141"/>
      <c r="B67" s="141" t="s">
        <v>2756</v>
      </c>
      <c r="C67" s="141"/>
      <c r="D67" s="141" t="s">
        <v>147</v>
      </c>
      <c r="E67" s="141">
        <v>9</v>
      </c>
      <c r="F67" s="141">
        <v>9</v>
      </c>
      <c r="G67" s="141">
        <v>9</v>
      </c>
      <c r="H67" s="141"/>
      <c r="I67" s="141"/>
      <c r="J67" s="188">
        <f t="shared" si="47"/>
        <v>14.85</v>
      </c>
      <c r="K67" s="188">
        <f t="shared" si="48"/>
        <v>4.95</v>
      </c>
      <c r="L67" s="188">
        <f t="shared" si="49"/>
        <v>4.95</v>
      </c>
      <c r="M67" s="188">
        <f t="shared" si="50"/>
        <v>4.95</v>
      </c>
      <c r="N67" s="188">
        <v>5.4</v>
      </c>
      <c r="O67" s="188">
        <v>8.1</v>
      </c>
      <c r="P67" s="188">
        <v>1.35</v>
      </c>
      <c r="Q67" s="188"/>
      <c r="R67" s="188"/>
      <c r="S67" s="146"/>
      <c r="T67" s="146"/>
      <c r="U67" s="146"/>
      <c r="V67" s="141"/>
    </row>
    <row r="68" s="162" customFormat="1" ht="276" spans="1:22">
      <c r="A68" s="141">
        <v>13</v>
      </c>
      <c r="B68" s="141" t="s">
        <v>323</v>
      </c>
      <c r="C68" s="141" t="s">
        <v>320</v>
      </c>
      <c r="D68" s="141" t="s">
        <v>147</v>
      </c>
      <c r="E68" s="141">
        <f t="shared" ref="E68:G68" si="51">SUM(E69:E74)</f>
        <v>74</v>
      </c>
      <c r="F68" s="141">
        <f t="shared" si="51"/>
        <v>71</v>
      </c>
      <c r="G68" s="141">
        <f t="shared" si="51"/>
        <v>72</v>
      </c>
      <c r="H68" s="177">
        <v>2018</v>
      </c>
      <c r="I68" s="177" t="s">
        <v>2593</v>
      </c>
      <c r="J68" s="188">
        <f t="shared" ref="J68:R68" si="52">SUM(J69:J74)</f>
        <v>97.2</v>
      </c>
      <c r="K68" s="188">
        <f t="shared" si="52"/>
        <v>32.4</v>
      </c>
      <c r="L68" s="188">
        <f t="shared" si="52"/>
        <v>32.4</v>
      </c>
      <c r="M68" s="188">
        <f t="shared" si="52"/>
        <v>32.4</v>
      </c>
      <c r="N68" s="188">
        <f t="shared" si="52"/>
        <v>28.35</v>
      </c>
      <c r="O68" s="188">
        <f t="shared" si="52"/>
        <v>36</v>
      </c>
      <c r="P68" s="188">
        <f t="shared" si="52"/>
        <v>32.85</v>
      </c>
      <c r="Q68" s="188">
        <f t="shared" si="52"/>
        <v>0</v>
      </c>
      <c r="R68" s="188">
        <f t="shared" si="52"/>
        <v>0</v>
      </c>
      <c r="S68" s="146" t="s">
        <v>2751</v>
      </c>
      <c r="T68" s="146" t="s">
        <v>2763</v>
      </c>
      <c r="U68" s="146" t="s">
        <v>294</v>
      </c>
      <c r="V68" s="141" t="s">
        <v>2768</v>
      </c>
    </row>
    <row r="69" s="162" customFormat="1" ht="24" spans="1:22">
      <c r="A69" s="141"/>
      <c r="B69" s="141" t="s">
        <v>2758</v>
      </c>
      <c r="C69" s="141"/>
      <c r="D69" s="141" t="s">
        <v>147</v>
      </c>
      <c r="E69" s="141">
        <v>7</v>
      </c>
      <c r="F69" s="141">
        <v>6</v>
      </c>
      <c r="G69" s="141">
        <v>6</v>
      </c>
      <c r="H69" s="141"/>
      <c r="I69" s="141"/>
      <c r="J69" s="188">
        <f t="shared" ref="J69:J74" si="53">N69+O69+P69</f>
        <v>9.45</v>
      </c>
      <c r="K69" s="188">
        <f t="shared" ref="K69:K74" si="54">J69/3</f>
        <v>3.15</v>
      </c>
      <c r="L69" s="188">
        <f t="shared" ref="L69:L74" si="55">J69/3</f>
        <v>3.15</v>
      </c>
      <c r="M69" s="188">
        <f t="shared" ref="M69:M74" si="56">J69/3</f>
        <v>3.15</v>
      </c>
      <c r="N69" s="188">
        <v>2.7</v>
      </c>
      <c r="O69" s="188">
        <v>3.6</v>
      </c>
      <c r="P69" s="188">
        <v>3.15</v>
      </c>
      <c r="Q69" s="188"/>
      <c r="R69" s="188"/>
      <c r="S69" s="146"/>
      <c r="T69" s="146"/>
      <c r="U69" s="146"/>
      <c r="V69" s="141" t="s">
        <v>2769</v>
      </c>
    </row>
    <row r="70" s="162" customFormat="1" ht="12" spans="1:22">
      <c r="A70" s="141"/>
      <c r="B70" s="141" t="s">
        <v>2754</v>
      </c>
      <c r="C70" s="141"/>
      <c r="D70" s="141" t="s">
        <v>147</v>
      </c>
      <c r="E70" s="141">
        <v>15</v>
      </c>
      <c r="F70" s="141">
        <v>14</v>
      </c>
      <c r="G70" s="141">
        <v>15</v>
      </c>
      <c r="H70" s="141"/>
      <c r="I70" s="141"/>
      <c r="J70" s="188">
        <f t="shared" si="53"/>
        <v>20.25</v>
      </c>
      <c r="K70" s="188">
        <f t="shared" si="54"/>
        <v>6.75</v>
      </c>
      <c r="L70" s="188">
        <f t="shared" si="55"/>
        <v>6.75</v>
      </c>
      <c r="M70" s="188">
        <f t="shared" si="56"/>
        <v>6.75</v>
      </c>
      <c r="N70" s="188">
        <v>5.4</v>
      </c>
      <c r="O70" s="188">
        <v>8.1</v>
      </c>
      <c r="P70" s="188">
        <v>6.75</v>
      </c>
      <c r="Q70" s="188"/>
      <c r="R70" s="188"/>
      <c r="S70" s="188"/>
      <c r="T70" s="188"/>
      <c r="U70" s="188"/>
      <c r="V70" s="141" t="s">
        <v>2770</v>
      </c>
    </row>
    <row r="71" s="162" customFormat="1" ht="24" spans="1:22">
      <c r="A71" s="141"/>
      <c r="B71" s="141" t="s">
        <v>2759</v>
      </c>
      <c r="C71" s="141"/>
      <c r="D71" s="141" t="s">
        <v>147</v>
      </c>
      <c r="E71" s="141">
        <v>23</v>
      </c>
      <c r="F71" s="141">
        <v>22</v>
      </c>
      <c r="G71" s="141">
        <v>22</v>
      </c>
      <c r="H71" s="141"/>
      <c r="I71" s="141"/>
      <c r="J71" s="188">
        <f t="shared" si="53"/>
        <v>32.1</v>
      </c>
      <c r="K71" s="188">
        <f t="shared" si="54"/>
        <v>10.7</v>
      </c>
      <c r="L71" s="188">
        <f t="shared" si="55"/>
        <v>10.7</v>
      </c>
      <c r="M71" s="188">
        <f t="shared" si="56"/>
        <v>10.7</v>
      </c>
      <c r="N71" s="188">
        <v>9.15</v>
      </c>
      <c r="O71" s="188">
        <v>12.6</v>
      </c>
      <c r="P71" s="188">
        <v>10.35</v>
      </c>
      <c r="Q71" s="188"/>
      <c r="R71" s="188"/>
      <c r="S71" s="146"/>
      <c r="T71" s="146"/>
      <c r="U71" s="146"/>
      <c r="V71" s="141" t="s">
        <v>2771</v>
      </c>
    </row>
    <row r="72" s="162" customFormat="1" ht="24" spans="1:22">
      <c r="A72" s="141"/>
      <c r="B72" s="141" t="s">
        <v>2760</v>
      </c>
      <c r="C72" s="141"/>
      <c r="D72" s="141" t="s">
        <v>147</v>
      </c>
      <c r="E72" s="141">
        <v>6</v>
      </c>
      <c r="F72" s="141">
        <v>6</v>
      </c>
      <c r="G72" s="141">
        <v>6</v>
      </c>
      <c r="H72" s="141"/>
      <c r="I72" s="141"/>
      <c r="J72" s="188">
        <f t="shared" si="53"/>
        <v>6.75</v>
      </c>
      <c r="K72" s="188">
        <f t="shared" si="54"/>
        <v>2.25</v>
      </c>
      <c r="L72" s="188">
        <f t="shared" si="55"/>
        <v>2.25</v>
      </c>
      <c r="M72" s="188">
        <f t="shared" si="56"/>
        <v>2.25</v>
      </c>
      <c r="N72" s="188">
        <v>1.8</v>
      </c>
      <c r="O72" s="188">
        <v>2.7</v>
      </c>
      <c r="P72" s="188">
        <v>2.25</v>
      </c>
      <c r="Q72" s="188"/>
      <c r="R72" s="188"/>
      <c r="S72" s="146"/>
      <c r="T72" s="146"/>
      <c r="U72" s="146"/>
      <c r="V72" s="141" t="s">
        <v>2772</v>
      </c>
    </row>
    <row r="73" s="162" customFormat="1" ht="24" spans="1:22">
      <c r="A73" s="141"/>
      <c r="B73" s="141" t="s">
        <v>2755</v>
      </c>
      <c r="C73" s="141"/>
      <c r="D73" s="141" t="s">
        <v>147</v>
      </c>
      <c r="E73" s="141">
        <v>18</v>
      </c>
      <c r="F73" s="141">
        <v>18</v>
      </c>
      <c r="G73" s="141">
        <v>18</v>
      </c>
      <c r="H73" s="141"/>
      <c r="I73" s="141"/>
      <c r="J73" s="188">
        <f t="shared" si="53"/>
        <v>23.25</v>
      </c>
      <c r="K73" s="188">
        <f t="shared" si="54"/>
        <v>7.75</v>
      </c>
      <c r="L73" s="188">
        <f t="shared" si="55"/>
        <v>7.75</v>
      </c>
      <c r="M73" s="188">
        <f t="shared" si="56"/>
        <v>7.75</v>
      </c>
      <c r="N73" s="188">
        <v>7.05</v>
      </c>
      <c r="O73" s="188">
        <v>8.1</v>
      </c>
      <c r="P73" s="188">
        <v>8.1</v>
      </c>
      <c r="Q73" s="188"/>
      <c r="R73" s="188"/>
      <c r="S73" s="188"/>
      <c r="T73" s="188"/>
      <c r="U73" s="188"/>
      <c r="V73" s="141" t="s">
        <v>2773</v>
      </c>
    </row>
    <row r="74" s="162" customFormat="1" ht="12" spans="1:22">
      <c r="A74" s="141"/>
      <c r="B74" s="141" t="s">
        <v>2756</v>
      </c>
      <c r="C74" s="141"/>
      <c r="D74" s="141" t="s">
        <v>147</v>
      </c>
      <c r="E74" s="141">
        <v>5</v>
      </c>
      <c r="F74" s="141">
        <v>5</v>
      </c>
      <c r="G74" s="141">
        <v>5</v>
      </c>
      <c r="H74" s="141"/>
      <c r="I74" s="141"/>
      <c r="J74" s="188">
        <f t="shared" si="53"/>
        <v>5.4</v>
      </c>
      <c r="K74" s="188">
        <f t="shared" si="54"/>
        <v>1.8</v>
      </c>
      <c r="L74" s="188">
        <f t="shared" si="55"/>
        <v>1.8</v>
      </c>
      <c r="M74" s="188">
        <f t="shared" si="56"/>
        <v>1.8</v>
      </c>
      <c r="N74" s="188">
        <v>2.25</v>
      </c>
      <c r="O74" s="188">
        <v>0.9</v>
      </c>
      <c r="P74" s="188">
        <v>2.25</v>
      </c>
      <c r="Q74" s="188"/>
      <c r="R74" s="188"/>
      <c r="S74" s="188"/>
      <c r="T74" s="188"/>
      <c r="U74" s="188"/>
      <c r="V74" s="141" t="s">
        <v>2774</v>
      </c>
    </row>
    <row r="75" s="162" customFormat="1" ht="24" spans="1:22">
      <c r="A75" s="141">
        <v>14</v>
      </c>
      <c r="B75" s="141" t="s">
        <v>324</v>
      </c>
      <c r="C75" s="141" t="s">
        <v>320</v>
      </c>
      <c r="D75" s="141" t="s">
        <v>147</v>
      </c>
      <c r="E75" s="141"/>
      <c r="F75" s="141"/>
      <c r="G75" s="141"/>
      <c r="H75" s="141"/>
      <c r="I75" s="141"/>
      <c r="J75" s="188"/>
      <c r="K75" s="188"/>
      <c r="L75" s="188"/>
      <c r="M75" s="188"/>
      <c r="N75" s="188"/>
      <c r="O75" s="188"/>
      <c r="P75" s="188"/>
      <c r="Q75" s="188"/>
      <c r="R75" s="188"/>
      <c r="S75" s="146"/>
      <c r="T75" s="146"/>
      <c r="U75" s="146" t="s">
        <v>294</v>
      </c>
      <c r="V75" s="141" t="s">
        <v>41</v>
      </c>
    </row>
    <row r="76" s="162" customFormat="1" ht="12" spans="1:22">
      <c r="A76" s="141">
        <v>15</v>
      </c>
      <c r="B76" s="141" t="s">
        <v>802</v>
      </c>
      <c r="C76" s="141" t="s">
        <v>320</v>
      </c>
      <c r="D76" s="141" t="s">
        <v>320</v>
      </c>
      <c r="E76" s="141">
        <f>E77+E84+E91+E98+E105</f>
        <v>11702.636363636</v>
      </c>
      <c r="F76" s="141">
        <v>1043</v>
      </c>
      <c r="G76" s="141">
        <v>3881</v>
      </c>
      <c r="H76" s="141"/>
      <c r="I76" s="141"/>
      <c r="J76" s="188">
        <f t="shared" ref="J76:R76" si="57">J77+J84+J91+J98+J105</f>
        <v>336.33535873</v>
      </c>
      <c r="K76" s="188">
        <f t="shared" si="57"/>
        <v>108.154483</v>
      </c>
      <c r="L76" s="188">
        <f t="shared" si="57"/>
        <v>111.9841313</v>
      </c>
      <c r="M76" s="188">
        <f t="shared" si="57"/>
        <v>116.19674443</v>
      </c>
      <c r="N76" s="188">
        <f t="shared" si="57"/>
        <v>242.25115873</v>
      </c>
      <c r="O76" s="188">
        <f t="shared" si="57"/>
        <v>0</v>
      </c>
      <c r="P76" s="188">
        <f t="shared" si="57"/>
        <v>94.0842</v>
      </c>
      <c r="Q76" s="188">
        <f t="shared" si="57"/>
        <v>0</v>
      </c>
      <c r="R76" s="188">
        <f t="shared" si="57"/>
        <v>0</v>
      </c>
      <c r="S76" s="146" t="s">
        <v>2775</v>
      </c>
      <c r="T76" s="146" t="s">
        <v>2776</v>
      </c>
      <c r="U76" s="141" t="s">
        <v>320</v>
      </c>
      <c r="V76" s="141" t="s">
        <v>41</v>
      </c>
    </row>
    <row r="77" s="162" customFormat="1" ht="108" spans="1:22">
      <c r="A77" s="141">
        <v>16</v>
      </c>
      <c r="B77" s="141" t="s">
        <v>327</v>
      </c>
      <c r="C77" s="141" t="s">
        <v>320</v>
      </c>
      <c r="D77" s="141" t="s">
        <v>147</v>
      </c>
      <c r="E77" s="141">
        <f t="shared" ref="E77:G77" si="58">SUM(E78:E83)</f>
        <v>3881</v>
      </c>
      <c r="F77" s="141">
        <f t="shared" si="58"/>
        <v>1043</v>
      </c>
      <c r="G77" s="141">
        <f t="shared" si="58"/>
        <v>3881</v>
      </c>
      <c r="H77" s="177">
        <v>2018</v>
      </c>
      <c r="I77" s="177" t="s">
        <v>2593</v>
      </c>
      <c r="J77" s="188">
        <f t="shared" ref="J77:R77" si="59">SUM(J78:J83)</f>
        <v>209.574</v>
      </c>
      <c r="K77" s="188">
        <f t="shared" si="59"/>
        <v>69.858</v>
      </c>
      <c r="L77" s="188">
        <f t="shared" si="59"/>
        <v>69.858</v>
      </c>
      <c r="M77" s="188">
        <f t="shared" si="59"/>
        <v>69.858</v>
      </c>
      <c r="N77" s="188">
        <f t="shared" si="59"/>
        <v>115.4898</v>
      </c>
      <c r="O77" s="188">
        <f t="shared" si="59"/>
        <v>0</v>
      </c>
      <c r="P77" s="188">
        <f t="shared" si="59"/>
        <v>94.0842</v>
      </c>
      <c r="Q77" s="188">
        <f t="shared" si="59"/>
        <v>0</v>
      </c>
      <c r="R77" s="188">
        <f t="shared" si="59"/>
        <v>0</v>
      </c>
      <c r="S77" s="146" t="s">
        <v>2775</v>
      </c>
      <c r="T77" s="146" t="s">
        <v>2776</v>
      </c>
      <c r="U77" s="146" t="s">
        <v>195</v>
      </c>
      <c r="V77" s="141" t="s">
        <v>2777</v>
      </c>
    </row>
    <row r="78" s="162" customFormat="1" ht="12" spans="1:22">
      <c r="A78" s="141"/>
      <c r="B78" s="141" t="s">
        <v>2758</v>
      </c>
      <c r="C78" s="141"/>
      <c r="D78" s="141" t="s">
        <v>147</v>
      </c>
      <c r="E78" s="141">
        <v>698</v>
      </c>
      <c r="F78" s="141">
        <v>190</v>
      </c>
      <c r="G78" s="141">
        <v>698</v>
      </c>
      <c r="H78" s="141"/>
      <c r="I78" s="141"/>
      <c r="J78" s="188">
        <f t="shared" ref="J78:J84" si="60">K78+L78+M78</f>
        <v>37.692</v>
      </c>
      <c r="K78" s="188">
        <f t="shared" ref="K78:K83" si="61">E78*180/10000</f>
        <v>12.564</v>
      </c>
      <c r="L78" s="188">
        <f t="shared" ref="L78:L83" si="62">E78*180/10000</f>
        <v>12.564</v>
      </c>
      <c r="M78" s="188">
        <f t="shared" ref="M78:M83" si="63">E78*180/10000</f>
        <v>12.564</v>
      </c>
      <c r="N78" s="188">
        <f t="shared" ref="N78:N83" si="64">E78*180/10000*3-P78</f>
        <v>21.2868</v>
      </c>
      <c r="O78" s="188"/>
      <c r="P78" s="188">
        <f>(472*90+226*54)/10000*3</f>
        <v>16.4052</v>
      </c>
      <c r="Q78" s="188"/>
      <c r="R78" s="188"/>
      <c r="S78" s="146"/>
      <c r="T78" s="146"/>
      <c r="U78" s="146"/>
      <c r="V78" s="141" t="s">
        <v>2778</v>
      </c>
    </row>
    <row r="79" s="162" customFormat="1" ht="12" spans="1:22">
      <c r="A79" s="141"/>
      <c r="B79" s="141" t="s">
        <v>2754</v>
      </c>
      <c r="C79" s="141"/>
      <c r="D79" s="141" t="s">
        <v>147</v>
      </c>
      <c r="E79" s="141">
        <v>708</v>
      </c>
      <c r="F79" s="141">
        <v>183</v>
      </c>
      <c r="G79" s="141">
        <v>708</v>
      </c>
      <c r="H79" s="141"/>
      <c r="I79" s="141"/>
      <c r="J79" s="188">
        <f t="shared" si="60"/>
        <v>38.232</v>
      </c>
      <c r="K79" s="188">
        <f t="shared" si="61"/>
        <v>12.744</v>
      </c>
      <c r="L79" s="188">
        <f t="shared" si="62"/>
        <v>12.744</v>
      </c>
      <c r="M79" s="188">
        <f t="shared" si="63"/>
        <v>12.744</v>
      </c>
      <c r="N79" s="188">
        <f t="shared" si="64"/>
        <v>19.5156</v>
      </c>
      <c r="O79" s="188"/>
      <c r="P79" s="188">
        <f>(671*90+37*54)/10000*3</f>
        <v>18.7164</v>
      </c>
      <c r="Q79" s="188"/>
      <c r="R79" s="188"/>
      <c r="S79" s="146"/>
      <c r="T79" s="146"/>
      <c r="U79" s="146"/>
      <c r="V79" s="141" t="s">
        <v>2779</v>
      </c>
    </row>
    <row r="80" s="162" customFormat="1" ht="12" spans="1:22">
      <c r="A80" s="141"/>
      <c r="B80" s="141" t="s">
        <v>2759</v>
      </c>
      <c r="C80" s="141"/>
      <c r="D80" s="141" t="s">
        <v>147</v>
      </c>
      <c r="E80" s="141">
        <v>434</v>
      </c>
      <c r="F80" s="141">
        <v>122</v>
      </c>
      <c r="G80" s="141">
        <v>434</v>
      </c>
      <c r="H80" s="141"/>
      <c r="I80" s="141"/>
      <c r="J80" s="188">
        <f t="shared" si="60"/>
        <v>23.436</v>
      </c>
      <c r="K80" s="188">
        <f t="shared" si="61"/>
        <v>7.812</v>
      </c>
      <c r="L80" s="188">
        <f t="shared" si="62"/>
        <v>7.812</v>
      </c>
      <c r="M80" s="188">
        <f t="shared" si="63"/>
        <v>7.812</v>
      </c>
      <c r="N80" s="188">
        <f t="shared" si="64"/>
        <v>11.7936</v>
      </c>
      <c r="O80" s="188"/>
      <c r="P80" s="188">
        <f>(427*90+7*54)/10000*3</f>
        <v>11.6424</v>
      </c>
      <c r="Q80" s="188"/>
      <c r="R80" s="188"/>
      <c r="S80" s="146"/>
      <c r="T80" s="146"/>
      <c r="U80" s="146"/>
      <c r="V80" s="141" t="s">
        <v>2780</v>
      </c>
    </row>
    <row r="81" s="162" customFormat="1" ht="12" spans="1:22">
      <c r="A81" s="141"/>
      <c r="B81" s="141" t="s">
        <v>2760</v>
      </c>
      <c r="C81" s="141"/>
      <c r="D81" s="141" t="s">
        <v>147</v>
      </c>
      <c r="E81" s="141">
        <v>447</v>
      </c>
      <c r="F81" s="141">
        <v>119</v>
      </c>
      <c r="G81" s="141">
        <v>447</v>
      </c>
      <c r="H81" s="141"/>
      <c r="I81" s="141"/>
      <c r="J81" s="188">
        <f t="shared" si="60"/>
        <v>24.138</v>
      </c>
      <c r="K81" s="188">
        <f t="shared" si="61"/>
        <v>8.046</v>
      </c>
      <c r="L81" s="188">
        <f t="shared" si="62"/>
        <v>8.046</v>
      </c>
      <c r="M81" s="188">
        <f t="shared" si="63"/>
        <v>8.046</v>
      </c>
      <c r="N81" s="188">
        <f t="shared" si="64"/>
        <v>14.2506</v>
      </c>
      <c r="O81" s="188"/>
      <c r="P81" s="188">
        <f>(245*90+202*54)/10000*3</f>
        <v>9.8874</v>
      </c>
      <c r="Q81" s="188"/>
      <c r="R81" s="188"/>
      <c r="S81" s="146"/>
      <c r="T81" s="146"/>
      <c r="U81" s="146"/>
      <c r="V81" s="141" t="s">
        <v>2781</v>
      </c>
    </row>
    <row r="82" s="162" customFormat="1" ht="12" spans="1:22">
      <c r="A82" s="141"/>
      <c r="B82" s="141" t="s">
        <v>2755</v>
      </c>
      <c r="C82" s="141"/>
      <c r="D82" s="141" t="s">
        <v>147</v>
      </c>
      <c r="E82" s="141">
        <v>745</v>
      </c>
      <c r="F82" s="141">
        <v>203</v>
      </c>
      <c r="G82" s="141">
        <v>745</v>
      </c>
      <c r="H82" s="141"/>
      <c r="I82" s="141"/>
      <c r="J82" s="188">
        <f t="shared" si="60"/>
        <v>40.23</v>
      </c>
      <c r="K82" s="188">
        <f t="shared" si="61"/>
        <v>13.41</v>
      </c>
      <c r="L82" s="188">
        <f t="shared" si="62"/>
        <v>13.41</v>
      </c>
      <c r="M82" s="188">
        <f t="shared" si="63"/>
        <v>13.41</v>
      </c>
      <c r="N82" s="188">
        <f t="shared" si="64"/>
        <v>22.5126</v>
      </c>
      <c r="O82" s="188"/>
      <c r="P82" s="188">
        <f>(523*90+222*54)/10000*3</f>
        <v>17.7174</v>
      </c>
      <c r="Q82" s="188"/>
      <c r="R82" s="188"/>
      <c r="S82" s="146"/>
      <c r="T82" s="146"/>
      <c r="U82" s="146"/>
      <c r="V82" s="141" t="s">
        <v>2782</v>
      </c>
    </row>
    <row r="83" s="162" customFormat="1" ht="12" spans="1:22">
      <c r="A83" s="141"/>
      <c r="B83" s="141" t="s">
        <v>2756</v>
      </c>
      <c r="C83" s="141"/>
      <c r="D83" s="141" t="s">
        <v>147</v>
      </c>
      <c r="E83" s="141">
        <v>849</v>
      </c>
      <c r="F83" s="141">
        <v>226</v>
      </c>
      <c r="G83" s="141">
        <v>849</v>
      </c>
      <c r="H83" s="141"/>
      <c r="I83" s="141"/>
      <c r="J83" s="188">
        <f t="shared" si="60"/>
        <v>45.846</v>
      </c>
      <c r="K83" s="188">
        <f t="shared" si="61"/>
        <v>15.282</v>
      </c>
      <c r="L83" s="188">
        <f t="shared" si="62"/>
        <v>15.282</v>
      </c>
      <c r="M83" s="188">
        <f t="shared" si="63"/>
        <v>15.282</v>
      </c>
      <c r="N83" s="188">
        <f t="shared" si="64"/>
        <v>26.1306</v>
      </c>
      <c r="O83" s="188"/>
      <c r="P83" s="188">
        <f>(552*90+297*54)/10000*3</f>
        <v>19.7154</v>
      </c>
      <c r="Q83" s="188"/>
      <c r="R83" s="188"/>
      <c r="S83" s="146"/>
      <c r="T83" s="146"/>
      <c r="U83" s="146"/>
      <c r="V83" s="141" t="s">
        <v>2783</v>
      </c>
    </row>
    <row r="84" s="162" customFormat="1" ht="24" spans="1:22">
      <c r="A84" s="141">
        <v>17</v>
      </c>
      <c r="B84" s="141" t="s">
        <v>332</v>
      </c>
      <c r="C84" s="141" t="s">
        <v>320</v>
      </c>
      <c r="D84" s="141" t="s">
        <v>147</v>
      </c>
      <c r="E84" s="141">
        <f t="shared" ref="E84:G84" si="65">SUM(E85:E90)</f>
        <v>3881</v>
      </c>
      <c r="F84" s="141">
        <f t="shared" si="65"/>
        <v>1043</v>
      </c>
      <c r="G84" s="141">
        <f t="shared" si="65"/>
        <v>3881</v>
      </c>
      <c r="H84" s="177">
        <v>2018</v>
      </c>
      <c r="I84" s="177" t="s">
        <v>2593</v>
      </c>
      <c r="J84" s="188">
        <f t="shared" si="60"/>
        <v>0</v>
      </c>
      <c r="K84" s="188"/>
      <c r="L84" s="188"/>
      <c r="M84" s="188"/>
      <c r="N84" s="188">
        <f t="shared" ref="N84:N90" si="66">J84</f>
        <v>0</v>
      </c>
      <c r="O84" s="188"/>
      <c r="P84" s="188"/>
      <c r="Q84" s="188"/>
      <c r="R84" s="188"/>
      <c r="S84" s="146" t="s">
        <v>2775</v>
      </c>
      <c r="T84" s="146" t="s">
        <v>2776</v>
      </c>
      <c r="U84" s="146" t="s">
        <v>195</v>
      </c>
      <c r="V84" s="141" t="s">
        <v>2784</v>
      </c>
    </row>
    <row r="85" s="162" customFormat="1" ht="12" spans="1:22">
      <c r="A85" s="141"/>
      <c r="B85" s="141" t="s">
        <v>2758</v>
      </c>
      <c r="C85" s="141"/>
      <c r="D85" s="141" t="s">
        <v>147</v>
      </c>
      <c r="E85" s="141">
        <v>698</v>
      </c>
      <c r="F85" s="141">
        <v>190</v>
      </c>
      <c r="G85" s="141">
        <v>698</v>
      </c>
      <c r="H85" s="141"/>
      <c r="I85" s="141"/>
      <c r="J85" s="188"/>
      <c r="K85" s="188"/>
      <c r="L85" s="188"/>
      <c r="M85" s="188"/>
      <c r="N85" s="188">
        <f t="shared" si="66"/>
        <v>0</v>
      </c>
      <c r="O85" s="188"/>
      <c r="P85" s="188"/>
      <c r="Q85" s="188"/>
      <c r="R85" s="188"/>
      <c r="S85" s="146"/>
      <c r="T85" s="146"/>
      <c r="U85" s="146"/>
      <c r="V85" s="141"/>
    </row>
    <row r="86" s="162" customFormat="1" ht="12" spans="1:22">
      <c r="A86" s="141"/>
      <c r="B86" s="141" t="s">
        <v>2754</v>
      </c>
      <c r="C86" s="141"/>
      <c r="D86" s="141" t="s">
        <v>147</v>
      </c>
      <c r="E86" s="141">
        <v>708</v>
      </c>
      <c r="F86" s="141">
        <v>183</v>
      </c>
      <c r="G86" s="141">
        <v>708</v>
      </c>
      <c r="H86" s="141"/>
      <c r="I86" s="141"/>
      <c r="J86" s="188"/>
      <c r="K86" s="188"/>
      <c r="L86" s="188"/>
      <c r="M86" s="188"/>
      <c r="N86" s="188">
        <f t="shared" si="66"/>
        <v>0</v>
      </c>
      <c r="O86" s="188"/>
      <c r="P86" s="188"/>
      <c r="Q86" s="188"/>
      <c r="R86" s="188"/>
      <c r="S86" s="146"/>
      <c r="T86" s="146"/>
      <c r="U86" s="146"/>
      <c r="V86" s="141"/>
    </row>
    <row r="87" s="162" customFormat="1" ht="12" spans="1:22">
      <c r="A87" s="141"/>
      <c r="B87" s="141" t="s">
        <v>2759</v>
      </c>
      <c r="C87" s="141"/>
      <c r="D87" s="141" t="s">
        <v>147</v>
      </c>
      <c r="E87" s="141">
        <v>434</v>
      </c>
      <c r="F87" s="141">
        <v>122</v>
      </c>
      <c r="G87" s="141">
        <v>434</v>
      </c>
      <c r="H87" s="141"/>
      <c r="I87" s="141"/>
      <c r="J87" s="188"/>
      <c r="K87" s="188"/>
      <c r="L87" s="188"/>
      <c r="M87" s="188"/>
      <c r="N87" s="188">
        <f t="shared" si="66"/>
        <v>0</v>
      </c>
      <c r="O87" s="188"/>
      <c r="P87" s="188"/>
      <c r="Q87" s="188"/>
      <c r="R87" s="188"/>
      <c r="S87" s="146"/>
      <c r="T87" s="146"/>
      <c r="U87" s="146"/>
      <c r="V87" s="141"/>
    </row>
    <row r="88" s="162" customFormat="1" ht="12" spans="1:22">
      <c r="A88" s="141"/>
      <c r="B88" s="141" t="s">
        <v>2760</v>
      </c>
      <c r="C88" s="141"/>
      <c r="D88" s="141" t="s">
        <v>147</v>
      </c>
      <c r="E88" s="141">
        <v>447</v>
      </c>
      <c r="F88" s="141">
        <v>119</v>
      </c>
      <c r="G88" s="141">
        <v>447</v>
      </c>
      <c r="H88" s="141"/>
      <c r="I88" s="141"/>
      <c r="J88" s="188"/>
      <c r="K88" s="188"/>
      <c r="L88" s="188"/>
      <c r="M88" s="188"/>
      <c r="N88" s="188">
        <f t="shared" si="66"/>
        <v>0</v>
      </c>
      <c r="O88" s="188"/>
      <c r="P88" s="188"/>
      <c r="Q88" s="188"/>
      <c r="R88" s="188"/>
      <c r="S88" s="146"/>
      <c r="T88" s="146"/>
      <c r="U88" s="146"/>
      <c r="V88" s="141"/>
    </row>
    <row r="89" s="162" customFormat="1" ht="12" spans="1:22">
      <c r="A89" s="141"/>
      <c r="B89" s="141" t="s">
        <v>2755</v>
      </c>
      <c r="C89" s="141"/>
      <c r="D89" s="141" t="s">
        <v>147</v>
      </c>
      <c r="E89" s="141">
        <v>745</v>
      </c>
      <c r="F89" s="141">
        <v>203</v>
      </c>
      <c r="G89" s="141">
        <v>745</v>
      </c>
      <c r="H89" s="141"/>
      <c r="I89" s="141"/>
      <c r="J89" s="188"/>
      <c r="K89" s="188"/>
      <c r="L89" s="188"/>
      <c r="M89" s="188"/>
      <c r="N89" s="188">
        <f t="shared" si="66"/>
        <v>0</v>
      </c>
      <c r="O89" s="188"/>
      <c r="P89" s="188"/>
      <c r="Q89" s="188"/>
      <c r="R89" s="188"/>
      <c r="S89" s="146"/>
      <c r="T89" s="146"/>
      <c r="U89" s="146"/>
      <c r="V89" s="141"/>
    </row>
    <row r="90" s="162" customFormat="1" ht="12" spans="1:22">
      <c r="A90" s="141"/>
      <c r="B90" s="141" t="s">
        <v>2756</v>
      </c>
      <c r="C90" s="141"/>
      <c r="D90" s="141" t="s">
        <v>147</v>
      </c>
      <c r="E90" s="141">
        <v>849</v>
      </c>
      <c r="F90" s="141">
        <v>226</v>
      </c>
      <c r="G90" s="141">
        <v>849</v>
      </c>
      <c r="H90" s="141"/>
      <c r="I90" s="141"/>
      <c r="J90" s="188"/>
      <c r="K90" s="188"/>
      <c r="L90" s="188"/>
      <c r="M90" s="188"/>
      <c r="N90" s="188">
        <f t="shared" si="66"/>
        <v>0</v>
      </c>
      <c r="O90" s="188"/>
      <c r="P90" s="188"/>
      <c r="Q90" s="188"/>
      <c r="R90" s="188"/>
      <c r="S90" s="146"/>
      <c r="T90" s="146"/>
      <c r="U90" s="146"/>
      <c r="V90" s="141"/>
    </row>
    <row r="91" s="162" customFormat="1" ht="48" spans="1:22">
      <c r="A91" s="141">
        <v>18</v>
      </c>
      <c r="B91" s="141" t="s">
        <v>335</v>
      </c>
      <c r="C91" s="141" t="s">
        <v>320</v>
      </c>
      <c r="D91" s="141" t="s">
        <v>147</v>
      </c>
      <c r="E91" s="152">
        <f t="shared" ref="E91:G91" si="67">SUM(E92:E97)</f>
        <v>1927.636363636</v>
      </c>
      <c r="F91" s="141">
        <f t="shared" si="67"/>
        <v>0</v>
      </c>
      <c r="G91" s="141">
        <f t="shared" si="67"/>
        <v>0</v>
      </c>
      <c r="H91" s="177">
        <v>2018</v>
      </c>
      <c r="I91" s="177" t="s">
        <v>2593</v>
      </c>
      <c r="J91" s="188">
        <f t="shared" ref="J91:N91" si="68">SUM(J92:J97)</f>
        <v>79.90115913</v>
      </c>
      <c r="K91" s="188">
        <f t="shared" si="68"/>
        <v>24.139323</v>
      </c>
      <c r="L91" s="188">
        <f t="shared" si="68"/>
        <v>26.5532553</v>
      </c>
      <c r="M91" s="188">
        <f t="shared" si="68"/>
        <v>29.20858083</v>
      </c>
      <c r="N91" s="188">
        <f t="shared" si="68"/>
        <v>79.90115913</v>
      </c>
      <c r="O91" s="188"/>
      <c r="P91" s="188"/>
      <c r="Q91" s="188"/>
      <c r="R91" s="188"/>
      <c r="S91" s="146" t="s">
        <v>2775</v>
      </c>
      <c r="T91" s="146" t="s">
        <v>2776</v>
      </c>
      <c r="U91" s="146" t="s">
        <v>358</v>
      </c>
      <c r="V91" s="141" t="s">
        <v>2785</v>
      </c>
    </row>
    <row r="92" s="162" customFormat="1" ht="12" spans="1:22">
      <c r="A92" s="141"/>
      <c r="B92" s="141" t="s">
        <v>2758</v>
      </c>
      <c r="C92" s="141"/>
      <c r="D92" s="141" t="s">
        <v>147</v>
      </c>
      <c r="E92" s="152">
        <v>304.363636364</v>
      </c>
      <c r="F92" s="141"/>
      <c r="G92" s="141"/>
      <c r="H92" s="141"/>
      <c r="I92" s="141"/>
      <c r="J92" s="188">
        <f t="shared" ref="J92:J97" si="69">SUM(K92:M92)</f>
        <v>11.87320832</v>
      </c>
      <c r="K92" s="188">
        <v>3.587072</v>
      </c>
      <c r="L92" s="188">
        <f t="shared" ref="L92:L97" si="70">K92+K92*0.1</f>
        <v>3.9457792</v>
      </c>
      <c r="M92" s="188">
        <f t="shared" ref="M92:M97" si="71">L92+L92*0.1</f>
        <v>4.34035712</v>
      </c>
      <c r="N92" s="188">
        <f t="shared" ref="N92:N97" si="72">J92</f>
        <v>11.87320832</v>
      </c>
      <c r="O92" s="188"/>
      <c r="P92" s="188"/>
      <c r="Q92" s="188"/>
      <c r="R92" s="188"/>
      <c r="S92" s="146"/>
      <c r="T92" s="146"/>
      <c r="U92" s="146"/>
      <c r="V92" s="141"/>
    </row>
    <row r="93" s="162" customFormat="1" ht="12" spans="1:22">
      <c r="A93" s="141"/>
      <c r="B93" s="141" t="s">
        <v>2754</v>
      </c>
      <c r="C93" s="141"/>
      <c r="D93" s="141" t="s">
        <v>147</v>
      </c>
      <c r="E93" s="152">
        <f>366.545454545</f>
        <v>366.545454545</v>
      </c>
      <c r="F93" s="141"/>
      <c r="G93" s="141"/>
      <c r="H93" s="141"/>
      <c r="I93" s="141"/>
      <c r="J93" s="188">
        <f t="shared" si="69"/>
        <v>14.58814976</v>
      </c>
      <c r="K93" s="188">
        <v>4.407296</v>
      </c>
      <c r="L93" s="188">
        <f t="shared" si="70"/>
        <v>4.8480256</v>
      </c>
      <c r="M93" s="188">
        <f t="shared" si="71"/>
        <v>5.33282816</v>
      </c>
      <c r="N93" s="188">
        <f t="shared" si="72"/>
        <v>14.58814976</v>
      </c>
      <c r="O93" s="188"/>
      <c r="P93" s="188"/>
      <c r="Q93" s="188"/>
      <c r="R93" s="188"/>
      <c r="S93" s="146"/>
      <c r="T93" s="146"/>
      <c r="U93" s="146"/>
      <c r="V93" s="141"/>
    </row>
    <row r="94" s="162" customFormat="1" ht="12" spans="1:22">
      <c r="A94" s="141"/>
      <c r="B94" s="141" t="s">
        <v>2759</v>
      </c>
      <c r="C94" s="141"/>
      <c r="D94" s="141" t="s">
        <v>147</v>
      </c>
      <c r="E94" s="152">
        <f>232.363636364</f>
        <v>232.363636364</v>
      </c>
      <c r="F94" s="141"/>
      <c r="G94" s="141"/>
      <c r="H94" s="141"/>
      <c r="I94" s="141"/>
      <c r="J94" s="188">
        <f t="shared" si="69"/>
        <v>9.98619056</v>
      </c>
      <c r="K94" s="188">
        <v>3.016976</v>
      </c>
      <c r="L94" s="188">
        <f t="shared" si="70"/>
        <v>3.3186736</v>
      </c>
      <c r="M94" s="188">
        <f t="shared" si="71"/>
        <v>3.65054096</v>
      </c>
      <c r="N94" s="188">
        <f t="shared" si="72"/>
        <v>9.98619056</v>
      </c>
      <c r="O94" s="188"/>
      <c r="P94" s="188"/>
      <c r="Q94" s="188"/>
      <c r="R94" s="188"/>
      <c r="S94" s="146"/>
      <c r="T94" s="146"/>
      <c r="U94" s="146"/>
      <c r="V94" s="141"/>
    </row>
    <row r="95" s="162" customFormat="1" ht="12" spans="1:22">
      <c r="A95" s="141"/>
      <c r="B95" s="141" t="s">
        <v>2760</v>
      </c>
      <c r="C95" s="141"/>
      <c r="D95" s="141" t="s">
        <v>147</v>
      </c>
      <c r="E95" s="152">
        <v>144</v>
      </c>
      <c r="F95" s="141"/>
      <c r="G95" s="141"/>
      <c r="H95" s="141"/>
      <c r="I95" s="141"/>
      <c r="J95" s="188">
        <f t="shared" si="69"/>
        <v>6.25797868</v>
      </c>
      <c r="K95" s="188">
        <v>1.890628</v>
      </c>
      <c r="L95" s="188">
        <f t="shared" si="70"/>
        <v>2.0796908</v>
      </c>
      <c r="M95" s="188">
        <f t="shared" si="71"/>
        <v>2.28765988</v>
      </c>
      <c r="N95" s="188">
        <f t="shared" si="72"/>
        <v>6.25797868</v>
      </c>
      <c r="O95" s="188"/>
      <c r="P95" s="188"/>
      <c r="Q95" s="188"/>
      <c r="R95" s="188"/>
      <c r="S95" s="146"/>
      <c r="T95" s="146"/>
      <c r="U95" s="146"/>
      <c r="V95" s="141"/>
    </row>
    <row r="96" s="162" customFormat="1" ht="12" spans="1:22">
      <c r="A96" s="141"/>
      <c r="B96" s="141" t="s">
        <v>2755</v>
      </c>
      <c r="C96" s="141"/>
      <c r="D96" s="141" t="s">
        <v>147</v>
      </c>
      <c r="E96" s="152">
        <v>510.545454545</v>
      </c>
      <c r="F96" s="141"/>
      <c r="G96" s="141"/>
      <c r="H96" s="141"/>
      <c r="I96" s="141"/>
      <c r="J96" s="188">
        <f t="shared" si="69"/>
        <v>22.58614248</v>
      </c>
      <c r="K96" s="188">
        <v>6.823608</v>
      </c>
      <c r="L96" s="188">
        <f t="shared" si="70"/>
        <v>7.5059688</v>
      </c>
      <c r="M96" s="188">
        <f t="shared" si="71"/>
        <v>8.25656568</v>
      </c>
      <c r="N96" s="188">
        <f t="shared" si="72"/>
        <v>22.58614248</v>
      </c>
      <c r="O96" s="188"/>
      <c r="P96" s="188"/>
      <c r="Q96" s="188"/>
      <c r="R96" s="188"/>
      <c r="S96" s="146"/>
      <c r="T96" s="146"/>
      <c r="U96" s="146"/>
      <c r="V96" s="141"/>
    </row>
    <row r="97" s="162" customFormat="1" ht="12" spans="1:22">
      <c r="A97" s="141"/>
      <c r="B97" s="141" t="s">
        <v>2756</v>
      </c>
      <c r="C97" s="141"/>
      <c r="D97" s="141" t="s">
        <v>147</v>
      </c>
      <c r="E97" s="152">
        <v>369.818181818</v>
      </c>
      <c r="F97" s="141"/>
      <c r="G97" s="141"/>
      <c r="H97" s="141"/>
      <c r="I97" s="141"/>
      <c r="J97" s="188">
        <f t="shared" si="69"/>
        <v>14.60948933</v>
      </c>
      <c r="K97" s="188">
        <v>4.413743</v>
      </c>
      <c r="L97" s="188">
        <f t="shared" si="70"/>
        <v>4.8551173</v>
      </c>
      <c r="M97" s="188">
        <f t="shared" si="71"/>
        <v>5.34062903</v>
      </c>
      <c r="N97" s="188">
        <f t="shared" si="72"/>
        <v>14.60948933</v>
      </c>
      <c r="O97" s="188"/>
      <c r="P97" s="188"/>
      <c r="Q97" s="188"/>
      <c r="R97" s="188"/>
      <c r="S97" s="146"/>
      <c r="T97" s="146"/>
      <c r="U97" s="146"/>
      <c r="V97" s="141"/>
    </row>
    <row r="98" s="162" customFormat="1" ht="24" spans="1:22">
      <c r="A98" s="141">
        <v>19</v>
      </c>
      <c r="B98" s="141" t="s">
        <v>355</v>
      </c>
      <c r="C98" s="141" t="s">
        <v>320</v>
      </c>
      <c r="D98" s="141" t="s">
        <v>147</v>
      </c>
      <c r="E98" s="141">
        <f t="shared" ref="E98:G98" si="73">SUM(E99:E104)</f>
        <v>11</v>
      </c>
      <c r="F98" s="141">
        <f t="shared" si="73"/>
        <v>11</v>
      </c>
      <c r="G98" s="141">
        <f t="shared" si="73"/>
        <v>11</v>
      </c>
      <c r="H98" s="177">
        <v>2018</v>
      </c>
      <c r="I98" s="177" t="s">
        <v>2593</v>
      </c>
      <c r="J98" s="188">
        <f>K98+L98+M98</f>
        <v>0</v>
      </c>
      <c r="K98" s="188"/>
      <c r="L98" s="188"/>
      <c r="M98" s="188"/>
      <c r="N98" s="188"/>
      <c r="O98" s="188"/>
      <c r="P98" s="188"/>
      <c r="Q98" s="188"/>
      <c r="R98" s="188"/>
      <c r="S98" s="146" t="s">
        <v>2775</v>
      </c>
      <c r="T98" s="146" t="s">
        <v>2776</v>
      </c>
      <c r="U98" s="146" t="s">
        <v>358</v>
      </c>
      <c r="V98" s="141" t="s">
        <v>2786</v>
      </c>
    </row>
    <row r="99" s="162" customFormat="1" ht="12" spans="1:22">
      <c r="A99" s="141"/>
      <c r="B99" s="141" t="s">
        <v>2758</v>
      </c>
      <c r="C99" s="141"/>
      <c r="D99" s="141" t="s">
        <v>147</v>
      </c>
      <c r="E99" s="141">
        <v>1</v>
      </c>
      <c r="F99" s="141">
        <v>1</v>
      </c>
      <c r="G99" s="141">
        <v>1</v>
      </c>
      <c r="H99" s="141"/>
      <c r="I99" s="141"/>
      <c r="J99" s="188"/>
      <c r="K99" s="188"/>
      <c r="L99" s="188"/>
      <c r="M99" s="188"/>
      <c r="N99" s="188"/>
      <c r="O99" s="188"/>
      <c r="P99" s="188"/>
      <c r="Q99" s="188"/>
      <c r="R99" s="188"/>
      <c r="S99" s="146"/>
      <c r="T99" s="146"/>
      <c r="U99" s="146"/>
      <c r="V99" s="141"/>
    </row>
    <row r="100" s="162" customFormat="1" ht="12" spans="1:22">
      <c r="A100" s="141"/>
      <c r="B100" s="141" t="s">
        <v>2754</v>
      </c>
      <c r="C100" s="141"/>
      <c r="D100" s="141" t="s">
        <v>147</v>
      </c>
      <c r="E100" s="141">
        <v>3</v>
      </c>
      <c r="F100" s="141">
        <v>3</v>
      </c>
      <c r="G100" s="141">
        <v>3</v>
      </c>
      <c r="H100" s="141"/>
      <c r="I100" s="141"/>
      <c r="J100" s="188"/>
      <c r="K100" s="188"/>
      <c r="L100" s="188"/>
      <c r="M100" s="188"/>
      <c r="N100" s="188"/>
      <c r="O100" s="188"/>
      <c r="P100" s="188"/>
      <c r="Q100" s="188"/>
      <c r="R100" s="188"/>
      <c r="S100" s="146"/>
      <c r="T100" s="146"/>
      <c r="U100" s="146"/>
      <c r="V100" s="141"/>
    </row>
    <row r="101" s="162" customFormat="1" ht="12" spans="1:22">
      <c r="A101" s="141"/>
      <c r="B101" s="141" t="s">
        <v>2759</v>
      </c>
      <c r="C101" s="141"/>
      <c r="D101" s="141" t="s">
        <v>147</v>
      </c>
      <c r="E101" s="141">
        <v>3</v>
      </c>
      <c r="F101" s="141">
        <v>3</v>
      </c>
      <c r="G101" s="141">
        <v>3</v>
      </c>
      <c r="H101" s="141"/>
      <c r="I101" s="141"/>
      <c r="J101" s="188"/>
      <c r="K101" s="188"/>
      <c r="L101" s="188"/>
      <c r="M101" s="188"/>
      <c r="N101" s="188"/>
      <c r="O101" s="188"/>
      <c r="P101" s="188"/>
      <c r="Q101" s="188"/>
      <c r="R101" s="188"/>
      <c r="S101" s="146"/>
      <c r="T101" s="146"/>
      <c r="U101" s="146"/>
      <c r="V101" s="141"/>
    </row>
    <row r="102" s="162" customFormat="1" ht="12" spans="1:22">
      <c r="A102" s="141"/>
      <c r="B102" s="141" t="s">
        <v>2760</v>
      </c>
      <c r="C102" s="141"/>
      <c r="D102" s="141" t="s">
        <v>147</v>
      </c>
      <c r="E102" s="141">
        <v>1</v>
      </c>
      <c r="F102" s="141">
        <v>1</v>
      </c>
      <c r="G102" s="141">
        <v>1</v>
      </c>
      <c r="H102" s="141"/>
      <c r="I102" s="141"/>
      <c r="J102" s="188"/>
      <c r="K102" s="188"/>
      <c r="L102" s="188"/>
      <c r="M102" s="188"/>
      <c r="N102" s="188"/>
      <c r="O102" s="188"/>
      <c r="P102" s="188"/>
      <c r="Q102" s="188"/>
      <c r="R102" s="188"/>
      <c r="S102" s="146"/>
      <c r="T102" s="146"/>
      <c r="U102" s="146"/>
      <c r="V102" s="141"/>
    </row>
    <row r="103" s="162" customFormat="1" ht="12" spans="1:22">
      <c r="A103" s="141"/>
      <c r="B103" s="141" t="s">
        <v>2755</v>
      </c>
      <c r="C103" s="141"/>
      <c r="D103" s="141" t="s">
        <v>147</v>
      </c>
      <c r="E103" s="141">
        <v>2</v>
      </c>
      <c r="F103" s="141">
        <v>2</v>
      </c>
      <c r="G103" s="141">
        <v>2</v>
      </c>
      <c r="H103" s="141"/>
      <c r="I103" s="141"/>
      <c r="J103" s="188"/>
      <c r="K103" s="188"/>
      <c r="L103" s="188"/>
      <c r="M103" s="188"/>
      <c r="N103" s="188"/>
      <c r="O103" s="188"/>
      <c r="P103" s="188"/>
      <c r="Q103" s="188"/>
      <c r="R103" s="188"/>
      <c r="S103" s="146"/>
      <c r="T103" s="146"/>
      <c r="U103" s="146"/>
      <c r="V103" s="141"/>
    </row>
    <row r="104" s="162" customFormat="1" ht="12" spans="1:22">
      <c r="A104" s="141"/>
      <c r="B104" s="141" t="s">
        <v>2756</v>
      </c>
      <c r="C104" s="141"/>
      <c r="D104" s="141" t="s">
        <v>147</v>
      </c>
      <c r="E104" s="141">
        <v>1</v>
      </c>
      <c r="F104" s="141">
        <v>1</v>
      </c>
      <c r="G104" s="141">
        <v>1</v>
      </c>
      <c r="H104" s="141"/>
      <c r="I104" s="141"/>
      <c r="J104" s="188"/>
      <c r="K104" s="188"/>
      <c r="L104" s="188"/>
      <c r="M104" s="188"/>
      <c r="N104" s="188"/>
      <c r="O104" s="188"/>
      <c r="P104" s="188"/>
      <c r="Q104" s="188"/>
      <c r="R104" s="188"/>
      <c r="S104" s="146"/>
      <c r="T104" s="146"/>
      <c r="U104" s="146"/>
      <c r="V104" s="141"/>
    </row>
    <row r="105" s="162" customFormat="1" ht="48" spans="1:22">
      <c r="A105" s="141">
        <v>20</v>
      </c>
      <c r="B105" s="141" t="s">
        <v>370</v>
      </c>
      <c r="C105" s="141" t="s">
        <v>320</v>
      </c>
      <c r="D105" s="141" t="s">
        <v>147</v>
      </c>
      <c r="E105" s="152">
        <f t="shared" ref="E105:G105" si="74">SUM(E106:E111)</f>
        <v>2002</v>
      </c>
      <c r="F105" s="141">
        <f t="shared" si="74"/>
        <v>0</v>
      </c>
      <c r="G105" s="141">
        <f t="shared" si="74"/>
        <v>0</v>
      </c>
      <c r="H105" s="177">
        <v>2018</v>
      </c>
      <c r="I105" s="177" t="s">
        <v>2593</v>
      </c>
      <c r="J105" s="188">
        <f t="shared" ref="J105:J111" si="75">SUM(K105:M105)</f>
        <v>46.8601996</v>
      </c>
      <c r="K105" s="188">
        <f t="shared" ref="K105:N105" si="76">SUM(K106:K111)</f>
        <v>14.15716</v>
      </c>
      <c r="L105" s="188">
        <f t="shared" si="76"/>
        <v>15.572876</v>
      </c>
      <c r="M105" s="188">
        <f t="shared" si="76"/>
        <v>17.1301636</v>
      </c>
      <c r="N105" s="188">
        <f t="shared" si="76"/>
        <v>46.8601996</v>
      </c>
      <c r="O105" s="188"/>
      <c r="P105" s="188"/>
      <c r="Q105" s="188"/>
      <c r="R105" s="188"/>
      <c r="S105" s="146" t="s">
        <v>2775</v>
      </c>
      <c r="T105" s="146" t="s">
        <v>2776</v>
      </c>
      <c r="U105" s="146" t="s">
        <v>358</v>
      </c>
      <c r="V105" s="146" t="s">
        <v>2785</v>
      </c>
    </row>
    <row r="106" s="162" customFormat="1" ht="12" spans="1:22">
      <c r="A106" s="141"/>
      <c r="B106" s="141" t="s">
        <v>2758</v>
      </c>
      <c r="C106" s="141"/>
      <c r="D106" s="141" t="s">
        <v>147</v>
      </c>
      <c r="E106" s="152">
        <v>281</v>
      </c>
      <c r="F106" s="141"/>
      <c r="G106" s="141"/>
      <c r="H106" s="141"/>
      <c r="I106" s="141"/>
      <c r="J106" s="188">
        <f t="shared" si="75"/>
        <v>4.30303641</v>
      </c>
      <c r="K106" s="188">
        <v>1.300011</v>
      </c>
      <c r="L106" s="188">
        <f t="shared" ref="L106:L111" si="77">K106+K106*0.1</f>
        <v>1.4300121</v>
      </c>
      <c r="M106" s="188">
        <f t="shared" ref="M106:M111" si="78">L106+L106*0.1</f>
        <v>1.57301331</v>
      </c>
      <c r="N106" s="188">
        <f t="shared" ref="N106:N111" si="79">J106</f>
        <v>4.30303641</v>
      </c>
      <c r="O106" s="188"/>
      <c r="P106" s="188"/>
      <c r="Q106" s="188"/>
      <c r="R106" s="188"/>
      <c r="S106" s="146"/>
      <c r="T106" s="146"/>
      <c r="U106" s="146"/>
      <c r="V106" s="141"/>
    </row>
    <row r="107" s="162" customFormat="1" ht="12" spans="1:22">
      <c r="A107" s="141"/>
      <c r="B107" s="141" t="s">
        <v>2754</v>
      </c>
      <c r="C107" s="141"/>
      <c r="D107" s="141" t="s">
        <v>147</v>
      </c>
      <c r="E107" s="152">
        <v>399</v>
      </c>
      <c r="F107" s="141"/>
      <c r="G107" s="141"/>
      <c r="H107" s="141"/>
      <c r="I107" s="141"/>
      <c r="J107" s="188">
        <f t="shared" si="75"/>
        <v>4.4597947</v>
      </c>
      <c r="K107" s="188">
        <v>1.34737</v>
      </c>
      <c r="L107" s="188">
        <f t="shared" si="77"/>
        <v>1.482107</v>
      </c>
      <c r="M107" s="188">
        <f t="shared" si="78"/>
        <v>1.6303177</v>
      </c>
      <c r="N107" s="188">
        <f t="shared" si="79"/>
        <v>4.4597947</v>
      </c>
      <c r="O107" s="188"/>
      <c r="P107" s="188"/>
      <c r="Q107" s="188"/>
      <c r="R107" s="188"/>
      <c r="S107" s="146"/>
      <c r="T107" s="146"/>
      <c r="U107" s="146"/>
      <c r="V107" s="141"/>
    </row>
    <row r="108" s="162" customFormat="1" ht="12" spans="1:22">
      <c r="A108" s="141"/>
      <c r="B108" s="141" t="s">
        <v>2759</v>
      </c>
      <c r="C108" s="141"/>
      <c r="D108" s="141" t="s">
        <v>147</v>
      </c>
      <c r="E108" s="152">
        <v>255</v>
      </c>
      <c r="F108" s="141"/>
      <c r="G108" s="141"/>
      <c r="H108" s="141"/>
      <c r="I108" s="141"/>
      <c r="J108" s="188">
        <f t="shared" si="75"/>
        <v>12.4039602</v>
      </c>
      <c r="K108" s="188">
        <v>3.74742</v>
      </c>
      <c r="L108" s="188">
        <f t="shared" si="77"/>
        <v>4.122162</v>
      </c>
      <c r="M108" s="188">
        <f t="shared" si="78"/>
        <v>4.5343782</v>
      </c>
      <c r="N108" s="188">
        <f t="shared" si="79"/>
        <v>12.4039602</v>
      </c>
      <c r="O108" s="188"/>
      <c r="P108" s="188"/>
      <c r="Q108" s="188"/>
      <c r="R108" s="188"/>
      <c r="S108" s="146"/>
      <c r="T108" s="146"/>
      <c r="U108" s="146"/>
      <c r="V108" s="141"/>
    </row>
    <row r="109" s="162" customFormat="1" ht="12" spans="1:22">
      <c r="A109" s="141"/>
      <c r="B109" s="141" t="s">
        <v>2760</v>
      </c>
      <c r="C109" s="141"/>
      <c r="D109" s="141" t="s">
        <v>147</v>
      </c>
      <c r="E109" s="152">
        <v>151</v>
      </c>
      <c r="F109" s="141"/>
      <c r="G109" s="141"/>
      <c r="H109" s="141"/>
      <c r="I109" s="141"/>
      <c r="J109" s="188">
        <f t="shared" si="75"/>
        <v>13.840765</v>
      </c>
      <c r="K109" s="188">
        <v>4.1815</v>
      </c>
      <c r="L109" s="188">
        <f t="shared" si="77"/>
        <v>4.59965</v>
      </c>
      <c r="M109" s="188">
        <f t="shared" si="78"/>
        <v>5.059615</v>
      </c>
      <c r="N109" s="188">
        <f t="shared" si="79"/>
        <v>13.840765</v>
      </c>
      <c r="O109" s="188"/>
      <c r="P109" s="188"/>
      <c r="Q109" s="188"/>
      <c r="R109" s="188"/>
      <c r="S109" s="146"/>
      <c r="T109" s="146"/>
      <c r="U109" s="146"/>
      <c r="V109" s="141"/>
    </row>
    <row r="110" s="162" customFormat="1" ht="12" spans="1:22">
      <c r="A110" s="141"/>
      <c r="B110" s="141" t="s">
        <v>2755</v>
      </c>
      <c r="C110" s="141"/>
      <c r="D110" s="141" t="s">
        <v>147</v>
      </c>
      <c r="E110" s="152">
        <v>543</v>
      </c>
      <c r="F110" s="141"/>
      <c r="G110" s="141"/>
      <c r="H110" s="141"/>
      <c r="I110" s="141"/>
      <c r="J110" s="188">
        <f t="shared" si="75"/>
        <v>7.31428243</v>
      </c>
      <c r="K110" s="188">
        <v>2.209753</v>
      </c>
      <c r="L110" s="188">
        <f t="shared" si="77"/>
        <v>2.4307283</v>
      </c>
      <c r="M110" s="188">
        <f t="shared" si="78"/>
        <v>2.67380113</v>
      </c>
      <c r="N110" s="188">
        <f t="shared" si="79"/>
        <v>7.31428243</v>
      </c>
      <c r="O110" s="188"/>
      <c r="P110" s="188"/>
      <c r="Q110" s="188"/>
      <c r="R110" s="188"/>
      <c r="S110" s="146"/>
      <c r="T110" s="146"/>
      <c r="U110" s="146"/>
      <c r="V110" s="141"/>
    </row>
    <row r="111" s="162" customFormat="1" ht="12" spans="1:22">
      <c r="A111" s="141"/>
      <c r="B111" s="141" t="s">
        <v>2756</v>
      </c>
      <c r="C111" s="141"/>
      <c r="D111" s="141" t="s">
        <v>147</v>
      </c>
      <c r="E111" s="152">
        <v>373</v>
      </c>
      <c r="F111" s="141"/>
      <c r="G111" s="141"/>
      <c r="H111" s="141"/>
      <c r="I111" s="141"/>
      <c r="J111" s="188">
        <f t="shared" si="75"/>
        <v>4.53836086</v>
      </c>
      <c r="K111" s="188">
        <v>1.371106</v>
      </c>
      <c r="L111" s="188">
        <f t="shared" si="77"/>
        <v>1.5082166</v>
      </c>
      <c r="M111" s="188">
        <f t="shared" si="78"/>
        <v>1.65903826</v>
      </c>
      <c r="N111" s="188">
        <f t="shared" si="79"/>
        <v>4.53836086</v>
      </c>
      <c r="O111" s="188"/>
      <c r="P111" s="188"/>
      <c r="Q111" s="188"/>
      <c r="R111" s="188"/>
      <c r="S111" s="146"/>
      <c r="T111" s="146"/>
      <c r="U111" s="146"/>
      <c r="V111" s="141"/>
    </row>
    <row r="112" s="162" customFormat="1" ht="12" spans="1:22">
      <c r="A112" s="141">
        <v>21</v>
      </c>
      <c r="B112" s="192" t="s">
        <v>819</v>
      </c>
      <c r="C112" s="141" t="s">
        <v>320</v>
      </c>
      <c r="D112" s="141"/>
      <c r="E112" s="141">
        <f t="shared" ref="E112:G112" si="80">E113+E139+E147</f>
        <v>2063</v>
      </c>
      <c r="F112" s="141">
        <f t="shared" si="80"/>
        <v>1573</v>
      </c>
      <c r="G112" s="141">
        <f t="shared" si="80"/>
        <v>2060</v>
      </c>
      <c r="H112" s="141"/>
      <c r="I112" s="141"/>
      <c r="J112" s="188">
        <f t="shared" ref="J112:R112" si="81">J113+J139+J147</f>
        <v>165.4542</v>
      </c>
      <c r="K112" s="188">
        <f t="shared" si="81"/>
        <v>40.5438</v>
      </c>
      <c r="L112" s="188">
        <f t="shared" si="81"/>
        <v>62.4552</v>
      </c>
      <c r="M112" s="188">
        <f t="shared" si="81"/>
        <v>62.4552</v>
      </c>
      <c r="N112" s="188">
        <f t="shared" si="81"/>
        <v>11.52</v>
      </c>
      <c r="O112" s="188">
        <f t="shared" si="81"/>
        <v>0</v>
      </c>
      <c r="P112" s="188">
        <f t="shared" si="81"/>
        <v>90.4842</v>
      </c>
      <c r="Q112" s="188">
        <f t="shared" si="81"/>
        <v>63.45</v>
      </c>
      <c r="R112" s="188">
        <f t="shared" si="81"/>
        <v>0</v>
      </c>
      <c r="S112" s="193" t="s">
        <v>2775</v>
      </c>
      <c r="T112" s="193" t="s">
        <v>2787</v>
      </c>
      <c r="U112" s="141" t="s">
        <v>320</v>
      </c>
      <c r="V112" s="141" t="s">
        <v>41</v>
      </c>
    </row>
    <row r="113" s="162" customFormat="1" ht="24" spans="1:22">
      <c r="A113" s="141">
        <v>22</v>
      </c>
      <c r="B113" s="141" t="s">
        <v>239</v>
      </c>
      <c r="C113" s="141" t="s">
        <v>320</v>
      </c>
      <c r="D113" s="141" t="s">
        <v>147</v>
      </c>
      <c r="E113" s="141">
        <f t="shared" ref="E113:G113" si="82">E114+E122+E130+E138</f>
        <v>1084</v>
      </c>
      <c r="F113" s="141">
        <f t="shared" si="82"/>
        <v>867</v>
      </c>
      <c r="G113" s="141">
        <f t="shared" si="82"/>
        <v>1084</v>
      </c>
      <c r="H113" s="177">
        <v>2018</v>
      </c>
      <c r="I113" s="177" t="s">
        <v>2593</v>
      </c>
      <c r="J113" s="188"/>
      <c r="K113" s="188"/>
      <c r="L113" s="188"/>
      <c r="M113" s="188"/>
      <c r="N113" s="188"/>
      <c r="O113" s="188"/>
      <c r="P113" s="188"/>
      <c r="Q113" s="188"/>
      <c r="R113" s="188"/>
      <c r="S113" s="193" t="s">
        <v>2775</v>
      </c>
      <c r="T113" s="193" t="s">
        <v>2787</v>
      </c>
      <c r="U113" s="141" t="s">
        <v>320</v>
      </c>
      <c r="V113" s="141" t="s">
        <v>2788</v>
      </c>
    </row>
    <row r="114" s="162" customFormat="1" ht="24" spans="1:22">
      <c r="A114" s="141">
        <v>23</v>
      </c>
      <c r="B114" s="141" t="s">
        <v>241</v>
      </c>
      <c r="C114" s="141" t="s">
        <v>320</v>
      </c>
      <c r="D114" s="141" t="s">
        <v>147</v>
      </c>
      <c r="E114" s="141">
        <f t="shared" ref="E114:G114" si="83">SUM(E115:E121)</f>
        <v>296</v>
      </c>
      <c r="F114" s="141">
        <f t="shared" si="83"/>
        <v>238</v>
      </c>
      <c r="G114" s="141">
        <f t="shared" si="83"/>
        <v>296</v>
      </c>
      <c r="H114" s="177">
        <v>2018</v>
      </c>
      <c r="I114" s="177" t="s">
        <v>2593</v>
      </c>
      <c r="J114" s="188"/>
      <c r="K114" s="188"/>
      <c r="L114" s="188"/>
      <c r="M114" s="188"/>
      <c r="N114" s="188"/>
      <c r="O114" s="188"/>
      <c r="P114" s="188"/>
      <c r="Q114" s="188"/>
      <c r="R114" s="188"/>
      <c r="S114" s="193" t="s">
        <v>2775</v>
      </c>
      <c r="T114" s="193" t="s">
        <v>2787</v>
      </c>
      <c r="U114" s="193" t="s">
        <v>195</v>
      </c>
      <c r="V114" s="141" t="s">
        <v>2788</v>
      </c>
    </row>
    <row r="115" s="162" customFormat="1" ht="12" spans="1:22">
      <c r="A115" s="141"/>
      <c r="B115" s="141" t="s">
        <v>2758</v>
      </c>
      <c r="C115" s="141"/>
      <c r="D115" s="141" t="s">
        <v>147</v>
      </c>
      <c r="E115" s="141">
        <v>37</v>
      </c>
      <c r="F115" s="141">
        <v>37</v>
      </c>
      <c r="G115" s="141">
        <v>37</v>
      </c>
      <c r="H115" s="141"/>
      <c r="I115" s="141"/>
      <c r="J115" s="188"/>
      <c r="K115" s="188"/>
      <c r="L115" s="188"/>
      <c r="M115" s="188"/>
      <c r="N115" s="188"/>
      <c r="O115" s="188"/>
      <c r="P115" s="188"/>
      <c r="Q115" s="188"/>
      <c r="R115" s="188"/>
      <c r="S115" s="193" t="s">
        <v>2775</v>
      </c>
      <c r="T115" s="193" t="s">
        <v>2787</v>
      </c>
      <c r="U115" s="193" t="s">
        <v>195</v>
      </c>
      <c r="V115" s="141"/>
    </row>
    <row r="116" s="162" customFormat="1" ht="12" spans="1:22">
      <c r="A116" s="141"/>
      <c r="B116" s="141" t="s">
        <v>2754</v>
      </c>
      <c r="C116" s="141"/>
      <c r="D116" s="141" t="s">
        <v>147</v>
      </c>
      <c r="E116" s="141">
        <v>85</v>
      </c>
      <c r="F116" s="141">
        <v>57</v>
      </c>
      <c r="G116" s="141">
        <v>85</v>
      </c>
      <c r="H116" s="141"/>
      <c r="I116" s="141"/>
      <c r="J116" s="188"/>
      <c r="K116" s="188"/>
      <c r="L116" s="188"/>
      <c r="M116" s="188"/>
      <c r="N116" s="188"/>
      <c r="O116" s="188"/>
      <c r="P116" s="188"/>
      <c r="Q116" s="188"/>
      <c r="R116" s="188"/>
      <c r="S116" s="193" t="s">
        <v>2775</v>
      </c>
      <c r="T116" s="193" t="s">
        <v>2787</v>
      </c>
      <c r="U116" s="193" t="s">
        <v>195</v>
      </c>
      <c r="V116" s="141"/>
    </row>
    <row r="117" s="162" customFormat="1" ht="12" spans="1:22">
      <c r="A117" s="141"/>
      <c r="B117" s="141" t="s">
        <v>2759</v>
      </c>
      <c r="C117" s="141"/>
      <c r="D117" s="141" t="s">
        <v>147</v>
      </c>
      <c r="E117" s="141">
        <v>36</v>
      </c>
      <c r="F117" s="141">
        <v>36</v>
      </c>
      <c r="G117" s="141">
        <v>36</v>
      </c>
      <c r="H117" s="141"/>
      <c r="I117" s="141"/>
      <c r="J117" s="188"/>
      <c r="K117" s="188"/>
      <c r="L117" s="188"/>
      <c r="M117" s="188"/>
      <c r="N117" s="188"/>
      <c r="O117" s="188"/>
      <c r="P117" s="188"/>
      <c r="Q117" s="188"/>
      <c r="R117" s="188"/>
      <c r="S117" s="193" t="s">
        <v>2775</v>
      </c>
      <c r="T117" s="193" t="s">
        <v>2787</v>
      </c>
      <c r="U117" s="193" t="s">
        <v>195</v>
      </c>
      <c r="V117" s="141"/>
    </row>
    <row r="118" s="162" customFormat="1" ht="12" spans="1:22">
      <c r="A118" s="141"/>
      <c r="B118" s="141" t="s">
        <v>2760</v>
      </c>
      <c r="C118" s="141"/>
      <c r="D118" s="141" t="s">
        <v>147</v>
      </c>
      <c r="E118" s="141">
        <v>26</v>
      </c>
      <c r="F118" s="141">
        <v>20</v>
      </c>
      <c r="G118" s="141">
        <v>26</v>
      </c>
      <c r="H118" s="141"/>
      <c r="I118" s="141"/>
      <c r="J118" s="188"/>
      <c r="K118" s="188"/>
      <c r="L118" s="188"/>
      <c r="M118" s="188"/>
      <c r="N118" s="188"/>
      <c r="O118" s="188"/>
      <c r="P118" s="188"/>
      <c r="Q118" s="188"/>
      <c r="R118" s="188"/>
      <c r="S118" s="193" t="s">
        <v>2775</v>
      </c>
      <c r="T118" s="193" t="s">
        <v>2787</v>
      </c>
      <c r="U118" s="193" t="s">
        <v>195</v>
      </c>
      <c r="V118" s="141"/>
    </row>
    <row r="119" s="162" customFormat="1" ht="12" spans="1:22">
      <c r="A119" s="141"/>
      <c r="B119" s="141" t="s">
        <v>2755</v>
      </c>
      <c r="C119" s="141"/>
      <c r="D119" s="141" t="s">
        <v>147</v>
      </c>
      <c r="E119" s="141">
        <v>77</v>
      </c>
      <c r="F119" s="141">
        <v>61</v>
      </c>
      <c r="G119" s="141">
        <v>77</v>
      </c>
      <c r="H119" s="141"/>
      <c r="I119" s="141"/>
      <c r="J119" s="188"/>
      <c r="K119" s="188"/>
      <c r="L119" s="188"/>
      <c r="M119" s="188"/>
      <c r="N119" s="188"/>
      <c r="O119" s="188"/>
      <c r="P119" s="188"/>
      <c r="Q119" s="188"/>
      <c r="R119" s="188"/>
      <c r="S119" s="193" t="s">
        <v>2775</v>
      </c>
      <c r="T119" s="193" t="s">
        <v>2787</v>
      </c>
      <c r="U119" s="193" t="s">
        <v>195</v>
      </c>
      <c r="V119" s="141"/>
    </row>
    <row r="120" s="162" customFormat="1" ht="12" spans="1:22">
      <c r="A120" s="141"/>
      <c r="B120" s="141" t="s">
        <v>2756</v>
      </c>
      <c r="C120" s="141"/>
      <c r="D120" s="141" t="s">
        <v>147</v>
      </c>
      <c r="E120" s="141">
        <v>35</v>
      </c>
      <c r="F120" s="141">
        <v>27</v>
      </c>
      <c r="G120" s="141">
        <v>35</v>
      </c>
      <c r="H120" s="141"/>
      <c r="I120" s="141"/>
      <c r="J120" s="188"/>
      <c r="K120" s="188"/>
      <c r="L120" s="188"/>
      <c r="M120" s="188"/>
      <c r="N120" s="188"/>
      <c r="O120" s="188"/>
      <c r="P120" s="188"/>
      <c r="Q120" s="188"/>
      <c r="R120" s="188"/>
      <c r="S120" s="193" t="s">
        <v>2775</v>
      </c>
      <c r="T120" s="193" t="s">
        <v>2787</v>
      </c>
      <c r="U120" s="193" t="s">
        <v>195</v>
      </c>
      <c r="V120" s="141"/>
    </row>
    <row r="121" s="162" customFormat="1" ht="12" spans="1:22">
      <c r="A121" s="141"/>
      <c r="B121" s="141" t="s">
        <v>1534</v>
      </c>
      <c r="C121" s="141"/>
      <c r="D121" s="141"/>
      <c r="E121" s="141"/>
      <c r="F121" s="141"/>
      <c r="G121" s="141"/>
      <c r="H121" s="141"/>
      <c r="I121" s="141"/>
      <c r="J121" s="188"/>
      <c r="K121" s="188"/>
      <c r="L121" s="188"/>
      <c r="M121" s="188"/>
      <c r="N121" s="188"/>
      <c r="O121" s="188"/>
      <c r="P121" s="188"/>
      <c r="Q121" s="188"/>
      <c r="R121" s="188"/>
      <c r="S121" s="193" t="s">
        <v>2775</v>
      </c>
      <c r="T121" s="193" t="s">
        <v>2787</v>
      </c>
      <c r="U121" s="193" t="s">
        <v>195</v>
      </c>
      <c r="V121" s="141"/>
    </row>
    <row r="122" s="162" customFormat="1" ht="24" spans="1:22">
      <c r="A122" s="141">
        <v>24</v>
      </c>
      <c r="B122" s="141" t="s">
        <v>264</v>
      </c>
      <c r="C122" s="141" t="s">
        <v>320</v>
      </c>
      <c r="D122" s="141" t="s">
        <v>147</v>
      </c>
      <c r="E122" s="141">
        <f t="shared" ref="E122:G122" si="84">SUM(E123:E129)</f>
        <v>306</v>
      </c>
      <c r="F122" s="141">
        <f t="shared" si="84"/>
        <v>258</v>
      </c>
      <c r="G122" s="141">
        <f t="shared" si="84"/>
        <v>306</v>
      </c>
      <c r="H122" s="177">
        <v>2018</v>
      </c>
      <c r="I122" s="177" t="s">
        <v>2593</v>
      </c>
      <c r="J122" s="188"/>
      <c r="K122" s="188"/>
      <c r="L122" s="188"/>
      <c r="M122" s="188"/>
      <c r="N122" s="188"/>
      <c r="O122" s="188"/>
      <c r="P122" s="188"/>
      <c r="Q122" s="188"/>
      <c r="R122" s="188"/>
      <c r="S122" s="193" t="s">
        <v>2775</v>
      </c>
      <c r="T122" s="193" t="s">
        <v>2787</v>
      </c>
      <c r="U122" s="193" t="s">
        <v>195</v>
      </c>
      <c r="V122" s="141" t="s">
        <v>2788</v>
      </c>
    </row>
    <row r="123" s="162" customFormat="1" ht="12" spans="1:22">
      <c r="A123" s="141"/>
      <c r="B123" s="141" t="s">
        <v>2758</v>
      </c>
      <c r="C123" s="141"/>
      <c r="D123" s="141" t="s">
        <v>147</v>
      </c>
      <c r="E123" s="141">
        <v>60</v>
      </c>
      <c r="F123" s="141">
        <v>60</v>
      </c>
      <c r="G123" s="141">
        <v>60</v>
      </c>
      <c r="H123" s="141"/>
      <c r="I123" s="141"/>
      <c r="J123" s="188"/>
      <c r="K123" s="188"/>
      <c r="L123" s="188"/>
      <c r="M123" s="188"/>
      <c r="N123" s="188"/>
      <c r="O123" s="188"/>
      <c r="P123" s="188"/>
      <c r="Q123" s="188"/>
      <c r="R123" s="188"/>
      <c r="S123" s="193" t="s">
        <v>2775</v>
      </c>
      <c r="T123" s="193" t="s">
        <v>2787</v>
      </c>
      <c r="U123" s="193" t="s">
        <v>195</v>
      </c>
      <c r="V123" s="141"/>
    </row>
    <row r="124" s="162" customFormat="1" ht="12" spans="1:22">
      <c r="A124" s="141"/>
      <c r="B124" s="141" t="s">
        <v>2754</v>
      </c>
      <c r="C124" s="141"/>
      <c r="D124" s="141" t="s">
        <v>147</v>
      </c>
      <c r="E124" s="141">
        <v>59</v>
      </c>
      <c r="F124" s="141">
        <v>38</v>
      </c>
      <c r="G124" s="141">
        <v>59</v>
      </c>
      <c r="H124" s="141"/>
      <c r="I124" s="141"/>
      <c r="J124" s="188"/>
      <c r="K124" s="188"/>
      <c r="L124" s="188"/>
      <c r="M124" s="188"/>
      <c r="N124" s="188"/>
      <c r="O124" s="188"/>
      <c r="P124" s="188"/>
      <c r="Q124" s="188"/>
      <c r="R124" s="188"/>
      <c r="S124" s="193" t="s">
        <v>2775</v>
      </c>
      <c r="T124" s="193" t="s">
        <v>2787</v>
      </c>
      <c r="U124" s="193" t="s">
        <v>195</v>
      </c>
      <c r="V124" s="141"/>
    </row>
    <row r="125" s="162" customFormat="1" ht="12" spans="1:22">
      <c r="A125" s="141"/>
      <c r="B125" s="141" t="s">
        <v>2759</v>
      </c>
      <c r="C125" s="141"/>
      <c r="D125" s="141" t="s">
        <v>147</v>
      </c>
      <c r="E125" s="141">
        <v>36</v>
      </c>
      <c r="F125" s="141">
        <v>36</v>
      </c>
      <c r="G125" s="141">
        <v>36</v>
      </c>
      <c r="H125" s="141"/>
      <c r="I125" s="141"/>
      <c r="J125" s="188"/>
      <c r="K125" s="188"/>
      <c r="L125" s="188"/>
      <c r="M125" s="188"/>
      <c r="N125" s="188"/>
      <c r="O125" s="188"/>
      <c r="P125" s="188"/>
      <c r="Q125" s="188"/>
      <c r="R125" s="188"/>
      <c r="S125" s="193" t="s">
        <v>2775</v>
      </c>
      <c r="T125" s="193" t="s">
        <v>2787</v>
      </c>
      <c r="U125" s="193" t="s">
        <v>195</v>
      </c>
      <c r="V125" s="141"/>
    </row>
    <row r="126" s="162" customFormat="1" ht="12" spans="1:22">
      <c r="A126" s="141"/>
      <c r="B126" s="141" t="s">
        <v>2760</v>
      </c>
      <c r="C126" s="141"/>
      <c r="D126" s="141" t="s">
        <v>147</v>
      </c>
      <c r="E126" s="141">
        <v>27</v>
      </c>
      <c r="F126" s="141">
        <v>19</v>
      </c>
      <c r="G126" s="141">
        <v>27</v>
      </c>
      <c r="H126" s="141"/>
      <c r="I126" s="141"/>
      <c r="J126" s="188"/>
      <c r="K126" s="188"/>
      <c r="L126" s="188"/>
      <c r="M126" s="188"/>
      <c r="N126" s="188"/>
      <c r="O126" s="188"/>
      <c r="P126" s="188"/>
      <c r="Q126" s="188"/>
      <c r="R126" s="188"/>
      <c r="S126" s="193" t="s">
        <v>2775</v>
      </c>
      <c r="T126" s="193" t="s">
        <v>2787</v>
      </c>
      <c r="U126" s="193" t="s">
        <v>195</v>
      </c>
      <c r="V126" s="141"/>
    </row>
    <row r="127" s="162" customFormat="1" ht="12" spans="1:22">
      <c r="A127" s="141"/>
      <c r="B127" s="141" t="s">
        <v>2755</v>
      </c>
      <c r="C127" s="141"/>
      <c r="D127" s="141" t="s">
        <v>147</v>
      </c>
      <c r="E127" s="141">
        <v>62</v>
      </c>
      <c r="F127" s="141">
        <v>51</v>
      </c>
      <c r="G127" s="141">
        <v>62</v>
      </c>
      <c r="H127" s="141"/>
      <c r="I127" s="141"/>
      <c r="J127" s="188"/>
      <c r="K127" s="188"/>
      <c r="L127" s="188"/>
      <c r="M127" s="188"/>
      <c r="N127" s="188"/>
      <c r="O127" s="188"/>
      <c r="P127" s="188"/>
      <c r="Q127" s="188"/>
      <c r="R127" s="188"/>
      <c r="S127" s="193" t="s">
        <v>2775</v>
      </c>
      <c r="T127" s="193" t="s">
        <v>2787</v>
      </c>
      <c r="U127" s="193" t="s">
        <v>195</v>
      </c>
      <c r="V127" s="141"/>
    </row>
    <row r="128" s="162" customFormat="1" ht="12" spans="1:22">
      <c r="A128" s="141"/>
      <c r="B128" s="141" t="s">
        <v>2756</v>
      </c>
      <c r="C128" s="141"/>
      <c r="D128" s="141" t="s">
        <v>147</v>
      </c>
      <c r="E128" s="141">
        <v>62</v>
      </c>
      <c r="F128" s="141">
        <v>54</v>
      </c>
      <c r="G128" s="141">
        <v>62</v>
      </c>
      <c r="H128" s="141"/>
      <c r="I128" s="141"/>
      <c r="J128" s="188"/>
      <c r="K128" s="188"/>
      <c r="L128" s="188"/>
      <c r="M128" s="188"/>
      <c r="N128" s="188"/>
      <c r="O128" s="188"/>
      <c r="P128" s="188"/>
      <c r="Q128" s="188"/>
      <c r="R128" s="188"/>
      <c r="S128" s="193" t="s">
        <v>2775</v>
      </c>
      <c r="T128" s="193" t="s">
        <v>2787</v>
      </c>
      <c r="U128" s="193" t="s">
        <v>195</v>
      </c>
      <c r="V128" s="141"/>
    </row>
    <row r="129" s="162" customFormat="1" ht="12" spans="1:22">
      <c r="A129" s="141"/>
      <c r="B129" s="141" t="s">
        <v>1534</v>
      </c>
      <c r="C129" s="141"/>
      <c r="D129" s="141"/>
      <c r="E129" s="141"/>
      <c r="F129" s="141"/>
      <c r="G129" s="141"/>
      <c r="H129" s="141"/>
      <c r="I129" s="141"/>
      <c r="J129" s="188"/>
      <c r="K129" s="188"/>
      <c r="L129" s="188"/>
      <c r="M129" s="188"/>
      <c r="N129" s="188"/>
      <c r="O129" s="188"/>
      <c r="P129" s="188"/>
      <c r="Q129" s="188"/>
      <c r="R129" s="188"/>
      <c r="S129" s="193" t="s">
        <v>2775</v>
      </c>
      <c r="T129" s="193" t="s">
        <v>2787</v>
      </c>
      <c r="U129" s="193" t="s">
        <v>195</v>
      </c>
      <c r="V129" s="141"/>
    </row>
    <row r="130" s="162" customFormat="1" ht="24" spans="1:22">
      <c r="A130" s="141">
        <v>25</v>
      </c>
      <c r="B130" s="141" t="s">
        <v>265</v>
      </c>
      <c r="C130" s="141" t="s">
        <v>320</v>
      </c>
      <c r="D130" s="141" t="s">
        <v>147</v>
      </c>
      <c r="E130" s="141">
        <f t="shared" ref="E130:G130" si="85">SUM(E131:E137)</f>
        <v>482</v>
      </c>
      <c r="F130" s="141">
        <f t="shared" si="85"/>
        <v>371</v>
      </c>
      <c r="G130" s="141">
        <f t="shared" si="85"/>
        <v>482</v>
      </c>
      <c r="H130" s="177">
        <v>2018</v>
      </c>
      <c r="I130" s="177" t="s">
        <v>2593</v>
      </c>
      <c r="J130" s="188"/>
      <c r="K130" s="188"/>
      <c r="L130" s="188"/>
      <c r="M130" s="188"/>
      <c r="N130" s="188"/>
      <c r="O130" s="188"/>
      <c r="P130" s="188"/>
      <c r="Q130" s="188"/>
      <c r="R130" s="188"/>
      <c r="S130" s="193" t="s">
        <v>2775</v>
      </c>
      <c r="T130" s="193" t="s">
        <v>2787</v>
      </c>
      <c r="U130" s="193" t="s">
        <v>195</v>
      </c>
      <c r="V130" s="141" t="s">
        <v>2788</v>
      </c>
    </row>
    <row r="131" s="162" customFormat="1" ht="12" spans="1:22">
      <c r="A131" s="141"/>
      <c r="B131" s="141" t="s">
        <v>2758</v>
      </c>
      <c r="C131" s="141"/>
      <c r="D131" s="141"/>
      <c r="E131" s="141">
        <v>78</v>
      </c>
      <c r="F131" s="141">
        <v>78</v>
      </c>
      <c r="G131" s="141">
        <v>78</v>
      </c>
      <c r="H131" s="141"/>
      <c r="I131" s="141"/>
      <c r="J131" s="188"/>
      <c r="K131" s="188"/>
      <c r="L131" s="188"/>
      <c r="M131" s="188"/>
      <c r="N131" s="188"/>
      <c r="O131" s="188"/>
      <c r="P131" s="188"/>
      <c r="Q131" s="188"/>
      <c r="R131" s="188"/>
      <c r="S131" s="193" t="s">
        <v>2775</v>
      </c>
      <c r="T131" s="193" t="s">
        <v>2787</v>
      </c>
      <c r="U131" s="193" t="s">
        <v>195</v>
      </c>
      <c r="V131" s="141"/>
    </row>
    <row r="132" s="162" customFormat="1" ht="12" spans="1:22">
      <c r="A132" s="141"/>
      <c r="B132" s="141" t="s">
        <v>2754</v>
      </c>
      <c r="C132" s="141"/>
      <c r="D132" s="141"/>
      <c r="E132" s="141">
        <v>100</v>
      </c>
      <c r="F132" s="141">
        <v>65</v>
      </c>
      <c r="G132" s="141">
        <v>100</v>
      </c>
      <c r="H132" s="141"/>
      <c r="I132" s="141"/>
      <c r="J132" s="188"/>
      <c r="K132" s="188"/>
      <c r="L132" s="188"/>
      <c r="M132" s="188"/>
      <c r="N132" s="188"/>
      <c r="O132" s="188"/>
      <c r="P132" s="188"/>
      <c r="Q132" s="188"/>
      <c r="R132" s="188"/>
      <c r="S132" s="193" t="s">
        <v>2775</v>
      </c>
      <c r="T132" s="193" t="s">
        <v>2787</v>
      </c>
      <c r="U132" s="193" t="s">
        <v>195</v>
      </c>
      <c r="V132" s="141"/>
    </row>
    <row r="133" s="162" customFormat="1" ht="12" spans="1:22">
      <c r="A133" s="141"/>
      <c r="B133" s="141" t="s">
        <v>2759</v>
      </c>
      <c r="C133" s="141"/>
      <c r="D133" s="141"/>
      <c r="E133" s="141">
        <v>45</v>
      </c>
      <c r="F133" s="141">
        <v>45</v>
      </c>
      <c r="G133" s="141">
        <v>45</v>
      </c>
      <c r="H133" s="141"/>
      <c r="I133" s="141"/>
      <c r="J133" s="188"/>
      <c r="K133" s="188"/>
      <c r="L133" s="188"/>
      <c r="M133" s="188"/>
      <c r="N133" s="188"/>
      <c r="O133" s="188"/>
      <c r="P133" s="188"/>
      <c r="Q133" s="188"/>
      <c r="R133" s="188"/>
      <c r="S133" s="193" t="s">
        <v>2775</v>
      </c>
      <c r="T133" s="193" t="s">
        <v>2787</v>
      </c>
      <c r="U133" s="193" t="s">
        <v>195</v>
      </c>
      <c r="V133" s="141"/>
    </row>
    <row r="134" s="162" customFormat="1" ht="12" spans="1:22">
      <c r="A134" s="141"/>
      <c r="B134" s="141" t="s">
        <v>2760</v>
      </c>
      <c r="C134" s="141"/>
      <c r="D134" s="141"/>
      <c r="E134" s="141">
        <v>47</v>
      </c>
      <c r="F134" s="141">
        <v>47</v>
      </c>
      <c r="G134" s="141">
        <v>47</v>
      </c>
      <c r="H134" s="141"/>
      <c r="I134" s="141"/>
      <c r="J134" s="188"/>
      <c r="K134" s="188"/>
      <c r="L134" s="188"/>
      <c r="M134" s="188"/>
      <c r="N134" s="188"/>
      <c r="O134" s="188"/>
      <c r="P134" s="188"/>
      <c r="Q134" s="188"/>
      <c r="R134" s="188"/>
      <c r="S134" s="193" t="s">
        <v>2775</v>
      </c>
      <c r="T134" s="193" t="s">
        <v>2787</v>
      </c>
      <c r="U134" s="193" t="s">
        <v>195</v>
      </c>
      <c r="V134" s="141"/>
    </row>
    <row r="135" s="162" customFormat="1" ht="12" spans="1:22">
      <c r="A135" s="141"/>
      <c r="B135" s="141" t="s">
        <v>2755</v>
      </c>
      <c r="C135" s="141"/>
      <c r="D135" s="141"/>
      <c r="E135" s="141">
        <v>80</v>
      </c>
      <c r="F135" s="141">
        <v>50</v>
      </c>
      <c r="G135" s="141">
        <v>80</v>
      </c>
      <c r="H135" s="141"/>
      <c r="I135" s="141"/>
      <c r="J135" s="188"/>
      <c r="K135" s="188"/>
      <c r="L135" s="188"/>
      <c r="M135" s="188"/>
      <c r="N135" s="188"/>
      <c r="O135" s="188"/>
      <c r="P135" s="188"/>
      <c r="Q135" s="188"/>
      <c r="R135" s="188"/>
      <c r="S135" s="193" t="s">
        <v>2775</v>
      </c>
      <c r="T135" s="193" t="s">
        <v>2787</v>
      </c>
      <c r="U135" s="193" t="s">
        <v>195</v>
      </c>
      <c r="V135" s="141"/>
    </row>
    <row r="136" s="162" customFormat="1" ht="12" spans="1:22">
      <c r="A136" s="141"/>
      <c r="B136" s="141" t="s">
        <v>2756</v>
      </c>
      <c r="C136" s="141"/>
      <c r="D136" s="141"/>
      <c r="E136" s="141">
        <v>132</v>
      </c>
      <c r="F136" s="141">
        <v>86</v>
      </c>
      <c r="G136" s="141">
        <v>132</v>
      </c>
      <c r="H136" s="141"/>
      <c r="I136" s="141"/>
      <c r="J136" s="188"/>
      <c r="K136" s="188"/>
      <c r="L136" s="188"/>
      <c r="M136" s="188"/>
      <c r="N136" s="188"/>
      <c r="O136" s="188"/>
      <c r="P136" s="188"/>
      <c r="Q136" s="188"/>
      <c r="R136" s="188"/>
      <c r="S136" s="193" t="s">
        <v>2775</v>
      </c>
      <c r="T136" s="193" t="s">
        <v>2787</v>
      </c>
      <c r="U136" s="193" t="s">
        <v>195</v>
      </c>
      <c r="V136" s="141"/>
    </row>
    <row r="137" s="162" customFormat="1" ht="12" spans="1:22">
      <c r="A137" s="141"/>
      <c r="B137" s="141" t="s">
        <v>1534</v>
      </c>
      <c r="C137" s="141"/>
      <c r="D137" s="141"/>
      <c r="E137" s="141"/>
      <c r="F137" s="141"/>
      <c r="G137" s="141"/>
      <c r="H137" s="141"/>
      <c r="I137" s="141"/>
      <c r="J137" s="188"/>
      <c r="K137" s="188"/>
      <c r="L137" s="188"/>
      <c r="M137" s="188"/>
      <c r="N137" s="188"/>
      <c r="O137" s="188"/>
      <c r="P137" s="188"/>
      <c r="Q137" s="188"/>
      <c r="R137" s="188"/>
      <c r="S137" s="193" t="s">
        <v>2775</v>
      </c>
      <c r="T137" s="193" t="s">
        <v>2787</v>
      </c>
      <c r="U137" s="193" t="s">
        <v>195</v>
      </c>
      <c r="V137" s="141"/>
    </row>
    <row r="138" s="162" customFormat="1" ht="24" spans="1:22">
      <c r="A138" s="141">
        <v>26</v>
      </c>
      <c r="B138" s="141" t="s">
        <v>266</v>
      </c>
      <c r="C138" s="141" t="s">
        <v>320</v>
      </c>
      <c r="D138" s="141" t="s">
        <v>147</v>
      </c>
      <c r="E138" s="141"/>
      <c r="F138" s="141"/>
      <c r="G138" s="141"/>
      <c r="H138" s="141"/>
      <c r="I138" s="141"/>
      <c r="J138" s="188"/>
      <c r="K138" s="188"/>
      <c r="L138" s="188"/>
      <c r="M138" s="188"/>
      <c r="N138" s="188"/>
      <c r="O138" s="188"/>
      <c r="P138" s="188"/>
      <c r="Q138" s="188"/>
      <c r="R138" s="188"/>
      <c r="S138" s="193" t="s">
        <v>2775</v>
      </c>
      <c r="T138" s="193" t="s">
        <v>2787</v>
      </c>
      <c r="U138" s="193" t="s">
        <v>195</v>
      </c>
      <c r="V138" s="141" t="s">
        <v>2788</v>
      </c>
    </row>
    <row r="139" s="162" customFormat="1" ht="24" spans="1:22">
      <c r="A139" s="141">
        <v>27</v>
      </c>
      <c r="B139" s="141" t="s">
        <v>267</v>
      </c>
      <c r="C139" s="141" t="s">
        <v>52</v>
      </c>
      <c r="D139" s="141" t="s">
        <v>194</v>
      </c>
      <c r="E139" s="141">
        <f t="shared" ref="E139:G139" si="86">SUM(E140:E145)</f>
        <v>848</v>
      </c>
      <c r="F139" s="141">
        <f t="shared" si="86"/>
        <v>578</v>
      </c>
      <c r="G139" s="141">
        <f t="shared" si="86"/>
        <v>848</v>
      </c>
      <c r="H139" s="177">
        <v>2018</v>
      </c>
      <c r="I139" s="177" t="s">
        <v>2593</v>
      </c>
      <c r="J139" s="188"/>
      <c r="K139" s="188"/>
      <c r="L139" s="188"/>
      <c r="M139" s="188"/>
      <c r="N139" s="188"/>
      <c r="O139" s="188"/>
      <c r="P139" s="188"/>
      <c r="Q139" s="188"/>
      <c r="R139" s="188"/>
      <c r="S139" s="193" t="s">
        <v>2775</v>
      </c>
      <c r="T139" s="193" t="s">
        <v>2787</v>
      </c>
      <c r="U139" s="193" t="s">
        <v>195</v>
      </c>
      <c r="V139" s="141" t="s">
        <v>2788</v>
      </c>
    </row>
    <row r="140" s="162" customFormat="1" ht="12" spans="1:22">
      <c r="A140" s="141"/>
      <c r="B140" s="141" t="s">
        <v>2758</v>
      </c>
      <c r="C140" s="141"/>
      <c r="D140" s="141" t="s">
        <v>194</v>
      </c>
      <c r="E140" s="141">
        <v>88</v>
      </c>
      <c r="F140" s="141">
        <v>88</v>
      </c>
      <c r="G140" s="141">
        <v>88</v>
      </c>
      <c r="H140" s="177">
        <v>2018</v>
      </c>
      <c r="I140" s="177" t="s">
        <v>2593</v>
      </c>
      <c r="J140" s="188"/>
      <c r="K140" s="188"/>
      <c r="L140" s="188"/>
      <c r="M140" s="188"/>
      <c r="N140" s="188"/>
      <c r="O140" s="188"/>
      <c r="P140" s="188"/>
      <c r="Q140" s="188"/>
      <c r="R140" s="188"/>
      <c r="S140" s="193" t="s">
        <v>2775</v>
      </c>
      <c r="T140" s="193" t="s">
        <v>2787</v>
      </c>
      <c r="U140" s="193" t="s">
        <v>195</v>
      </c>
      <c r="V140" s="141"/>
    </row>
    <row r="141" s="162" customFormat="1" ht="12" spans="1:22">
      <c r="A141" s="141"/>
      <c r="B141" s="141" t="s">
        <v>2754</v>
      </c>
      <c r="C141" s="141"/>
      <c r="D141" s="141" t="s">
        <v>194</v>
      </c>
      <c r="E141" s="141">
        <v>105</v>
      </c>
      <c r="F141" s="141">
        <v>105</v>
      </c>
      <c r="G141" s="141">
        <v>105</v>
      </c>
      <c r="H141" s="177">
        <v>2018</v>
      </c>
      <c r="I141" s="177" t="s">
        <v>2593</v>
      </c>
      <c r="J141" s="188"/>
      <c r="K141" s="188"/>
      <c r="L141" s="188"/>
      <c r="M141" s="188"/>
      <c r="N141" s="188"/>
      <c r="O141" s="188"/>
      <c r="P141" s="188"/>
      <c r="Q141" s="188"/>
      <c r="R141" s="188"/>
      <c r="S141" s="193" t="s">
        <v>2775</v>
      </c>
      <c r="T141" s="193" t="s">
        <v>2787</v>
      </c>
      <c r="U141" s="193" t="s">
        <v>195</v>
      </c>
      <c r="V141" s="141"/>
    </row>
    <row r="142" s="162" customFormat="1" ht="12" spans="1:22">
      <c r="A142" s="141"/>
      <c r="B142" s="141" t="s">
        <v>2759</v>
      </c>
      <c r="C142" s="141"/>
      <c r="D142" s="141" t="s">
        <v>194</v>
      </c>
      <c r="E142" s="141">
        <v>233</v>
      </c>
      <c r="F142" s="141">
        <v>92</v>
      </c>
      <c r="G142" s="141">
        <v>233</v>
      </c>
      <c r="H142" s="177">
        <v>2018</v>
      </c>
      <c r="I142" s="177" t="s">
        <v>2593</v>
      </c>
      <c r="J142" s="188"/>
      <c r="K142" s="188"/>
      <c r="L142" s="188"/>
      <c r="M142" s="188"/>
      <c r="N142" s="188"/>
      <c r="O142" s="188"/>
      <c r="P142" s="188"/>
      <c r="Q142" s="188"/>
      <c r="R142" s="188"/>
      <c r="S142" s="193" t="s">
        <v>2775</v>
      </c>
      <c r="T142" s="193" t="s">
        <v>2787</v>
      </c>
      <c r="U142" s="193" t="s">
        <v>195</v>
      </c>
      <c r="V142" s="141"/>
    </row>
    <row r="143" s="162" customFormat="1" ht="12" spans="1:22">
      <c r="A143" s="141"/>
      <c r="B143" s="141" t="s">
        <v>2760</v>
      </c>
      <c r="C143" s="141"/>
      <c r="D143" s="141" t="s">
        <v>194</v>
      </c>
      <c r="E143" s="141">
        <v>67</v>
      </c>
      <c r="F143" s="141">
        <v>64</v>
      </c>
      <c r="G143" s="141">
        <v>67</v>
      </c>
      <c r="H143" s="177">
        <v>2018</v>
      </c>
      <c r="I143" s="177" t="s">
        <v>2593</v>
      </c>
      <c r="J143" s="188"/>
      <c r="K143" s="188"/>
      <c r="L143" s="188"/>
      <c r="M143" s="188"/>
      <c r="N143" s="188"/>
      <c r="O143" s="188"/>
      <c r="P143" s="188"/>
      <c r="Q143" s="188"/>
      <c r="R143" s="188"/>
      <c r="S143" s="193" t="s">
        <v>2775</v>
      </c>
      <c r="T143" s="193" t="s">
        <v>2787</v>
      </c>
      <c r="U143" s="193" t="s">
        <v>195</v>
      </c>
      <c r="V143" s="141"/>
    </row>
    <row r="144" s="162" customFormat="1" ht="12" spans="1:22">
      <c r="A144" s="141"/>
      <c r="B144" s="141" t="s">
        <v>2755</v>
      </c>
      <c r="C144" s="141"/>
      <c r="D144" s="141" t="s">
        <v>194</v>
      </c>
      <c r="E144" s="141">
        <v>95</v>
      </c>
      <c r="F144" s="141">
        <v>73</v>
      </c>
      <c r="G144" s="141">
        <v>95</v>
      </c>
      <c r="H144" s="177">
        <v>2018</v>
      </c>
      <c r="I144" s="177" t="s">
        <v>2593</v>
      </c>
      <c r="J144" s="188"/>
      <c r="K144" s="188"/>
      <c r="L144" s="188"/>
      <c r="M144" s="188"/>
      <c r="N144" s="188"/>
      <c r="O144" s="188"/>
      <c r="P144" s="188"/>
      <c r="Q144" s="188"/>
      <c r="R144" s="188"/>
      <c r="S144" s="193" t="s">
        <v>2775</v>
      </c>
      <c r="T144" s="193" t="s">
        <v>2787</v>
      </c>
      <c r="U144" s="193" t="s">
        <v>195</v>
      </c>
      <c r="V144" s="141"/>
    </row>
    <row r="145" s="162" customFormat="1" ht="12" spans="1:22">
      <c r="A145" s="141"/>
      <c r="B145" s="141" t="s">
        <v>2756</v>
      </c>
      <c r="C145" s="141"/>
      <c r="D145" s="141" t="s">
        <v>194</v>
      </c>
      <c r="E145" s="141">
        <v>260</v>
      </c>
      <c r="F145" s="141">
        <v>156</v>
      </c>
      <c r="G145" s="141">
        <v>260</v>
      </c>
      <c r="H145" s="177">
        <v>2018</v>
      </c>
      <c r="I145" s="177" t="s">
        <v>2593</v>
      </c>
      <c r="J145" s="188"/>
      <c r="K145" s="188"/>
      <c r="L145" s="188"/>
      <c r="M145" s="188"/>
      <c r="N145" s="188"/>
      <c r="O145" s="188"/>
      <c r="P145" s="188"/>
      <c r="Q145" s="188"/>
      <c r="R145" s="188"/>
      <c r="S145" s="193" t="s">
        <v>2775</v>
      </c>
      <c r="T145" s="193" t="s">
        <v>2787</v>
      </c>
      <c r="U145" s="193" t="s">
        <v>195</v>
      </c>
      <c r="V145" s="141"/>
    </row>
    <row r="146" s="162" customFormat="1" ht="12" spans="1:22">
      <c r="A146" s="141"/>
      <c r="B146" s="141" t="s">
        <v>1534</v>
      </c>
      <c r="C146" s="141"/>
      <c r="D146" s="141"/>
      <c r="E146" s="141"/>
      <c r="F146" s="141"/>
      <c r="G146" s="141"/>
      <c r="H146" s="141"/>
      <c r="I146" s="141"/>
      <c r="J146" s="188"/>
      <c r="K146" s="188"/>
      <c r="L146" s="188"/>
      <c r="M146" s="188"/>
      <c r="N146" s="188"/>
      <c r="O146" s="188"/>
      <c r="P146" s="188"/>
      <c r="Q146" s="188"/>
      <c r="R146" s="188"/>
      <c r="S146" s="193"/>
      <c r="T146" s="193"/>
      <c r="U146" s="193"/>
      <c r="V146" s="141"/>
    </row>
    <row r="147" s="162" customFormat="1" ht="12" spans="1:22">
      <c r="A147" s="141">
        <v>28</v>
      </c>
      <c r="B147" s="141" t="s">
        <v>268</v>
      </c>
      <c r="C147" s="141" t="s">
        <v>320</v>
      </c>
      <c r="D147" s="141" t="s">
        <v>147</v>
      </c>
      <c r="E147" s="141">
        <f t="shared" ref="E147:G147" si="87">E148+E151+E152+E159+E161</f>
        <v>131</v>
      </c>
      <c r="F147" s="141">
        <f t="shared" si="87"/>
        <v>128</v>
      </c>
      <c r="G147" s="141">
        <f t="shared" si="87"/>
        <v>128</v>
      </c>
      <c r="H147" s="141"/>
      <c r="I147" s="141"/>
      <c r="J147" s="188">
        <f t="shared" ref="J147:R147" si="88">J148+J151+J152+J159+J161+J164+J170+J177+J180+J186+J190+J195</f>
        <v>165.4542</v>
      </c>
      <c r="K147" s="188">
        <f t="shared" si="88"/>
        <v>40.5438</v>
      </c>
      <c r="L147" s="188">
        <f t="shared" si="88"/>
        <v>62.4552</v>
      </c>
      <c r="M147" s="188">
        <f t="shared" si="88"/>
        <v>62.4552</v>
      </c>
      <c r="N147" s="188">
        <f t="shared" si="88"/>
        <v>11.52</v>
      </c>
      <c r="O147" s="188">
        <f t="shared" si="88"/>
        <v>0</v>
      </c>
      <c r="P147" s="188">
        <f t="shared" si="88"/>
        <v>90.4842</v>
      </c>
      <c r="Q147" s="188">
        <f t="shared" si="88"/>
        <v>63.45</v>
      </c>
      <c r="R147" s="188">
        <f t="shared" si="88"/>
        <v>0</v>
      </c>
      <c r="S147" s="193" t="s">
        <v>2789</v>
      </c>
      <c r="T147" s="193" t="s">
        <v>2775</v>
      </c>
      <c r="U147" s="141" t="s">
        <v>320</v>
      </c>
      <c r="V147" s="141" t="s">
        <v>41</v>
      </c>
    </row>
    <row r="148" s="162" customFormat="1" ht="36" spans="1:22">
      <c r="A148" s="141">
        <v>29</v>
      </c>
      <c r="B148" s="141" t="s">
        <v>269</v>
      </c>
      <c r="C148" s="141" t="s">
        <v>320</v>
      </c>
      <c r="D148" s="141" t="s">
        <v>147</v>
      </c>
      <c r="E148" s="141">
        <f t="shared" ref="E148:G148" si="89">SUM(E149:E150)</f>
        <v>4</v>
      </c>
      <c r="F148" s="141">
        <f t="shared" si="89"/>
        <v>4</v>
      </c>
      <c r="G148" s="141">
        <f t="shared" si="89"/>
        <v>4</v>
      </c>
      <c r="H148" s="177">
        <v>2018</v>
      </c>
      <c r="I148" s="177" t="s">
        <v>2593</v>
      </c>
      <c r="J148" s="188">
        <f t="shared" ref="J148:J163" si="90">SUM(K148:M148)</f>
        <v>7.2</v>
      </c>
      <c r="K148" s="188">
        <f t="shared" ref="K148:N148" si="91">SUM(K149:K150)</f>
        <v>2.4</v>
      </c>
      <c r="L148" s="188">
        <f t="shared" si="91"/>
        <v>2.4</v>
      </c>
      <c r="M148" s="188">
        <f t="shared" si="91"/>
        <v>2.4</v>
      </c>
      <c r="N148" s="188">
        <f t="shared" si="91"/>
        <v>7.2</v>
      </c>
      <c r="O148" s="188"/>
      <c r="P148" s="188"/>
      <c r="Q148" s="188"/>
      <c r="R148" s="188"/>
      <c r="S148" s="193" t="s">
        <v>2790</v>
      </c>
      <c r="T148" s="193" t="s">
        <v>2791</v>
      </c>
      <c r="U148" s="193" t="s">
        <v>201</v>
      </c>
      <c r="V148" s="141" t="s">
        <v>2792</v>
      </c>
    </row>
    <row r="149" s="162" customFormat="1" ht="36" spans="1:22">
      <c r="A149" s="141"/>
      <c r="B149" s="141" t="s">
        <v>2759</v>
      </c>
      <c r="C149" s="141"/>
      <c r="D149" s="141" t="s">
        <v>147</v>
      </c>
      <c r="E149" s="141">
        <v>2</v>
      </c>
      <c r="F149" s="141">
        <v>2</v>
      </c>
      <c r="G149" s="141">
        <v>2</v>
      </c>
      <c r="H149" s="141"/>
      <c r="I149" s="141"/>
      <c r="J149" s="188">
        <f t="shared" si="90"/>
        <v>3.6</v>
      </c>
      <c r="K149" s="188">
        <f>E149*6000/10000</f>
        <v>1.2</v>
      </c>
      <c r="L149" s="188">
        <f>E149*6000/10000</f>
        <v>1.2</v>
      </c>
      <c r="M149" s="188">
        <f>E149*6000/10000</f>
        <v>1.2</v>
      </c>
      <c r="N149" s="188">
        <f t="shared" ref="N149:N151" si="92">J149</f>
        <v>3.6</v>
      </c>
      <c r="O149" s="188"/>
      <c r="P149" s="188"/>
      <c r="Q149" s="188"/>
      <c r="R149" s="188"/>
      <c r="S149" s="193"/>
      <c r="T149" s="193"/>
      <c r="U149" s="193"/>
      <c r="V149" s="141" t="s">
        <v>2792</v>
      </c>
    </row>
    <row r="150" s="162" customFormat="1" ht="36" spans="1:22">
      <c r="A150" s="141"/>
      <c r="B150" s="141" t="s">
        <v>2760</v>
      </c>
      <c r="C150" s="141"/>
      <c r="D150" s="141" t="s">
        <v>147</v>
      </c>
      <c r="E150" s="141">
        <v>2</v>
      </c>
      <c r="F150" s="141">
        <v>2</v>
      </c>
      <c r="G150" s="141">
        <v>2</v>
      </c>
      <c r="H150" s="141"/>
      <c r="I150" s="141"/>
      <c r="J150" s="188">
        <f t="shared" si="90"/>
        <v>3.6</v>
      </c>
      <c r="K150" s="188">
        <f>E150*6000/10000</f>
        <v>1.2</v>
      </c>
      <c r="L150" s="188">
        <f>E150*6000/10000</f>
        <v>1.2</v>
      </c>
      <c r="M150" s="188">
        <f>E150*6000/10000</f>
        <v>1.2</v>
      </c>
      <c r="N150" s="188">
        <f t="shared" si="92"/>
        <v>3.6</v>
      </c>
      <c r="O150" s="188"/>
      <c r="P150" s="188"/>
      <c r="Q150" s="188"/>
      <c r="R150" s="188"/>
      <c r="S150" s="193"/>
      <c r="T150" s="193"/>
      <c r="U150" s="193"/>
      <c r="V150" s="141" t="s">
        <v>2792</v>
      </c>
    </row>
    <row r="151" s="162" customFormat="1" ht="60" spans="1:22">
      <c r="A151" s="141">
        <v>30</v>
      </c>
      <c r="B151" s="141" t="s">
        <v>2793</v>
      </c>
      <c r="C151" s="141" t="s">
        <v>320</v>
      </c>
      <c r="D151" s="141" t="s">
        <v>147</v>
      </c>
      <c r="E151" s="141">
        <v>1</v>
      </c>
      <c r="F151" s="141">
        <v>1</v>
      </c>
      <c r="G151" s="141">
        <v>1</v>
      </c>
      <c r="H151" s="177">
        <v>2018</v>
      </c>
      <c r="I151" s="177" t="s">
        <v>2593</v>
      </c>
      <c r="J151" s="188">
        <f t="shared" si="90"/>
        <v>0.72</v>
      </c>
      <c r="K151" s="188">
        <f t="shared" ref="K151:M151" si="93">E151*200*12/10000</f>
        <v>0.24</v>
      </c>
      <c r="L151" s="188">
        <f t="shared" si="93"/>
        <v>0.24</v>
      </c>
      <c r="M151" s="188">
        <f t="shared" si="93"/>
        <v>0.24</v>
      </c>
      <c r="N151" s="188">
        <f t="shared" si="92"/>
        <v>0.72</v>
      </c>
      <c r="O151" s="188"/>
      <c r="P151" s="188"/>
      <c r="Q151" s="188"/>
      <c r="R151" s="188"/>
      <c r="S151" s="193" t="s">
        <v>2751</v>
      </c>
      <c r="T151" s="193" t="s">
        <v>2752</v>
      </c>
      <c r="U151" s="193" t="s">
        <v>271</v>
      </c>
      <c r="V151" s="141" t="s">
        <v>2794</v>
      </c>
    </row>
    <row r="152" s="162" customFormat="1" ht="60" spans="1:22">
      <c r="A152" s="141">
        <v>31</v>
      </c>
      <c r="B152" s="141" t="s">
        <v>272</v>
      </c>
      <c r="C152" s="141" t="s">
        <v>320</v>
      </c>
      <c r="D152" s="141" t="s">
        <v>147</v>
      </c>
      <c r="E152" s="141">
        <f t="shared" ref="E152:G152" si="94">SUM(E153:E158)</f>
        <v>121</v>
      </c>
      <c r="F152" s="141">
        <f t="shared" si="94"/>
        <v>121</v>
      </c>
      <c r="G152" s="141">
        <f t="shared" si="94"/>
        <v>121</v>
      </c>
      <c r="H152" s="177">
        <v>2018</v>
      </c>
      <c r="I152" s="177" t="s">
        <v>2593</v>
      </c>
      <c r="J152" s="188">
        <f t="shared" si="90"/>
        <v>87.12</v>
      </c>
      <c r="K152" s="188">
        <f t="shared" ref="K152:M152" si="95">SUM(K153:K158)</f>
        <v>29.04</v>
      </c>
      <c r="L152" s="188">
        <f t="shared" si="95"/>
        <v>29.04</v>
      </c>
      <c r="M152" s="188">
        <f t="shared" si="95"/>
        <v>29.04</v>
      </c>
      <c r="N152" s="188"/>
      <c r="O152" s="188"/>
      <c r="P152" s="188">
        <f>SUM(P153:P158)</f>
        <v>87.12</v>
      </c>
      <c r="Q152" s="188"/>
      <c r="R152" s="188"/>
      <c r="S152" s="193" t="s">
        <v>2751</v>
      </c>
      <c r="T152" s="193" t="s">
        <v>2795</v>
      </c>
      <c r="U152" s="141" t="s">
        <v>273</v>
      </c>
      <c r="V152" s="141" t="s">
        <v>2796</v>
      </c>
    </row>
    <row r="153" s="162" customFormat="1" ht="84" spans="1:22">
      <c r="A153" s="141"/>
      <c r="B153" s="141" t="s">
        <v>2758</v>
      </c>
      <c r="C153" s="141"/>
      <c r="D153" s="141" t="s">
        <v>147</v>
      </c>
      <c r="E153" s="141">
        <v>18</v>
      </c>
      <c r="F153" s="141">
        <v>18</v>
      </c>
      <c r="G153" s="141">
        <v>18</v>
      </c>
      <c r="H153" s="141"/>
      <c r="I153" s="141"/>
      <c r="J153" s="188">
        <f t="shared" si="90"/>
        <v>12.96</v>
      </c>
      <c r="K153" s="188">
        <f t="shared" ref="K153:K158" si="96">E153*200*12/10000</f>
        <v>4.32</v>
      </c>
      <c r="L153" s="188">
        <f t="shared" ref="L153:L158" si="97">E153*200*12/10000</f>
        <v>4.32</v>
      </c>
      <c r="M153" s="188">
        <f t="shared" ref="M153:M158" si="98">E153*200*12/10000</f>
        <v>4.32</v>
      </c>
      <c r="N153" s="188"/>
      <c r="O153" s="188"/>
      <c r="P153" s="188">
        <v>12.96</v>
      </c>
      <c r="Q153" s="188"/>
      <c r="R153" s="188"/>
      <c r="S153" s="193"/>
      <c r="T153" s="193"/>
      <c r="U153" s="141"/>
      <c r="V153" s="141" t="s">
        <v>2797</v>
      </c>
    </row>
    <row r="154" s="162" customFormat="1" ht="84" spans="1:22">
      <c r="A154" s="141"/>
      <c r="B154" s="141" t="s">
        <v>2754</v>
      </c>
      <c r="C154" s="141"/>
      <c r="D154" s="141" t="s">
        <v>147</v>
      </c>
      <c r="E154" s="141">
        <v>23</v>
      </c>
      <c r="F154" s="141">
        <v>23</v>
      </c>
      <c r="G154" s="141">
        <v>23</v>
      </c>
      <c r="H154" s="141"/>
      <c r="I154" s="141"/>
      <c r="J154" s="188">
        <f t="shared" si="90"/>
        <v>16.56</v>
      </c>
      <c r="K154" s="188">
        <f t="shared" si="96"/>
        <v>5.52</v>
      </c>
      <c r="L154" s="188">
        <f t="shared" si="97"/>
        <v>5.52</v>
      </c>
      <c r="M154" s="188">
        <f t="shared" si="98"/>
        <v>5.52</v>
      </c>
      <c r="N154" s="188"/>
      <c r="O154" s="188"/>
      <c r="P154" s="188">
        <v>16.56</v>
      </c>
      <c r="Q154" s="188"/>
      <c r="R154" s="188"/>
      <c r="S154" s="193"/>
      <c r="T154" s="193"/>
      <c r="U154" s="141"/>
      <c r="V154" s="141" t="s">
        <v>2798</v>
      </c>
    </row>
    <row r="155" s="162" customFormat="1" ht="84" spans="1:22">
      <c r="A155" s="141"/>
      <c r="B155" s="141" t="s">
        <v>2759</v>
      </c>
      <c r="C155" s="141"/>
      <c r="D155" s="141" t="s">
        <v>147</v>
      </c>
      <c r="E155" s="141">
        <v>18</v>
      </c>
      <c r="F155" s="141">
        <v>18</v>
      </c>
      <c r="G155" s="141">
        <v>18</v>
      </c>
      <c r="H155" s="141"/>
      <c r="I155" s="141"/>
      <c r="J155" s="188">
        <f t="shared" si="90"/>
        <v>12.96</v>
      </c>
      <c r="K155" s="188">
        <f t="shared" si="96"/>
        <v>4.32</v>
      </c>
      <c r="L155" s="188">
        <f t="shared" si="97"/>
        <v>4.32</v>
      </c>
      <c r="M155" s="188">
        <f t="shared" si="98"/>
        <v>4.32</v>
      </c>
      <c r="N155" s="188"/>
      <c r="O155" s="188"/>
      <c r="P155" s="188">
        <v>12.96</v>
      </c>
      <c r="Q155" s="188"/>
      <c r="R155" s="188"/>
      <c r="S155" s="193"/>
      <c r="T155" s="193"/>
      <c r="U155" s="141"/>
      <c r="V155" s="141" t="s">
        <v>2799</v>
      </c>
    </row>
    <row r="156" s="162" customFormat="1" ht="72" spans="1:22">
      <c r="A156" s="141"/>
      <c r="B156" s="141" t="s">
        <v>2760</v>
      </c>
      <c r="C156" s="141"/>
      <c r="D156" s="141" t="s">
        <v>147</v>
      </c>
      <c r="E156" s="141">
        <v>8</v>
      </c>
      <c r="F156" s="141">
        <v>8</v>
      </c>
      <c r="G156" s="141">
        <v>8</v>
      </c>
      <c r="H156" s="141"/>
      <c r="I156" s="141"/>
      <c r="J156" s="188">
        <f t="shared" si="90"/>
        <v>5.76</v>
      </c>
      <c r="K156" s="188">
        <f t="shared" si="96"/>
        <v>1.92</v>
      </c>
      <c r="L156" s="188">
        <f t="shared" si="97"/>
        <v>1.92</v>
      </c>
      <c r="M156" s="188">
        <f t="shared" si="98"/>
        <v>1.92</v>
      </c>
      <c r="N156" s="188"/>
      <c r="O156" s="188"/>
      <c r="P156" s="188">
        <v>5.76</v>
      </c>
      <c r="Q156" s="188"/>
      <c r="R156" s="188"/>
      <c r="S156" s="193"/>
      <c r="T156" s="193"/>
      <c r="U156" s="141"/>
      <c r="V156" s="141" t="s">
        <v>2800</v>
      </c>
    </row>
    <row r="157" s="162" customFormat="1" ht="84" spans="1:22">
      <c r="A157" s="141"/>
      <c r="B157" s="141" t="s">
        <v>2755</v>
      </c>
      <c r="C157" s="141"/>
      <c r="D157" s="141" t="s">
        <v>147</v>
      </c>
      <c r="E157" s="141">
        <v>24</v>
      </c>
      <c r="F157" s="141">
        <v>24</v>
      </c>
      <c r="G157" s="141">
        <v>24</v>
      </c>
      <c r="H157" s="141"/>
      <c r="I157" s="141"/>
      <c r="J157" s="188">
        <f t="shared" si="90"/>
        <v>17.28</v>
      </c>
      <c r="K157" s="188">
        <f t="shared" si="96"/>
        <v>5.76</v>
      </c>
      <c r="L157" s="188">
        <f t="shared" si="97"/>
        <v>5.76</v>
      </c>
      <c r="M157" s="188">
        <f t="shared" si="98"/>
        <v>5.76</v>
      </c>
      <c r="N157" s="188"/>
      <c r="O157" s="188"/>
      <c r="P157" s="188">
        <v>17.28</v>
      </c>
      <c r="Q157" s="188"/>
      <c r="R157" s="188"/>
      <c r="S157" s="193"/>
      <c r="T157" s="193"/>
      <c r="U157" s="141"/>
      <c r="V157" s="141" t="s">
        <v>2801</v>
      </c>
    </row>
    <row r="158" s="162" customFormat="1" ht="84" spans="1:22">
      <c r="A158" s="141"/>
      <c r="B158" s="141" t="s">
        <v>2756</v>
      </c>
      <c r="C158" s="141"/>
      <c r="D158" s="141" t="s">
        <v>147</v>
      </c>
      <c r="E158" s="141">
        <v>30</v>
      </c>
      <c r="F158" s="141">
        <v>30</v>
      </c>
      <c r="G158" s="141">
        <v>30</v>
      </c>
      <c r="H158" s="141"/>
      <c r="I158" s="141"/>
      <c r="J158" s="188">
        <f t="shared" si="90"/>
        <v>21.6</v>
      </c>
      <c r="K158" s="188">
        <f t="shared" si="96"/>
        <v>7.2</v>
      </c>
      <c r="L158" s="188">
        <f t="shared" si="97"/>
        <v>7.2</v>
      </c>
      <c r="M158" s="188">
        <f t="shared" si="98"/>
        <v>7.2</v>
      </c>
      <c r="N158" s="188"/>
      <c r="O158" s="188"/>
      <c r="P158" s="188">
        <v>21.6</v>
      </c>
      <c r="Q158" s="188"/>
      <c r="R158" s="188"/>
      <c r="S158" s="193"/>
      <c r="T158" s="193"/>
      <c r="U158" s="141"/>
      <c r="V158" s="141" t="s">
        <v>2802</v>
      </c>
    </row>
    <row r="159" s="162" customFormat="1" ht="24" spans="1:22">
      <c r="A159" s="141">
        <v>32</v>
      </c>
      <c r="B159" s="141" t="s">
        <v>274</v>
      </c>
      <c r="C159" s="141" t="s">
        <v>320</v>
      </c>
      <c r="D159" s="141" t="s">
        <v>147</v>
      </c>
      <c r="E159" s="141">
        <f t="shared" ref="E159:G159" si="99">SUM(E160)</f>
        <v>1</v>
      </c>
      <c r="F159" s="141">
        <f t="shared" si="99"/>
        <v>1</v>
      </c>
      <c r="G159" s="141">
        <f t="shared" si="99"/>
        <v>1</v>
      </c>
      <c r="H159" s="177">
        <v>2018</v>
      </c>
      <c r="I159" s="177" t="s">
        <v>2593</v>
      </c>
      <c r="J159" s="188">
        <f t="shared" si="90"/>
        <v>1.08</v>
      </c>
      <c r="K159" s="141">
        <f t="shared" ref="K159:M159" si="100">SUM(K160)</f>
        <v>0.36</v>
      </c>
      <c r="L159" s="141">
        <f t="shared" si="100"/>
        <v>0.36</v>
      </c>
      <c r="M159" s="141">
        <f t="shared" si="100"/>
        <v>0.36</v>
      </c>
      <c r="N159" s="188"/>
      <c r="O159" s="188"/>
      <c r="P159" s="188">
        <v>1.08</v>
      </c>
      <c r="Q159" s="188"/>
      <c r="R159" s="188"/>
      <c r="S159" s="193" t="s">
        <v>2751</v>
      </c>
      <c r="T159" s="193" t="s">
        <v>2752</v>
      </c>
      <c r="U159" s="193" t="s">
        <v>275</v>
      </c>
      <c r="V159" s="141" t="s">
        <v>2803</v>
      </c>
    </row>
    <row r="160" s="162" customFormat="1" ht="24" spans="1:22">
      <c r="A160" s="141"/>
      <c r="B160" s="141" t="s">
        <v>2755</v>
      </c>
      <c r="C160" s="141"/>
      <c r="D160" s="141" t="s">
        <v>147</v>
      </c>
      <c r="E160" s="141">
        <v>1</v>
      </c>
      <c r="F160" s="141">
        <v>1</v>
      </c>
      <c r="G160" s="141">
        <v>1</v>
      </c>
      <c r="H160" s="141"/>
      <c r="I160" s="141"/>
      <c r="J160" s="188">
        <f t="shared" si="90"/>
        <v>1.08</v>
      </c>
      <c r="K160" s="188">
        <f>E160*300*12/10000</f>
        <v>0.36</v>
      </c>
      <c r="L160" s="188">
        <f>E160*300*12/10000</f>
        <v>0.36</v>
      </c>
      <c r="M160" s="188">
        <f>E160*300*12/10000</f>
        <v>0.36</v>
      </c>
      <c r="N160" s="188"/>
      <c r="O160" s="188"/>
      <c r="P160" s="188">
        <v>1.08</v>
      </c>
      <c r="Q160" s="188"/>
      <c r="R160" s="188"/>
      <c r="S160" s="193"/>
      <c r="T160" s="193"/>
      <c r="U160" s="193"/>
      <c r="V160" s="141" t="s">
        <v>2803</v>
      </c>
    </row>
    <row r="161" s="162" customFormat="1" ht="24" spans="1:22">
      <c r="A161" s="141">
        <v>33</v>
      </c>
      <c r="B161" s="141" t="s">
        <v>276</v>
      </c>
      <c r="C161" s="141" t="s">
        <v>320</v>
      </c>
      <c r="D161" s="141" t="s">
        <v>147</v>
      </c>
      <c r="E161" s="141">
        <f t="shared" ref="E161:G161" si="101">SUM(E162:E163)</f>
        <v>4</v>
      </c>
      <c r="F161" s="141">
        <f t="shared" si="101"/>
        <v>1</v>
      </c>
      <c r="G161" s="141">
        <f t="shared" si="101"/>
        <v>1</v>
      </c>
      <c r="H161" s="177">
        <v>2018</v>
      </c>
      <c r="I161" s="177" t="s">
        <v>2593</v>
      </c>
      <c r="J161" s="188">
        <f t="shared" si="90"/>
        <v>3.6</v>
      </c>
      <c r="K161" s="188">
        <f t="shared" ref="K161:M161" si="102">SUM(K162:K163)</f>
        <v>1.2</v>
      </c>
      <c r="L161" s="188">
        <f t="shared" si="102"/>
        <v>1.2</v>
      </c>
      <c r="M161" s="188">
        <f t="shared" si="102"/>
        <v>1.2</v>
      </c>
      <c r="N161" s="188">
        <f t="shared" ref="N161:N163" si="103">J161</f>
        <v>3.6</v>
      </c>
      <c r="O161" s="188"/>
      <c r="P161" s="188"/>
      <c r="Q161" s="188"/>
      <c r="R161" s="188"/>
      <c r="S161" s="193" t="s">
        <v>2804</v>
      </c>
      <c r="T161" s="193" t="s">
        <v>2805</v>
      </c>
      <c r="U161" s="193" t="s">
        <v>277</v>
      </c>
      <c r="V161" s="141" t="s">
        <v>2806</v>
      </c>
    </row>
    <row r="162" s="162" customFormat="1" ht="24" spans="1:22">
      <c r="A162" s="141"/>
      <c r="B162" s="141" t="s">
        <v>2755</v>
      </c>
      <c r="C162" s="141"/>
      <c r="D162" s="141" t="s">
        <v>147</v>
      </c>
      <c r="E162" s="141">
        <v>2</v>
      </c>
      <c r="F162" s="141">
        <v>0</v>
      </c>
      <c r="G162" s="141">
        <v>0</v>
      </c>
      <c r="H162" s="141"/>
      <c r="I162" s="141"/>
      <c r="J162" s="188">
        <f t="shared" si="90"/>
        <v>1.8</v>
      </c>
      <c r="K162" s="188">
        <f>E162*3000/10000</f>
        <v>0.6</v>
      </c>
      <c r="L162" s="188">
        <f>E162*3000/10000</f>
        <v>0.6</v>
      </c>
      <c r="M162" s="188">
        <f>E162*3000/10000</f>
        <v>0.6</v>
      </c>
      <c r="N162" s="188">
        <f t="shared" si="103"/>
        <v>1.8</v>
      </c>
      <c r="O162" s="188"/>
      <c r="P162" s="188"/>
      <c r="Q162" s="188"/>
      <c r="R162" s="188"/>
      <c r="S162" s="193"/>
      <c r="T162" s="193"/>
      <c r="U162" s="193"/>
      <c r="V162" s="141" t="s">
        <v>2806</v>
      </c>
    </row>
    <row r="163" s="162" customFormat="1" ht="24" spans="1:22">
      <c r="A163" s="141"/>
      <c r="B163" s="141" t="s">
        <v>2756</v>
      </c>
      <c r="C163" s="141"/>
      <c r="D163" s="141" t="s">
        <v>147</v>
      </c>
      <c r="E163" s="141">
        <v>2</v>
      </c>
      <c r="F163" s="141">
        <v>1</v>
      </c>
      <c r="G163" s="141">
        <v>1</v>
      </c>
      <c r="H163" s="141"/>
      <c r="I163" s="141"/>
      <c r="J163" s="188">
        <f t="shared" si="90"/>
        <v>1.8</v>
      </c>
      <c r="K163" s="188">
        <f>E163*3000/10000</f>
        <v>0.6</v>
      </c>
      <c r="L163" s="188">
        <f>E163*3000/10000</f>
        <v>0.6</v>
      </c>
      <c r="M163" s="188">
        <f>E163*3000/10000</f>
        <v>0.6</v>
      </c>
      <c r="N163" s="188">
        <f t="shared" si="103"/>
        <v>1.8</v>
      </c>
      <c r="O163" s="188"/>
      <c r="P163" s="188"/>
      <c r="Q163" s="188"/>
      <c r="R163" s="188"/>
      <c r="S163" s="193"/>
      <c r="T163" s="193"/>
      <c r="U163" s="193"/>
      <c r="V163" s="141" t="s">
        <v>2806</v>
      </c>
    </row>
    <row r="164" s="162" customFormat="1" ht="12" spans="1:22">
      <c r="A164" s="141"/>
      <c r="B164" s="141" t="s">
        <v>2244</v>
      </c>
      <c r="C164" s="141"/>
      <c r="D164" s="141" t="s">
        <v>147</v>
      </c>
      <c r="E164" s="141">
        <f t="shared" ref="E164:G164" si="104">SUM(E165:E169)</f>
        <v>9</v>
      </c>
      <c r="F164" s="141">
        <f t="shared" si="104"/>
        <v>9</v>
      </c>
      <c r="G164" s="141">
        <f t="shared" si="104"/>
        <v>9</v>
      </c>
      <c r="H164" s="177">
        <v>2018</v>
      </c>
      <c r="I164" s="177" t="s">
        <v>2593</v>
      </c>
      <c r="J164" s="141">
        <f t="shared" ref="J164:R164" si="105">SUM(J165:J169)</f>
        <v>12.5874</v>
      </c>
      <c r="K164" s="141">
        <f t="shared" si="105"/>
        <v>1.3986</v>
      </c>
      <c r="L164" s="141">
        <f t="shared" si="105"/>
        <v>5.5944</v>
      </c>
      <c r="M164" s="141">
        <f t="shared" si="105"/>
        <v>5.5944</v>
      </c>
      <c r="N164" s="141">
        <f t="shared" si="105"/>
        <v>0</v>
      </c>
      <c r="O164" s="141">
        <f t="shared" si="105"/>
        <v>0</v>
      </c>
      <c r="P164" s="141">
        <f t="shared" si="105"/>
        <v>0.4374</v>
      </c>
      <c r="Q164" s="141">
        <f t="shared" si="105"/>
        <v>12.15</v>
      </c>
      <c r="R164" s="141">
        <f t="shared" si="105"/>
        <v>0</v>
      </c>
      <c r="S164" s="193" t="s">
        <v>2775</v>
      </c>
      <c r="T164" s="193" t="s">
        <v>2787</v>
      </c>
      <c r="U164" s="193" t="s">
        <v>195</v>
      </c>
      <c r="V164" s="141" t="s">
        <v>2807</v>
      </c>
    </row>
    <row r="165" s="162" customFormat="1" ht="12" spans="1:22">
      <c r="A165" s="141"/>
      <c r="B165" s="141" t="s">
        <v>2758</v>
      </c>
      <c r="C165" s="141"/>
      <c r="D165" s="141" t="s">
        <v>147</v>
      </c>
      <c r="E165" s="141">
        <v>1</v>
      </c>
      <c r="F165" s="141">
        <v>1</v>
      </c>
      <c r="G165" s="141">
        <v>1</v>
      </c>
      <c r="H165" s="141"/>
      <c r="I165" s="141"/>
      <c r="J165" s="188">
        <f t="shared" ref="J165:J169" si="106">K165+L165+M165</f>
        <v>1.3986</v>
      </c>
      <c r="K165" s="188">
        <f t="shared" ref="K165:K169" si="107">(E165*18*3/10000)+(E165*500*3/10000)</f>
        <v>0.1554</v>
      </c>
      <c r="L165" s="188">
        <f t="shared" ref="L165:L169" si="108">(F165*18*12/10000)+(F165*500*12/10000)</f>
        <v>0.6216</v>
      </c>
      <c r="M165" s="188">
        <f t="shared" ref="M165:M169" si="109">(G165*18*12/10000)+(G165*500*12/10000)</f>
        <v>0.6216</v>
      </c>
      <c r="N165" s="188"/>
      <c r="O165" s="188"/>
      <c r="P165" s="194">
        <f t="shared" ref="P165:P169" si="110">(E165*18*3/10000)+(E165*18*24/10000)</f>
        <v>0.0486</v>
      </c>
      <c r="Q165" s="194">
        <f t="shared" ref="Q165:Q169" si="111">(E165*500*3/10000)+(E165*500*24/10000)</f>
        <v>1.35</v>
      </c>
      <c r="R165" s="194"/>
      <c r="S165" s="193"/>
      <c r="T165" s="193"/>
      <c r="U165" s="193"/>
      <c r="V165" s="141" t="s">
        <v>2807</v>
      </c>
    </row>
    <row r="166" s="162" customFormat="1" ht="12" spans="1:22">
      <c r="A166" s="141"/>
      <c r="B166" s="141" t="s">
        <v>2754</v>
      </c>
      <c r="C166" s="141"/>
      <c r="D166" s="141" t="s">
        <v>147</v>
      </c>
      <c r="E166" s="141">
        <v>2</v>
      </c>
      <c r="F166" s="141">
        <v>2</v>
      </c>
      <c r="G166" s="141">
        <v>2</v>
      </c>
      <c r="H166" s="141"/>
      <c r="I166" s="141"/>
      <c r="J166" s="188">
        <f t="shared" si="106"/>
        <v>2.7972</v>
      </c>
      <c r="K166" s="188">
        <f t="shared" si="107"/>
        <v>0.3108</v>
      </c>
      <c r="L166" s="188">
        <f t="shared" si="108"/>
        <v>1.2432</v>
      </c>
      <c r="M166" s="188">
        <f t="shared" si="109"/>
        <v>1.2432</v>
      </c>
      <c r="N166" s="188"/>
      <c r="O166" s="188"/>
      <c r="P166" s="194">
        <f t="shared" si="110"/>
        <v>0.0972</v>
      </c>
      <c r="Q166" s="194">
        <f t="shared" si="111"/>
        <v>2.7</v>
      </c>
      <c r="R166" s="194"/>
      <c r="S166" s="193"/>
      <c r="T166" s="193"/>
      <c r="U166" s="193"/>
      <c r="V166" s="141" t="s">
        <v>2807</v>
      </c>
    </row>
    <row r="167" s="162" customFormat="1" ht="12" spans="1:22">
      <c r="A167" s="141"/>
      <c r="B167" s="141" t="s">
        <v>2759</v>
      </c>
      <c r="C167" s="141"/>
      <c r="D167" s="141" t="s">
        <v>147</v>
      </c>
      <c r="E167" s="141">
        <v>2</v>
      </c>
      <c r="F167" s="141">
        <v>2</v>
      </c>
      <c r="G167" s="141">
        <v>2</v>
      </c>
      <c r="H167" s="141"/>
      <c r="I167" s="141"/>
      <c r="J167" s="188">
        <f t="shared" si="106"/>
        <v>2.7972</v>
      </c>
      <c r="K167" s="188">
        <f t="shared" si="107"/>
        <v>0.3108</v>
      </c>
      <c r="L167" s="188">
        <f t="shared" si="108"/>
        <v>1.2432</v>
      </c>
      <c r="M167" s="188">
        <f t="shared" si="109"/>
        <v>1.2432</v>
      </c>
      <c r="N167" s="188"/>
      <c r="O167" s="188"/>
      <c r="P167" s="194">
        <f t="shared" si="110"/>
        <v>0.0972</v>
      </c>
      <c r="Q167" s="194">
        <f t="shared" si="111"/>
        <v>2.7</v>
      </c>
      <c r="R167" s="194"/>
      <c r="S167" s="193"/>
      <c r="T167" s="193"/>
      <c r="U167" s="193"/>
      <c r="V167" s="141" t="s">
        <v>2807</v>
      </c>
    </row>
    <row r="168" s="162" customFormat="1" ht="12" spans="1:22">
      <c r="A168" s="141"/>
      <c r="B168" s="141" t="s">
        <v>2755</v>
      </c>
      <c r="C168" s="141"/>
      <c r="D168" s="141" t="s">
        <v>147</v>
      </c>
      <c r="E168" s="141">
        <v>2</v>
      </c>
      <c r="F168" s="141">
        <v>2</v>
      </c>
      <c r="G168" s="141">
        <v>2</v>
      </c>
      <c r="H168" s="141"/>
      <c r="I168" s="141"/>
      <c r="J168" s="188">
        <f t="shared" si="106"/>
        <v>2.7972</v>
      </c>
      <c r="K168" s="188">
        <f t="shared" si="107"/>
        <v>0.3108</v>
      </c>
      <c r="L168" s="188">
        <f t="shared" si="108"/>
        <v>1.2432</v>
      </c>
      <c r="M168" s="188">
        <f t="shared" si="109"/>
        <v>1.2432</v>
      </c>
      <c r="N168" s="188"/>
      <c r="O168" s="188"/>
      <c r="P168" s="194">
        <f t="shared" si="110"/>
        <v>0.0972</v>
      </c>
      <c r="Q168" s="194">
        <f t="shared" si="111"/>
        <v>2.7</v>
      </c>
      <c r="R168" s="194"/>
      <c r="S168" s="193"/>
      <c r="T168" s="193"/>
      <c r="U168" s="193"/>
      <c r="V168" s="141" t="s">
        <v>2807</v>
      </c>
    </row>
    <row r="169" s="162" customFormat="1" ht="12" spans="1:22">
      <c r="A169" s="141"/>
      <c r="B169" s="141" t="s">
        <v>2756</v>
      </c>
      <c r="C169" s="141"/>
      <c r="D169" s="141" t="s">
        <v>147</v>
      </c>
      <c r="E169" s="141">
        <v>2</v>
      </c>
      <c r="F169" s="141">
        <v>2</v>
      </c>
      <c r="G169" s="141">
        <v>2</v>
      </c>
      <c r="H169" s="141"/>
      <c r="I169" s="141"/>
      <c r="J169" s="188">
        <f t="shared" si="106"/>
        <v>2.7972</v>
      </c>
      <c r="K169" s="188">
        <f t="shared" si="107"/>
        <v>0.3108</v>
      </c>
      <c r="L169" s="188">
        <f t="shared" si="108"/>
        <v>1.2432</v>
      </c>
      <c r="M169" s="188">
        <f t="shared" si="109"/>
        <v>1.2432</v>
      </c>
      <c r="N169" s="188"/>
      <c r="O169" s="188"/>
      <c r="P169" s="194">
        <f t="shared" si="110"/>
        <v>0.0972</v>
      </c>
      <c r="Q169" s="194">
        <f t="shared" si="111"/>
        <v>2.7</v>
      </c>
      <c r="R169" s="194"/>
      <c r="S169" s="193"/>
      <c r="T169" s="193"/>
      <c r="U169" s="193"/>
      <c r="V169" s="141" t="s">
        <v>2807</v>
      </c>
    </row>
    <row r="170" s="162" customFormat="1" ht="12" spans="1:22">
      <c r="A170" s="141"/>
      <c r="B170" s="141" t="s">
        <v>2808</v>
      </c>
      <c r="C170" s="141" t="s">
        <v>320</v>
      </c>
      <c r="D170" s="141" t="s">
        <v>147</v>
      </c>
      <c r="E170" s="141">
        <f t="shared" ref="E170:G170" si="112">SUM(E171:E176)</f>
        <v>16</v>
      </c>
      <c r="F170" s="141">
        <f t="shared" si="112"/>
        <v>16</v>
      </c>
      <c r="G170" s="141">
        <f t="shared" si="112"/>
        <v>16</v>
      </c>
      <c r="H170" s="177">
        <v>2018</v>
      </c>
      <c r="I170" s="177" t="s">
        <v>2593</v>
      </c>
      <c r="J170" s="141">
        <f t="shared" ref="J170:Q170" si="113">SUM(J171:J176)</f>
        <v>22.3776</v>
      </c>
      <c r="K170" s="141">
        <f t="shared" si="113"/>
        <v>2.4864</v>
      </c>
      <c r="L170" s="141">
        <f t="shared" si="113"/>
        <v>9.9456</v>
      </c>
      <c r="M170" s="141">
        <f t="shared" si="113"/>
        <v>9.9456</v>
      </c>
      <c r="N170" s="141">
        <f t="shared" si="113"/>
        <v>0</v>
      </c>
      <c r="O170" s="141">
        <f t="shared" si="113"/>
        <v>0</v>
      </c>
      <c r="P170" s="141">
        <f t="shared" si="113"/>
        <v>0.7776</v>
      </c>
      <c r="Q170" s="141">
        <f t="shared" si="113"/>
        <v>21.6</v>
      </c>
      <c r="R170" s="194"/>
      <c r="S170" s="193" t="s">
        <v>2751</v>
      </c>
      <c r="T170" s="193" t="s">
        <v>2809</v>
      </c>
      <c r="U170" s="193" t="s">
        <v>195</v>
      </c>
      <c r="V170" s="141" t="s">
        <v>2807</v>
      </c>
    </row>
    <row r="171" s="162" customFormat="1" ht="12" spans="1:22">
      <c r="A171" s="141"/>
      <c r="B171" s="141" t="s">
        <v>2758</v>
      </c>
      <c r="C171" s="141"/>
      <c r="D171" s="141" t="s">
        <v>147</v>
      </c>
      <c r="E171" s="141">
        <v>1</v>
      </c>
      <c r="F171" s="141">
        <v>1</v>
      </c>
      <c r="G171" s="141">
        <v>1</v>
      </c>
      <c r="H171" s="141"/>
      <c r="I171" s="141"/>
      <c r="J171" s="188">
        <f t="shared" ref="J171:J176" si="114">K171+L171+M171</f>
        <v>1.3986</v>
      </c>
      <c r="K171" s="188">
        <f t="shared" ref="K171:K176" si="115">(E171*18*3/10000)+(E171*500*3/10000)</f>
        <v>0.1554</v>
      </c>
      <c r="L171" s="188">
        <f t="shared" ref="L171:L176" si="116">(F171*18*12/10000)+(F171*500*12/10000)</f>
        <v>0.6216</v>
      </c>
      <c r="M171" s="188">
        <f t="shared" ref="M171:M176" si="117">(G171*18*12/10000)+(G171*500*12/10000)</f>
        <v>0.6216</v>
      </c>
      <c r="N171" s="188"/>
      <c r="O171" s="188"/>
      <c r="P171" s="194">
        <f t="shared" ref="P171:P176" si="118">(E171*18*3/10000)+(E171*18*24/10000)</f>
        <v>0.0486</v>
      </c>
      <c r="Q171" s="194">
        <f t="shared" ref="Q171:Q176" si="119">(E171*500*3/10000)+(E171*500*24/10000)</f>
        <v>1.35</v>
      </c>
      <c r="R171" s="194"/>
      <c r="S171" s="193"/>
      <c r="T171" s="193"/>
      <c r="U171" s="193"/>
      <c r="V171" s="141" t="s">
        <v>2807</v>
      </c>
    </row>
    <row r="172" s="162" customFormat="1" ht="12" spans="1:22">
      <c r="A172" s="141"/>
      <c r="B172" s="141" t="s">
        <v>2754</v>
      </c>
      <c r="C172" s="141"/>
      <c r="D172" s="141" t="s">
        <v>147</v>
      </c>
      <c r="E172" s="141">
        <v>4</v>
      </c>
      <c r="F172" s="141">
        <v>4</v>
      </c>
      <c r="G172" s="141">
        <v>4</v>
      </c>
      <c r="H172" s="141"/>
      <c r="I172" s="141"/>
      <c r="J172" s="188">
        <f t="shared" si="114"/>
        <v>5.5944</v>
      </c>
      <c r="K172" s="188">
        <f t="shared" si="115"/>
        <v>0.6216</v>
      </c>
      <c r="L172" s="188">
        <f t="shared" si="116"/>
        <v>2.4864</v>
      </c>
      <c r="M172" s="188">
        <f t="shared" si="117"/>
        <v>2.4864</v>
      </c>
      <c r="N172" s="188"/>
      <c r="O172" s="188"/>
      <c r="P172" s="194">
        <f t="shared" si="118"/>
        <v>0.1944</v>
      </c>
      <c r="Q172" s="194">
        <f t="shared" si="119"/>
        <v>5.4</v>
      </c>
      <c r="R172" s="188"/>
      <c r="S172" s="193"/>
      <c r="T172" s="193"/>
      <c r="U172" s="193"/>
      <c r="V172" s="141" t="s">
        <v>2807</v>
      </c>
    </row>
    <row r="173" s="162" customFormat="1" ht="12" spans="1:22">
      <c r="A173" s="141"/>
      <c r="B173" s="141" t="s">
        <v>2759</v>
      </c>
      <c r="C173" s="141"/>
      <c r="D173" s="141" t="s">
        <v>147</v>
      </c>
      <c r="E173" s="141">
        <v>1</v>
      </c>
      <c r="F173" s="141">
        <v>1</v>
      </c>
      <c r="G173" s="141">
        <v>1</v>
      </c>
      <c r="H173" s="141"/>
      <c r="I173" s="141"/>
      <c r="J173" s="188">
        <f t="shared" si="114"/>
        <v>1.3986</v>
      </c>
      <c r="K173" s="188">
        <f t="shared" si="115"/>
        <v>0.1554</v>
      </c>
      <c r="L173" s="188">
        <f t="shared" si="116"/>
        <v>0.6216</v>
      </c>
      <c r="M173" s="188">
        <f t="shared" si="117"/>
        <v>0.6216</v>
      </c>
      <c r="N173" s="188"/>
      <c r="O173" s="188"/>
      <c r="P173" s="194">
        <f t="shared" si="118"/>
        <v>0.0486</v>
      </c>
      <c r="Q173" s="194">
        <f t="shared" si="119"/>
        <v>1.35</v>
      </c>
      <c r="R173" s="188"/>
      <c r="S173" s="193"/>
      <c r="T173" s="193"/>
      <c r="U173" s="193"/>
      <c r="V173" s="141" t="s">
        <v>2807</v>
      </c>
    </row>
    <row r="174" s="162" customFormat="1" ht="12" spans="1:22">
      <c r="A174" s="141"/>
      <c r="B174" s="141" t="s">
        <v>2760</v>
      </c>
      <c r="C174" s="141"/>
      <c r="D174" s="141" t="s">
        <v>147</v>
      </c>
      <c r="E174" s="141">
        <v>7</v>
      </c>
      <c r="F174" s="141">
        <v>7</v>
      </c>
      <c r="G174" s="141">
        <v>7</v>
      </c>
      <c r="H174" s="141"/>
      <c r="I174" s="141"/>
      <c r="J174" s="188">
        <f t="shared" si="114"/>
        <v>9.7902</v>
      </c>
      <c r="K174" s="188">
        <f t="shared" si="115"/>
        <v>1.0878</v>
      </c>
      <c r="L174" s="188">
        <f t="shared" si="116"/>
        <v>4.3512</v>
      </c>
      <c r="M174" s="188">
        <f t="shared" si="117"/>
        <v>4.3512</v>
      </c>
      <c r="N174" s="188"/>
      <c r="O174" s="188"/>
      <c r="P174" s="194">
        <f t="shared" si="118"/>
        <v>0.3402</v>
      </c>
      <c r="Q174" s="194">
        <f t="shared" si="119"/>
        <v>9.45</v>
      </c>
      <c r="R174" s="188"/>
      <c r="S174" s="193"/>
      <c r="T174" s="193"/>
      <c r="U174" s="193"/>
      <c r="V174" s="141" t="s">
        <v>2807</v>
      </c>
    </row>
    <row r="175" s="162" customFormat="1" ht="12" spans="1:22">
      <c r="A175" s="141"/>
      <c r="B175" s="141" t="s">
        <v>2755</v>
      </c>
      <c r="C175" s="141"/>
      <c r="D175" s="141" t="s">
        <v>147</v>
      </c>
      <c r="E175" s="141">
        <v>2</v>
      </c>
      <c r="F175" s="141">
        <v>2</v>
      </c>
      <c r="G175" s="141">
        <v>2</v>
      </c>
      <c r="H175" s="141"/>
      <c r="I175" s="141"/>
      <c r="J175" s="188">
        <f t="shared" si="114"/>
        <v>2.7972</v>
      </c>
      <c r="K175" s="188">
        <f t="shared" si="115"/>
        <v>0.3108</v>
      </c>
      <c r="L175" s="188">
        <f t="shared" si="116"/>
        <v>1.2432</v>
      </c>
      <c r="M175" s="188">
        <f t="shared" si="117"/>
        <v>1.2432</v>
      </c>
      <c r="N175" s="188"/>
      <c r="O175" s="188"/>
      <c r="P175" s="194">
        <f t="shared" si="118"/>
        <v>0.0972</v>
      </c>
      <c r="Q175" s="194">
        <f t="shared" si="119"/>
        <v>2.7</v>
      </c>
      <c r="R175" s="188"/>
      <c r="S175" s="193"/>
      <c r="T175" s="193"/>
      <c r="U175" s="193"/>
      <c r="V175" s="141" t="s">
        <v>2807</v>
      </c>
    </row>
    <row r="176" s="162" customFormat="1" ht="12" spans="1:22">
      <c r="A176" s="141"/>
      <c r="B176" s="141" t="s">
        <v>2756</v>
      </c>
      <c r="C176" s="141"/>
      <c r="D176" s="141" t="s">
        <v>147</v>
      </c>
      <c r="E176" s="141">
        <v>1</v>
      </c>
      <c r="F176" s="141">
        <v>1</v>
      </c>
      <c r="G176" s="141">
        <v>1</v>
      </c>
      <c r="H176" s="141"/>
      <c r="I176" s="141"/>
      <c r="J176" s="188">
        <f t="shared" si="114"/>
        <v>1.3986</v>
      </c>
      <c r="K176" s="188">
        <f t="shared" si="115"/>
        <v>0.1554</v>
      </c>
      <c r="L176" s="188">
        <f t="shared" si="116"/>
        <v>0.6216</v>
      </c>
      <c r="M176" s="188">
        <f t="shared" si="117"/>
        <v>0.6216</v>
      </c>
      <c r="N176" s="188"/>
      <c r="O176" s="188"/>
      <c r="P176" s="194">
        <f t="shared" si="118"/>
        <v>0.0486</v>
      </c>
      <c r="Q176" s="194">
        <f t="shared" si="119"/>
        <v>1.35</v>
      </c>
      <c r="R176" s="188"/>
      <c r="S176" s="193"/>
      <c r="T176" s="193"/>
      <c r="U176" s="193"/>
      <c r="V176" s="141" t="s">
        <v>2807</v>
      </c>
    </row>
    <row r="177" s="162" customFormat="1" ht="12" spans="1:22">
      <c r="A177" s="141"/>
      <c r="B177" s="141" t="s">
        <v>2810</v>
      </c>
      <c r="C177" s="141"/>
      <c r="D177" s="141" t="s">
        <v>147</v>
      </c>
      <c r="E177" s="141">
        <f t="shared" ref="E177:G177" si="120">SUM(E178:E179)</f>
        <v>3</v>
      </c>
      <c r="F177" s="141">
        <f t="shared" si="120"/>
        <v>3</v>
      </c>
      <c r="G177" s="141">
        <f t="shared" si="120"/>
        <v>3</v>
      </c>
      <c r="H177" s="177">
        <v>2018</v>
      </c>
      <c r="I177" s="177" t="s">
        <v>2593</v>
      </c>
      <c r="J177" s="141">
        <f t="shared" ref="J177:Q177" si="121">SUM(J178:J179)</f>
        <v>4.1958</v>
      </c>
      <c r="K177" s="141">
        <f t="shared" si="121"/>
        <v>0.4662</v>
      </c>
      <c r="L177" s="141">
        <f t="shared" si="121"/>
        <v>1.8648</v>
      </c>
      <c r="M177" s="141">
        <f t="shared" si="121"/>
        <v>1.8648</v>
      </c>
      <c r="N177" s="141">
        <f t="shared" si="121"/>
        <v>0</v>
      </c>
      <c r="O177" s="141">
        <f t="shared" si="121"/>
        <v>0</v>
      </c>
      <c r="P177" s="141">
        <f t="shared" si="121"/>
        <v>0.1458</v>
      </c>
      <c r="Q177" s="141">
        <f t="shared" si="121"/>
        <v>4.05</v>
      </c>
      <c r="R177" s="188"/>
      <c r="S177" s="193" t="s">
        <v>2751</v>
      </c>
      <c r="T177" s="193" t="s">
        <v>2811</v>
      </c>
      <c r="U177" s="193" t="s">
        <v>195</v>
      </c>
      <c r="V177" s="141" t="s">
        <v>2807</v>
      </c>
    </row>
    <row r="178" s="162" customFormat="1" ht="12" spans="1:22">
      <c r="A178" s="141"/>
      <c r="B178" s="141" t="s">
        <v>2758</v>
      </c>
      <c r="C178" s="141"/>
      <c r="D178" s="141" t="s">
        <v>147</v>
      </c>
      <c r="E178" s="141">
        <v>2</v>
      </c>
      <c r="F178" s="141">
        <v>2</v>
      </c>
      <c r="G178" s="141">
        <v>2</v>
      </c>
      <c r="H178" s="141"/>
      <c r="I178" s="141"/>
      <c r="J178" s="188">
        <f t="shared" ref="J178:J185" si="122">K178+L178+M178</f>
        <v>2.7972</v>
      </c>
      <c r="K178" s="188">
        <f t="shared" ref="K178:K185" si="123">(E178*18*3/10000)+(E178*500*3/10000)</f>
        <v>0.3108</v>
      </c>
      <c r="L178" s="188">
        <f t="shared" ref="L178:L185" si="124">(F178*18*12/10000)+(F178*500*12/10000)</f>
        <v>1.2432</v>
      </c>
      <c r="M178" s="188">
        <f t="shared" ref="M178:M185" si="125">(G178*18*12/10000)+(G178*500*12/10000)</f>
        <v>1.2432</v>
      </c>
      <c r="N178" s="188"/>
      <c r="O178" s="188"/>
      <c r="P178" s="194">
        <f t="shared" ref="P178:P185" si="126">(E178*18*3/10000)+(E178*18*24/10000)</f>
        <v>0.0972</v>
      </c>
      <c r="Q178" s="194">
        <f t="shared" ref="Q178:Q185" si="127">(E178*500*3/10000)+(E178*500*24/10000)</f>
        <v>2.7</v>
      </c>
      <c r="R178" s="188"/>
      <c r="S178" s="193"/>
      <c r="T178" s="193"/>
      <c r="U178" s="193"/>
      <c r="V178" s="141" t="s">
        <v>2807</v>
      </c>
    </row>
    <row r="179" s="162" customFormat="1" ht="12" spans="1:22">
      <c r="A179" s="141"/>
      <c r="B179" s="141" t="s">
        <v>2755</v>
      </c>
      <c r="C179" s="141"/>
      <c r="D179" s="141" t="s">
        <v>147</v>
      </c>
      <c r="E179" s="141">
        <v>1</v>
      </c>
      <c r="F179" s="141">
        <v>1</v>
      </c>
      <c r="G179" s="141">
        <v>1</v>
      </c>
      <c r="H179" s="141"/>
      <c r="I179" s="141"/>
      <c r="J179" s="188">
        <f t="shared" si="122"/>
        <v>1.3986</v>
      </c>
      <c r="K179" s="188">
        <f t="shared" si="123"/>
        <v>0.1554</v>
      </c>
      <c r="L179" s="188">
        <f t="shared" si="124"/>
        <v>0.6216</v>
      </c>
      <c r="M179" s="188">
        <f t="shared" si="125"/>
        <v>0.6216</v>
      </c>
      <c r="N179" s="188"/>
      <c r="O179" s="188"/>
      <c r="P179" s="194">
        <f t="shared" si="126"/>
        <v>0.0486</v>
      </c>
      <c r="Q179" s="194">
        <f t="shared" si="127"/>
        <v>1.35</v>
      </c>
      <c r="R179" s="188"/>
      <c r="S179" s="193"/>
      <c r="T179" s="193"/>
      <c r="U179" s="193"/>
      <c r="V179" s="141" t="s">
        <v>2807</v>
      </c>
    </row>
    <row r="180" s="162" customFormat="1" ht="12" spans="1:22">
      <c r="A180" s="141"/>
      <c r="B180" s="141" t="s">
        <v>2253</v>
      </c>
      <c r="C180" s="141"/>
      <c r="D180" s="141" t="s">
        <v>147</v>
      </c>
      <c r="E180" s="141">
        <f t="shared" ref="E180:G180" si="128">SUM(E181:E185)</f>
        <v>6</v>
      </c>
      <c r="F180" s="141">
        <f t="shared" si="128"/>
        <v>6</v>
      </c>
      <c r="G180" s="141">
        <f t="shared" si="128"/>
        <v>6</v>
      </c>
      <c r="H180" s="177">
        <v>2018</v>
      </c>
      <c r="I180" s="177" t="s">
        <v>2593</v>
      </c>
      <c r="J180" s="141">
        <f t="shared" ref="J180:Q180" si="129">SUM(J181:J185)</f>
        <v>8.3916</v>
      </c>
      <c r="K180" s="141">
        <f t="shared" si="129"/>
        <v>0.9324</v>
      </c>
      <c r="L180" s="141">
        <f t="shared" si="129"/>
        <v>3.7296</v>
      </c>
      <c r="M180" s="141">
        <f t="shared" si="129"/>
        <v>3.7296</v>
      </c>
      <c r="N180" s="141">
        <f t="shared" si="129"/>
        <v>0</v>
      </c>
      <c r="O180" s="141">
        <f t="shared" si="129"/>
        <v>0</v>
      </c>
      <c r="P180" s="141">
        <f t="shared" si="129"/>
        <v>0.2916</v>
      </c>
      <c r="Q180" s="141">
        <f t="shared" si="129"/>
        <v>8.1</v>
      </c>
      <c r="R180" s="188"/>
      <c r="S180" s="193" t="s">
        <v>2790</v>
      </c>
      <c r="T180" s="193" t="s">
        <v>2791</v>
      </c>
      <c r="U180" s="193" t="s">
        <v>195</v>
      </c>
      <c r="V180" s="141" t="s">
        <v>2807</v>
      </c>
    </row>
    <row r="181" s="162" customFormat="1" ht="12" spans="1:22">
      <c r="A181" s="141"/>
      <c r="B181" s="141" t="s">
        <v>2758</v>
      </c>
      <c r="C181" s="141"/>
      <c r="D181" s="141" t="s">
        <v>147</v>
      </c>
      <c r="E181" s="141">
        <v>2</v>
      </c>
      <c r="F181" s="141">
        <v>2</v>
      </c>
      <c r="G181" s="141">
        <v>2</v>
      </c>
      <c r="H181" s="141"/>
      <c r="I181" s="141"/>
      <c r="J181" s="188">
        <f t="shared" si="122"/>
        <v>2.7972</v>
      </c>
      <c r="K181" s="188">
        <f t="shared" si="123"/>
        <v>0.3108</v>
      </c>
      <c r="L181" s="188">
        <f t="shared" si="124"/>
        <v>1.2432</v>
      </c>
      <c r="M181" s="188">
        <f t="shared" si="125"/>
        <v>1.2432</v>
      </c>
      <c r="N181" s="188"/>
      <c r="O181" s="188"/>
      <c r="P181" s="194">
        <f t="shared" si="126"/>
        <v>0.0972</v>
      </c>
      <c r="Q181" s="194">
        <f t="shared" si="127"/>
        <v>2.7</v>
      </c>
      <c r="R181" s="188"/>
      <c r="S181" s="193"/>
      <c r="T181" s="193"/>
      <c r="U181" s="193"/>
      <c r="V181" s="141" t="s">
        <v>2807</v>
      </c>
    </row>
    <row r="182" s="162" customFormat="1" ht="12" spans="1:22">
      <c r="A182" s="141"/>
      <c r="B182" s="141" t="s">
        <v>2754</v>
      </c>
      <c r="C182" s="141"/>
      <c r="D182" s="141" t="s">
        <v>147</v>
      </c>
      <c r="E182" s="141">
        <v>1</v>
      </c>
      <c r="F182" s="141">
        <v>1</v>
      </c>
      <c r="G182" s="141">
        <v>1</v>
      </c>
      <c r="H182" s="141"/>
      <c r="I182" s="141"/>
      <c r="J182" s="188">
        <f t="shared" si="122"/>
        <v>1.3986</v>
      </c>
      <c r="K182" s="188">
        <f t="shared" si="123"/>
        <v>0.1554</v>
      </c>
      <c r="L182" s="188">
        <f t="shared" si="124"/>
        <v>0.6216</v>
      </c>
      <c r="M182" s="188">
        <f t="shared" si="125"/>
        <v>0.6216</v>
      </c>
      <c r="N182" s="188"/>
      <c r="O182" s="188"/>
      <c r="P182" s="194">
        <f t="shared" si="126"/>
        <v>0.0486</v>
      </c>
      <c r="Q182" s="194">
        <f t="shared" si="127"/>
        <v>1.35</v>
      </c>
      <c r="R182" s="188"/>
      <c r="S182" s="193"/>
      <c r="T182" s="193"/>
      <c r="U182" s="193"/>
      <c r="V182" s="141" t="s">
        <v>2807</v>
      </c>
    </row>
    <row r="183" s="162" customFormat="1" ht="12" spans="1:22">
      <c r="A183" s="141"/>
      <c r="B183" s="141" t="s">
        <v>2759</v>
      </c>
      <c r="C183" s="141"/>
      <c r="D183" s="141" t="s">
        <v>147</v>
      </c>
      <c r="E183" s="141">
        <v>1</v>
      </c>
      <c r="F183" s="141">
        <v>1</v>
      </c>
      <c r="G183" s="141">
        <v>1</v>
      </c>
      <c r="H183" s="141"/>
      <c r="I183" s="141"/>
      <c r="J183" s="188">
        <f t="shared" si="122"/>
        <v>1.3986</v>
      </c>
      <c r="K183" s="188">
        <f t="shared" si="123"/>
        <v>0.1554</v>
      </c>
      <c r="L183" s="188">
        <f t="shared" si="124"/>
        <v>0.6216</v>
      </c>
      <c r="M183" s="188">
        <f t="shared" si="125"/>
        <v>0.6216</v>
      </c>
      <c r="N183" s="188"/>
      <c r="O183" s="188"/>
      <c r="P183" s="194">
        <f t="shared" si="126"/>
        <v>0.0486</v>
      </c>
      <c r="Q183" s="194">
        <f t="shared" si="127"/>
        <v>1.35</v>
      </c>
      <c r="R183" s="188"/>
      <c r="S183" s="193"/>
      <c r="T183" s="193"/>
      <c r="U183" s="193"/>
      <c r="V183" s="141" t="s">
        <v>2807</v>
      </c>
    </row>
    <row r="184" s="162" customFormat="1" ht="12" spans="1:22">
      <c r="A184" s="141"/>
      <c r="B184" s="141" t="s">
        <v>2755</v>
      </c>
      <c r="C184" s="141"/>
      <c r="D184" s="141" t="s">
        <v>147</v>
      </c>
      <c r="E184" s="141">
        <v>1</v>
      </c>
      <c r="F184" s="141">
        <v>1</v>
      </c>
      <c r="G184" s="141">
        <v>1</v>
      </c>
      <c r="H184" s="141"/>
      <c r="I184" s="141"/>
      <c r="J184" s="188">
        <f t="shared" si="122"/>
        <v>1.3986</v>
      </c>
      <c r="K184" s="188">
        <f t="shared" si="123"/>
        <v>0.1554</v>
      </c>
      <c r="L184" s="188">
        <f t="shared" si="124"/>
        <v>0.6216</v>
      </c>
      <c r="M184" s="188">
        <f t="shared" si="125"/>
        <v>0.6216</v>
      </c>
      <c r="N184" s="188"/>
      <c r="O184" s="188"/>
      <c r="P184" s="194">
        <f t="shared" si="126"/>
        <v>0.0486</v>
      </c>
      <c r="Q184" s="194">
        <f t="shared" si="127"/>
        <v>1.35</v>
      </c>
      <c r="R184" s="188"/>
      <c r="S184" s="193"/>
      <c r="T184" s="193"/>
      <c r="U184" s="193"/>
      <c r="V184" s="141" t="s">
        <v>2807</v>
      </c>
    </row>
    <row r="185" s="162" customFormat="1" ht="12" spans="1:22">
      <c r="A185" s="141"/>
      <c r="B185" s="141" t="s">
        <v>2756</v>
      </c>
      <c r="C185" s="141"/>
      <c r="D185" s="141" t="s">
        <v>147</v>
      </c>
      <c r="E185" s="141">
        <v>1</v>
      </c>
      <c r="F185" s="141">
        <v>1</v>
      </c>
      <c r="G185" s="141">
        <v>1</v>
      </c>
      <c r="H185" s="141"/>
      <c r="I185" s="141"/>
      <c r="J185" s="188">
        <f t="shared" si="122"/>
        <v>1.3986</v>
      </c>
      <c r="K185" s="188">
        <f t="shared" si="123"/>
        <v>0.1554</v>
      </c>
      <c r="L185" s="188">
        <f t="shared" si="124"/>
        <v>0.6216</v>
      </c>
      <c r="M185" s="188">
        <f t="shared" si="125"/>
        <v>0.6216</v>
      </c>
      <c r="N185" s="188"/>
      <c r="O185" s="188"/>
      <c r="P185" s="194">
        <f t="shared" si="126"/>
        <v>0.0486</v>
      </c>
      <c r="Q185" s="194">
        <f t="shared" si="127"/>
        <v>1.35</v>
      </c>
      <c r="R185" s="188"/>
      <c r="S185" s="193"/>
      <c r="T185" s="193"/>
      <c r="U185" s="193"/>
      <c r="V185" s="141" t="s">
        <v>2807</v>
      </c>
    </row>
    <row r="186" s="162" customFormat="1" ht="24" spans="1:22">
      <c r="A186" s="141"/>
      <c r="B186" s="141" t="s">
        <v>2812</v>
      </c>
      <c r="C186" s="141"/>
      <c r="D186" s="141" t="s">
        <v>147</v>
      </c>
      <c r="E186" s="141">
        <f t="shared" ref="E186:G186" si="130">SUM(E187:E189)</f>
        <v>3</v>
      </c>
      <c r="F186" s="141">
        <f t="shared" si="130"/>
        <v>3</v>
      </c>
      <c r="G186" s="141">
        <f t="shared" si="130"/>
        <v>3</v>
      </c>
      <c r="H186" s="177">
        <v>2018</v>
      </c>
      <c r="I186" s="177" t="s">
        <v>2593</v>
      </c>
      <c r="J186" s="141">
        <f t="shared" ref="J186:Q186" si="131">SUM(J187:J189)</f>
        <v>4.1958</v>
      </c>
      <c r="K186" s="141">
        <f t="shared" si="131"/>
        <v>0.4662</v>
      </c>
      <c r="L186" s="141">
        <f t="shared" si="131"/>
        <v>1.8648</v>
      </c>
      <c r="M186" s="141">
        <f t="shared" si="131"/>
        <v>1.8648</v>
      </c>
      <c r="N186" s="141">
        <f t="shared" si="131"/>
        <v>0</v>
      </c>
      <c r="O186" s="141">
        <f t="shared" si="131"/>
        <v>0</v>
      </c>
      <c r="P186" s="141">
        <f t="shared" si="131"/>
        <v>0.1458</v>
      </c>
      <c r="Q186" s="141">
        <f t="shared" si="131"/>
        <v>4.05</v>
      </c>
      <c r="R186" s="188"/>
      <c r="S186" s="193" t="s">
        <v>2775</v>
      </c>
      <c r="T186" s="193" t="s">
        <v>2787</v>
      </c>
      <c r="U186" s="193" t="s">
        <v>195</v>
      </c>
      <c r="V186" s="141" t="s">
        <v>2807</v>
      </c>
    </row>
    <row r="187" s="162" customFormat="1" ht="12" spans="1:22">
      <c r="A187" s="141"/>
      <c r="B187" s="141" t="s">
        <v>2758</v>
      </c>
      <c r="C187" s="141"/>
      <c r="D187" s="141" t="s">
        <v>147</v>
      </c>
      <c r="E187" s="141">
        <v>1</v>
      </c>
      <c r="F187" s="141">
        <v>1</v>
      </c>
      <c r="G187" s="141">
        <v>1</v>
      </c>
      <c r="H187" s="141"/>
      <c r="I187" s="141"/>
      <c r="J187" s="188">
        <f t="shared" ref="J187:J189" si="132">K187+L187+M187</f>
        <v>1.3986</v>
      </c>
      <c r="K187" s="188">
        <f t="shared" ref="K187:K189" si="133">(E187*18*3/10000)+(E187*500*3/10000)</f>
        <v>0.1554</v>
      </c>
      <c r="L187" s="188">
        <f t="shared" ref="L187:L189" si="134">(F187*18*12/10000)+(F187*500*12/10000)</f>
        <v>0.6216</v>
      </c>
      <c r="M187" s="188">
        <f t="shared" ref="M187:M189" si="135">(G187*18*12/10000)+(G187*500*12/10000)</f>
        <v>0.6216</v>
      </c>
      <c r="N187" s="188"/>
      <c r="O187" s="188"/>
      <c r="P187" s="194">
        <f t="shared" ref="P187:P189" si="136">(E187*18*3/10000)+(E187*18*24/10000)</f>
        <v>0.0486</v>
      </c>
      <c r="Q187" s="194">
        <f t="shared" ref="Q187:Q189" si="137">(E187*500*3/10000)+(E187*500*24/10000)</f>
        <v>1.35</v>
      </c>
      <c r="R187" s="188"/>
      <c r="S187" s="193"/>
      <c r="T187" s="193"/>
      <c r="U187" s="193"/>
      <c r="V187" s="141" t="s">
        <v>2807</v>
      </c>
    </row>
    <row r="188" s="162" customFormat="1" ht="12" spans="1:22">
      <c r="A188" s="141"/>
      <c r="B188" s="141" t="s">
        <v>2755</v>
      </c>
      <c r="C188" s="141"/>
      <c r="D188" s="141" t="s">
        <v>147</v>
      </c>
      <c r="E188" s="141">
        <v>1</v>
      </c>
      <c r="F188" s="141">
        <v>1</v>
      </c>
      <c r="G188" s="141">
        <v>1</v>
      </c>
      <c r="H188" s="141"/>
      <c r="I188" s="141"/>
      <c r="J188" s="188">
        <f t="shared" si="132"/>
        <v>1.3986</v>
      </c>
      <c r="K188" s="188">
        <f t="shared" si="133"/>
        <v>0.1554</v>
      </c>
      <c r="L188" s="188">
        <f t="shared" si="134"/>
        <v>0.6216</v>
      </c>
      <c r="M188" s="188">
        <f t="shared" si="135"/>
        <v>0.6216</v>
      </c>
      <c r="N188" s="188"/>
      <c r="O188" s="188"/>
      <c r="P188" s="194">
        <f t="shared" si="136"/>
        <v>0.0486</v>
      </c>
      <c r="Q188" s="194">
        <f t="shared" si="137"/>
        <v>1.35</v>
      </c>
      <c r="R188" s="188"/>
      <c r="S188" s="193"/>
      <c r="T188" s="193"/>
      <c r="U188" s="193"/>
      <c r="V188" s="141" t="s">
        <v>2807</v>
      </c>
    </row>
    <row r="189" s="162" customFormat="1" ht="12" spans="1:22">
      <c r="A189" s="141"/>
      <c r="B189" s="141" t="s">
        <v>2756</v>
      </c>
      <c r="C189" s="141"/>
      <c r="D189" s="141" t="s">
        <v>147</v>
      </c>
      <c r="E189" s="141">
        <v>1</v>
      </c>
      <c r="F189" s="141">
        <v>1</v>
      </c>
      <c r="G189" s="141">
        <v>1</v>
      </c>
      <c r="H189" s="141"/>
      <c r="I189" s="141"/>
      <c r="J189" s="188">
        <f t="shared" si="132"/>
        <v>1.3986</v>
      </c>
      <c r="K189" s="188">
        <f t="shared" si="133"/>
        <v>0.1554</v>
      </c>
      <c r="L189" s="188">
        <f t="shared" si="134"/>
        <v>0.6216</v>
      </c>
      <c r="M189" s="188">
        <f t="shared" si="135"/>
        <v>0.6216</v>
      </c>
      <c r="N189" s="188"/>
      <c r="O189" s="188"/>
      <c r="P189" s="194">
        <f t="shared" si="136"/>
        <v>0.0486</v>
      </c>
      <c r="Q189" s="194">
        <f t="shared" si="137"/>
        <v>1.35</v>
      </c>
      <c r="R189" s="188"/>
      <c r="S189" s="193"/>
      <c r="T189" s="193"/>
      <c r="U189" s="193"/>
      <c r="V189" s="141" t="s">
        <v>2807</v>
      </c>
    </row>
    <row r="190" s="162" customFormat="1" ht="12" spans="1:22">
      <c r="A190" s="141"/>
      <c r="B190" s="141" t="s">
        <v>2259</v>
      </c>
      <c r="C190" s="141"/>
      <c r="D190" s="141" t="s">
        <v>147</v>
      </c>
      <c r="E190" s="141">
        <f t="shared" ref="E190:G190" si="138">SUM(E191:E194)</f>
        <v>5</v>
      </c>
      <c r="F190" s="141">
        <f t="shared" si="138"/>
        <v>5</v>
      </c>
      <c r="G190" s="141">
        <f t="shared" si="138"/>
        <v>5</v>
      </c>
      <c r="H190" s="177">
        <v>2018</v>
      </c>
      <c r="I190" s="177" t="s">
        <v>2593</v>
      </c>
      <c r="J190" s="141">
        <f t="shared" ref="J190:Q190" si="139">SUM(J191:J194)</f>
        <v>6.993</v>
      </c>
      <c r="K190" s="141">
        <f t="shared" si="139"/>
        <v>0.777</v>
      </c>
      <c r="L190" s="141">
        <f t="shared" si="139"/>
        <v>3.108</v>
      </c>
      <c r="M190" s="141">
        <f t="shared" si="139"/>
        <v>3.108</v>
      </c>
      <c r="N190" s="141">
        <f t="shared" si="139"/>
        <v>0</v>
      </c>
      <c r="O190" s="141">
        <f t="shared" si="139"/>
        <v>0</v>
      </c>
      <c r="P190" s="141">
        <f t="shared" si="139"/>
        <v>0.243</v>
      </c>
      <c r="Q190" s="141">
        <f t="shared" si="139"/>
        <v>6.75</v>
      </c>
      <c r="R190" s="188"/>
      <c r="S190" s="193" t="s">
        <v>2775</v>
      </c>
      <c r="T190" s="193" t="s">
        <v>2787</v>
      </c>
      <c r="U190" s="193" t="s">
        <v>195</v>
      </c>
      <c r="V190" s="141" t="s">
        <v>2807</v>
      </c>
    </row>
    <row r="191" s="162" customFormat="1" ht="12" spans="1:22">
      <c r="A191" s="141"/>
      <c r="B191" s="141" t="s">
        <v>2758</v>
      </c>
      <c r="C191" s="141"/>
      <c r="D191" s="141" t="s">
        <v>147</v>
      </c>
      <c r="E191" s="141">
        <v>1</v>
      </c>
      <c r="F191" s="141">
        <v>1</v>
      </c>
      <c r="G191" s="141">
        <v>1</v>
      </c>
      <c r="H191" s="141"/>
      <c r="I191" s="141"/>
      <c r="J191" s="188">
        <f t="shared" ref="J191:J194" si="140">K191+L191+M191</f>
        <v>1.3986</v>
      </c>
      <c r="K191" s="188">
        <f t="shared" ref="K191:K194" si="141">(E191*18*3/10000)+(E191*500*3/10000)</f>
        <v>0.1554</v>
      </c>
      <c r="L191" s="188">
        <f t="shared" ref="L191:L194" si="142">(F191*18*12/10000)+(F191*500*12/10000)</f>
        <v>0.6216</v>
      </c>
      <c r="M191" s="188">
        <f t="shared" ref="M191:M194" si="143">(G191*18*12/10000)+(G191*500*12/10000)</f>
        <v>0.6216</v>
      </c>
      <c r="N191" s="188"/>
      <c r="O191" s="188"/>
      <c r="P191" s="194">
        <f t="shared" ref="P191:P194" si="144">(E191*18*3/10000)+(E191*18*24/10000)</f>
        <v>0.0486</v>
      </c>
      <c r="Q191" s="194">
        <f t="shared" ref="Q191:Q194" si="145">(E191*500*3/10000)+(E191*500*24/10000)</f>
        <v>1.35</v>
      </c>
      <c r="R191" s="188"/>
      <c r="S191" s="193"/>
      <c r="T191" s="193"/>
      <c r="U191" s="193"/>
      <c r="V191" s="141" t="s">
        <v>2807</v>
      </c>
    </row>
    <row r="192" s="162" customFormat="1" ht="12" spans="1:22">
      <c r="A192" s="141"/>
      <c r="B192" s="141" t="s">
        <v>2759</v>
      </c>
      <c r="C192" s="141"/>
      <c r="D192" s="141" t="s">
        <v>147</v>
      </c>
      <c r="E192" s="141">
        <v>1</v>
      </c>
      <c r="F192" s="141">
        <v>1</v>
      </c>
      <c r="G192" s="141">
        <v>1</v>
      </c>
      <c r="H192" s="141"/>
      <c r="I192" s="141"/>
      <c r="J192" s="188">
        <f t="shared" si="140"/>
        <v>1.3986</v>
      </c>
      <c r="K192" s="188">
        <f t="shared" si="141"/>
        <v>0.1554</v>
      </c>
      <c r="L192" s="188">
        <f t="shared" si="142"/>
        <v>0.6216</v>
      </c>
      <c r="M192" s="188">
        <f t="shared" si="143"/>
        <v>0.6216</v>
      </c>
      <c r="N192" s="188"/>
      <c r="O192" s="188"/>
      <c r="P192" s="194">
        <f t="shared" si="144"/>
        <v>0.0486</v>
      </c>
      <c r="Q192" s="194">
        <f t="shared" si="145"/>
        <v>1.35</v>
      </c>
      <c r="R192" s="188"/>
      <c r="S192" s="193"/>
      <c r="T192" s="193"/>
      <c r="U192" s="193"/>
      <c r="V192" s="141" t="s">
        <v>2807</v>
      </c>
    </row>
    <row r="193" s="162" customFormat="1" ht="12" spans="1:22">
      <c r="A193" s="141"/>
      <c r="B193" s="141" t="s">
        <v>2755</v>
      </c>
      <c r="C193" s="141"/>
      <c r="D193" s="141" t="s">
        <v>147</v>
      </c>
      <c r="E193" s="141">
        <v>1</v>
      </c>
      <c r="F193" s="141">
        <v>1</v>
      </c>
      <c r="G193" s="141">
        <v>1</v>
      </c>
      <c r="H193" s="141"/>
      <c r="I193" s="141"/>
      <c r="J193" s="188">
        <f t="shared" si="140"/>
        <v>1.3986</v>
      </c>
      <c r="K193" s="188">
        <f t="shared" si="141"/>
        <v>0.1554</v>
      </c>
      <c r="L193" s="188">
        <f t="shared" si="142"/>
        <v>0.6216</v>
      </c>
      <c r="M193" s="188">
        <f t="shared" si="143"/>
        <v>0.6216</v>
      </c>
      <c r="N193" s="188"/>
      <c r="O193" s="188"/>
      <c r="P193" s="194">
        <f t="shared" si="144"/>
        <v>0.0486</v>
      </c>
      <c r="Q193" s="194">
        <f t="shared" si="145"/>
        <v>1.35</v>
      </c>
      <c r="R193" s="188"/>
      <c r="S193" s="193"/>
      <c r="T193" s="193"/>
      <c r="U193" s="193"/>
      <c r="V193" s="141" t="s">
        <v>2807</v>
      </c>
    </row>
    <row r="194" s="162" customFormat="1" ht="12" spans="1:22">
      <c r="A194" s="141"/>
      <c r="B194" s="141" t="s">
        <v>2756</v>
      </c>
      <c r="C194" s="141"/>
      <c r="D194" s="141" t="s">
        <v>147</v>
      </c>
      <c r="E194" s="141">
        <v>2</v>
      </c>
      <c r="F194" s="141">
        <v>2</v>
      </c>
      <c r="G194" s="141">
        <v>2</v>
      </c>
      <c r="H194" s="141"/>
      <c r="I194" s="141"/>
      <c r="J194" s="188">
        <f t="shared" si="140"/>
        <v>2.7972</v>
      </c>
      <c r="K194" s="188">
        <f t="shared" si="141"/>
        <v>0.3108</v>
      </c>
      <c r="L194" s="188">
        <f t="shared" si="142"/>
        <v>1.2432</v>
      </c>
      <c r="M194" s="188">
        <f t="shared" si="143"/>
        <v>1.2432</v>
      </c>
      <c r="N194" s="188"/>
      <c r="O194" s="188"/>
      <c r="P194" s="194">
        <f t="shared" si="144"/>
        <v>0.0972</v>
      </c>
      <c r="Q194" s="194">
        <f t="shared" si="145"/>
        <v>2.7</v>
      </c>
      <c r="R194" s="188"/>
      <c r="S194" s="193"/>
      <c r="T194" s="193"/>
      <c r="U194" s="193"/>
      <c r="V194" s="141" t="s">
        <v>2807</v>
      </c>
    </row>
    <row r="195" s="162" customFormat="1" ht="12" spans="1:22">
      <c r="A195" s="141"/>
      <c r="B195" s="141" t="s">
        <v>1111</v>
      </c>
      <c r="C195" s="141"/>
      <c r="D195" s="141" t="s">
        <v>147</v>
      </c>
      <c r="E195" s="141">
        <f t="shared" ref="E195:G195" si="146">SUM(E196:E200)</f>
        <v>5</v>
      </c>
      <c r="F195" s="141">
        <f t="shared" si="146"/>
        <v>5</v>
      </c>
      <c r="G195" s="141">
        <f t="shared" si="146"/>
        <v>5</v>
      </c>
      <c r="H195" s="177">
        <v>2018</v>
      </c>
      <c r="I195" s="177" t="s">
        <v>2593</v>
      </c>
      <c r="J195" s="141">
        <f t="shared" ref="J195:Q195" si="147">SUM(J196:J200)</f>
        <v>6.993</v>
      </c>
      <c r="K195" s="141">
        <f t="shared" si="147"/>
        <v>0.777</v>
      </c>
      <c r="L195" s="141">
        <f t="shared" si="147"/>
        <v>3.108</v>
      </c>
      <c r="M195" s="141">
        <f t="shared" si="147"/>
        <v>3.108</v>
      </c>
      <c r="N195" s="141">
        <f t="shared" si="147"/>
        <v>0</v>
      </c>
      <c r="O195" s="141">
        <f t="shared" si="147"/>
        <v>0</v>
      </c>
      <c r="P195" s="141">
        <f t="shared" si="147"/>
        <v>0.243</v>
      </c>
      <c r="Q195" s="141">
        <f t="shared" si="147"/>
        <v>6.75</v>
      </c>
      <c r="R195" s="188"/>
      <c r="S195" s="193" t="s">
        <v>2751</v>
      </c>
      <c r="T195" s="193" t="s">
        <v>2811</v>
      </c>
      <c r="U195" s="193" t="s">
        <v>195</v>
      </c>
      <c r="V195" s="141" t="s">
        <v>2807</v>
      </c>
    </row>
    <row r="196" s="162" customFormat="1" ht="12" spans="1:22">
      <c r="A196" s="141"/>
      <c r="B196" s="141" t="s">
        <v>2758</v>
      </c>
      <c r="C196" s="141"/>
      <c r="D196" s="141" t="s">
        <v>147</v>
      </c>
      <c r="E196" s="141">
        <v>1</v>
      </c>
      <c r="F196" s="141">
        <v>1</v>
      </c>
      <c r="G196" s="141">
        <v>1</v>
      </c>
      <c r="H196" s="141"/>
      <c r="I196" s="141"/>
      <c r="J196" s="188">
        <f t="shared" ref="J196:J200" si="148">K196+L196+M196</f>
        <v>1.3986</v>
      </c>
      <c r="K196" s="188">
        <f t="shared" ref="K196:K200" si="149">(E196*18*3/10000)+(E196*500*3/10000)</f>
        <v>0.1554</v>
      </c>
      <c r="L196" s="188">
        <f t="shared" ref="L196:L200" si="150">(F196*18*12/10000)+(F196*500*12/10000)</f>
        <v>0.6216</v>
      </c>
      <c r="M196" s="188">
        <f t="shared" ref="M196:M200" si="151">(G196*18*12/10000)+(G196*500*12/10000)</f>
        <v>0.6216</v>
      </c>
      <c r="N196" s="188"/>
      <c r="O196" s="188"/>
      <c r="P196" s="194">
        <f t="shared" ref="P196:P200" si="152">(E196*18*3/10000)+(E196*18*24/10000)</f>
        <v>0.0486</v>
      </c>
      <c r="Q196" s="194">
        <f t="shared" ref="Q196:Q200" si="153">(E196*500*3/10000)+(E196*500*24/10000)</f>
        <v>1.35</v>
      </c>
      <c r="R196" s="188"/>
      <c r="S196" s="193"/>
      <c r="T196" s="193"/>
      <c r="U196" s="193"/>
      <c r="V196" s="141" t="s">
        <v>2807</v>
      </c>
    </row>
    <row r="197" s="162" customFormat="1" ht="12" spans="1:22">
      <c r="A197" s="141"/>
      <c r="B197" s="141" t="s">
        <v>2754</v>
      </c>
      <c r="C197" s="141"/>
      <c r="D197" s="141" t="s">
        <v>147</v>
      </c>
      <c r="E197" s="141">
        <v>1</v>
      </c>
      <c r="F197" s="141">
        <v>1</v>
      </c>
      <c r="G197" s="141">
        <v>1</v>
      </c>
      <c r="H197" s="141"/>
      <c r="I197" s="141"/>
      <c r="J197" s="188">
        <f t="shared" si="148"/>
        <v>1.3986</v>
      </c>
      <c r="K197" s="188">
        <f t="shared" si="149"/>
        <v>0.1554</v>
      </c>
      <c r="L197" s="188">
        <f t="shared" si="150"/>
        <v>0.6216</v>
      </c>
      <c r="M197" s="188">
        <f t="shared" si="151"/>
        <v>0.6216</v>
      </c>
      <c r="N197" s="188"/>
      <c r="O197" s="188"/>
      <c r="P197" s="194">
        <f t="shared" si="152"/>
        <v>0.0486</v>
      </c>
      <c r="Q197" s="194">
        <f t="shared" si="153"/>
        <v>1.35</v>
      </c>
      <c r="R197" s="188"/>
      <c r="S197" s="193"/>
      <c r="T197" s="193"/>
      <c r="U197" s="193"/>
      <c r="V197" s="141" t="s">
        <v>2807</v>
      </c>
    </row>
    <row r="198" s="162" customFormat="1" ht="12" spans="1:22">
      <c r="A198" s="141"/>
      <c r="B198" s="141" t="s">
        <v>2759</v>
      </c>
      <c r="C198" s="141"/>
      <c r="D198" s="141" t="s">
        <v>147</v>
      </c>
      <c r="E198" s="141">
        <v>1</v>
      </c>
      <c r="F198" s="141">
        <v>1</v>
      </c>
      <c r="G198" s="141">
        <v>1</v>
      </c>
      <c r="H198" s="141"/>
      <c r="I198" s="141"/>
      <c r="J198" s="188">
        <f t="shared" si="148"/>
        <v>1.3986</v>
      </c>
      <c r="K198" s="188">
        <f t="shared" si="149"/>
        <v>0.1554</v>
      </c>
      <c r="L198" s="188">
        <f t="shared" si="150"/>
        <v>0.6216</v>
      </c>
      <c r="M198" s="188">
        <f t="shared" si="151"/>
        <v>0.6216</v>
      </c>
      <c r="N198" s="188"/>
      <c r="O198" s="188"/>
      <c r="P198" s="194">
        <f t="shared" si="152"/>
        <v>0.0486</v>
      </c>
      <c r="Q198" s="194">
        <f t="shared" si="153"/>
        <v>1.35</v>
      </c>
      <c r="R198" s="188"/>
      <c r="S198" s="193"/>
      <c r="T198" s="193"/>
      <c r="U198" s="193"/>
      <c r="V198" s="141" t="s">
        <v>2807</v>
      </c>
    </row>
    <row r="199" s="162" customFormat="1" ht="12" spans="1:22">
      <c r="A199" s="141"/>
      <c r="B199" s="141" t="s">
        <v>2755</v>
      </c>
      <c r="C199" s="141"/>
      <c r="D199" s="141" t="s">
        <v>147</v>
      </c>
      <c r="E199" s="141">
        <v>1</v>
      </c>
      <c r="F199" s="141">
        <v>1</v>
      </c>
      <c r="G199" s="141">
        <v>1</v>
      </c>
      <c r="H199" s="141"/>
      <c r="I199" s="141"/>
      <c r="J199" s="188">
        <f t="shared" si="148"/>
        <v>1.3986</v>
      </c>
      <c r="K199" s="188">
        <f t="shared" si="149"/>
        <v>0.1554</v>
      </c>
      <c r="L199" s="188">
        <f t="shared" si="150"/>
        <v>0.6216</v>
      </c>
      <c r="M199" s="188">
        <f t="shared" si="151"/>
        <v>0.6216</v>
      </c>
      <c r="N199" s="188"/>
      <c r="O199" s="188"/>
      <c r="P199" s="194">
        <f t="shared" si="152"/>
        <v>0.0486</v>
      </c>
      <c r="Q199" s="194">
        <f t="shared" si="153"/>
        <v>1.35</v>
      </c>
      <c r="R199" s="188"/>
      <c r="S199" s="193"/>
      <c r="T199" s="193"/>
      <c r="U199" s="193"/>
      <c r="V199" s="141" t="s">
        <v>2807</v>
      </c>
    </row>
    <row r="200" s="162" customFormat="1" ht="12" spans="1:22">
      <c r="A200" s="141"/>
      <c r="B200" s="141" t="s">
        <v>2756</v>
      </c>
      <c r="C200" s="141"/>
      <c r="D200" s="141" t="s">
        <v>147</v>
      </c>
      <c r="E200" s="141">
        <v>1</v>
      </c>
      <c r="F200" s="141">
        <v>1</v>
      </c>
      <c r="G200" s="141">
        <v>1</v>
      </c>
      <c r="H200" s="141"/>
      <c r="I200" s="141"/>
      <c r="J200" s="188">
        <f t="shared" si="148"/>
        <v>1.3986</v>
      </c>
      <c r="K200" s="188">
        <f t="shared" si="149"/>
        <v>0.1554</v>
      </c>
      <c r="L200" s="188">
        <f t="shared" si="150"/>
        <v>0.6216</v>
      </c>
      <c r="M200" s="188">
        <f t="shared" si="151"/>
        <v>0.6216</v>
      </c>
      <c r="N200" s="188"/>
      <c r="O200" s="188"/>
      <c r="P200" s="194">
        <f t="shared" si="152"/>
        <v>0.0486</v>
      </c>
      <c r="Q200" s="194">
        <f t="shared" si="153"/>
        <v>1.35</v>
      </c>
      <c r="R200" s="188"/>
      <c r="S200" s="193"/>
      <c r="T200" s="193"/>
      <c r="U200" s="193"/>
      <c r="V200" s="141" t="s">
        <v>2807</v>
      </c>
    </row>
    <row r="201" s="162" customFormat="1" ht="12" spans="1:22">
      <c r="A201" s="141">
        <v>34</v>
      </c>
      <c r="B201" s="141" t="s">
        <v>857</v>
      </c>
      <c r="C201" s="141" t="s">
        <v>320</v>
      </c>
      <c r="D201" s="141" t="s">
        <v>320</v>
      </c>
      <c r="E201" s="141"/>
      <c r="F201" s="141">
        <v>1043</v>
      </c>
      <c r="G201" s="141">
        <v>3881</v>
      </c>
      <c r="H201" s="141"/>
      <c r="I201" s="141"/>
      <c r="J201" s="146">
        <f t="shared" ref="J201:R201" si="154">J202+J205+J209+J243+J244+J251</f>
        <v>2984.748086</v>
      </c>
      <c r="K201" s="141">
        <f t="shared" si="154"/>
        <v>393</v>
      </c>
      <c r="L201" s="141">
        <f t="shared" si="154"/>
        <v>2203.349362</v>
      </c>
      <c r="M201" s="141">
        <f t="shared" si="154"/>
        <v>388.398724</v>
      </c>
      <c r="N201" s="141">
        <f t="shared" si="154"/>
        <v>36.6</v>
      </c>
      <c r="O201" s="141">
        <f t="shared" si="154"/>
        <v>2948.148086</v>
      </c>
      <c r="P201" s="141">
        <f t="shared" si="154"/>
        <v>0</v>
      </c>
      <c r="Q201" s="141">
        <f t="shared" si="154"/>
        <v>0</v>
      </c>
      <c r="R201" s="141">
        <f t="shared" si="154"/>
        <v>0</v>
      </c>
      <c r="S201" s="146" t="s">
        <v>2775</v>
      </c>
      <c r="T201" s="146" t="s">
        <v>2813</v>
      </c>
      <c r="U201" s="141"/>
      <c r="V201" s="141" t="s">
        <v>41</v>
      </c>
    </row>
    <row r="202" s="162" customFormat="1" ht="12" spans="1:22">
      <c r="A202" s="141">
        <v>35</v>
      </c>
      <c r="B202" s="141" t="s">
        <v>42</v>
      </c>
      <c r="C202" s="141"/>
      <c r="D202" s="141"/>
      <c r="E202" s="141"/>
      <c r="F202" s="141"/>
      <c r="G202" s="141"/>
      <c r="H202" s="141">
        <f t="shared" ref="H202:M202" si="155">H204</f>
        <v>0</v>
      </c>
      <c r="I202" s="141">
        <f t="shared" si="155"/>
        <v>0</v>
      </c>
      <c r="J202" s="188">
        <f t="shared" si="155"/>
        <v>0</v>
      </c>
      <c r="K202" s="188">
        <f t="shared" si="155"/>
        <v>0</v>
      </c>
      <c r="L202" s="188">
        <f t="shared" si="155"/>
        <v>0</v>
      </c>
      <c r="M202" s="188">
        <f t="shared" si="155"/>
        <v>0</v>
      </c>
      <c r="N202" s="188"/>
      <c r="O202" s="188">
        <f>J202</f>
        <v>0</v>
      </c>
      <c r="P202" s="188"/>
      <c r="Q202" s="188"/>
      <c r="R202" s="188"/>
      <c r="S202" s="146" t="s">
        <v>2775</v>
      </c>
      <c r="T202" s="146" t="s">
        <v>2813</v>
      </c>
      <c r="U202" s="141" t="s">
        <v>435</v>
      </c>
      <c r="V202" s="141" t="s">
        <v>41</v>
      </c>
    </row>
    <row r="203" s="162" customFormat="1" ht="12" spans="1:22">
      <c r="A203" s="141">
        <v>36</v>
      </c>
      <c r="B203" s="141" t="s">
        <v>1114</v>
      </c>
      <c r="C203" s="141" t="s">
        <v>52</v>
      </c>
      <c r="D203" s="141" t="s">
        <v>45</v>
      </c>
      <c r="E203" s="141"/>
      <c r="F203" s="141">
        <v>1019</v>
      </c>
      <c r="G203" s="141">
        <v>3799</v>
      </c>
      <c r="H203" s="177">
        <v>2018</v>
      </c>
      <c r="I203" s="177" t="s">
        <v>2593</v>
      </c>
      <c r="J203" s="188"/>
      <c r="K203" s="188"/>
      <c r="L203" s="188"/>
      <c r="M203" s="188"/>
      <c r="N203" s="188"/>
      <c r="O203" s="188"/>
      <c r="P203" s="188"/>
      <c r="Q203" s="188"/>
      <c r="R203" s="188"/>
      <c r="S203" s="146" t="s">
        <v>2775</v>
      </c>
      <c r="T203" s="146" t="s">
        <v>2813</v>
      </c>
      <c r="U203" s="141" t="s">
        <v>435</v>
      </c>
      <c r="V203" s="141" t="s">
        <v>41</v>
      </c>
    </row>
    <row r="204" s="162" customFormat="1" ht="24" spans="1:22">
      <c r="A204" s="141">
        <v>37</v>
      </c>
      <c r="B204" s="141" t="s">
        <v>1123</v>
      </c>
      <c r="C204" s="141" t="s">
        <v>1124</v>
      </c>
      <c r="D204" s="141" t="s">
        <v>45</v>
      </c>
      <c r="E204" s="141"/>
      <c r="F204" s="141">
        <v>0</v>
      </c>
      <c r="G204" s="141">
        <v>0</v>
      </c>
      <c r="H204" s="141"/>
      <c r="I204" s="141"/>
      <c r="J204" s="188"/>
      <c r="K204" s="188"/>
      <c r="L204" s="188"/>
      <c r="M204" s="188"/>
      <c r="N204" s="188"/>
      <c r="O204" s="188"/>
      <c r="P204" s="188"/>
      <c r="Q204" s="188"/>
      <c r="R204" s="188"/>
      <c r="S204" s="146" t="s">
        <v>2775</v>
      </c>
      <c r="T204" s="146" t="s">
        <v>2813</v>
      </c>
      <c r="U204" s="146" t="s">
        <v>43</v>
      </c>
      <c r="V204" s="141"/>
    </row>
    <row r="205" s="162" customFormat="1" ht="12" spans="1:22">
      <c r="A205" s="141">
        <v>38</v>
      </c>
      <c r="B205" s="141" t="s">
        <v>130</v>
      </c>
      <c r="C205" s="141"/>
      <c r="D205" s="141"/>
      <c r="E205" s="141"/>
      <c r="F205" s="141">
        <v>0</v>
      </c>
      <c r="G205" s="141">
        <v>0</v>
      </c>
      <c r="H205" s="141"/>
      <c r="I205" s="141"/>
      <c r="J205" s="188"/>
      <c r="K205" s="188"/>
      <c r="L205" s="188"/>
      <c r="M205" s="188"/>
      <c r="N205" s="188"/>
      <c r="O205" s="188"/>
      <c r="P205" s="188"/>
      <c r="Q205" s="188"/>
      <c r="R205" s="188"/>
      <c r="S205" s="146" t="s">
        <v>2775</v>
      </c>
      <c r="T205" s="146" t="s">
        <v>2813</v>
      </c>
      <c r="U205" s="141" t="s">
        <v>435</v>
      </c>
      <c r="V205" s="141" t="s">
        <v>41</v>
      </c>
    </row>
    <row r="206" s="162" customFormat="1" ht="36" spans="1:22">
      <c r="A206" s="141">
        <v>39</v>
      </c>
      <c r="B206" s="141" t="s">
        <v>1125</v>
      </c>
      <c r="C206" s="141" t="s">
        <v>52</v>
      </c>
      <c r="D206" s="141" t="s">
        <v>131</v>
      </c>
      <c r="E206" s="141"/>
      <c r="F206" s="141">
        <v>1036</v>
      </c>
      <c r="G206" s="141">
        <v>3863</v>
      </c>
      <c r="H206" s="177">
        <v>2018</v>
      </c>
      <c r="I206" s="177" t="s">
        <v>2593</v>
      </c>
      <c r="J206" s="188"/>
      <c r="K206" s="188"/>
      <c r="L206" s="188"/>
      <c r="M206" s="188"/>
      <c r="N206" s="188"/>
      <c r="O206" s="188"/>
      <c r="P206" s="188"/>
      <c r="Q206" s="188"/>
      <c r="R206" s="188"/>
      <c r="S206" s="146" t="s">
        <v>2775</v>
      </c>
      <c r="T206" s="146" t="s">
        <v>2814</v>
      </c>
      <c r="U206" s="141" t="s">
        <v>435</v>
      </c>
      <c r="V206" s="141" t="s">
        <v>41</v>
      </c>
    </row>
    <row r="207" s="162" customFormat="1" ht="24" spans="1:22">
      <c r="A207" s="141">
        <v>40</v>
      </c>
      <c r="B207" s="141" t="s">
        <v>1129</v>
      </c>
      <c r="C207" s="141" t="s">
        <v>1124</v>
      </c>
      <c r="D207" s="141"/>
      <c r="E207" s="141"/>
      <c r="F207" s="141"/>
      <c r="G207" s="141"/>
      <c r="H207" s="141"/>
      <c r="I207" s="141"/>
      <c r="J207" s="188"/>
      <c r="K207" s="188"/>
      <c r="L207" s="188"/>
      <c r="M207" s="188"/>
      <c r="N207" s="188"/>
      <c r="O207" s="188"/>
      <c r="P207" s="188"/>
      <c r="Q207" s="188"/>
      <c r="R207" s="188"/>
      <c r="S207" s="146"/>
      <c r="T207" s="146"/>
      <c r="U207" s="146" t="s">
        <v>2815</v>
      </c>
      <c r="V207" s="141"/>
    </row>
    <row r="208" s="162" customFormat="1" ht="12" spans="1:22">
      <c r="A208" s="141"/>
      <c r="B208" s="141" t="s">
        <v>1848</v>
      </c>
      <c r="C208" s="141"/>
      <c r="D208" s="141"/>
      <c r="E208" s="141"/>
      <c r="F208" s="141">
        <v>0</v>
      </c>
      <c r="G208" s="141">
        <v>0</v>
      </c>
      <c r="H208" s="141"/>
      <c r="I208" s="141"/>
      <c r="J208" s="188"/>
      <c r="K208" s="188"/>
      <c r="L208" s="188"/>
      <c r="M208" s="188"/>
      <c r="N208" s="188"/>
      <c r="O208" s="188"/>
      <c r="P208" s="188"/>
      <c r="Q208" s="188"/>
      <c r="R208" s="188"/>
      <c r="S208" s="146"/>
      <c r="T208" s="146"/>
      <c r="U208" s="146"/>
      <c r="V208" s="141" t="s">
        <v>41</v>
      </c>
    </row>
    <row r="209" s="162" customFormat="1" ht="48" spans="1:22">
      <c r="A209" s="141">
        <v>41</v>
      </c>
      <c r="B209" s="141" t="s">
        <v>146</v>
      </c>
      <c r="C209" s="141" t="s">
        <v>52</v>
      </c>
      <c r="D209" s="141"/>
      <c r="E209" s="141"/>
      <c r="F209" s="141"/>
      <c r="G209" s="141"/>
      <c r="H209" s="177">
        <v>2018</v>
      </c>
      <c r="I209" s="177" t="s">
        <v>2593</v>
      </c>
      <c r="J209" s="188">
        <f>J210+J213+J216+J223+J226+J233+J235+J239</f>
        <v>1587</v>
      </c>
      <c r="K209" s="188">
        <f t="shared" ref="K209:R209" si="156">K210+K213+K216+K223+K226+K233+K235+K239</f>
        <v>88.4</v>
      </c>
      <c r="L209" s="188">
        <f t="shared" si="156"/>
        <v>1133.1</v>
      </c>
      <c r="M209" s="188">
        <f t="shared" si="156"/>
        <v>365.5</v>
      </c>
      <c r="N209" s="188">
        <f t="shared" si="156"/>
        <v>36.6</v>
      </c>
      <c r="O209" s="188">
        <f t="shared" si="156"/>
        <v>1550.4</v>
      </c>
      <c r="P209" s="188">
        <f t="shared" si="156"/>
        <v>0</v>
      </c>
      <c r="Q209" s="188">
        <f t="shared" si="156"/>
        <v>0</v>
      </c>
      <c r="R209" s="188">
        <f t="shared" si="156"/>
        <v>0</v>
      </c>
      <c r="S209" s="146"/>
      <c r="T209" s="146"/>
      <c r="U209" s="141" t="s">
        <v>435</v>
      </c>
      <c r="V209" s="141" t="s">
        <v>41</v>
      </c>
    </row>
    <row r="210" s="162" customFormat="1" ht="24" spans="1:22">
      <c r="A210" s="141"/>
      <c r="B210" s="141" t="s">
        <v>865</v>
      </c>
      <c r="C210" s="141"/>
      <c r="D210" s="141"/>
      <c r="E210" s="141">
        <f t="shared" ref="E210:G210" si="157">SUM(E211:E212)</f>
        <v>1500</v>
      </c>
      <c r="F210" s="141">
        <f t="shared" si="157"/>
        <v>216</v>
      </c>
      <c r="G210" s="141">
        <f t="shared" si="157"/>
        <v>845</v>
      </c>
      <c r="H210" s="177">
        <v>2018</v>
      </c>
      <c r="I210" s="177" t="s">
        <v>2593</v>
      </c>
      <c r="J210" s="188">
        <f t="shared" ref="J210:R210" si="158">SUM(J211:J212)</f>
        <v>78</v>
      </c>
      <c r="K210" s="188">
        <f t="shared" si="158"/>
        <v>0</v>
      </c>
      <c r="L210" s="188">
        <f t="shared" si="158"/>
        <v>39</v>
      </c>
      <c r="M210" s="188">
        <f t="shared" si="158"/>
        <v>39</v>
      </c>
      <c r="N210" s="188">
        <f t="shared" si="158"/>
        <v>0</v>
      </c>
      <c r="O210" s="188">
        <f t="shared" si="158"/>
        <v>78</v>
      </c>
      <c r="P210" s="188">
        <f t="shared" si="158"/>
        <v>0</v>
      </c>
      <c r="Q210" s="188">
        <f t="shared" si="158"/>
        <v>0</v>
      </c>
      <c r="R210" s="188">
        <f t="shared" si="158"/>
        <v>0</v>
      </c>
      <c r="S210" s="146" t="s">
        <v>2775</v>
      </c>
      <c r="T210" s="146" t="s">
        <v>2813</v>
      </c>
      <c r="U210" s="141" t="s">
        <v>435</v>
      </c>
      <c r="V210" s="141" t="s">
        <v>2816</v>
      </c>
    </row>
    <row r="211" s="162" customFormat="1" ht="24" spans="1:22">
      <c r="A211" s="141"/>
      <c r="B211" s="141" t="s">
        <v>2755</v>
      </c>
      <c r="C211" s="141" t="s">
        <v>52</v>
      </c>
      <c r="D211" s="141" t="s">
        <v>45</v>
      </c>
      <c r="E211" s="141">
        <v>1000</v>
      </c>
      <c r="F211" s="141">
        <v>101</v>
      </c>
      <c r="G211" s="141">
        <v>401</v>
      </c>
      <c r="H211" s="141">
        <v>2019</v>
      </c>
      <c r="I211" s="141">
        <v>2020</v>
      </c>
      <c r="J211" s="188">
        <f t="shared" ref="J211:J215" si="159">K211+L211+M211</f>
        <v>52</v>
      </c>
      <c r="K211" s="188"/>
      <c r="L211" s="188">
        <f>500*520/10000</f>
        <v>26</v>
      </c>
      <c r="M211" s="188">
        <f>500*520/10000</f>
        <v>26</v>
      </c>
      <c r="N211" s="188"/>
      <c r="O211" s="188">
        <f t="shared" ref="O211:O215" si="160">J211</f>
        <v>52</v>
      </c>
      <c r="P211" s="188"/>
      <c r="Q211" s="188"/>
      <c r="R211" s="188"/>
      <c r="S211" s="146" t="s">
        <v>2775</v>
      </c>
      <c r="T211" s="146" t="s">
        <v>2813</v>
      </c>
      <c r="U211" s="141" t="s">
        <v>435</v>
      </c>
      <c r="V211" s="141" t="s">
        <v>2816</v>
      </c>
    </row>
    <row r="212" s="162" customFormat="1" ht="24" spans="1:22">
      <c r="A212" s="141"/>
      <c r="B212" s="141" t="s">
        <v>2760</v>
      </c>
      <c r="C212" s="141" t="s">
        <v>52</v>
      </c>
      <c r="D212" s="141" t="s">
        <v>45</v>
      </c>
      <c r="E212" s="141">
        <v>500</v>
      </c>
      <c r="F212" s="141">
        <v>115</v>
      </c>
      <c r="G212" s="141">
        <v>444</v>
      </c>
      <c r="H212" s="141">
        <v>2019</v>
      </c>
      <c r="I212" s="141">
        <v>2020</v>
      </c>
      <c r="J212" s="188">
        <f t="shared" si="159"/>
        <v>26</v>
      </c>
      <c r="K212" s="188"/>
      <c r="L212" s="188">
        <f>250*520/10000</f>
        <v>13</v>
      </c>
      <c r="M212" s="188">
        <f>250*520/10000</f>
        <v>13</v>
      </c>
      <c r="N212" s="188"/>
      <c r="O212" s="188">
        <f t="shared" si="160"/>
        <v>26</v>
      </c>
      <c r="P212" s="188"/>
      <c r="Q212" s="188"/>
      <c r="R212" s="188"/>
      <c r="S212" s="146" t="s">
        <v>2775</v>
      </c>
      <c r="T212" s="146" t="s">
        <v>2813</v>
      </c>
      <c r="U212" s="141" t="s">
        <v>435</v>
      </c>
      <c r="V212" s="141" t="s">
        <v>2816</v>
      </c>
    </row>
    <row r="213" s="162" customFormat="1" ht="24" spans="1:22">
      <c r="A213" s="141"/>
      <c r="B213" s="141" t="s">
        <v>1119</v>
      </c>
      <c r="C213" s="141"/>
      <c r="D213" s="141"/>
      <c r="E213" s="141">
        <f t="shared" ref="E213:G213" si="161">SUM(E214:E215)</f>
        <v>1400</v>
      </c>
      <c r="F213" s="141">
        <f t="shared" si="161"/>
        <v>212</v>
      </c>
      <c r="G213" s="141">
        <f t="shared" si="161"/>
        <v>848</v>
      </c>
      <c r="H213" s="141">
        <v>2019</v>
      </c>
      <c r="I213" s="141">
        <v>2020</v>
      </c>
      <c r="J213" s="188">
        <f t="shared" ref="J213:R213" si="162">SUM(J214:J215)</f>
        <v>203</v>
      </c>
      <c r="K213" s="188">
        <f t="shared" si="162"/>
        <v>0</v>
      </c>
      <c r="L213" s="188">
        <f t="shared" si="162"/>
        <v>101.5</v>
      </c>
      <c r="M213" s="188">
        <f t="shared" si="162"/>
        <v>101.5</v>
      </c>
      <c r="N213" s="188">
        <f t="shared" si="162"/>
        <v>0</v>
      </c>
      <c r="O213" s="188">
        <f t="shared" si="162"/>
        <v>203</v>
      </c>
      <c r="P213" s="188">
        <f t="shared" si="162"/>
        <v>0</v>
      </c>
      <c r="Q213" s="188">
        <f t="shared" si="162"/>
        <v>0</v>
      </c>
      <c r="R213" s="188">
        <f t="shared" si="162"/>
        <v>0</v>
      </c>
      <c r="S213" s="146" t="s">
        <v>2775</v>
      </c>
      <c r="T213" s="146" t="s">
        <v>2813</v>
      </c>
      <c r="U213" s="141" t="s">
        <v>435</v>
      </c>
      <c r="V213" s="141" t="s">
        <v>2817</v>
      </c>
    </row>
    <row r="214" s="162" customFormat="1" ht="24" spans="1:22">
      <c r="A214" s="141"/>
      <c r="B214" s="141" t="s">
        <v>2758</v>
      </c>
      <c r="C214" s="141" t="s">
        <v>52</v>
      </c>
      <c r="D214" s="141" t="s">
        <v>45</v>
      </c>
      <c r="E214" s="141">
        <v>1000</v>
      </c>
      <c r="F214" s="141">
        <v>114</v>
      </c>
      <c r="G214" s="141">
        <v>421</v>
      </c>
      <c r="H214" s="141"/>
      <c r="I214" s="141"/>
      <c r="J214" s="188">
        <f t="shared" si="159"/>
        <v>145</v>
      </c>
      <c r="K214" s="188"/>
      <c r="L214" s="188">
        <f>500*1450/10000</f>
        <v>72.5</v>
      </c>
      <c r="M214" s="188">
        <f>500*1450/10000</f>
        <v>72.5</v>
      </c>
      <c r="N214" s="188"/>
      <c r="O214" s="188">
        <f t="shared" si="160"/>
        <v>145</v>
      </c>
      <c r="P214" s="188"/>
      <c r="Q214" s="188"/>
      <c r="R214" s="188"/>
      <c r="S214" s="146" t="s">
        <v>2775</v>
      </c>
      <c r="T214" s="146" t="s">
        <v>2813</v>
      </c>
      <c r="U214" s="141" t="s">
        <v>435</v>
      </c>
      <c r="V214" s="141" t="s">
        <v>2817</v>
      </c>
    </row>
    <row r="215" s="162" customFormat="1" ht="24" spans="1:22">
      <c r="A215" s="141"/>
      <c r="B215" s="141" t="s">
        <v>2756</v>
      </c>
      <c r="C215" s="141" t="s">
        <v>52</v>
      </c>
      <c r="D215" s="141" t="s">
        <v>45</v>
      </c>
      <c r="E215" s="141">
        <v>400</v>
      </c>
      <c r="F215" s="141">
        <v>98</v>
      </c>
      <c r="G215" s="141">
        <v>427</v>
      </c>
      <c r="H215" s="141"/>
      <c r="I215" s="141"/>
      <c r="J215" s="188">
        <f t="shared" si="159"/>
        <v>58</v>
      </c>
      <c r="K215" s="188"/>
      <c r="L215" s="188">
        <f>200*1450/10000</f>
        <v>29</v>
      </c>
      <c r="M215" s="188">
        <f>200*1450/10000</f>
        <v>29</v>
      </c>
      <c r="N215" s="188"/>
      <c r="O215" s="188">
        <f t="shared" si="160"/>
        <v>58</v>
      </c>
      <c r="P215" s="188"/>
      <c r="Q215" s="188"/>
      <c r="R215" s="188"/>
      <c r="S215" s="146" t="s">
        <v>2775</v>
      </c>
      <c r="T215" s="146" t="s">
        <v>2813</v>
      </c>
      <c r="U215" s="141" t="s">
        <v>435</v>
      </c>
      <c r="V215" s="141" t="s">
        <v>2817</v>
      </c>
    </row>
    <row r="216" s="162" customFormat="1" ht="24" spans="1:22">
      <c r="A216" s="141"/>
      <c r="B216" s="141" t="s">
        <v>2625</v>
      </c>
      <c r="C216" s="141"/>
      <c r="D216" s="141"/>
      <c r="E216" s="141">
        <f t="shared" ref="E216:G216" si="163">SUM(E217:E222)</f>
        <v>2645</v>
      </c>
      <c r="F216" s="141">
        <f t="shared" si="163"/>
        <v>526</v>
      </c>
      <c r="G216" s="141">
        <f t="shared" si="163"/>
        <v>1993</v>
      </c>
      <c r="H216" s="141">
        <v>2019</v>
      </c>
      <c r="I216" s="141">
        <v>2019</v>
      </c>
      <c r="J216" s="188">
        <f t="shared" ref="J216:R216" si="164">SUM(J217:J222)</f>
        <v>158.7</v>
      </c>
      <c r="K216" s="188">
        <f t="shared" si="164"/>
        <v>0</v>
      </c>
      <c r="L216" s="188">
        <f t="shared" si="164"/>
        <v>158.7</v>
      </c>
      <c r="M216" s="188">
        <f t="shared" si="164"/>
        <v>0</v>
      </c>
      <c r="N216" s="188">
        <f t="shared" si="164"/>
        <v>0</v>
      </c>
      <c r="O216" s="188">
        <f t="shared" si="164"/>
        <v>158.7</v>
      </c>
      <c r="P216" s="188">
        <f t="shared" si="164"/>
        <v>0</v>
      </c>
      <c r="Q216" s="188">
        <f t="shared" si="164"/>
        <v>0</v>
      </c>
      <c r="R216" s="188">
        <f t="shared" si="164"/>
        <v>0</v>
      </c>
      <c r="S216" s="146" t="s">
        <v>2751</v>
      </c>
      <c r="T216" s="146" t="s">
        <v>2818</v>
      </c>
      <c r="U216" s="141" t="s">
        <v>417</v>
      </c>
      <c r="V216" s="141" t="s">
        <v>2819</v>
      </c>
    </row>
    <row r="217" s="162" customFormat="1" ht="24" spans="1:22">
      <c r="A217" s="141"/>
      <c r="B217" s="141" t="s">
        <v>2758</v>
      </c>
      <c r="C217" s="141" t="s">
        <v>52</v>
      </c>
      <c r="D217" s="141" t="s">
        <v>45</v>
      </c>
      <c r="E217" s="141">
        <v>200</v>
      </c>
      <c r="F217" s="141">
        <v>30</v>
      </c>
      <c r="G217" s="141">
        <v>124</v>
      </c>
      <c r="H217" s="141">
        <v>2019</v>
      </c>
      <c r="I217" s="141">
        <v>2019</v>
      </c>
      <c r="J217" s="188">
        <f t="shared" ref="J217:J222" si="165">K217+L217+M217</f>
        <v>12</v>
      </c>
      <c r="K217" s="188"/>
      <c r="L217" s="188">
        <f t="shared" ref="L217:L222" si="166">E217*0.06</f>
        <v>12</v>
      </c>
      <c r="M217" s="188"/>
      <c r="N217" s="188"/>
      <c r="O217" s="188">
        <f t="shared" ref="O217:O222" si="167">J217</f>
        <v>12</v>
      </c>
      <c r="P217" s="188"/>
      <c r="Q217" s="188"/>
      <c r="R217" s="188"/>
      <c r="S217" s="146" t="s">
        <v>2751</v>
      </c>
      <c r="T217" s="146" t="s">
        <v>2818</v>
      </c>
      <c r="U217" s="141" t="s">
        <v>417</v>
      </c>
      <c r="V217" s="141" t="s">
        <v>2819</v>
      </c>
    </row>
    <row r="218" s="162" customFormat="1" ht="24" spans="1:22">
      <c r="A218" s="141"/>
      <c r="B218" s="141" t="s">
        <v>2754</v>
      </c>
      <c r="C218" s="141" t="s">
        <v>52</v>
      </c>
      <c r="D218" s="141" t="s">
        <v>45</v>
      </c>
      <c r="E218" s="141">
        <v>1145</v>
      </c>
      <c r="F218" s="141">
        <v>141</v>
      </c>
      <c r="G218" s="141">
        <v>537</v>
      </c>
      <c r="H218" s="141">
        <v>2019</v>
      </c>
      <c r="I218" s="141">
        <v>2019</v>
      </c>
      <c r="J218" s="188">
        <f t="shared" si="165"/>
        <v>68.7</v>
      </c>
      <c r="K218" s="188"/>
      <c r="L218" s="188">
        <f t="shared" si="166"/>
        <v>68.7</v>
      </c>
      <c r="M218" s="188"/>
      <c r="N218" s="188"/>
      <c r="O218" s="188">
        <f t="shared" si="167"/>
        <v>68.7</v>
      </c>
      <c r="P218" s="188"/>
      <c r="Q218" s="188"/>
      <c r="R218" s="188"/>
      <c r="S218" s="146" t="s">
        <v>2751</v>
      </c>
      <c r="T218" s="146" t="s">
        <v>2818</v>
      </c>
      <c r="U218" s="141" t="s">
        <v>417</v>
      </c>
      <c r="V218" s="141" t="s">
        <v>2819</v>
      </c>
    </row>
    <row r="219" s="162" customFormat="1" ht="24" spans="1:22">
      <c r="A219" s="141"/>
      <c r="B219" s="141" t="s">
        <v>2759</v>
      </c>
      <c r="C219" s="141" t="s">
        <v>52</v>
      </c>
      <c r="D219" s="141" t="s">
        <v>45</v>
      </c>
      <c r="E219" s="141">
        <v>200</v>
      </c>
      <c r="F219" s="141">
        <v>57</v>
      </c>
      <c r="G219" s="141">
        <v>224</v>
      </c>
      <c r="H219" s="141">
        <v>2019</v>
      </c>
      <c r="I219" s="141">
        <v>2019</v>
      </c>
      <c r="J219" s="188">
        <f t="shared" si="165"/>
        <v>12</v>
      </c>
      <c r="K219" s="188"/>
      <c r="L219" s="188">
        <f t="shared" si="166"/>
        <v>12</v>
      </c>
      <c r="M219" s="188"/>
      <c r="N219" s="188"/>
      <c r="O219" s="188">
        <f t="shared" si="167"/>
        <v>12</v>
      </c>
      <c r="P219" s="188"/>
      <c r="Q219" s="188"/>
      <c r="R219" s="188"/>
      <c r="S219" s="146" t="s">
        <v>2751</v>
      </c>
      <c r="T219" s="146" t="s">
        <v>2818</v>
      </c>
      <c r="U219" s="141" t="s">
        <v>417</v>
      </c>
      <c r="V219" s="141" t="s">
        <v>2819</v>
      </c>
    </row>
    <row r="220" s="162" customFormat="1" ht="24" spans="1:22">
      <c r="A220" s="141"/>
      <c r="B220" s="141" t="s">
        <v>2755</v>
      </c>
      <c r="C220" s="141" t="s">
        <v>52</v>
      </c>
      <c r="D220" s="141" t="s">
        <v>45</v>
      </c>
      <c r="E220" s="141">
        <v>500</v>
      </c>
      <c r="F220" s="141">
        <v>126</v>
      </c>
      <c r="G220" s="141">
        <v>491</v>
      </c>
      <c r="H220" s="141">
        <v>2019</v>
      </c>
      <c r="I220" s="141">
        <v>2019</v>
      </c>
      <c r="J220" s="188">
        <f t="shared" si="165"/>
        <v>30</v>
      </c>
      <c r="K220" s="188"/>
      <c r="L220" s="188">
        <f t="shared" si="166"/>
        <v>30</v>
      </c>
      <c r="M220" s="188"/>
      <c r="N220" s="188"/>
      <c r="O220" s="188">
        <f t="shared" si="167"/>
        <v>30</v>
      </c>
      <c r="P220" s="188"/>
      <c r="Q220" s="188"/>
      <c r="R220" s="188"/>
      <c r="S220" s="146" t="s">
        <v>2751</v>
      </c>
      <c r="T220" s="146" t="s">
        <v>2818</v>
      </c>
      <c r="U220" s="141" t="s">
        <v>417</v>
      </c>
      <c r="V220" s="141" t="s">
        <v>2819</v>
      </c>
    </row>
    <row r="221" s="162" customFormat="1" ht="24" spans="1:22">
      <c r="A221" s="141"/>
      <c r="B221" s="141" t="s">
        <v>2760</v>
      </c>
      <c r="C221" s="141" t="s">
        <v>52</v>
      </c>
      <c r="D221" s="141" t="s">
        <v>45</v>
      </c>
      <c r="E221" s="141">
        <v>400</v>
      </c>
      <c r="F221" s="141">
        <v>46</v>
      </c>
      <c r="G221" s="141">
        <v>182</v>
      </c>
      <c r="H221" s="141">
        <v>2019</v>
      </c>
      <c r="I221" s="141">
        <v>2019</v>
      </c>
      <c r="J221" s="188">
        <f t="shared" si="165"/>
        <v>24</v>
      </c>
      <c r="K221" s="188"/>
      <c r="L221" s="188">
        <f t="shared" si="166"/>
        <v>24</v>
      </c>
      <c r="M221" s="188"/>
      <c r="N221" s="188"/>
      <c r="O221" s="188">
        <f t="shared" si="167"/>
        <v>24</v>
      </c>
      <c r="P221" s="188"/>
      <c r="Q221" s="188"/>
      <c r="R221" s="188"/>
      <c r="S221" s="146" t="s">
        <v>2751</v>
      </c>
      <c r="T221" s="146" t="s">
        <v>2818</v>
      </c>
      <c r="U221" s="141" t="s">
        <v>417</v>
      </c>
      <c r="V221" s="141" t="s">
        <v>2819</v>
      </c>
    </row>
    <row r="222" s="162" customFormat="1" ht="24" spans="1:22">
      <c r="A222" s="141"/>
      <c r="B222" s="141" t="s">
        <v>2756</v>
      </c>
      <c r="C222" s="141" t="s">
        <v>52</v>
      </c>
      <c r="D222" s="141" t="s">
        <v>45</v>
      </c>
      <c r="E222" s="141">
        <v>200</v>
      </c>
      <c r="F222" s="141">
        <v>126</v>
      </c>
      <c r="G222" s="141">
        <v>435</v>
      </c>
      <c r="H222" s="141">
        <v>2019</v>
      </c>
      <c r="I222" s="141">
        <v>2019</v>
      </c>
      <c r="J222" s="188">
        <f t="shared" si="165"/>
        <v>12</v>
      </c>
      <c r="K222" s="188"/>
      <c r="L222" s="188">
        <f t="shared" si="166"/>
        <v>12</v>
      </c>
      <c r="M222" s="188"/>
      <c r="N222" s="188"/>
      <c r="O222" s="188">
        <f t="shared" si="167"/>
        <v>12</v>
      </c>
      <c r="P222" s="188"/>
      <c r="Q222" s="188"/>
      <c r="R222" s="188"/>
      <c r="S222" s="146" t="s">
        <v>2751</v>
      </c>
      <c r="T222" s="146" t="s">
        <v>2818</v>
      </c>
      <c r="U222" s="141" t="s">
        <v>417</v>
      </c>
      <c r="V222" s="141" t="s">
        <v>2819</v>
      </c>
    </row>
    <row r="223" s="162" customFormat="1" ht="24" spans="1:22">
      <c r="A223" s="141"/>
      <c r="B223" s="141" t="s">
        <v>2820</v>
      </c>
      <c r="C223" s="141"/>
      <c r="D223" s="141"/>
      <c r="E223" s="141">
        <f t="shared" ref="E223:G223" si="168">SUM(E224:E225)</f>
        <v>3000</v>
      </c>
      <c r="F223" s="141">
        <f t="shared" si="168"/>
        <v>200</v>
      </c>
      <c r="G223" s="141">
        <f t="shared" si="168"/>
        <v>516</v>
      </c>
      <c r="H223" s="141">
        <v>2020</v>
      </c>
      <c r="I223" s="141">
        <v>2020</v>
      </c>
      <c r="J223" s="188">
        <f t="shared" ref="J223:R223" si="169">SUM(J224:J225)</f>
        <v>60</v>
      </c>
      <c r="K223" s="188">
        <f t="shared" si="169"/>
        <v>0</v>
      </c>
      <c r="L223" s="188">
        <f t="shared" si="169"/>
        <v>0</v>
      </c>
      <c r="M223" s="188">
        <f t="shared" si="169"/>
        <v>60</v>
      </c>
      <c r="N223" s="188">
        <f t="shared" si="169"/>
        <v>0</v>
      </c>
      <c r="O223" s="188">
        <f t="shared" si="169"/>
        <v>60</v>
      </c>
      <c r="P223" s="188">
        <f t="shared" si="169"/>
        <v>0</v>
      </c>
      <c r="Q223" s="188">
        <f t="shared" si="169"/>
        <v>0</v>
      </c>
      <c r="R223" s="188">
        <f t="shared" si="169"/>
        <v>0</v>
      </c>
      <c r="S223" s="146" t="s">
        <v>2751</v>
      </c>
      <c r="T223" s="146" t="s">
        <v>2818</v>
      </c>
      <c r="U223" s="141" t="s">
        <v>417</v>
      </c>
      <c r="V223" s="141" t="s">
        <v>2821</v>
      </c>
    </row>
    <row r="224" s="162" customFormat="1" ht="24" spans="1:22">
      <c r="A224" s="141"/>
      <c r="B224" s="141" t="s">
        <v>2756</v>
      </c>
      <c r="C224" s="141" t="s">
        <v>52</v>
      </c>
      <c r="D224" s="141" t="s">
        <v>45</v>
      </c>
      <c r="E224" s="141">
        <v>2000</v>
      </c>
      <c r="F224" s="141">
        <v>200</v>
      </c>
      <c r="G224" s="141">
        <v>516</v>
      </c>
      <c r="H224" s="141"/>
      <c r="I224" s="141"/>
      <c r="J224" s="188">
        <f t="shared" ref="J224:J232" si="170">SUM(K224:M224)</f>
        <v>40</v>
      </c>
      <c r="K224" s="188"/>
      <c r="L224" s="188"/>
      <c r="M224" s="188">
        <f>E224*0.02</f>
        <v>40</v>
      </c>
      <c r="N224" s="188"/>
      <c r="O224" s="188">
        <f t="shared" ref="O224:O227" si="171">J224</f>
        <v>40</v>
      </c>
      <c r="P224" s="188"/>
      <c r="Q224" s="188"/>
      <c r="R224" s="188"/>
      <c r="S224" s="146" t="s">
        <v>2751</v>
      </c>
      <c r="T224" s="146" t="s">
        <v>2818</v>
      </c>
      <c r="U224" s="141" t="s">
        <v>417</v>
      </c>
      <c r="V224" s="141" t="s">
        <v>2821</v>
      </c>
    </row>
    <row r="225" s="162" customFormat="1" ht="12" spans="1:22">
      <c r="A225" s="141"/>
      <c r="B225" s="141" t="s">
        <v>2760</v>
      </c>
      <c r="C225" s="141" t="s">
        <v>52</v>
      </c>
      <c r="D225" s="141" t="s">
        <v>45</v>
      </c>
      <c r="E225" s="141">
        <v>1000</v>
      </c>
      <c r="F225" s="141"/>
      <c r="G225" s="141"/>
      <c r="H225" s="141"/>
      <c r="I225" s="141"/>
      <c r="J225" s="188">
        <f t="shared" si="170"/>
        <v>20</v>
      </c>
      <c r="K225" s="188"/>
      <c r="L225" s="188"/>
      <c r="M225" s="188">
        <f>E225*0.02</f>
        <v>20</v>
      </c>
      <c r="N225" s="188"/>
      <c r="O225" s="188">
        <f t="shared" si="171"/>
        <v>20</v>
      </c>
      <c r="P225" s="188"/>
      <c r="Q225" s="188"/>
      <c r="R225" s="188"/>
      <c r="S225" s="146" t="s">
        <v>2751</v>
      </c>
      <c r="T225" s="146" t="s">
        <v>2818</v>
      </c>
      <c r="U225" s="141" t="s">
        <v>417</v>
      </c>
      <c r="V225" s="141"/>
    </row>
    <row r="226" s="162" customFormat="1" ht="12" spans="1:22">
      <c r="A226" s="141"/>
      <c r="B226" s="141" t="s">
        <v>2822</v>
      </c>
      <c r="C226" s="141" t="s">
        <v>52</v>
      </c>
      <c r="D226" s="141" t="s">
        <v>384</v>
      </c>
      <c r="E226" s="141">
        <f t="shared" ref="E226:G226" si="172">SUM(E227:E232)</f>
        <v>1041</v>
      </c>
      <c r="F226" s="141">
        <f t="shared" si="172"/>
        <v>1041</v>
      </c>
      <c r="G226" s="141">
        <f t="shared" si="172"/>
        <v>3901</v>
      </c>
      <c r="H226" s="177">
        <v>2018</v>
      </c>
      <c r="I226" s="177" t="s">
        <v>2592</v>
      </c>
      <c r="J226" s="188">
        <f t="shared" si="170"/>
        <v>312.3</v>
      </c>
      <c r="K226" s="141">
        <f t="shared" ref="K226:R226" si="173">SUM(K227:K232)</f>
        <v>68.4</v>
      </c>
      <c r="L226" s="141">
        <f t="shared" si="173"/>
        <v>243.9</v>
      </c>
      <c r="M226" s="141">
        <f t="shared" si="173"/>
        <v>0</v>
      </c>
      <c r="N226" s="141">
        <f t="shared" si="173"/>
        <v>36.6</v>
      </c>
      <c r="O226" s="141">
        <f t="shared" si="173"/>
        <v>275.7</v>
      </c>
      <c r="P226" s="141">
        <f t="shared" si="173"/>
        <v>0</v>
      </c>
      <c r="Q226" s="141">
        <f t="shared" si="173"/>
        <v>0</v>
      </c>
      <c r="R226" s="141">
        <f t="shared" si="173"/>
        <v>0</v>
      </c>
      <c r="S226" s="146"/>
      <c r="T226" s="146"/>
      <c r="U226" s="141"/>
      <c r="V226" s="141"/>
    </row>
    <row r="227" s="162" customFormat="1" ht="12" spans="1:22">
      <c r="A227" s="141"/>
      <c r="B227" s="141" t="s">
        <v>2823</v>
      </c>
      <c r="C227" s="141" t="s">
        <v>52</v>
      </c>
      <c r="D227" s="141" t="s">
        <v>384</v>
      </c>
      <c r="E227" s="141">
        <v>183</v>
      </c>
      <c r="F227" s="141">
        <v>183</v>
      </c>
      <c r="G227" s="141">
        <v>708</v>
      </c>
      <c r="H227" s="141"/>
      <c r="I227" s="141"/>
      <c r="J227" s="188">
        <f t="shared" si="170"/>
        <v>54.9</v>
      </c>
      <c r="K227" s="188">
        <f>106*0.3</f>
        <v>31.8</v>
      </c>
      <c r="L227" s="188">
        <f>77*0.3</f>
        <v>23.1</v>
      </c>
      <c r="M227" s="188"/>
      <c r="N227" s="188"/>
      <c r="O227" s="188">
        <f t="shared" si="171"/>
        <v>54.9</v>
      </c>
      <c r="P227" s="188"/>
      <c r="Q227" s="188"/>
      <c r="R227" s="188"/>
      <c r="S227" s="146"/>
      <c r="T227" s="146"/>
      <c r="U227" s="141"/>
      <c r="V227" s="141"/>
    </row>
    <row r="228" s="162" customFormat="1" ht="12" spans="1:22">
      <c r="A228" s="141"/>
      <c r="B228" s="141" t="s">
        <v>2824</v>
      </c>
      <c r="C228" s="141" t="s">
        <v>52</v>
      </c>
      <c r="D228" s="141" t="s">
        <v>384</v>
      </c>
      <c r="E228" s="141">
        <v>203</v>
      </c>
      <c r="F228" s="141">
        <v>203</v>
      </c>
      <c r="G228" s="141">
        <v>748</v>
      </c>
      <c r="H228" s="141">
        <v>2019</v>
      </c>
      <c r="I228" s="141">
        <v>2019</v>
      </c>
      <c r="J228" s="188">
        <f t="shared" si="170"/>
        <v>60.9</v>
      </c>
      <c r="K228" s="188"/>
      <c r="L228" s="188">
        <v>60.9</v>
      </c>
      <c r="M228" s="188"/>
      <c r="N228" s="188"/>
      <c r="O228" s="188">
        <v>60.9</v>
      </c>
      <c r="P228" s="188"/>
      <c r="Q228" s="188"/>
      <c r="R228" s="188"/>
      <c r="S228" s="146"/>
      <c r="T228" s="146"/>
      <c r="U228" s="141"/>
      <c r="V228" s="141" t="s">
        <v>2825</v>
      </c>
    </row>
    <row r="229" s="162" customFormat="1" ht="12" spans="1:22">
      <c r="A229" s="141"/>
      <c r="B229" s="141" t="s">
        <v>2826</v>
      </c>
      <c r="C229" s="141" t="s">
        <v>52</v>
      </c>
      <c r="D229" s="141" t="s">
        <v>384</v>
      </c>
      <c r="E229" s="141">
        <v>119</v>
      </c>
      <c r="F229" s="141">
        <v>119</v>
      </c>
      <c r="G229" s="141">
        <v>451</v>
      </c>
      <c r="H229" s="141">
        <v>2019</v>
      </c>
      <c r="I229" s="141">
        <v>2019</v>
      </c>
      <c r="J229" s="188">
        <f t="shared" si="170"/>
        <v>35.7</v>
      </c>
      <c r="K229" s="188"/>
      <c r="L229" s="188">
        <v>35.7</v>
      </c>
      <c r="M229" s="188"/>
      <c r="N229" s="188"/>
      <c r="O229" s="188">
        <v>35.7</v>
      </c>
      <c r="P229" s="188"/>
      <c r="Q229" s="188"/>
      <c r="R229" s="188"/>
      <c r="S229" s="146"/>
      <c r="T229" s="146"/>
      <c r="U229" s="141"/>
      <c r="V229" s="141" t="s">
        <v>2825</v>
      </c>
    </row>
    <row r="230" s="162" customFormat="1" ht="12" spans="1:22">
      <c r="A230" s="141"/>
      <c r="B230" s="141" t="s">
        <v>2827</v>
      </c>
      <c r="C230" s="141" t="s">
        <v>52</v>
      </c>
      <c r="D230" s="141" t="s">
        <v>384</v>
      </c>
      <c r="E230" s="141">
        <v>190</v>
      </c>
      <c r="F230" s="141">
        <v>190</v>
      </c>
      <c r="G230" s="141">
        <v>698</v>
      </c>
      <c r="H230" s="141">
        <v>2019</v>
      </c>
      <c r="I230" s="141">
        <v>2019</v>
      </c>
      <c r="J230" s="188">
        <f t="shared" si="170"/>
        <v>57</v>
      </c>
      <c r="K230" s="188"/>
      <c r="L230" s="188">
        <v>57</v>
      </c>
      <c r="M230" s="188"/>
      <c r="N230" s="188"/>
      <c r="O230" s="188">
        <v>57</v>
      </c>
      <c r="P230" s="188"/>
      <c r="Q230" s="188"/>
      <c r="R230" s="188"/>
      <c r="S230" s="146"/>
      <c r="T230" s="146"/>
      <c r="U230" s="141"/>
      <c r="V230" s="141" t="s">
        <v>2825</v>
      </c>
    </row>
    <row r="231" s="162" customFormat="1" ht="12" spans="1:22">
      <c r="A231" s="141"/>
      <c r="B231" s="141" t="s">
        <v>2828</v>
      </c>
      <c r="C231" s="141" t="s">
        <v>52</v>
      </c>
      <c r="D231" s="141" t="s">
        <v>384</v>
      </c>
      <c r="E231" s="141">
        <v>224</v>
      </c>
      <c r="F231" s="141">
        <v>224</v>
      </c>
      <c r="G231" s="141">
        <v>862</v>
      </c>
      <c r="H231" s="141">
        <v>2019</v>
      </c>
      <c r="I231" s="141">
        <v>2019</v>
      </c>
      <c r="J231" s="188">
        <f t="shared" si="170"/>
        <v>67.2</v>
      </c>
      <c r="K231" s="188"/>
      <c r="L231" s="188">
        <v>67.2</v>
      </c>
      <c r="M231" s="188"/>
      <c r="N231" s="188"/>
      <c r="O231" s="188">
        <v>67.2</v>
      </c>
      <c r="P231" s="188"/>
      <c r="Q231" s="188"/>
      <c r="R231" s="188"/>
      <c r="S231" s="146"/>
      <c r="T231" s="146"/>
      <c r="U231" s="141"/>
      <c r="V231" s="141" t="s">
        <v>2825</v>
      </c>
    </row>
    <row r="232" s="162" customFormat="1" ht="12" spans="1:22">
      <c r="A232" s="141"/>
      <c r="B232" s="141" t="s">
        <v>2829</v>
      </c>
      <c r="C232" s="141" t="s">
        <v>52</v>
      </c>
      <c r="D232" s="141" t="s">
        <v>45</v>
      </c>
      <c r="E232" s="141">
        <v>122</v>
      </c>
      <c r="F232" s="141">
        <v>122</v>
      </c>
      <c r="G232" s="141">
        <v>434</v>
      </c>
      <c r="H232" s="141"/>
      <c r="I232" s="141"/>
      <c r="J232" s="188">
        <f t="shared" si="170"/>
        <v>36.6</v>
      </c>
      <c r="K232" s="188">
        <v>36.6</v>
      </c>
      <c r="L232" s="188"/>
      <c r="M232" s="188"/>
      <c r="N232" s="188">
        <v>36.6</v>
      </c>
      <c r="O232" s="188"/>
      <c r="P232" s="188"/>
      <c r="Q232" s="188"/>
      <c r="R232" s="188"/>
      <c r="S232" s="146"/>
      <c r="T232" s="146"/>
      <c r="U232" s="141"/>
      <c r="V232" s="141" t="s">
        <v>2825</v>
      </c>
    </row>
    <row r="233" s="162" customFormat="1" ht="24" spans="1:22">
      <c r="A233" s="141"/>
      <c r="B233" s="141" t="s">
        <v>2630</v>
      </c>
      <c r="C233" s="141"/>
      <c r="D233" s="141"/>
      <c r="E233" s="141">
        <f t="shared" ref="E233:G233" si="174">SUM(E234)</f>
        <v>500</v>
      </c>
      <c r="F233" s="141">
        <f t="shared" si="174"/>
        <v>122</v>
      </c>
      <c r="G233" s="141">
        <f t="shared" si="174"/>
        <v>434</v>
      </c>
      <c r="H233" s="141">
        <v>2019</v>
      </c>
      <c r="I233" s="141">
        <v>2020</v>
      </c>
      <c r="J233" s="188">
        <f t="shared" ref="J233:R233" si="175">SUM(J234)</f>
        <v>150</v>
      </c>
      <c r="K233" s="188">
        <f t="shared" si="175"/>
        <v>0</v>
      </c>
      <c r="L233" s="188">
        <f t="shared" si="175"/>
        <v>75</v>
      </c>
      <c r="M233" s="188">
        <f t="shared" si="175"/>
        <v>75</v>
      </c>
      <c r="N233" s="188">
        <f t="shared" si="175"/>
        <v>0</v>
      </c>
      <c r="O233" s="188">
        <f t="shared" si="175"/>
        <v>150</v>
      </c>
      <c r="P233" s="188">
        <f t="shared" si="175"/>
        <v>0</v>
      </c>
      <c r="Q233" s="188">
        <f t="shared" si="175"/>
        <v>0</v>
      </c>
      <c r="R233" s="188">
        <f t="shared" si="175"/>
        <v>0</v>
      </c>
      <c r="S233" s="146" t="s">
        <v>2775</v>
      </c>
      <c r="T233" s="146" t="s">
        <v>2814</v>
      </c>
      <c r="U233" s="141" t="s">
        <v>435</v>
      </c>
      <c r="V233" s="141" t="s">
        <v>2830</v>
      </c>
    </row>
    <row r="234" s="162" customFormat="1" ht="12" spans="1:22">
      <c r="A234" s="141"/>
      <c r="B234" s="141" t="s">
        <v>2759</v>
      </c>
      <c r="C234" s="141" t="s">
        <v>52</v>
      </c>
      <c r="D234" s="141" t="s">
        <v>134</v>
      </c>
      <c r="E234" s="141">
        <v>500</v>
      </c>
      <c r="F234" s="141">
        <v>122</v>
      </c>
      <c r="G234" s="141">
        <v>434</v>
      </c>
      <c r="H234" s="141"/>
      <c r="I234" s="141"/>
      <c r="J234" s="188">
        <f t="shared" ref="J234:J238" si="176">K234+L234+M234</f>
        <v>150</v>
      </c>
      <c r="K234" s="188"/>
      <c r="L234" s="188">
        <f>250*3000/10000</f>
        <v>75</v>
      </c>
      <c r="M234" s="188">
        <f>250*3000/10000</f>
        <v>75</v>
      </c>
      <c r="N234" s="188"/>
      <c r="O234" s="188">
        <f t="shared" ref="O234:O238" si="177">J234</f>
        <v>150</v>
      </c>
      <c r="P234" s="188"/>
      <c r="Q234" s="188"/>
      <c r="R234" s="188"/>
      <c r="S234" s="146"/>
      <c r="T234" s="146"/>
      <c r="U234" s="146"/>
      <c r="V234" s="141"/>
    </row>
    <row r="235" s="162" customFormat="1" ht="12" spans="1:22">
      <c r="A235" s="141"/>
      <c r="B235" s="141" t="s">
        <v>2629</v>
      </c>
      <c r="C235" s="141"/>
      <c r="D235" s="141"/>
      <c r="E235" s="141">
        <f t="shared" ref="E235:G235" si="178">SUM(E236:E238)</f>
        <v>50000</v>
      </c>
      <c r="F235" s="141">
        <f t="shared" si="178"/>
        <v>602</v>
      </c>
      <c r="G235" s="141">
        <f t="shared" si="178"/>
        <v>2168</v>
      </c>
      <c r="H235" s="177">
        <v>2018</v>
      </c>
      <c r="I235" s="177" t="s">
        <v>2593</v>
      </c>
      <c r="J235" s="188">
        <f t="shared" ref="J235:R235" si="179">SUM(J236:J238)</f>
        <v>325</v>
      </c>
      <c r="K235" s="188">
        <f t="shared" si="179"/>
        <v>20</v>
      </c>
      <c r="L235" s="188">
        <f t="shared" si="179"/>
        <v>215</v>
      </c>
      <c r="M235" s="188">
        <f t="shared" si="179"/>
        <v>90</v>
      </c>
      <c r="N235" s="188">
        <f t="shared" si="179"/>
        <v>0</v>
      </c>
      <c r="O235" s="188">
        <f t="shared" si="179"/>
        <v>325</v>
      </c>
      <c r="P235" s="188">
        <f t="shared" si="179"/>
        <v>0</v>
      </c>
      <c r="Q235" s="188">
        <f t="shared" si="179"/>
        <v>0</v>
      </c>
      <c r="R235" s="188">
        <f t="shared" si="179"/>
        <v>0</v>
      </c>
      <c r="S235" s="146" t="s">
        <v>2775</v>
      </c>
      <c r="T235" s="146" t="s">
        <v>2814</v>
      </c>
      <c r="U235" s="146"/>
      <c r="V235" s="141" t="s">
        <v>2831</v>
      </c>
    </row>
    <row r="236" s="162" customFormat="1" ht="12" spans="1:22">
      <c r="A236" s="141"/>
      <c r="B236" s="141" t="s">
        <v>2755</v>
      </c>
      <c r="C236" s="141" t="s">
        <v>52</v>
      </c>
      <c r="D236" s="141" t="s">
        <v>140</v>
      </c>
      <c r="E236" s="141">
        <v>10000</v>
      </c>
      <c r="F236" s="141">
        <v>203</v>
      </c>
      <c r="G236" s="141">
        <v>745</v>
      </c>
      <c r="H236" s="141">
        <v>2019</v>
      </c>
      <c r="I236" s="141">
        <v>2019</v>
      </c>
      <c r="J236" s="188">
        <f t="shared" si="176"/>
        <v>65</v>
      </c>
      <c r="K236" s="188"/>
      <c r="L236" s="188">
        <f>10000*65/10000</f>
        <v>65</v>
      </c>
      <c r="M236" s="188"/>
      <c r="N236" s="188"/>
      <c r="O236" s="188">
        <f t="shared" si="177"/>
        <v>65</v>
      </c>
      <c r="P236" s="188"/>
      <c r="Q236" s="188"/>
      <c r="R236" s="188"/>
      <c r="S236" s="146"/>
      <c r="T236" s="146"/>
      <c r="U236" s="146"/>
      <c r="V236" s="141" t="s">
        <v>2831</v>
      </c>
    </row>
    <row r="237" s="162" customFormat="1" ht="12" spans="1:22">
      <c r="A237" s="141"/>
      <c r="B237" s="141" t="s">
        <v>2756</v>
      </c>
      <c r="C237" s="141" t="s">
        <v>52</v>
      </c>
      <c r="D237" s="141" t="s">
        <v>140</v>
      </c>
      <c r="E237" s="141">
        <v>10000</v>
      </c>
      <c r="F237" s="141">
        <v>216</v>
      </c>
      <c r="G237" s="141">
        <v>715</v>
      </c>
      <c r="H237" s="141">
        <v>2019</v>
      </c>
      <c r="I237" s="141">
        <v>2019</v>
      </c>
      <c r="J237" s="188">
        <f t="shared" si="176"/>
        <v>65</v>
      </c>
      <c r="K237" s="188"/>
      <c r="L237" s="188">
        <f>10000*65/10000</f>
        <v>65</v>
      </c>
      <c r="M237" s="188"/>
      <c r="N237" s="188"/>
      <c r="O237" s="188">
        <f t="shared" si="177"/>
        <v>65</v>
      </c>
      <c r="P237" s="188"/>
      <c r="Q237" s="188"/>
      <c r="R237" s="188"/>
      <c r="S237" s="146"/>
      <c r="T237" s="146"/>
      <c r="U237" s="146"/>
      <c r="V237" s="141" t="s">
        <v>2831</v>
      </c>
    </row>
    <row r="238" s="162" customFormat="1" ht="12" spans="1:22">
      <c r="A238" s="141"/>
      <c r="B238" s="141" t="s">
        <v>2754</v>
      </c>
      <c r="C238" s="141" t="s">
        <v>52</v>
      </c>
      <c r="D238" s="141" t="s">
        <v>140</v>
      </c>
      <c r="E238" s="141">
        <v>30000</v>
      </c>
      <c r="F238" s="141">
        <v>183</v>
      </c>
      <c r="G238" s="141">
        <v>708</v>
      </c>
      <c r="H238" s="177">
        <v>2018</v>
      </c>
      <c r="I238" s="177" t="s">
        <v>2593</v>
      </c>
      <c r="J238" s="188">
        <f t="shared" si="176"/>
        <v>195</v>
      </c>
      <c r="K238" s="188">
        <v>20</v>
      </c>
      <c r="L238" s="188">
        <v>85</v>
      </c>
      <c r="M238" s="188">
        <v>90</v>
      </c>
      <c r="N238" s="188"/>
      <c r="O238" s="188">
        <f t="shared" si="177"/>
        <v>195</v>
      </c>
      <c r="P238" s="188"/>
      <c r="Q238" s="188"/>
      <c r="R238" s="188"/>
      <c r="S238" s="146"/>
      <c r="T238" s="146"/>
      <c r="U238" s="146"/>
      <c r="V238" s="141" t="s">
        <v>2831</v>
      </c>
    </row>
    <row r="239" s="162" customFormat="1" ht="24" spans="1:22">
      <c r="A239" s="141"/>
      <c r="B239" s="141" t="s">
        <v>2832</v>
      </c>
      <c r="C239" s="141" t="s">
        <v>52</v>
      </c>
      <c r="D239" s="141"/>
      <c r="E239" s="141">
        <f t="shared" ref="E239:G239" si="180">SUM(E240:E242)</f>
        <v>4599</v>
      </c>
      <c r="F239" s="141">
        <f t="shared" si="180"/>
        <v>444</v>
      </c>
      <c r="G239" s="141">
        <f t="shared" si="180"/>
        <v>1626</v>
      </c>
      <c r="H239" s="141">
        <v>2019</v>
      </c>
      <c r="I239" s="141">
        <v>2019</v>
      </c>
      <c r="J239" s="188">
        <f t="shared" ref="J239:O239" si="181">SUM(J240:J242)</f>
        <v>300</v>
      </c>
      <c r="K239" s="188">
        <f t="shared" si="181"/>
        <v>0</v>
      </c>
      <c r="L239" s="188">
        <f t="shared" si="181"/>
        <v>300</v>
      </c>
      <c r="M239" s="188">
        <f t="shared" si="181"/>
        <v>0</v>
      </c>
      <c r="N239" s="188">
        <f t="shared" si="181"/>
        <v>0</v>
      </c>
      <c r="O239" s="188">
        <f t="shared" si="181"/>
        <v>300</v>
      </c>
      <c r="P239" s="188"/>
      <c r="Q239" s="188"/>
      <c r="R239" s="188"/>
      <c r="S239" s="146" t="s">
        <v>2804</v>
      </c>
      <c r="T239" s="146" t="s">
        <v>2833</v>
      </c>
      <c r="U239" s="146" t="s">
        <v>2834</v>
      </c>
      <c r="V239" s="141" t="s">
        <v>41</v>
      </c>
    </row>
    <row r="240" s="162" customFormat="1" ht="12" spans="1:22">
      <c r="A240" s="141"/>
      <c r="B240" s="141" t="s">
        <v>2759</v>
      </c>
      <c r="C240" s="141" t="s">
        <v>52</v>
      </c>
      <c r="D240" s="141"/>
      <c r="E240" s="141">
        <v>1432</v>
      </c>
      <c r="F240" s="141">
        <v>122</v>
      </c>
      <c r="G240" s="141">
        <v>434</v>
      </c>
      <c r="H240" s="141">
        <v>2019</v>
      </c>
      <c r="I240" s="141">
        <v>2019</v>
      </c>
      <c r="J240" s="188">
        <f t="shared" ref="J240:J242" si="182">SUM(K240:M240)</f>
        <v>50</v>
      </c>
      <c r="K240" s="188"/>
      <c r="L240" s="188">
        <v>50</v>
      </c>
      <c r="M240" s="188"/>
      <c r="N240" s="188"/>
      <c r="O240" s="188">
        <f t="shared" ref="O240:O243" si="183">J240</f>
        <v>50</v>
      </c>
      <c r="P240" s="188"/>
      <c r="Q240" s="188"/>
      <c r="R240" s="188"/>
      <c r="S240" s="146"/>
      <c r="T240" s="146"/>
      <c r="U240" s="146"/>
      <c r="V240" s="141" t="s">
        <v>2835</v>
      </c>
    </row>
    <row r="241" s="162" customFormat="1" ht="12" spans="1:22">
      <c r="A241" s="141"/>
      <c r="B241" s="141" t="s">
        <v>2760</v>
      </c>
      <c r="C241" s="141" t="s">
        <v>52</v>
      </c>
      <c r="D241" s="141"/>
      <c r="E241" s="141">
        <v>1145</v>
      </c>
      <c r="F241" s="141">
        <v>119</v>
      </c>
      <c r="G241" s="141">
        <v>447</v>
      </c>
      <c r="H241" s="141">
        <v>2019</v>
      </c>
      <c r="I241" s="141">
        <v>2019</v>
      </c>
      <c r="J241" s="188">
        <f t="shared" si="182"/>
        <v>100</v>
      </c>
      <c r="K241" s="188"/>
      <c r="L241" s="188">
        <v>100</v>
      </c>
      <c r="M241" s="188"/>
      <c r="N241" s="188"/>
      <c r="O241" s="188">
        <f t="shared" si="183"/>
        <v>100</v>
      </c>
      <c r="P241" s="188"/>
      <c r="Q241" s="188"/>
      <c r="R241" s="188"/>
      <c r="S241" s="146"/>
      <c r="T241" s="146"/>
      <c r="U241" s="146"/>
      <c r="V241" s="141"/>
    </row>
    <row r="242" s="162" customFormat="1" ht="12" spans="1:22">
      <c r="A242" s="141"/>
      <c r="B242" s="141" t="s">
        <v>2755</v>
      </c>
      <c r="C242" s="141" t="s">
        <v>52</v>
      </c>
      <c r="D242" s="141"/>
      <c r="E242" s="141">
        <v>2022</v>
      </c>
      <c r="F242" s="141">
        <v>203</v>
      </c>
      <c r="G242" s="141">
        <v>745</v>
      </c>
      <c r="H242" s="141">
        <v>2019</v>
      </c>
      <c r="I242" s="141">
        <v>2019</v>
      </c>
      <c r="J242" s="188">
        <f t="shared" si="182"/>
        <v>150</v>
      </c>
      <c r="K242" s="188"/>
      <c r="L242" s="188">
        <v>150</v>
      </c>
      <c r="M242" s="188"/>
      <c r="N242" s="188"/>
      <c r="O242" s="188">
        <f t="shared" si="183"/>
        <v>150</v>
      </c>
      <c r="P242" s="188"/>
      <c r="Q242" s="188"/>
      <c r="R242" s="188"/>
      <c r="S242" s="146"/>
      <c r="T242" s="146"/>
      <c r="U242" s="146"/>
      <c r="V242" s="141" t="s">
        <v>2836</v>
      </c>
    </row>
    <row r="243" s="162" customFormat="1" ht="24" spans="1:22">
      <c r="A243" s="141">
        <v>42</v>
      </c>
      <c r="B243" s="192" t="s">
        <v>893</v>
      </c>
      <c r="C243" s="141" t="s">
        <v>52</v>
      </c>
      <c r="D243" s="141" t="s">
        <v>150</v>
      </c>
      <c r="E243" s="141"/>
      <c r="F243" s="141"/>
      <c r="G243" s="141"/>
      <c r="H243" s="141"/>
      <c r="I243" s="141"/>
      <c r="J243" s="188">
        <f>K243+L243+M243</f>
        <v>0</v>
      </c>
      <c r="K243" s="188"/>
      <c r="L243" s="188"/>
      <c r="M243" s="188"/>
      <c r="N243" s="188"/>
      <c r="O243" s="188">
        <f t="shared" si="183"/>
        <v>0</v>
      </c>
      <c r="P243" s="188"/>
      <c r="Q243" s="188"/>
      <c r="R243" s="188"/>
      <c r="S243" s="193"/>
      <c r="T243" s="193"/>
      <c r="U243" s="146" t="s">
        <v>43</v>
      </c>
      <c r="V243" s="141" t="s">
        <v>41</v>
      </c>
    </row>
    <row r="244" s="162" customFormat="1" ht="12" spans="1:22">
      <c r="A244" s="141">
        <v>43</v>
      </c>
      <c r="B244" s="192" t="s">
        <v>158</v>
      </c>
      <c r="C244" s="141" t="s">
        <v>52</v>
      </c>
      <c r="D244" s="141" t="s">
        <v>163</v>
      </c>
      <c r="E244" s="152">
        <f t="shared" ref="E244:G244" si="184">SUM(E245:E250)</f>
        <v>695</v>
      </c>
      <c r="F244" s="152">
        <f t="shared" si="184"/>
        <v>333</v>
      </c>
      <c r="G244" s="152">
        <f t="shared" si="184"/>
        <v>1166</v>
      </c>
      <c r="H244" s="177">
        <v>2018</v>
      </c>
      <c r="I244" s="177" t="s">
        <v>2593</v>
      </c>
      <c r="J244" s="188">
        <f t="shared" ref="J244:O244" si="185">SUM(J245:J250)</f>
        <v>45.748086</v>
      </c>
      <c r="K244" s="188">
        <f t="shared" si="185"/>
        <v>7.6</v>
      </c>
      <c r="L244" s="188">
        <f t="shared" si="185"/>
        <v>15.249362</v>
      </c>
      <c r="M244" s="188">
        <f t="shared" si="185"/>
        <v>22.898724</v>
      </c>
      <c r="N244" s="188">
        <f t="shared" si="185"/>
        <v>0</v>
      </c>
      <c r="O244" s="188">
        <f t="shared" si="185"/>
        <v>45.748086</v>
      </c>
      <c r="P244" s="188"/>
      <c r="Q244" s="188"/>
      <c r="R244" s="188"/>
      <c r="S244" s="146" t="s">
        <v>2748</v>
      </c>
      <c r="T244" s="146" t="s">
        <v>2749</v>
      </c>
      <c r="U244" s="146" t="s">
        <v>160</v>
      </c>
      <c r="V244" s="141" t="s">
        <v>41</v>
      </c>
    </row>
    <row r="245" s="162" customFormat="1" ht="12" spans="1:22">
      <c r="A245" s="141"/>
      <c r="B245" s="141" t="s">
        <v>2758</v>
      </c>
      <c r="C245" s="141" t="s">
        <v>52</v>
      </c>
      <c r="D245" s="141" t="s">
        <v>163</v>
      </c>
      <c r="E245" s="152">
        <v>130</v>
      </c>
      <c r="F245" s="152">
        <v>53</v>
      </c>
      <c r="G245" s="152">
        <v>184</v>
      </c>
      <c r="H245" s="141"/>
      <c r="I245" s="141"/>
      <c r="J245" s="188">
        <f t="shared" ref="J245:J250" si="186">SUM(K245:M245)</f>
        <v>9.76038</v>
      </c>
      <c r="K245" s="188">
        <v>1.86</v>
      </c>
      <c r="L245" s="188">
        <v>3.25346</v>
      </c>
      <c r="M245" s="188">
        <v>4.64692</v>
      </c>
      <c r="N245" s="188"/>
      <c r="O245" s="188">
        <f t="shared" ref="O245:O250" si="187">J245</f>
        <v>9.76038</v>
      </c>
      <c r="P245" s="188"/>
      <c r="Q245" s="188"/>
      <c r="R245" s="188"/>
      <c r="S245" s="193"/>
      <c r="T245" s="193"/>
      <c r="U245" s="146"/>
      <c r="V245" s="141"/>
    </row>
    <row r="246" s="162" customFormat="1" ht="12" spans="1:22">
      <c r="A246" s="141"/>
      <c r="B246" s="141" t="s">
        <v>2754</v>
      </c>
      <c r="C246" s="141" t="s">
        <v>52</v>
      </c>
      <c r="D246" s="141" t="s">
        <v>163</v>
      </c>
      <c r="E246" s="152">
        <v>103</v>
      </c>
      <c r="F246" s="152">
        <v>36</v>
      </c>
      <c r="G246" s="152">
        <v>126</v>
      </c>
      <c r="H246" s="141"/>
      <c r="I246" s="141"/>
      <c r="J246" s="188">
        <f t="shared" si="186"/>
        <v>8.706366</v>
      </c>
      <c r="K246" s="188">
        <v>1.56</v>
      </c>
      <c r="L246" s="188">
        <v>2.902122</v>
      </c>
      <c r="M246" s="188">
        <v>4.244244</v>
      </c>
      <c r="N246" s="188"/>
      <c r="O246" s="188">
        <f t="shared" si="187"/>
        <v>8.706366</v>
      </c>
      <c r="P246" s="188"/>
      <c r="Q246" s="188"/>
      <c r="R246" s="188"/>
      <c r="S246" s="193"/>
      <c r="T246" s="193"/>
      <c r="U246" s="146"/>
      <c r="V246" s="141"/>
    </row>
    <row r="247" s="162" customFormat="1" ht="12" spans="1:22">
      <c r="A247" s="141"/>
      <c r="B247" s="141" t="s">
        <v>2759</v>
      </c>
      <c r="C247" s="141" t="s">
        <v>52</v>
      </c>
      <c r="D247" s="141" t="s">
        <v>163</v>
      </c>
      <c r="E247" s="152">
        <v>72</v>
      </c>
      <c r="F247" s="152">
        <v>38</v>
      </c>
      <c r="G247" s="152">
        <v>134</v>
      </c>
      <c r="H247" s="141"/>
      <c r="I247" s="141"/>
      <c r="J247" s="188">
        <f t="shared" si="186"/>
        <v>4.184244</v>
      </c>
      <c r="K247" s="188">
        <v>0.5</v>
      </c>
      <c r="L247" s="188">
        <v>1.394748</v>
      </c>
      <c r="M247" s="188">
        <v>2.289496</v>
      </c>
      <c r="N247" s="188"/>
      <c r="O247" s="188">
        <f t="shared" si="187"/>
        <v>4.184244</v>
      </c>
      <c r="P247" s="188"/>
      <c r="Q247" s="188"/>
      <c r="R247" s="188"/>
      <c r="S247" s="193"/>
      <c r="T247" s="193"/>
      <c r="U247" s="146"/>
      <c r="V247" s="141"/>
    </row>
    <row r="248" s="162" customFormat="1" ht="12" spans="1:22">
      <c r="A248" s="141"/>
      <c r="B248" s="141" t="s">
        <v>2760</v>
      </c>
      <c r="C248" s="141" t="s">
        <v>52</v>
      </c>
      <c r="D248" s="141" t="s">
        <v>163</v>
      </c>
      <c r="E248" s="152">
        <v>116</v>
      </c>
      <c r="F248" s="152">
        <v>53</v>
      </c>
      <c r="G248" s="152">
        <v>186</v>
      </c>
      <c r="H248" s="141"/>
      <c r="I248" s="141"/>
      <c r="J248" s="188">
        <f t="shared" si="186"/>
        <v>7.538238</v>
      </c>
      <c r="K248" s="188">
        <v>1.64</v>
      </c>
      <c r="L248" s="188">
        <v>2.512746</v>
      </c>
      <c r="M248" s="188">
        <v>3.385492</v>
      </c>
      <c r="N248" s="188"/>
      <c r="O248" s="188">
        <f t="shared" si="187"/>
        <v>7.538238</v>
      </c>
      <c r="P248" s="188"/>
      <c r="Q248" s="188"/>
      <c r="R248" s="188"/>
      <c r="S248" s="193"/>
      <c r="T248" s="193"/>
      <c r="U248" s="146"/>
      <c r="V248" s="141"/>
    </row>
    <row r="249" s="162" customFormat="1" ht="12" spans="1:22">
      <c r="A249" s="141"/>
      <c r="B249" s="141" t="s">
        <v>2755</v>
      </c>
      <c r="C249" s="141" t="s">
        <v>52</v>
      </c>
      <c r="D249" s="141" t="s">
        <v>163</v>
      </c>
      <c r="E249" s="152">
        <v>132</v>
      </c>
      <c r="F249" s="152">
        <v>65</v>
      </c>
      <c r="G249" s="152">
        <v>226</v>
      </c>
      <c r="H249" s="141"/>
      <c r="I249" s="141"/>
      <c r="J249" s="188">
        <f t="shared" si="186"/>
        <v>9.086406</v>
      </c>
      <c r="K249" s="188">
        <v>1.54</v>
      </c>
      <c r="L249" s="188">
        <v>3.028802</v>
      </c>
      <c r="M249" s="188">
        <v>4.517604</v>
      </c>
      <c r="N249" s="188"/>
      <c r="O249" s="188">
        <f t="shared" si="187"/>
        <v>9.086406</v>
      </c>
      <c r="P249" s="188"/>
      <c r="Q249" s="188"/>
      <c r="R249" s="188"/>
      <c r="S249" s="193"/>
      <c r="T249" s="193"/>
      <c r="U249" s="146"/>
      <c r="V249" s="141"/>
    </row>
    <row r="250" s="162" customFormat="1" ht="12" spans="1:22">
      <c r="A250" s="141"/>
      <c r="B250" s="141" t="s">
        <v>2756</v>
      </c>
      <c r="C250" s="141" t="s">
        <v>52</v>
      </c>
      <c r="D250" s="141" t="s">
        <v>163</v>
      </c>
      <c r="E250" s="152">
        <v>142</v>
      </c>
      <c r="F250" s="152">
        <v>88</v>
      </c>
      <c r="G250" s="152">
        <v>310</v>
      </c>
      <c r="H250" s="141"/>
      <c r="I250" s="141"/>
      <c r="J250" s="188">
        <f t="shared" si="186"/>
        <v>6.472452</v>
      </c>
      <c r="K250" s="188">
        <v>0.5</v>
      </c>
      <c r="L250" s="188">
        <v>2.157484</v>
      </c>
      <c r="M250" s="188">
        <v>3.814968</v>
      </c>
      <c r="N250" s="188"/>
      <c r="O250" s="188">
        <f t="shared" si="187"/>
        <v>6.472452</v>
      </c>
      <c r="P250" s="188"/>
      <c r="Q250" s="188"/>
      <c r="R250" s="188"/>
      <c r="S250" s="193"/>
      <c r="T250" s="193"/>
      <c r="U250" s="146"/>
      <c r="V250" s="141"/>
    </row>
    <row r="251" s="163" customFormat="1" ht="24" spans="1:22">
      <c r="A251" s="195"/>
      <c r="B251" s="192" t="s">
        <v>897</v>
      </c>
      <c r="C251" s="195"/>
      <c r="D251" s="195"/>
      <c r="E251" s="195">
        <f t="shared" ref="E251:I251" si="188">E252</f>
        <v>116870</v>
      </c>
      <c r="F251" s="195">
        <f t="shared" ref="F251:R251" si="189">F252+F259</f>
        <v>925</v>
      </c>
      <c r="G251" s="195">
        <f t="shared" si="189"/>
        <v>3479</v>
      </c>
      <c r="H251" s="177">
        <f t="shared" si="188"/>
        <v>2018</v>
      </c>
      <c r="I251" s="177" t="str">
        <f t="shared" si="188"/>
        <v>2019</v>
      </c>
      <c r="J251" s="195">
        <f t="shared" si="189"/>
        <v>1352</v>
      </c>
      <c r="K251" s="195">
        <f t="shared" si="189"/>
        <v>297</v>
      </c>
      <c r="L251" s="195">
        <f t="shared" si="189"/>
        <v>1055</v>
      </c>
      <c r="M251" s="195">
        <f t="shared" si="189"/>
        <v>0</v>
      </c>
      <c r="N251" s="195">
        <f t="shared" si="189"/>
        <v>0</v>
      </c>
      <c r="O251" s="195">
        <f t="shared" si="189"/>
        <v>1352</v>
      </c>
      <c r="P251" s="195">
        <f t="shared" si="189"/>
        <v>0</v>
      </c>
      <c r="Q251" s="195">
        <f t="shared" si="189"/>
        <v>0</v>
      </c>
      <c r="R251" s="195">
        <f t="shared" si="189"/>
        <v>0</v>
      </c>
      <c r="S251" s="195"/>
      <c r="T251" s="195"/>
      <c r="U251" s="195"/>
      <c r="V251" s="195"/>
    </row>
    <row r="252" s="162" customFormat="1" ht="48" spans="1:22">
      <c r="A252" s="141"/>
      <c r="B252" s="192" t="s">
        <v>898</v>
      </c>
      <c r="C252" s="141" t="s">
        <v>1124</v>
      </c>
      <c r="D252" s="141" t="s">
        <v>492</v>
      </c>
      <c r="E252" s="141">
        <f t="shared" ref="E252:G252" si="190">SUM(E253:E258)</f>
        <v>116870</v>
      </c>
      <c r="F252" s="141">
        <f t="shared" si="190"/>
        <v>885</v>
      </c>
      <c r="G252" s="141">
        <f t="shared" si="190"/>
        <v>3330</v>
      </c>
      <c r="H252" s="177">
        <v>2018</v>
      </c>
      <c r="I252" s="177" t="s">
        <v>2750</v>
      </c>
      <c r="J252" s="188">
        <f t="shared" ref="J252:R252" si="191">SUM(J253:J258)</f>
        <v>1167</v>
      </c>
      <c r="K252" s="188">
        <f t="shared" si="191"/>
        <v>112</v>
      </c>
      <c r="L252" s="188">
        <f t="shared" si="191"/>
        <v>1055</v>
      </c>
      <c r="M252" s="188">
        <f t="shared" si="191"/>
        <v>0</v>
      </c>
      <c r="N252" s="188">
        <f t="shared" si="191"/>
        <v>0</v>
      </c>
      <c r="O252" s="188">
        <f t="shared" si="191"/>
        <v>1167</v>
      </c>
      <c r="P252" s="188">
        <f t="shared" si="191"/>
        <v>0</v>
      </c>
      <c r="Q252" s="188">
        <f t="shared" si="191"/>
        <v>0</v>
      </c>
      <c r="R252" s="188">
        <f t="shared" si="191"/>
        <v>0</v>
      </c>
      <c r="S252" s="146" t="s">
        <v>2748</v>
      </c>
      <c r="T252" s="146" t="s">
        <v>2749</v>
      </c>
      <c r="U252" s="146" t="s">
        <v>1153</v>
      </c>
      <c r="V252" s="141" t="s">
        <v>2837</v>
      </c>
    </row>
    <row r="253" s="162" customFormat="1" ht="12" spans="1:22">
      <c r="A253" s="141"/>
      <c r="B253" s="141" t="s">
        <v>2758</v>
      </c>
      <c r="C253" s="141" t="s">
        <v>52</v>
      </c>
      <c r="D253" s="141" t="s">
        <v>492</v>
      </c>
      <c r="E253" s="141">
        <v>27750</v>
      </c>
      <c r="F253" s="141">
        <v>190</v>
      </c>
      <c r="G253" s="141">
        <v>698</v>
      </c>
      <c r="H253" s="141">
        <v>2019</v>
      </c>
      <c r="I253" s="141">
        <v>2019</v>
      </c>
      <c r="J253" s="188">
        <f t="shared" ref="J253:J259" si="192">K253+L253+M253</f>
        <v>277</v>
      </c>
      <c r="K253" s="188"/>
      <c r="L253" s="188">
        <v>277</v>
      </c>
      <c r="M253" s="188"/>
      <c r="N253" s="188"/>
      <c r="O253" s="188">
        <f t="shared" ref="O253:O258" si="193">J253</f>
        <v>277</v>
      </c>
      <c r="P253" s="196"/>
      <c r="Q253" s="188"/>
      <c r="R253" s="188"/>
      <c r="S253" s="146"/>
      <c r="T253" s="146"/>
      <c r="U253" s="146"/>
      <c r="V253" s="141" t="s">
        <v>2838</v>
      </c>
    </row>
    <row r="254" s="162" customFormat="1" ht="12" spans="1:22">
      <c r="A254" s="141"/>
      <c r="B254" s="141" t="s">
        <v>2754</v>
      </c>
      <c r="C254" s="141" t="s">
        <v>52</v>
      </c>
      <c r="D254" s="141" t="s">
        <v>492</v>
      </c>
      <c r="E254" s="141">
        <v>32650</v>
      </c>
      <c r="F254" s="141">
        <v>179</v>
      </c>
      <c r="G254" s="141">
        <v>691</v>
      </c>
      <c r="H254" s="177">
        <v>2018</v>
      </c>
      <c r="I254" s="177" t="s">
        <v>2592</v>
      </c>
      <c r="J254" s="188">
        <f t="shared" si="192"/>
        <v>326</v>
      </c>
      <c r="K254" s="188">
        <v>54</v>
      </c>
      <c r="L254" s="188">
        <v>272</v>
      </c>
      <c r="M254" s="188"/>
      <c r="N254" s="188"/>
      <c r="O254" s="188">
        <f t="shared" si="193"/>
        <v>326</v>
      </c>
      <c r="P254" s="196"/>
      <c r="Q254" s="188"/>
      <c r="R254" s="188"/>
      <c r="S254" s="146"/>
      <c r="T254" s="146"/>
      <c r="U254" s="146"/>
      <c r="V254" s="141" t="s">
        <v>2838</v>
      </c>
    </row>
    <row r="255" s="162" customFormat="1" ht="12" spans="1:22">
      <c r="A255" s="141"/>
      <c r="B255" s="141" t="s">
        <v>2759</v>
      </c>
      <c r="C255" s="141" t="s">
        <v>52</v>
      </c>
      <c r="D255" s="141" t="s">
        <v>492</v>
      </c>
      <c r="E255" s="141">
        <v>13725</v>
      </c>
      <c r="F255" s="141">
        <v>35</v>
      </c>
      <c r="G255" s="141">
        <v>137</v>
      </c>
      <c r="H255" s="177">
        <v>2018</v>
      </c>
      <c r="I255" s="177" t="s">
        <v>2592</v>
      </c>
      <c r="J255" s="188">
        <f t="shared" si="192"/>
        <v>137</v>
      </c>
      <c r="K255" s="188">
        <v>58</v>
      </c>
      <c r="L255" s="188">
        <v>79</v>
      </c>
      <c r="M255" s="188"/>
      <c r="N255" s="188"/>
      <c r="O255" s="188">
        <f t="shared" si="193"/>
        <v>137</v>
      </c>
      <c r="P255" s="196"/>
      <c r="Q255" s="188"/>
      <c r="R255" s="188"/>
      <c r="S255" s="146"/>
      <c r="T255" s="146"/>
      <c r="U255" s="146"/>
      <c r="V255" s="141" t="s">
        <v>2838</v>
      </c>
    </row>
    <row r="256" s="162" customFormat="1" ht="12" spans="1:22">
      <c r="A256" s="141"/>
      <c r="B256" s="141" t="s">
        <v>2760</v>
      </c>
      <c r="C256" s="141" t="s">
        <v>52</v>
      </c>
      <c r="D256" s="141" t="s">
        <v>492</v>
      </c>
      <c r="E256" s="141">
        <v>14400</v>
      </c>
      <c r="F256" s="141">
        <v>85</v>
      </c>
      <c r="G256" s="141">
        <v>317</v>
      </c>
      <c r="H256" s="141">
        <v>2019</v>
      </c>
      <c r="I256" s="141">
        <v>2019</v>
      </c>
      <c r="J256" s="188">
        <f t="shared" si="192"/>
        <v>144</v>
      </c>
      <c r="K256" s="188"/>
      <c r="L256" s="188">
        <v>144</v>
      </c>
      <c r="M256" s="188"/>
      <c r="N256" s="188"/>
      <c r="O256" s="188">
        <f t="shared" si="193"/>
        <v>144</v>
      </c>
      <c r="P256" s="196"/>
      <c r="Q256" s="188"/>
      <c r="R256" s="188"/>
      <c r="S256" s="146"/>
      <c r="T256" s="146"/>
      <c r="U256" s="146"/>
      <c r="V256" s="141" t="s">
        <v>2838</v>
      </c>
    </row>
    <row r="257" s="162" customFormat="1" ht="12" spans="1:22">
      <c r="A257" s="141"/>
      <c r="B257" s="141" t="s">
        <v>2755</v>
      </c>
      <c r="C257" s="141" t="s">
        <v>52</v>
      </c>
      <c r="D257" s="141" t="s">
        <v>492</v>
      </c>
      <c r="E257" s="141">
        <v>9145</v>
      </c>
      <c r="F257" s="141">
        <v>203</v>
      </c>
      <c r="G257" s="141">
        <v>745</v>
      </c>
      <c r="H257" s="141">
        <v>2019</v>
      </c>
      <c r="I257" s="141">
        <v>2019</v>
      </c>
      <c r="J257" s="188">
        <f t="shared" si="192"/>
        <v>91</v>
      </c>
      <c r="K257" s="188"/>
      <c r="L257" s="188">
        <v>91</v>
      </c>
      <c r="M257" s="188"/>
      <c r="N257" s="188"/>
      <c r="O257" s="188">
        <f t="shared" si="193"/>
        <v>91</v>
      </c>
      <c r="P257" s="196"/>
      <c r="Q257" s="188"/>
      <c r="R257" s="188"/>
      <c r="S257" s="146"/>
      <c r="T257" s="146"/>
      <c r="U257" s="146"/>
      <c r="V257" s="141" t="s">
        <v>2838</v>
      </c>
    </row>
    <row r="258" s="162" customFormat="1" ht="12" spans="1:22">
      <c r="A258" s="141"/>
      <c r="B258" s="141" t="s">
        <v>2756</v>
      </c>
      <c r="C258" s="141" t="s">
        <v>52</v>
      </c>
      <c r="D258" s="141" t="s">
        <v>492</v>
      </c>
      <c r="E258" s="141">
        <v>19200</v>
      </c>
      <c r="F258" s="141">
        <v>193</v>
      </c>
      <c r="G258" s="141">
        <v>742</v>
      </c>
      <c r="H258" s="141">
        <v>2019</v>
      </c>
      <c r="I258" s="141">
        <v>2019</v>
      </c>
      <c r="J258" s="188">
        <f t="shared" si="192"/>
        <v>192</v>
      </c>
      <c r="K258" s="188"/>
      <c r="L258" s="188">
        <v>192</v>
      </c>
      <c r="M258" s="188"/>
      <c r="N258" s="188"/>
      <c r="O258" s="188">
        <f t="shared" si="193"/>
        <v>192</v>
      </c>
      <c r="P258" s="196"/>
      <c r="Q258" s="188"/>
      <c r="R258" s="188"/>
      <c r="S258" s="146"/>
      <c r="T258" s="146"/>
      <c r="U258" s="146"/>
      <c r="V258" s="141" t="s">
        <v>2838</v>
      </c>
    </row>
    <row r="259" s="162" customFormat="1" ht="36" spans="1:22">
      <c r="A259" s="141"/>
      <c r="B259" s="192" t="s">
        <v>2839</v>
      </c>
      <c r="C259" s="141" t="s">
        <v>52</v>
      </c>
      <c r="D259" s="141" t="s">
        <v>492</v>
      </c>
      <c r="E259" s="141">
        <v>15163.9</v>
      </c>
      <c r="F259" s="141">
        <v>40</v>
      </c>
      <c r="G259" s="141">
        <v>149</v>
      </c>
      <c r="H259" s="177">
        <v>2018</v>
      </c>
      <c r="I259" s="177" t="s">
        <v>2592</v>
      </c>
      <c r="J259" s="188">
        <f t="shared" si="192"/>
        <v>185</v>
      </c>
      <c r="K259" s="188">
        <v>185</v>
      </c>
      <c r="L259" s="188"/>
      <c r="M259" s="188"/>
      <c r="N259" s="188"/>
      <c r="O259" s="188">
        <v>185</v>
      </c>
      <c r="P259" s="196"/>
      <c r="Q259" s="188"/>
      <c r="R259" s="188"/>
      <c r="S259" s="146"/>
      <c r="T259" s="146"/>
      <c r="U259" s="146"/>
      <c r="V259" s="141"/>
    </row>
    <row r="260" s="162" customFormat="1" ht="12" spans="1:22">
      <c r="A260" s="141">
        <v>44</v>
      </c>
      <c r="B260" s="141" t="s">
        <v>916</v>
      </c>
      <c r="C260" s="141" t="s">
        <v>320</v>
      </c>
      <c r="D260" s="141" t="s">
        <v>320</v>
      </c>
      <c r="E260" s="141"/>
      <c r="F260" s="141">
        <v>0</v>
      </c>
      <c r="G260" s="141">
        <v>0</v>
      </c>
      <c r="H260" s="141"/>
      <c r="I260" s="141"/>
      <c r="J260" s="188">
        <f t="shared" ref="J260:R260" si="194">J261+J268+J269+J276+J277</f>
        <v>1063.2</v>
      </c>
      <c r="K260" s="188">
        <f t="shared" si="194"/>
        <v>354.4</v>
      </c>
      <c r="L260" s="188">
        <f t="shared" si="194"/>
        <v>354.4</v>
      </c>
      <c r="M260" s="188">
        <f t="shared" si="194"/>
        <v>354.4</v>
      </c>
      <c r="N260" s="188">
        <f t="shared" si="194"/>
        <v>1063.2</v>
      </c>
      <c r="O260" s="188">
        <f t="shared" si="194"/>
        <v>0</v>
      </c>
      <c r="P260" s="188">
        <f t="shared" si="194"/>
        <v>0</v>
      </c>
      <c r="Q260" s="188">
        <f t="shared" si="194"/>
        <v>0</v>
      </c>
      <c r="R260" s="188">
        <f t="shared" si="194"/>
        <v>0</v>
      </c>
      <c r="S260" s="146" t="s">
        <v>2751</v>
      </c>
      <c r="T260" s="146" t="s">
        <v>2840</v>
      </c>
      <c r="U260" s="141" t="s">
        <v>320</v>
      </c>
      <c r="V260" s="141" t="s">
        <v>41</v>
      </c>
    </row>
    <row r="261" s="162" customFormat="1" ht="24" spans="1:22">
      <c r="A261" s="141">
        <v>45</v>
      </c>
      <c r="B261" s="141" t="s">
        <v>917</v>
      </c>
      <c r="C261" s="141" t="s">
        <v>52</v>
      </c>
      <c r="D261" s="141" t="s">
        <v>45</v>
      </c>
      <c r="E261" s="141">
        <f t="shared" ref="E261:G261" si="195">SUM(E262:E267)</f>
        <v>6000</v>
      </c>
      <c r="F261" s="141">
        <f t="shared" si="195"/>
        <v>818</v>
      </c>
      <c r="G261" s="141">
        <f t="shared" si="195"/>
        <v>3017</v>
      </c>
      <c r="H261" s="177">
        <v>2018</v>
      </c>
      <c r="I261" s="177" t="s">
        <v>2593</v>
      </c>
      <c r="J261" s="188">
        <f t="shared" ref="J261:N261" si="196">SUM(J262:J267)</f>
        <v>960</v>
      </c>
      <c r="K261" s="188">
        <f t="shared" si="196"/>
        <v>320</v>
      </c>
      <c r="L261" s="188">
        <f t="shared" si="196"/>
        <v>320</v>
      </c>
      <c r="M261" s="188">
        <f t="shared" si="196"/>
        <v>320</v>
      </c>
      <c r="N261" s="188">
        <f t="shared" si="196"/>
        <v>960</v>
      </c>
      <c r="O261" s="188"/>
      <c r="P261" s="188"/>
      <c r="Q261" s="188"/>
      <c r="R261" s="188"/>
      <c r="S261" s="146" t="s">
        <v>2751</v>
      </c>
      <c r="T261" s="146" t="s">
        <v>2840</v>
      </c>
      <c r="U261" s="146" t="s">
        <v>417</v>
      </c>
      <c r="V261" s="141" t="s">
        <v>2841</v>
      </c>
    </row>
    <row r="262" s="162" customFormat="1" ht="24" spans="1:22">
      <c r="A262" s="141"/>
      <c r="B262" s="141" t="s">
        <v>2758</v>
      </c>
      <c r="C262" s="141" t="s">
        <v>52</v>
      </c>
      <c r="D262" s="141" t="s">
        <v>45</v>
      </c>
      <c r="E262" s="141">
        <v>1000</v>
      </c>
      <c r="F262" s="141">
        <v>190</v>
      </c>
      <c r="G262" s="141">
        <v>698</v>
      </c>
      <c r="H262" s="177">
        <v>2018</v>
      </c>
      <c r="I262" s="177" t="s">
        <v>2593</v>
      </c>
      <c r="J262" s="188">
        <f t="shared" ref="J262:J267" si="197">E262*1600/10000</f>
        <v>160</v>
      </c>
      <c r="K262" s="188">
        <f t="shared" ref="K262:K267" si="198">J262/3</f>
        <v>53.3333333333333</v>
      </c>
      <c r="L262" s="188">
        <f t="shared" ref="L262:L267" si="199">J262/3</f>
        <v>53.3333333333333</v>
      </c>
      <c r="M262" s="188">
        <f t="shared" ref="M262:M267" si="200">J262/3</f>
        <v>53.3333333333333</v>
      </c>
      <c r="N262" s="188">
        <f t="shared" ref="N262:N267" si="201">J262</f>
        <v>160</v>
      </c>
      <c r="O262" s="188"/>
      <c r="P262" s="188"/>
      <c r="Q262" s="188"/>
      <c r="R262" s="188"/>
      <c r="S262" s="146"/>
      <c r="T262" s="146"/>
      <c r="U262" s="146"/>
      <c r="V262" s="141" t="s">
        <v>2841</v>
      </c>
    </row>
    <row r="263" s="162" customFormat="1" ht="24" spans="1:22">
      <c r="A263" s="141"/>
      <c r="B263" s="141" t="s">
        <v>2754</v>
      </c>
      <c r="C263" s="141" t="s">
        <v>52</v>
      </c>
      <c r="D263" s="141" t="s">
        <v>45</v>
      </c>
      <c r="E263" s="141">
        <v>1000</v>
      </c>
      <c r="F263" s="141">
        <v>73</v>
      </c>
      <c r="G263" s="141">
        <v>244</v>
      </c>
      <c r="H263" s="177">
        <v>2018</v>
      </c>
      <c r="I263" s="177" t="s">
        <v>2593</v>
      </c>
      <c r="J263" s="188">
        <f t="shared" si="197"/>
        <v>160</v>
      </c>
      <c r="K263" s="188">
        <f t="shared" si="198"/>
        <v>53.3333333333333</v>
      </c>
      <c r="L263" s="188">
        <f t="shared" si="199"/>
        <v>53.3333333333333</v>
      </c>
      <c r="M263" s="188">
        <f t="shared" si="200"/>
        <v>53.3333333333333</v>
      </c>
      <c r="N263" s="188">
        <f t="shared" si="201"/>
        <v>160</v>
      </c>
      <c r="O263" s="188"/>
      <c r="P263" s="188"/>
      <c r="Q263" s="188"/>
      <c r="R263" s="188"/>
      <c r="S263" s="146"/>
      <c r="T263" s="146"/>
      <c r="U263" s="146"/>
      <c r="V263" s="141" t="s">
        <v>2841</v>
      </c>
    </row>
    <row r="264" s="162" customFormat="1" ht="24" spans="1:22">
      <c r="A264" s="141"/>
      <c r="B264" s="141" t="s">
        <v>2759</v>
      </c>
      <c r="C264" s="141" t="s">
        <v>52</v>
      </c>
      <c r="D264" s="141" t="s">
        <v>45</v>
      </c>
      <c r="E264" s="141">
        <v>1000</v>
      </c>
      <c r="F264" s="141">
        <v>79</v>
      </c>
      <c r="G264" s="141">
        <v>278</v>
      </c>
      <c r="H264" s="177">
        <v>2018</v>
      </c>
      <c r="I264" s="177" t="s">
        <v>2593</v>
      </c>
      <c r="J264" s="188">
        <f t="shared" si="197"/>
        <v>160</v>
      </c>
      <c r="K264" s="188">
        <f t="shared" si="198"/>
        <v>53.3333333333333</v>
      </c>
      <c r="L264" s="188">
        <f t="shared" si="199"/>
        <v>53.3333333333333</v>
      </c>
      <c r="M264" s="188">
        <f t="shared" si="200"/>
        <v>53.3333333333333</v>
      </c>
      <c r="N264" s="188">
        <f t="shared" si="201"/>
        <v>160</v>
      </c>
      <c r="O264" s="188"/>
      <c r="P264" s="188"/>
      <c r="Q264" s="188"/>
      <c r="R264" s="188"/>
      <c r="S264" s="146"/>
      <c r="T264" s="146"/>
      <c r="U264" s="146"/>
      <c r="V264" s="141" t="s">
        <v>2841</v>
      </c>
    </row>
    <row r="265" s="162" customFormat="1" ht="24" spans="1:22">
      <c r="A265" s="141"/>
      <c r="B265" s="141" t="s">
        <v>2760</v>
      </c>
      <c r="C265" s="141" t="s">
        <v>52</v>
      </c>
      <c r="D265" s="141" t="s">
        <v>45</v>
      </c>
      <c r="E265" s="141">
        <v>1000</v>
      </c>
      <c r="F265" s="141">
        <v>49</v>
      </c>
      <c r="G265" s="141">
        <v>190</v>
      </c>
      <c r="H265" s="177">
        <v>2018</v>
      </c>
      <c r="I265" s="177" t="s">
        <v>2593</v>
      </c>
      <c r="J265" s="188">
        <f t="shared" si="197"/>
        <v>160</v>
      </c>
      <c r="K265" s="188">
        <f t="shared" si="198"/>
        <v>53.3333333333333</v>
      </c>
      <c r="L265" s="188">
        <f t="shared" si="199"/>
        <v>53.3333333333333</v>
      </c>
      <c r="M265" s="188">
        <f t="shared" si="200"/>
        <v>53.3333333333333</v>
      </c>
      <c r="N265" s="188">
        <f t="shared" si="201"/>
        <v>160</v>
      </c>
      <c r="O265" s="188"/>
      <c r="P265" s="188"/>
      <c r="Q265" s="188"/>
      <c r="R265" s="188"/>
      <c r="S265" s="146"/>
      <c r="T265" s="146"/>
      <c r="U265" s="146"/>
      <c r="V265" s="141" t="s">
        <v>2841</v>
      </c>
    </row>
    <row r="266" s="162" customFormat="1" ht="24" spans="1:22">
      <c r="A266" s="141"/>
      <c r="B266" s="141" t="s">
        <v>2755</v>
      </c>
      <c r="C266" s="141" t="s">
        <v>52</v>
      </c>
      <c r="D266" s="141" t="s">
        <v>45</v>
      </c>
      <c r="E266" s="141">
        <v>1000</v>
      </c>
      <c r="F266" s="141">
        <v>203</v>
      </c>
      <c r="G266" s="141">
        <v>745</v>
      </c>
      <c r="H266" s="177">
        <v>2018</v>
      </c>
      <c r="I266" s="177" t="s">
        <v>2593</v>
      </c>
      <c r="J266" s="188">
        <f t="shared" si="197"/>
        <v>160</v>
      </c>
      <c r="K266" s="188">
        <f t="shared" si="198"/>
        <v>53.3333333333333</v>
      </c>
      <c r="L266" s="188">
        <f t="shared" si="199"/>
        <v>53.3333333333333</v>
      </c>
      <c r="M266" s="188">
        <f t="shared" si="200"/>
        <v>53.3333333333333</v>
      </c>
      <c r="N266" s="188">
        <f t="shared" si="201"/>
        <v>160</v>
      </c>
      <c r="O266" s="188"/>
      <c r="P266" s="188"/>
      <c r="Q266" s="188"/>
      <c r="R266" s="188"/>
      <c r="S266" s="146"/>
      <c r="T266" s="146"/>
      <c r="U266" s="146"/>
      <c r="V266" s="141" t="s">
        <v>2841</v>
      </c>
    </row>
    <row r="267" s="162" customFormat="1" ht="24" spans="1:22">
      <c r="A267" s="141"/>
      <c r="B267" s="141" t="s">
        <v>2756</v>
      </c>
      <c r="C267" s="141" t="s">
        <v>52</v>
      </c>
      <c r="D267" s="141" t="s">
        <v>45</v>
      </c>
      <c r="E267" s="141">
        <v>1000</v>
      </c>
      <c r="F267" s="141">
        <v>224</v>
      </c>
      <c r="G267" s="141">
        <v>862</v>
      </c>
      <c r="H267" s="177">
        <v>2018</v>
      </c>
      <c r="I267" s="177" t="s">
        <v>2593</v>
      </c>
      <c r="J267" s="188">
        <f t="shared" si="197"/>
        <v>160</v>
      </c>
      <c r="K267" s="188">
        <f t="shared" si="198"/>
        <v>53.3333333333333</v>
      </c>
      <c r="L267" s="188">
        <f t="shared" si="199"/>
        <v>53.3333333333333</v>
      </c>
      <c r="M267" s="188">
        <f t="shared" si="200"/>
        <v>53.3333333333333</v>
      </c>
      <c r="N267" s="188">
        <f t="shared" si="201"/>
        <v>160</v>
      </c>
      <c r="O267" s="188"/>
      <c r="P267" s="188"/>
      <c r="Q267" s="188"/>
      <c r="R267" s="188"/>
      <c r="S267" s="146"/>
      <c r="T267" s="146"/>
      <c r="U267" s="146"/>
      <c r="V267" s="141" t="s">
        <v>2841</v>
      </c>
    </row>
    <row r="268" s="162" customFormat="1" ht="12" spans="1:22">
      <c r="A268" s="141">
        <v>46</v>
      </c>
      <c r="B268" s="141" t="s">
        <v>919</v>
      </c>
      <c r="C268" s="141" t="s">
        <v>320</v>
      </c>
      <c r="D268" s="141" t="s">
        <v>45</v>
      </c>
      <c r="E268" s="141"/>
      <c r="F268" s="141">
        <v>0</v>
      </c>
      <c r="G268" s="141">
        <v>0</v>
      </c>
      <c r="H268" s="141"/>
      <c r="I268" s="141"/>
      <c r="J268" s="188">
        <f t="shared" ref="J268:J275" si="202">K268+L268+M268</f>
        <v>0</v>
      </c>
      <c r="K268" s="188"/>
      <c r="L268" s="188"/>
      <c r="M268" s="188"/>
      <c r="N268" s="188"/>
      <c r="O268" s="188"/>
      <c r="P268" s="188"/>
      <c r="Q268" s="188"/>
      <c r="R268" s="188"/>
      <c r="S268" s="146" t="s">
        <v>2751</v>
      </c>
      <c r="T268" s="146" t="s">
        <v>2840</v>
      </c>
      <c r="U268" s="146" t="s">
        <v>435</v>
      </c>
      <c r="V268" s="141" t="s">
        <v>41</v>
      </c>
    </row>
    <row r="269" s="162" customFormat="1" ht="24" spans="1:22">
      <c r="A269" s="141">
        <v>47</v>
      </c>
      <c r="B269" s="192" t="s">
        <v>423</v>
      </c>
      <c r="C269" s="141" t="s">
        <v>320</v>
      </c>
      <c r="D269" s="141" t="s">
        <v>147</v>
      </c>
      <c r="E269" s="141">
        <f t="shared" ref="E269:G269" si="203">SUM(E270:E275)</f>
        <v>43</v>
      </c>
      <c r="F269" s="141">
        <f t="shared" si="203"/>
        <v>43</v>
      </c>
      <c r="G269" s="141">
        <f t="shared" si="203"/>
        <v>43</v>
      </c>
      <c r="H269" s="177">
        <v>2018</v>
      </c>
      <c r="I269" s="177" t="s">
        <v>2593</v>
      </c>
      <c r="J269" s="188">
        <f t="shared" ref="J269:M269" si="204">SUM(J270:J275)</f>
        <v>103.2</v>
      </c>
      <c r="K269" s="188">
        <f t="shared" si="204"/>
        <v>34.4</v>
      </c>
      <c r="L269" s="188">
        <f t="shared" si="204"/>
        <v>34.4</v>
      </c>
      <c r="M269" s="188">
        <f t="shared" si="204"/>
        <v>34.4</v>
      </c>
      <c r="N269" s="188">
        <f t="shared" ref="N269:N275" si="205">J269</f>
        <v>103.2</v>
      </c>
      <c r="O269" s="188">
        <f t="shared" ref="O269:R269" si="206">SUM(O270:O275)</f>
        <v>0</v>
      </c>
      <c r="P269" s="188">
        <f t="shared" si="206"/>
        <v>0</v>
      </c>
      <c r="Q269" s="188">
        <f t="shared" si="206"/>
        <v>0</v>
      </c>
      <c r="R269" s="188">
        <f t="shared" si="206"/>
        <v>0</v>
      </c>
      <c r="S269" s="146" t="s">
        <v>2751</v>
      </c>
      <c r="T269" s="146" t="s">
        <v>2840</v>
      </c>
      <c r="U269" s="146" t="s">
        <v>417</v>
      </c>
      <c r="V269" s="141" t="s">
        <v>2842</v>
      </c>
    </row>
    <row r="270" s="162" customFormat="1" ht="12" spans="1:22">
      <c r="A270" s="141"/>
      <c r="B270" s="141" t="s">
        <v>2758</v>
      </c>
      <c r="C270" s="141"/>
      <c r="D270" s="141" t="s">
        <v>147</v>
      </c>
      <c r="E270" s="141">
        <v>4</v>
      </c>
      <c r="F270" s="141">
        <v>4</v>
      </c>
      <c r="G270" s="141">
        <v>4</v>
      </c>
      <c r="H270" s="141"/>
      <c r="I270" s="141"/>
      <c r="J270" s="188">
        <f t="shared" si="202"/>
        <v>9.6</v>
      </c>
      <c r="K270" s="188">
        <f t="shared" ref="K270:K275" si="207">E270*8000/10000</f>
        <v>3.2</v>
      </c>
      <c r="L270" s="188">
        <f t="shared" ref="L270:L275" si="208">E270*8000/10000</f>
        <v>3.2</v>
      </c>
      <c r="M270" s="188">
        <f t="shared" ref="M270:M275" si="209">E270*8000/10000</f>
        <v>3.2</v>
      </c>
      <c r="N270" s="188">
        <f t="shared" si="205"/>
        <v>9.6</v>
      </c>
      <c r="O270" s="188"/>
      <c r="P270" s="188"/>
      <c r="Q270" s="188"/>
      <c r="R270" s="188"/>
      <c r="S270" s="146"/>
      <c r="T270" s="146"/>
      <c r="U270" s="146"/>
      <c r="V270" s="141" t="s">
        <v>2843</v>
      </c>
    </row>
    <row r="271" s="162" customFormat="1" ht="12" spans="1:22">
      <c r="A271" s="141"/>
      <c r="B271" s="141" t="s">
        <v>2754</v>
      </c>
      <c r="C271" s="141"/>
      <c r="D271" s="141" t="s">
        <v>147</v>
      </c>
      <c r="E271" s="141">
        <v>8</v>
      </c>
      <c r="F271" s="141">
        <v>8</v>
      </c>
      <c r="G271" s="141">
        <v>8</v>
      </c>
      <c r="H271" s="141"/>
      <c r="I271" s="141"/>
      <c r="J271" s="188">
        <f t="shared" si="202"/>
        <v>19.2</v>
      </c>
      <c r="K271" s="188">
        <f t="shared" si="207"/>
        <v>6.4</v>
      </c>
      <c r="L271" s="188">
        <f t="shared" si="208"/>
        <v>6.4</v>
      </c>
      <c r="M271" s="188">
        <f t="shared" si="209"/>
        <v>6.4</v>
      </c>
      <c r="N271" s="188">
        <f t="shared" si="205"/>
        <v>19.2</v>
      </c>
      <c r="O271" s="188"/>
      <c r="P271" s="188"/>
      <c r="Q271" s="188"/>
      <c r="R271" s="188"/>
      <c r="S271" s="146"/>
      <c r="T271" s="146"/>
      <c r="U271" s="146"/>
      <c r="V271" s="141" t="s">
        <v>2843</v>
      </c>
    </row>
    <row r="272" s="162" customFormat="1" ht="12" spans="1:22">
      <c r="A272" s="141"/>
      <c r="B272" s="141" t="s">
        <v>2759</v>
      </c>
      <c r="C272" s="141"/>
      <c r="D272" s="141" t="s">
        <v>147</v>
      </c>
      <c r="E272" s="141">
        <v>12</v>
      </c>
      <c r="F272" s="141">
        <v>12</v>
      </c>
      <c r="G272" s="141">
        <v>12</v>
      </c>
      <c r="H272" s="141"/>
      <c r="I272" s="141"/>
      <c r="J272" s="188">
        <f t="shared" si="202"/>
        <v>28.8</v>
      </c>
      <c r="K272" s="188">
        <f t="shared" si="207"/>
        <v>9.6</v>
      </c>
      <c r="L272" s="188">
        <f t="shared" si="208"/>
        <v>9.6</v>
      </c>
      <c r="M272" s="188">
        <f t="shared" si="209"/>
        <v>9.6</v>
      </c>
      <c r="N272" s="188">
        <f t="shared" si="205"/>
        <v>28.8</v>
      </c>
      <c r="O272" s="188"/>
      <c r="P272" s="188"/>
      <c r="Q272" s="188"/>
      <c r="R272" s="188"/>
      <c r="S272" s="146"/>
      <c r="T272" s="146"/>
      <c r="U272" s="146"/>
      <c r="V272" s="141" t="s">
        <v>2843</v>
      </c>
    </row>
    <row r="273" s="162" customFormat="1" ht="12" spans="1:22">
      <c r="A273" s="141"/>
      <c r="B273" s="141" t="s">
        <v>2760</v>
      </c>
      <c r="C273" s="141"/>
      <c r="D273" s="141" t="s">
        <v>147</v>
      </c>
      <c r="E273" s="141">
        <v>9</v>
      </c>
      <c r="F273" s="141">
        <v>9</v>
      </c>
      <c r="G273" s="141">
        <v>9</v>
      </c>
      <c r="H273" s="141"/>
      <c r="I273" s="141"/>
      <c r="J273" s="188">
        <f t="shared" si="202"/>
        <v>21.6</v>
      </c>
      <c r="K273" s="188">
        <f t="shared" si="207"/>
        <v>7.2</v>
      </c>
      <c r="L273" s="188">
        <f t="shared" si="208"/>
        <v>7.2</v>
      </c>
      <c r="M273" s="188">
        <f t="shared" si="209"/>
        <v>7.2</v>
      </c>
      <c r="N273" s="188">
        <f t="shared" si="205"/>
        <v>21.6</v>
      </c>
      <c r="O273" s="188"/>
      <c r="P273" s="188"/>
      <c r="Q273" s="188"/>
      <c r="R273" s="188"/>
      <c r="S273" s="146"/>
      <c r="T273" s="146"/>
      <c r="U273" s="146"/>
      <c r="V273" s="141" t="s">
        <v>2843</v>
      </c>
    </row>
    <row r="274" s="162" customFormat="1" ht="12" spans="1:22">
      <c r="A274" s="141"/>
      <c r="B274" s="141" t="s">
        <v>2755</v>
      </c>
      <c r="C274" s="141"/>
      <c r="D274" s="141" t="s">
        <v>147</v>
      </c>
      <c r="E274" s="141">
        <v>4</v>
      </c>
      <c r="F274" s="141">
        <v>4</v>
      </c>
      <c r="G274" s="141">
        <v>4</v>
      </c>
      <c r="H274" s="141"/>
      <c r="I274" s="141"/>
      <c r="J274" s="188">
        <f t="shared" si="202"/>
        <v>9.6</v>
      </c>
      <c r="K274" s="188">
        <f t="shared" si="207"/>
        <v>3.2</v>
      </c>
      <c r="L274" s="188">
        <f t="shared" si="208"/>
        <v>3.2</v>
      </c>
      <c r="M274" s="188">
        <f t="shared" si="209"/>
        <v>3.2</v>
      </c>
      <c r="N274" s="188">
        <f t="shared" si="205"/>
        <v>9.6</v>
      </c>
      <c r="O274" s="188"/>
      <c r="P274" s="188"/>
      <c r="Q274" s="188"/>
      <c r="R274" s="188"/>
      <c r="S274" s="146"/>
      <c r="T274" s="146"/>
      <c r="U274" s="146"/>
      <c r="V274" s="141" t="s">
        <v>2843</v>
      </c>
    </row>
    <row r="275" s="162" customFormat="1" ht="12" spans="1:22">
      <c r="A275" s="141"/>
      <c r="B275" s="141" t="s">
        <v>2756</v>
      </c>
      <c r="C275" s="141"/>
      <c r="D275" s="141" t="s">
        <v>147</v>
      </c>
      <c r="E275" s="141">
        <v>6</v>
      </c>
      <c r="F275" s="141">
        <v>6</v>
      </c>
      <c r="G275" s="141">
        <v>6</v>
      </c>
      <c r="H275" s="141"/>
      <c r="I275" s="141"/>
      <c r="J275" s="188">
        <f t="shared" si="202"/>
        <v>14.4</v>
      </c>
      <c r="K275" s="188">
        <f t="shared" si="207"/>
        <v>4.8</v>
      </c>
      <c r="L275" s="188">
        <f t="shared" si="208"/>
        <v>4.8</v>
      </c>
      <c r="M275" s="188">
        <f t="shared" si="209"/>
        <v>4.8</v>
      </c>
      <c r="N275" s="188">
        <f t="shared" si="205"/>
        <v>14.4</v>
      </c>
      <c r="O275" s="188"/>
      <c r="P275" s="188"/>
      <c r="Q275" s="188"/>
      <c r="R275" s="188"/>
      <c r="S275" s="146"/>
      <c r="T275" s="146"/>
      <c r="U275" s="146"/>
      <c r="V275" s="141" t="s">
        <v>2843</v>
      </c>
    </row>
    <row r="276" s="162" customFormat="1" ht="12" spans="1:22">
      <c r="A276" s="141">
        <v>48</v>
      </c>
      <c r="B276" s="192" t="s">
        <v>434</v>
      </c>
      <c r="C276" s="141" t="s">
        <v>320</v>
      </c>
      <c r="D276" s="141" t="s">
        <v>147</v>
      </c>
      <c r="E276" s="141">
        <v>0</v>
      </c>
      <c r="F276" s="141">
        <v>0</v>
      </c>
      <c r="G276" s="141">
        <v>0</v>
      </c>
      <c r="H276" s="141"/>
      <c r="I276" s="141"/>
      <c r="J276" s="188"/>
      <c r="K276" s="188"/>
      <c r="L276" s="188"/>
      <c r="M276" s="188"/>
      <c r="N276" s="188"/>
      <c r="O276" s="188"/>
      <c r="P276" s="188"/>
      <c r="Q276" s="188"/>
      <c r="R276" s="188"/>
      <c r="S276" s="146"/>
      <c r="T276" s="146"/>
      <c r="U276" s="146" t="s">
        <v>435</v>
      </c>
      <c r="V276" s="141" t="s">
        <v>41</v>
      </c>
    </row>
    <row r="277" s="162" customFormat="1" ht="24" spans="1:22">
      <c r="A277" s="141">
        <v>49</v>
      </c>
      <c r="B277" s="141" t="s">
        <v>436</v>
      </c>
      <c r="C277" s="141" t="s">
        <v>52</v>
      </c>
      <c r="D277" s="141" t="s">
        <v>150</v>
      </c>
      <c r="E277" s="141"/>
      <c r="F277" s="141"/>
      <c r="G277" s="141"/>
      <c r="H277" s="141"/>
      <c r="I277" s="141"/>
      <c r="J277" s="188"/>
      <c r="K277" s="188"/>
      <c r="L277" s="188"/>
      <c r="M277" s="188"/>
      <c r="N277" s="188"/>
      <c r="O277" s="188"/>
      <c r="P277" s="188"/>
      <c r="Q277" s="188"/>
      <c r="R277" s="188"/>
      <c r="S277" s="146"/>
      <c r="T277" s="146"/>
      <c r="U277" s="146" t="s">
        <v>417</v>
      </c>
      <c r="V277" s="141" t="s">
        <v>41</v>
      </c>
    </row>
    <row r="278" s="162" customFormat="1" ht="12" spans="1:22">
      <c r="A278" s="141">
        <v>50</v>
      </c>
      <c r="B278" s="141" t="s">
        <v>924</v>
      </c>
      <c r="C278" s="141" t="s">
        <v>320</v>
      </c>
      <c r="D278" s="141" t="s">
        <v>320</v>
      </c>
      <c r="E278" s="141">
        <f t="shared" ref="E278:G278" si="210">E279+E286+E296</f>
        <v>301</v>
      </c>
      <c r="F278" s="141">
        <f t="shared" si="210"/>
        <v>184</v>
      </c>
      <c r="G278" s="141">
        <f t="shared" si="210"/>
        <v>339</v>
      </c>
      <c r="H278" s="141"/>
      <c r="I278" s="141"/>
      <c r="J278" s="188">
        <f t="shared" ref="J278:R278" si="211">J279+J286+J296+J303</f>
        <v>351.8802</v>
      </c>
      <c r="K278" s="188">
        <f t="shared" si="211"/>
        <v>109.704672</v>
      </c>
      <c r="L278" s="188">
        <f t="shared" si="211"/>
        <v>116.932032</v>
      </c>
      <c r="M278" s="188">
        <f t="shared" si="211"/>
        <v>125.243496</v>
      </c>
      <c r="N278" s="188">
        <f t="shared" si="211"/>
        <v>351.8802</v>
      </c>
      <c r="O278" s="188">
        <f t="shared" si="211"/>
        <v>0</v>
      </c>
      <c r="P278" s="188">
        <f t="shared" si="211"/>
        <v>0</v>
      </c>
      <c r="Q278" s="188">
        <f t="shared" si="211"/>
        <v>0</v>
      </c>
      <c r="R278" s="188">
        <f t="shared" si="211"/>
        <v>0</v>
      </c>
      <c r="S278" s="146" t="s">
        <v>2775</v>
      </c>
      <c r="T278" s="146" t="s">
        <v>2844</v>
      </c>
      <c r="U278" s="141" t="s">
        <v>320</v>
      </c>
      <c r="V278" s="141" t="s">
        <v>41</v>
      </c>
    </row>
    <row r="279" s="162" customFormat="1" ht="60" spans="1:22">
      <c r="A279" s="141">
        <v>51</v>
      </c>
      <c r="B279" s="141" t="s">
        <v>443</v>
      </c>
      <c r="C279" s="141" t="s">
        <v>320</v>
      </c>
      <c r="D279" s="141" t="s">
        <v>384</v>
      </c>
      <c r="E279" s="141">
        <f t="shared" ref="E279:G279" si="212">SUM(E280:E285)</f>
        <v>93</v>
      </c>
      <c r="F279" s="141">
        <f t="shared" si="212"/>
        <v>93</v>
      </c>
      <c r="G279" s="141">
        <f t="shared" si="212"/>
        <v>239</v>
      </c>
      <c r="H279" s="177">
        <v>2018</v>
      </c>
      <c r="I279" s="177" t="s">
        <v>2593</v>
      </c>
      <c r="J279" s="188">
        <f t="shared" ref="J279:M279" si="213">SUM(J280:J285)</f>
        <v>167.313384</v>
      </c>
      <c r="K279" s="188">
        <f t="shared" si="213"/>
        <v>48.1824</v>
      </c>
      <c r="L279" s="188">
        <f t="shared" si="213"/>
        <v>55.40976</v>
      </c>
      <c r="M279" s="188">
        <f t="shared" si="213"/>
        <v>63.721224</v>
      </c>
      <c r="N279" s="188">
        <f t="shared" ref="N279:N285" si="214">J279</f>
        <v>167.313384</v>
      </c>
      <c r="O279" s="188">
        <f t="shared" ref="O279:R279" si="215">SUM(O280:O285)</f>
        <v>0</v>
      </c>
      <c r="P279" s="188">
        <f t="shared" si="215"/>
        <v>0</v>
      </c>
      <c r="Q279" s="188">
        <f t="shared" si="215"/>
        <v>0</v>
      </c>
      <c r="R279" s="188">
        <f t="shared" si="215"/>
        <v>0</v>
      </c>
      <c r="S279" s="146" t="s">
        <v>2775</v>
      </c>
      <c r="T279" s="146" t="s">
        <v>2844</v>
      </c>
      <c r="U279" s="146" t="s">
        <v>338</v>
      </c>
      <c r="V279" s="141" t="s">
        <v>2845</v>
      </c>
    </row>
    <row r="280" s="162" customFormat="1" ht="60" spans="1:22">
      <c r="A280" s="141"/>
      <c r="B280" s="141" t="s">
        <v>2758</v>
      </c>
      <c r="C280" s="141"/>
      <c r="D280" s="141" t="s">
        <v>384</v>
      </c>
      <c r="E280" s="141">
        <v>12</v>
      </c>
      <c r="F280" s="141">
        <v>12</v>
      </c>
      <c r="G280" s="141">
        <v>43</v>
      </c>
      <c r="H280" s="141"/>
      <c r="I280" s="141"/>
      <c r="J280" s="188">
        <f t="shared" ref="J280:J285" si="216">K280+L280+M280</f>
        <v>30.102408</v>
      </c>
      <c r="K280" s="188">
        <f t="shared" ref="K280:K285" si="217">G280*168*12/10000</f>
        <v>8.6688</v>
      </c>
      <c r="L280" s="188">
        <f t="shared" ref="L280:L285" si="218">K280*1.15</f>
        <v>9.96912</v>
      </c>
      <c r="M280" s="188">
        <f t="shared" ref="M280:M285" si="219">L280*1.15</f>
        <v>11.464488</v>
      </c>
      <c r="N280" s="188">
        <f t="shared" si="214"/>
        <v>30.102408</v>
      </c>
      <c r="O280" s="188"/>
      <c r="P280" s="188"/>
      <c r="Q280" s="188"/>
      <c r="R280" s="188"/>
      <c r="S280" s="146"/>
      <c r="T280" s="146"/>
      <c r="U280" s="146"/>
      <c r="V280" s="141" t="s">
        <v>2845</v>
      </c>
    </row>
    <row r="281" s="162" customFormat="1" ht="60" spans="1:22">
      <c r="A281" s="141"/>
      <c r="B281" s="141" t="s">
        <v>2754</v>
      </c>
      <c r="C281" s="141"/>
      <c r="D281" s="141" t="s">
        <v>384</v>
      </c>
      <c r="E281" s="141">
        <v>23</v>
      </c>
      <c r="F281" s="141">
        <v>23</v>
      </c>
      <c r="G281" s="141">
        <v>57</v>
      </c>
      <c r="H281" s="141"/>
      <c r="I281" s="141"/>
      <c r="J281" s="188">
        <f t="shared" si="216"/>
        <v>39.903192</v>
      </c>
      <c r="K281" s="188">
        <f t="shared" si="217"/>
        <v>11.4912</v>
      </c>
      <c r="L281" s="188">
        <f t="shared" si="218"/>
        <v>13.21488</v>
      </c>
      <c r="M281" s="188">
        <f t="shared" si="219"/>
        <v>15.197112</v>
      </c>
      <c r="N281" s="188">
        <f t="shared" si="214"/>
        <v>39.903192</v>
      </c>
      <c r="O281" s="188"/>
      <c r="P281" s="188"/>
      <c r="Q281" s="188"/>
      <c r="R281" s="188"/>
      <c r="S281" s="146"/>
      <c r="T281" s="146"/>
      <c r="U281" s="146"/>
      <c r="V281" s="141" t="s">
        <v>2845</v>
      </c>
    </row>
    <row r="282" s="162" customFormat="1" ht="60" spans="1:22">
      <c r="A282" s="141"/>
      <c r="B282" s="141" t="s">
        <v>2759</v>
      </c>
      <c r="C282" s="141"/>
      <c r="D282" s="141" t="s">
        <v>384</v>
      </c>
      <c r="E282" s="141">
        <v>8</v>
      </c>
      <c r="F282" s="141">
        <v>8</v>
      </c>
      <c r="G282" s="141">
        <v>12</v>
      </c>
      <c r="H282" s="141"/>
      <c r="I282" s="141"/>
      <c r="J282" s="188">
        <f t="shared" si="216"/>
        <v>8.400672</v>
      </c>
      <c r="K282" s="188">
        <f t="shared" si="217"/>
        <v>2.4192</v>
      </c>
      <c r="L282" s="188">
        <f t="shared" si="218"/>
        <v>2.78208</v>
      </c>
      <c r="M282" s="188">
        <f t="shared" si="219"/>
        <v>3.199392</v>
      </c>
      <c r="N282" s="188">
        <f t="shared" si="214"/>
        <v>8.400672</v>
      </c>
      <c r="O282" s="188"/>
      <c r="P282" s="188"/>
      <c r="Q282" s="188"/>
      <c r="R282" s="188"/>
      <c r="S282" s="146"/>
      <c r="T282" s="146"/>
      <c r="U282" s="146"/>
      <c r="V282" s="141" t="s">
        <v>2845</v>
      </c>
    </row>
    <row r="283" s="162" customFormat="1" ht="60" spans="1:22">
      <c r="A283" s="141"/>
      <c r="B283" s="141" t="s">
        <v>2760</v>
      </c>
      <c r="C283" s="141"/>
      <c r="D283" s="141" t="s">
        <v>384</v>
      </c>
      <c r="E283" s="141">
        <v>11</v>
      </c>
      <c r="F283" s="141">
        <v>11</v>
      </c>
      <c r="G283" s="141">
        <v>34</v>
      </c>
      <c r="H283" s="141"/>
      <c r="I283" s="141"/>
      <c r="J283" s="188">
        <f t="shared" si="216"/>
        <v>23.801904</v>
      </c>
      <c r="K283" s="188">
        <f t="shared" si="217"/>
        <v>6.8544</v>
      </c>
      <c r="L283" s="188">
        <f t="shared" si="218"/>
        <v>7.88256</v>
      </c>
      <c r="M283" s="188">
        <f t="shared" si="219"/>
        <v>9.064944</v>
      </c>
      <c r="N283" s="188">
        <f t="shared" si="214"/>
        <v>23.801904</v>
      </c>
      <c r="O283" s="188"/>
      <c r="P283" s="188"/>
      <c r="Q283" s="188"/>
      <c r="R283" s="188"/>
      <c r="S283" s="146"/>
      <c r="T283" s="146"/>
      <c r="U283" s="146"/>
      <c r="V283" s="141" t="s">
        <v>2845</v>
      </c>
    </row>
    <row r="284" s="162" customFormat="1" ht="60" spans="1:22">
      <c r="A284" s="141"/>
      <c r="B284" s="141" t="s">
        <v>2755</v>
      </c>
      <c r="C284" s="141"/>
      <c r="D284" s="141" t="s">
        <v>384</v>
      </c>
      <c r="E284" s="141">
        <v>19</v>
      </c>
      <c r="F284" s="141">
        <v>19</v>
      </c>
      <c r="G284" s="141">
        <v>39</v>
      </c>
      <c r="H284" s="141"/>
      <c r="I284" s="141"/>
      <c r="J284" s="188">
        <f t="shared" si="216"/>
        <v>27.302184</v>
      </c>
      <c r="K284" s="188">
        <f t="shared" si="217"/>
        <v>7.8624</v>
      </c>
      <c r="L284" s="188">
        <f t="shared" si="218"/>
        <v>9.04176</v>
      </c>
      <c r="M284" s="188">
        <f t="shared" si="219"/>
        <v>10.398024</v>
      </c>
      <c r="N284" s="188">
        <f t="shared" si="214"/>
        <v>27.302184</v>
      </c>
      <c r="O284" s="188"/>
      <c r="P284" s="188"/>
      <c r="Q284" s="188"/>
      <c r="R284" s="188"/>
      <c r="S284" s="146"/>
      <c r="T284" s="146"/>
      <c r="U284" s="146"/>
      <c r="V284" s="141" t="s">
        <v>2845</v>
      </c>
    </row>
    <row r="285" s="162" customFormat="1" ht="60" spans="1:22">
      <c r="A285" s="141"/>
      <c r="B285" s="141" t="s">
        <v>2756</v>
      </c>
      <c r="C285" s="141"/>
      <c r="D285" s="141" t="s">
        <v>384</v>
      </c>
      <c r="E285" s="141">
        <v>20</v>
      </c>
      <c r="F285" s="141">
        <v>20</v>
      </c>
      <c r="G285" s="141">
        <v>54</v>
      </c>
      <c r="H285" s="141"/>
      <c r="I285" s="141"/>
      <c r="J285" s="188">
        <f t="shared" si="216"/>
        <v>37.803024</v>
      </c>
      <c r="K285" s="188">
        <f t="shared" si="217"/>
        <v>10.8864</v>
      </c>
      <c r="L285" s="188">
        <f t="shared" si="218"/>
        <v>12.51936</v>
      </c>
      <c r="M285" s="188">
        <f t="shared" si="219"/>
        <v>14.397264</v>
      </c>
      <c r="N285" s="188">
        <f t="shared" si="214"/>
        <v>37.803024</v>
      </c>
      <c r="O285" s="188"/>
      <c r="P285" s="188"/>
      <c r="Q285" s="188"/>
      <c r="R285" s="188"/>
      <c r="S285" s="146"/>
      <c r="T285" s="146"/>
      <c r="U285" s="146"/>
      <c r="V285" s="141" t="s">
        <v>2845</v>
      </c>
    </row>
    <row r="286" s="162" customFormat="1" ht="24" spans="1:22">
      <c r="A286" s="141">
        <v>52</v>
      </c>
      <c r="B286" s="141" t="s">
        <v>446</v>
      </c>
      <c r="C286" s="141" t="s">
        <v>320</v>
      </c>
      <c r="D286" s="141" t="s">
        <v>147</v>
      </c>
      <c r="E286" s="141">
        <f t="shared" ref="E286:G286" si="220">E287+E294</f>
        <v>82</v>
      </c>
      <c r="F286" s="141">
        <f t="shared" si="220"/>
        <v>13</v>
      </c>
      <c r="G286" s="141">
        <f t="shared" si="220"/>
        <v>15</v>
      </c>
      <c r="H286" s="177">
        <v>2018</v>
      </c>
      <c r="I286" s="177" t="s">
        <v>2593</v>
      </c>
      <c r="J286" s="188">
        <f t="shared" ref="J286:N286" si="221">J287+J294</f>
        <v>136.458</v>
      </c>
      <c r="K286" s="188">
        <f t="shared" si="221"/>
        <v>45.486</v>
      </c>
      <c r="L286" s="188">
        <f t="shared" si="221"/>
        <v>45.486</v>
      </c>
      <c r="M286" s="188">
        <f t="shared" si="221"/>
        <v>45.486</v>
      </c>
      <c r="N286" s="188">
        <f t="shared" si="221"/>
        <v>136.458</v>
      </c>
      <c r="O286" s="188"/>
      <c r="P286" s="188"/>
      <c r="Q286" s="188"/>
      <c r="R286" s="188"/>
      <c r="S286" s="146" t="s">
        <v>2775</v>
      </c>
      <c r="T286" s="146" t="s">
        <v>2844</v>
      </c>
      <c r="U286" s="141" t="s">
        <v>320</v>
      </c>
      <c r="V286" s="141" t="s">
        <v>41</v>
      </c>
    </row>
    <row r="287" s="162" customFormat="1" ht="24" spans="1:22">
      <c r="A287" s="141">
        <v>53</v>
      </c>
      <c r="B287" s="141" t="s">
        <v>447</v>
      </c>
      <c r="C287" s="141" t="s">
        <v>320</v>
      </c>
      <c r="D287" s="141" t="s">
        <v>147</v>
      </c>
      <c r="E287" s="141">
        <f t="shared" ref="E287:G287" si="222">SUM(E288:E293)</f>
        <v>75</v>
      </c>
      <c r="F287" s="141">
        <f t="shared" si="222"/>
        <v>13</v>
      </c>
      <c r="G287" s="141">
        <f t="shared" si="222"/>
        <v>15</v>
      </c>
      <c r="H287" s="177">
        <v>2018</v>
      </c>
      <c r="I287" s="177" t="s">
        <v>2593</v>
      </c>
      <c r="J287" s="141">
        <f t="shared" ref="J287:M287" si="223">SUM(J288:J293)</f>
        <v>122.85</v>
      </c>
      <c r="K287" s="141">
        <f t="shared" si="223"/>
        <v>40.95</v>
      </c>
      <c r="L287" s="141">
        <f t="shared" si="223"/>
        <v>40.95</v>
      </c>
      <c r="M287" s="141">
        <f t="shared" si="223"/>
        <v>40.95</v>
      </c>
      <c r="N287" s="141">
        <f>J287</f>
        <v>122.85</v>
      </c>
      <c r="O287" s="141"/>
      <c r="P287" s="141"/>
      <c r="Q287" s="141"/>
      <c r="R287" s="141"/>
      <c r="S287" s="141"/>
      <c r="T287" s="141"/>
      <c r="U287" s="141" t="s">
        <v>338</v>
      </c>
      <c r="V287" s="141" t="s">
        <v>2846</v>
      </c>
    </row>
    <row r="288" s="162" customFormat="1" ht="12" spans="1:22">
      <c r="A288" s="141"/>
      <c r="B288" s="141" t="s">
        <v>2758</v>
      </c>
      <c r="C288" s="141"/>
      <c r="D288" s="141"/>
      <c r="E288" s="141">
        <v>6</v>
      </c>
      <c r="F288" s="141">
        <v>0</v>
      </c>
      <c r="G288" s="141">
        <v>0</v>
      </c>
      <c r="H288" s="141"/>
      <c r="I288" s="141"/>
      <c r="J288" s="188">
        <f t="shared" ref="J288:J293" si="224">SUM(K288:M288)</f>
        <v>9.828</v>
      </c>
      <c r="K288" s="188">
        <f t="shared" ref="K288:K293" si="225">455*12*E288/10000</f>
        <v>3.276</v>
      </c>
      <c r="L288" s="188">
        <f t="shared" ref="L288:L293" si="226">455*12*E288/10000</f>
        <v>3.276</v>
      </c>
      <c r="M288" s="188">
        <f t="shared" ref="M288:M293" si="227">455*12*E288/10000</f>
        <v>3.276</v>
      </c>
      <c r="N288" s="188"/>
      <c r="O288" s="188"/>
      <c r="P288" s="188"/>
      <c r="Q288" s="188"/>
      <c r="R288" s="188"/>
      <c r="S288" s="141"/>
      <c r="T288" s="141"/>
      <c r="U288" s="146"/>
      <c r="V288" s="141" t="s">
        <v>2847</v>
      </c>
    </row>
    <row r="289" s="162" customFormat="1" ht="12" spans="1:22">
      <c r="A289" s="141"/>
      <c r="B289" s="141" t="s">
        <v>2754</v>
      </c>
      <c r="C289" s="141"/>
      <c r="D289" s="141"/>
      <c r="E289" s="141">
        <v>26</v>
      </c>
      <c r="F289" s="141">
        <v>6</v>
      </c>
      <c r="G289" s="141">
        <v>8</v>
      </c>
      <c r="H289" s="141"/>
      <c r="I289" s="141"/>
      <c r="J289" s="188">
        <f t="shared" si="224"/>
        <v>42.588</v>
      </c>
      <c r="K289" s="188">
        <f t="shared" si="225"/>
        <v>14.196</v>
      </c>
      <c r="L289" s="188">
        <f t="shared" si="226"/>
        <v>14.196</v>
      </c>
      <c r="M289" s="188">
        <f t="shared" si="227"/>
        <v>14.196</v>
      </c>
      <c r="N289" s="188"/>
      <c r="O289" s="188"/>
      <c r="P289" s="188"/>
      <c r="Q289" s="188"/>
      <c r="R289" s="188"/>
      <c r="S289" s="141"/>
      <c r="T289" s="141"/>
      <c r="U289" s="146"/>
      <c r="V289" s="141" t="s">
        <v>2847</v>
      </c>
    </row>
    <row r="290" s="162" customFormat="1" ht="12" spans="1:22">
      <c r="A290" s="141"/>
      <c r="B290" s="141" t="s">
        <v>2759</v>
      </c>
      <c r="C290" s="141"/>
      <c r="D290" s="141"/>
      <c r="E290" s="141">
        <v>17</v>
      </c>
      <c r="F290" s="141">
        <v>2</v>
      </c>
      <c r="G290" s="141">
        <v>2</v>
      </c>
      <c r="H290" s="141"/>
      <c r="I290" s="141"/>
      <c r="J290" s="188">
        <f t="shared" si="224"/>
        <v>27.846</v>
      </c>
      <c r="K290" s="188">
        <f t="shared" si="225"/>
        <v>9.282</v>
      </c>
      <c r="L290" s="188">
        <f t="shared" si="226"/>
        <v>9.282</v>
      </c>
      <c r="M290" s="188">
        <f t="shared" si="227"/>
        <v>9.282</v>
      </c>
      <c r="N290" s="188"/>
      <c r="O290" s="188"/>
      <c r="P290" s="188"/>
      <c r="Q290" s="188"/>
      <c r="R290" s="188"/>
      <c r="S290" s="141"/>
      <c r="T290" s="141"/>
      <c r="U290" s="146"/>
      <c r="V290" s="141" t="s">
        <v>2847</v>
      </c>
    </row>
    <row r="291" s="162" customFormat="1" ht="12" spans="1:22">
      <c r="A291" s="141"/>
      <c r="B291" s="141" t="s">
        <v>2760</v>
      </c>
      <c r="C291" s="141"/>
      <c r="D291" s="141"/>
      <c r="E291" s="141">
        <v>3</v>
      </c>
      <c r="F291" s="141">
        <v>0</v>
      </c>
      <c r="G291" s="141">
        <v>0</v>
      </c>
      <c r="H291" s="141"/>
      <c r="I291" s="141"/>
      <c r="J291" s="188">
        <f t="shared" si="224"/>
        <v>4.914</v>
      </c>
      <c r="K291" s="188">
        <f t="shared" si="225"/>
        <v>1.638</v>
      </c>
      <c r="L291" s="188">
        <f t="shared" si="226"/>
        <v>1.638</v>
      </c>
      <c r="M291" s="188">
        <f t="shared" si="227"/>
        <v>1.638</v>
      </c>
      <c r="N291" s="188"/>
      <c r="O291" s="188"/>
      <c r="P291" s="188"/>
      <c r="Q291" s="188"/>
      <c r="R291" s="188"/>
      <c r="S291" s="141"/>
      <c r="T291" s="141"/>
      <c r="U291" s="146"/>
      <c r="V291" s="141" t="s">
        <v>2847</v>
      </c>
    </row>
    <row r="292" s="162" customFormat="1" ht="12" spans="1:22">
      <c r="A292" s="141"/>
      <c r="B292" s="141" t="s">
        <v>2755</v>
      </c>
      <c r="C292" s="141"/>
      <c r="D292" s="141"/>
      <c r="E292" s="141">
        <v>9</v>
      </c>
      <c r="F292" s="141">
        <v>0</v>
      </c>
      <c r="G292" s="141">
        <v>0</v>
      </c>
      <c r="H292" s="141"/>
      <c r="I292" s="141"/>
      <c r="J292" s="188">
        <f t="shared" si="224"/>
        <v>14.742</v>
      </c>
      <c r="K292" s="188">
        <f t="shared" si="225"/>
        <v>4.914</v>
      </c>
      <c r="L292" s="188">
        <f t="shared" si="226"/>
        <v>4.914</v>
      </c>
      <c r="M292" s="188">
        <f t="shared" si="227"/>
        <v>4.914</v>
      </c>
      <c r="N292" s="188"/>
      <c r="O292" s="188"/>
      <c r="P292" s="188"/>
      <c r="Q292" s="188"/>
      <c r="R292" s="188"/>
      <c r="S292" s="141"/>
      <c r="T292" s="141"/>
      <c r="U292" s="146"/>
      <c r="V292" s="141" t="s">
        <v>2847</v>
      </c>
    </row>
    <row r="293" s="162" customFormat="1" ht="12" spans="1:22">
      <c r="A293" s="141"/>
      <c r="B293" s="141" t="s">
        <v>2756</v>
      </c>
      <c r="C293" s="141"/>
      <c r="D293" s="141"/>
      <c r="E293" s="141">
        <v>14</v>
      </c>
      <c r="F293" s="141">
        <v>5</v>
      </c>
      <c r="G293" s="141">
        <v>5</v>
      </c>
      <c r="H293" s="141"/>
      <c r="I293" s="141"/>
      <c r="J293" s="188">
        <f t="shared" si="224"/>
        <v>22.932</v>
      </c>
      <c r="K293" s="188">
        <f t="shared" si="225"/>
        <v>7.644</v>
      </c>
      <c r="L293" s="188">
        <f t="shared" si="226"/>
        <v>7.644</v>
      </c>
      <c r="M293" s="188">
        <f t="shared" si="227"/>
        <v>7.644</v>
      </c>
      <c r="N293" s="188"/>
      <c r="O293" s="188"/>
      <c r="P293" s="188"/>
      <c r="Q293" s="188"/>
      <c r="R293" s="188"/>
      <c r="S293" s="141"/>
      <c r="T293" s="141"/>
      <c r="U293" s="146"/>
      <c r="V293" s="141" t="s">
        <v>2847</v>
      </c>
    </row>
    <row r="294" s="162" customFormat="1" ht="24" spans="1:22">
      <c r="A294" s="141">
        <v>54</v>
      </c>
      <c r="B294" s="141" t="s">
        <v>448</v>
      </c>
      <c r="C294" s="141" t="s">
        <v>320</v>
      </c>
      <c r="D294" s="141" t="s">
        <v>147</v>
      </c>
      <c r="E294" s="141">
        <f t="shared" ref="E294:G294" si="228">SUM(E295)</f>
        <v>7</v>
      </c>
      <c r="F294" s="141">
        <f t="shared" si="228"/>
        <v>0</v>
      </c>
      <c r="G294" s="141">
        <f t="shared" si="228"/>
        <v>0</v>
      </c>
      <c r="H294" s="141"/>
      <c r="I294" s="141"/>
      <c r="J294" s="188">
        <f>K294+L294+M295</f>
        <v>13.608</v>
      </c>
      <c r="K294" s="188">
        <f t="shared" ref="K294:M294" si="229">SUM(K295)</f>
        <v>4.536</v>
      </c>
      <c r="L294" s="188">
        <f t="shared" si="229"/>
        <v>4.536</v>
      </c>
      <c r="M294" s="188">
        <f t="shared" si="229"/>
        <v>4.536</v>
      </c>
      <c r="N294" s="188">
        <f t="shared" ref="N294:N302" si="230">J294</f>
        <v>13.608</v>
      </c>
      <c r="O294" s="188"/>
      <c r="P294" s="188"/>
      <c r="Q294" s="188"/>
      <c r="R294" s="188"/>
      <c r="S294" s="141"/>
      <c r="T294" s="141"/>
      <c r="U294" s="146" t="s">
        <v>338</v>
      </c>
      <c r="V294" s="141" t="s">
        <v>2848</v>
      </c>
    </row>
    <row r="295" s="162" customFormat="1" ht="24" spans="1:22">
      <c r="A295" s="141"/>
      <c r="B295" s="141" t="s">
        <v>2754</v>
      </c>
      <c r="C295" s="141"/>
      <c r="D295" s="141"/>
      <c r="E295" s="141">
        <v>7</v>
      </c>
      <c r="F295" s="141">
        <v>0</v>
      </c>
      <c r="G295" s="141">
        <v>0</v>
      </c>
      <c r="H295" s="141"/>
      <c r="I295" s="141"/>
      <c r="J295" s="188"/>
      <c r="K295" s="188">
        <f>540*12*E295/10000</f>
        <v>4.536</v>
      </c>
      <c r="L295" s="188">
        <f>540*12*E295/10000</f>
        <v>4.536</v>
      </c>
      <c r="M295" s="188">
        <f>540*12*E294/10000</f>
        <v>4.536</v>
      </c>
      <c r="N295" s="188"/>
      <c r="O295" s="188"/>
      <c r="P295" s="188"/>
      <c r="Q295" s="188"/>
      <c r="R295" s="188"/>
      <c r="S295" s="141"/>
      <c r="T295" s="141"/>
      <c r="U295" s="146"/>
      <c r="V295" s="141" t="s">
        <v>2849</v>
      </c>
    </row>
    <row r="296" s="162" customFormat="1" ht="12" spans="1:22">
      <c r="A296" s="141">
        <v>55</v>
      </c>
      <c r="B296" s="141" t="s">
        <v>449</v>
      </c>
      <c r="C296" s="141" t="s">
        <v>320</v>
      </c>
      <c r="D296" s="141" t="s">
        <v>147</v>
      </c>
      <c r="E296" s="141">
        <f t="shared" ref="E296:G296" si="231">SUM(E297:E302)</f>
        <v>126</v>
      </c>
      <c r="F296" s="141">
        <f t="shared" si="231"/>
        <v>78</v>
      </c>
      <c r="G296" s="141">
        <f t="shared" si="231"/>
        <v>85</v>
      </c>
      <c r="H296" s="177">
        <v>2018</v>
      </c>
      <c r="I296" s="177" t="s">
        <v>2593</v>
      </c>
      <c r="J296" s="188">
        <f t="shared" ref="J296:N296" si="232">SUM(J297:J302)</f>
        <v>48.108816</v>
      </c>
      <c r="K296" s="188">
        <f t="shared" si="232"/>
        <v>16.036272</v>
      </c>
      <c r="L296" s="188">
        <f t="shared" si="232"/>
        <v>16.036272</v>
      </c>
      <c r="M296" s="188">
        <f t="shared" si="232"/>
        <v>16.036272</v>
      </c>
      <c r="N296" s="188">
        <f t="shared" si="232"/>
        <v>48.108816</v>
      </c>
      <c r="O296" s="188"/>
      <c r="P296" s="188"/>
      <c r="Q296" s="188"/>
      <c r="R296" s="188"/>
      <c r="S296" s="146" t="s">
        <v>2775</v>
      </c>
      <c r="T296" s="146" t="s">
        <v>2844</v>
      </c>
      <c r="U296" s="146" t="s">
        <v>452</v>
      </c>
      <c r="V296" s="141" t="s">
        <v>2850</v>
      </c>
    </row>
    <row r="297" s="162" customFormat="1" ht="12" spans="1:22">
      <c r="A297" s="141"/>
      <c r="B297" s="141" t="s">
        <v>2758</v>
      </c>
      <c r="C297" s="141"/>
      <c r="D297" s="141" t="s">
        <v>147</v>
      </c>
      <c r="E297" s="141">
        <v>15</v>
      </c>
      <c r="F297" s="141">
        <v>11</v>
      </c>
      <c r="G297" s="141">
        <v>12</v>
      </c>
      <c r="H297" s="177">
        <v>2018</v>
      </c>
      <c r="I297" s="177" t="s">
        <v>2593</v>
      </c>
      <c r="J297" s="188">
        <f t="shared" ref="J297:J302" si="233">SUM(K297:M297)</f>
        <v>5.72724</v>
      </c>
      <c r="K297" s="188">
        <f t="shared" ref="K297:K302" si="234">E297*106.06*12/10000</f>
        <v>1.90908</v>
      </c>
      <c r="L297" s="188">
        <f t="shared" ref="L297:L302" si="235">E297*106.06*12/10000</f>
        <v>1.90908</v>
      </c>
      <c r="M297" s="188">
        <f t="shared" ref="M297:M302" si="236">E297*106.06*12/10000</f>
        <v>1.90908</v>
      </c>
      <c r="N297" s="188">
        <f t="shared" si="230"/>
        <v>5.72724</v>
      </c>
      <c r="O297" s="188"/>
      <c r="P297" s="188"/>
      <c r="Q297" s="188"/>
      <c r="R297" s="188"/>
      <c r="S297" s="146"/>
      <c r="T297" s="146"/>
      <c r="U297" s="146"/>
      <c r="V297" s="141" t="s">
        <v>2850</v>
      </c>
    </row>
    <row r="298" s="162" customFormat="1" ht="12" spans="1:22">
      <c r="A298" s="141"/>
      <c r="B298" s="141" t="s">
        <v>2754</v>
      </c>
      <c r="C298" s="141"/>
      <c r="D298" s="141" t="s">
        <v>147</v>
      </c>
      <c r="E298" s="141">
        <v>34</v>
      </c>
      <c r="F298" s="141">
        <v>23</v>
      </c>
      <c r="G298" s="141">
        <v>24</v>
      </c>
      <c r="H298" s="177">
        <v>2018</v>
      </c>
      <c r="I298" s="177" t="s">
        <v>2593</v>
      </c>
      <c r="J298" s="188">
        <f t="shared" si="233"/>
        <v>12.981744</v>
      </c>
      <c r="K298" s="188">
        <f t="shared" si="234"/>
        <v>4.327248</v>
      </c>
      <c r="L298" s="188">
        <f t="shared" si="235"/>
        <v>4.327248</v>
      </c>
      <c r="M298" s="188">
        <f t="shared" si="236"/>
        <v>4.327248</v>
      </c>
      <c r="N298" s="188">
        <f t="shared" si="230"/>
        <v>12.981744</v>
      </c>
      <c r="O298" s="188"/>
      <c r="P298" s="188"/>
      <c r="Q298" s="188"/>
      <c r="R298" s="188"/>
      <c r="S298" s="146"/>
      <c r="T298" s="146"/>
      <c r="U298" s="146"/>
      <c r="V298" s="141" t="s">
        <v>2850</v>
      </c>
    </row>
    <row r="299" s="162" customFormat="1" ht="12" spans="1:22">
      <c r="A299" s="141"/>
      <c r="B299" s="141" t="s">
        <v>2759</v>
      </c>
      <c r="C299" s="141"/>
      <c r="D299" s="141" t="s">
        <v>147</v>
      </c>
      <c r="E299" s="141">
        <v>12</v>
      </c>
      <c r="F299" s="141">
        <v>7</v>
      </c>
      <c r="G299" s="141">
        <v>8</v>
      </c>
      <c r="H299" s="177">
        <v>2018</v>
      </c>
      <c r="I299" s="177" t="s">
        <v>2593</v>
      </c>
      <c r="J299" s="188">
        <f t="shared" si="233"/>
        <v>4.581792</v>
      </c>
      <c r="K299" s="188">
        <f t="shared" si="234"/>
        <v>1.527264</v>
      </c>
      <c r="L299" s="188">
        <f t="shared" si="235"/>
        <v>1.527264</v>
      </c>
      <c r="M299" s="188">
        <f t="shared" si="236"/>
        <v>1.527264</v>
      </c>
      <c r="N299" s="188">
        <f t="shared" si="230"/>
        <v>4.581792</v>
      </c>
      <c r="O299" s="188"/>
      <c r="P299" s="188"/>
      <c r="Q299" s="188"/>
      <c r="R299" s="188"/>
      <c r="S299" s="146"/>
      <c r="T299" s="146"/>
      <c r="U299" s="146"/>
      <c r="V299" s="141" t="s">
        <v>2850</v>
      </c>
    </row>
    <row r="300" s="162" customFormat="1" ht="12" spans="1:22">
      <c r="A300" s="141"/>
      <c r="B300" s="141" t="s">
        <v>2760</v>
      </c>
      <c r="C300" s="141"/>
      <c r="D300" s="141" t="s">
        <v>147</v>
      </c>
      <c r="E300" s="141">
        <v>10</v>
      </c>
      <c r="F300" s="141">
        <v>9</v>
      </c>
      <c r="G300" s="141">
        <v>9</v>
      </c>
      <c r="H300" s="177">
        <v>2018</v>
      </c>
      <c r="I300" s="177" t="s">
        <v>2593</v>
      </c>
      <c r="J300" s="188">
        <f t="shared" si="233"/>
        <v>3.81816</v>
      </c>
      <c r="K300" s="188">
        <f t="shared" si="234"/>
        <v>1.27272</v>
      </c>
      <c r="L300" s="188">
        <f t="shared" si="235"/>
        <v>1.27272</v>
      </c>
      <c r="M300" s="188">
        <f t="shared" si="236"/>
        <v>1.27272</v>
      </c>
      <c r="N300" s="188">
        <f t="shared" si="230"/>
        <v>3.81816</v>
      </c>
      <c r="O300" s="188"/>
      <c r="P300" s="188"/>
      <c r="Q300" s="188"/>
      <c r="R300" s="188"/>
      <c r="S300" s="146"/>
      <c r="T300" s="146"/>
      <c r="U300" s="146"/>
      <c r="V300" s="141" t="s">
        <v>2850</v>
      </c>
    </row>
    <row r="301" s="162" customFormat="1" ht="12" spans="1:22">
      <c r="A301" s="141"/>
      <c r="B301" s="141" t="s">
        <v>2755</v>
      </c>
      <c r="C301" s="141"/>
      <c r="D301" s="141" t="s">
        <v>147</v>
      </c>
      <c r="E301" s="141">
        <v>33</v>
      </c>
      <c r="F301" s="141">
        <v>18</v>
      </c>
      <c r="G301" s="141">
        <v>21</v>
      </c>
      <c r="H301" s="177">
        <v>2018</v>
      </c>
      <c r="I301" s="177" t="s">
        <v>2593</v>
      </c>
      <c r="J301" s="188">
        <f t="shared" si="233"/>
        <v>12.599928</v>
      </c>
      <c r="K301" s="188">
        <f t="shared" si="234"/>
        <v>4.199976</v>
      </c>
      <c r="L301" s="188">
        <f t="shared" si="235"/>
        <v>4.199976</v>
      </c>
      <c r="M301" s="188">
        <f t="shared" si="236"/>
        <v>4.199976</v>
      </c>
      <c r="N301" s="188">
        <f t="shared" si="230"/>
        <v>12.599928</v>
      </c>
      <c r="O301" s="188"/>
      <c r="P301" s="188"/>
      <c r="Q301" s="188"/>
      <c r="R301" s="188"/>
      <c r="S301" s="146"/>
      <c r="T301" s="146"/>
      <c r="U301" s="146"/>
      <c r="V301" s="141" t="s">
        <v>2850</v>
      </c>
    </row>
    <row r="302" s="162" customFormat="1" ht="12" spans="1:22">
      <c r="A302" s="141"/>
      <c r="B302" s="141" t="s">
        <v>2756</v>
      </c>
      <c r="C302" s="141"/>
      <c r="D302" s="141" t="s">
        <v>147</v>
      </c>
      <c r="E302" s="141">
        <v>22</v>
      </c>
      <c r="F302" s="141">
        <v>10</v>
      </c>
      <c r="G302" s="141">
        <v>11</v>
      </c>
      <c r="H302" s="177">
        <v>2018</v>
      </c>
      <c r="I302" s="177" t="s">
        <v>2593</v>
      </c>
      <c r="J302" s="188">
        <f t="shared" si="233"/>
        <v>8.399952</v>
      </c>
      <c r="K302" s="188">
        <f t="shared" si="234"/>
        <v>2.799984</v>
      </c>
      <c r="L302" s="188">
        <f t="shared" si="235"/>
        <v>2.799984</v>
      </c>
      <c r="M302" s="188">
        <f t="shared" si="236"/>
        <v>2.799984</v>
      </c>
      <c r="N302" s="188">
        <f t="shared" si="230"/>
        <v>8.399952</v>
      </c>
      <c r="O302" s="188"/>
      <c r="P302" s="188"/>
      <c r="Q302" s="188"/>
      <c r="R302" s="188"/>
      <c r="S302" s="146"/>
      <c r="T302" s="146"/>
      <c r="U302" s="146"/>
      <c r="V302" s="141" t="s">
        <v>2850</v>
      </c>
    </row>
    <row r="303" s="162" customFormat="1" ht="12" spans="1:22">
      <c r="A303" s="141">
        <v>56</v>
      </c>
      <c r="B303" s="141" t="s">
        <v>457</v>
      </c>
      <c r="C303" s="141" t="s">
        <v>320</v>
      </c>
      <c r="D303" s="141"/>
      <c r="E303" s="141"/>
      <c r="F303" s="141"/>
      <c r="G303" s="141"/>
      <c r="H303" s="141"/>
      <c r="I303" s="141"/>
      <c r="J303" s="188"/>
      <c r="K303" s="188"/>
      <c r="L303" s="188"/>
      <c r="M303" s="188"/>
      <c r="N303" s="188"/>
      <c r="O303" s="188"/>
      <c r="P303" s="188"/>
      <c r="Q303" s="188"/>
      <c r="R303" s="188"/>
      <c r="S303" s="146"/>
      <c r="T303" s="146"/>
      <c r="U303" s="141" t="s">
        <v>320</v>
      </c>
      <c r="V303" s="141" t="s">
        <v>41</v>
      </c>
    </row>
    <row r="304" s="162" customFormat="1" ht="12" spans="1:22">
      <c r="A304" s="141">
        <v>57</v>
      </c>
      <c r="B304" s="141" t="s">
        <v>458</v>
      </c>
      <c r="C304" s="141" t="s">
        <v>320</v>
      </c>
      <c r="D304" s="141" t="s">
        <v>147</v>
      </c>
      <c r="E304" s="141"/>
      <c r="F304" s="141"/>
      <c r="G304" s="141"/>
      <c r="H304" s="141"/>
      <c r="I304" s="141"/>
      <c r="J304" s="188"/>
      <c r="K304" s="188"/>
      <c r="L304" s="188"/>
      <c r="M304" s="188"/>
      <c r="N304" s="188"/>
      <c r="O304" s="188"/>
      <c r="P304" s="188"/>
      <c r="Q304" s="188"/>
      <c r="R304" s="188"/>
      <c r="S304" s="146"/>
      <c r="T304" s="146"/>
      <c r="U304" s="146" t="s">
        <v>338</v>
      </c>
      <c r="V304" s="141" t="s">
        <v>41</v>
      </c>
    </row>
    <row r="305" s="162" customFormat="1" ht="12" spans="1:22">
      <c r="A305" s="141">
        <v>58</v>
      </c>
      <c r="B305" s="141" t="s">
        <v>459</v>
      </c>
      <c r="C305" s="141" t="s">
        <v>320</v>
      </c>
      <c r="D305" s="141" t="s">
        <v>147</v>
      </c>
      <c r="E305" s="141"/>
      <c r="F305" s="141"/>
      <c r="G305" s="141"/>
      <c r="H305" s="141"/>
      <c r="I305" s="141"/>
      <c r="J305" s="188"/>
      <c r="K305" s="188"/>
      <c r="L305" s="188"/>
      <c r="M305" s="188"/>
      <c r="N305" s="188"/>
      <c r="O305" s="188"/>
      <c r="P305" s="188"/>
      <c r="Q305" s="188"/>
      <c r="R305" s="188"/>
      <c r="S305" s="146"/>
      <c r="T305" s="146"/>
      <c r="U305" s="146" t="s">
        <v>338</v>
      </c>
      <c r="V305" s="141" t="s">
        <v>41</v>
      </c>
    </row>
    <row r="306" s="162" customFormat="1" ht="24" spans="1:22">
      <c r="A306" s="141">
        <v>59</v>
      </c>
      <c r="B306" s="192" t="s">
        <v>951</v>
      </c>
      <c r="C306" s="141" t="s">
        <v>320</v>
      </c>
      <c r="D306" s="141" t="s">
        <v>320</v>
      </c>
      <c r="E306" s="141">
        <f t="shared" ref="E306:G306" si="237">E307+E308+E315+E319+E326+E330+E343+E349+E351+E353</f>
        <v>14267</v>
      </c>
      <c r="F306" s="141">
        <f t="shared" si="237"/>
        <v>2735</v>
      </c>
      <c r="G306" s="141">
        <f t="shared" si="237"/>
        <v>9258</v>
      </c>
      <c r="H306" s="177">
        <v>2018</v>
      </c>
      <c r="I306" s="177" t="s">
        <v>2593</v>
      </c>
      <c r="J306" s="188">
        <f>K306+L306+M306</f>
        <v>1948.715</v>
      </c>
      <c r="K306" s="188">
        <f>K307+K308+K315+K319+K326+K330+K343+K349+K351+K353</f>
        <v>628.24</v>
      </c>
      <c r="L306" s="188">
        <f t="shared" ref="L306:R306" si="238">L307+L308+L315+L319+L326+L330+L343+L349+L351+L353</f>
        <v>1320.475</v>
      </c>
      <c r="M306" s="188">
        <f t="shared" si="238"/>
        <v>0</v>
      </c>
      <c r="N306" s="188">
        <f t="shared" si="238"/>
        <v>381.365</v>
      </c>
      <c r="O306" s="188">
        <f t="shared" si="238"/>
        <v>1149.55</v>
      </c>
      <c r="P306" s="188">
        <f t="shared" si="238"/>
        <v>417.8</v>
      </c>
      <c r="Q306" s="188">
        <f t="shared" si="238"/>
        <v>0</v>
      </c>
      <c r="R306" s="188">
        <f t="shared" si="238"/>
        <v>0</v>
      </c>
      <c r="S306" s="146" t="s">
        <v>2751</v>
      </c>
      <c r="T306" s="146" t="s">
        <v>2752</v>
      </c>
      <c r="U306" s="146"/>
      <c r="V306" s="141" t="s">
        <v>41</v>
      </c>
    </row>
    <row r="307" s="162" customFormat="1" ht="24" spans="1:22">
      <c r="A307" s="141">
        <v>60</v>
      </c>
      <c r="B307" s="192" t="s">
        <v>1175</v>
      </c>
      <c r="C307" s="141" t="s">
        <v>320</v>
      </c>
      <c r="D307" s="141" t="s">
        <v>320</v>
      </c>
      <c r="E307" s="141"/>
      <c r="F307" s="141"/>
      <c r="G307" s="141"/>
      <c r="H307" s="141"/>
      <c r="I307" s="141"/>
      <c r="J307" s="188">
        <f t="shared" ref="J307:J314" si="239">K307+L307+M307</f>
        <v>0</v>
      </c>
      <c r="K307" s="188"/>
      <c r="L307" s="188"/>
      <c r="M307" s="188"/>
      <c r="N307" s="188"/>
      <c r="O307" s="188"/>
      <c r="P307" s="188"/>
      <c r="Q307" s="188"/>
      <c r="R307" s="188"/>
      <c r="S307" s="141" t="s">
        <v>320</v>
      </c>
      <c r="T307" s="141" t="s">
        <v>320</v>
      </c>
      <c r="U307" s="141" t="s">
        <v>320</v>
      </c>
      <c r="V307" s="141" t="s">
        <v>41</v>
      </c>
    </row>
    <row r="308" s="162" customFormat="1" ht="12" spans="1:22">
      <c r="A308" s="141">
        <v>61</v>
      </c>
      <c r="B308" s="192" t="s">
        <v>462</v>
      </c>
      <c r="C308" s="141" t="s">
        <v>320</v>
      </c>
      <c r="D308" s="141" t="s">
        <v>192</v>
      </c>
      <c r="E308" s="141"/>
      <c r="F308" s="141"/>
      <c r="G308" s="141"/>
      <c r="H308" s="141">
        <v>2019</v>
      </c>
      <c r="I308" s="141">
        <v>2019</v>
      </c>
      <c r="J308" s="188">
        <f t="shared" ref="J308:R308" si="240">J309</f>
        <v>840</v>
      </c>
      <c r="K308" s="188">
        <f t="shared" si="240"/>
        <v>200</v>
      </c>
      <c r="L308" s="188">
        <f t="shared" si="240"/>
        <v>640</v>
      </c>
      <c r="M308" s="188">
        <f t="shared" si="240"/>
        <v>0</v>
      </c>
      <c r="N308" s="188">
        <f t="shared" si="240"/>
        <v>0</v>
      </c>
      <c r="O308" s="188">
        <f t="shared" si="240"/>
        <v>630</v>
      </c>
      <c r="P308" s="188">
        <f t="shared" si="240"/>
        <v>210</v>
      </c>
      <c r="Q308" s="188">
        <f t="shared" si="240"/>
        <v>0</v>
      </c>
      <c r="R308" s="188">
        <f t="shared" si="240"/>
        <v>0</v>
      </c>
      <c r="S308" s="146" t="s">
        <v>2751</v>
      </c>
      <c r="T308" s="146" t="s">
        <v>2752</v>
      </c>
      <c r="U308" s="141" t="s">
        <v>320</v>
      </c>
      <c r="V308" s="141" t="s">
        <v>41</v>
      </c>
    </row>
    <row r="309" s="162" customFormat="1" ht="48" spans="1:22">
      <c r="A309" s="141"/>
      <c r="B309" s="192" t="s">
        <v>464</v>
      </c>
      <c r="C309" s="141" t="s">
        <v>1124</v>
      </c>
      <c r="D309" s="141" t="s">
        <v>192</v>
      </c>
      <c r="E309" s="141">
        <f t="shared" ref="E309:G309" si="241">SUM(E310:E314)</f>
        <v>41.371</v>
      </c>
      <c r="F309" s="141">
        <f t="shared" si="241"/>
        <v>713</v>
      </c>
      <c r="G309" s="141">
        <f t="shared" si="241"/>
        <v>2670</v>
      </c>
      <c r="H309" s="141">
        <v>2019</v>
      </c>
      <c r="I309" s="141">
        <v>2019</v>
      </c>
      <c r="J309" s="188">
        <f t="shared" ref="J309:R309" si="242">SUM(J310:J314)</f>
        <v>840</v>
      </c>
      <c r="K309" s="188">
        <f t="shared" si="242"/>
        <v>200</v>
      </c>
      <c r="L309" s="188">
        <f t="shared" si="242"/>
        <v>640</v>
      </c>
      <c r="M309" s="188">
        <f t="shared" si="242"/>
        <v>0</v>
      </c>
      <c r="N309" s="188">
        <f t="shared" si="242"/>
        <v>0</v>
      </c>
      <c r="O309" s="188">
        <f t="shared" si="242"/>
        <v>630</v>
      </c>
      <c r="P309" s="188">
        <f t="shared" si="242"/>
        <v>210</v>
      </c>
      <c r="Q309" s="188">
        <f t="shared" si="242"/>
        <v>0</v>
      </c>
      <c r="R309" s="188">
        <f t="shared" si="242"/>
        <v>0</v>
      </c>
      <c r="S309" s="146" t="s">
        <v>2751</v>
      </c>
      <c r="T309" s="146" t="s">
        <v>2752</v>
      </c>
      <c r="U309" s="146" t="s">
        <v>271</v>
      </c>
      <c r="V309" s="141" t="s">
        <v>41</v>
      </c>
    </row>
    <row r="310" s="162" customFormat="1" ht="24" spans="1:22">
      <c r="A310" s="141"/>
      <c r="B310" s="192" t="s">
        <v>2851</v>
      </c>
      <c r="C310" s="141" t="s">
        <v>1124</v>
      </c>
      <c r="D310" s="141" t="s">
        <v>192</v>
      </c>
      <c r="E310" s="141">
        <v>3.6</v>
      </c>
      <c r="F310" s="141">
        <v>203</v>
      </c>
      <c r="G310" s="141">
        <v>745</v>
      </c>
      <c r="H310" s="141">
        <v>2019</v>
      </c>
      <c r="I310" s="141">
        <v>2019</v>
      </c>
      <c r="J310" s="188">
        <f t="shared" si="239"/>
        <v>28</v>
      </c>
      <c r="K310" s="188"/>
      <c r="L310" s="188">
        <v>28</v>
      </c>
      <c r="M310" s="188"/>
      <c r="N310" s="188"/>
      <c r="O310" s="188">
        <f>J310</f>
        <v>28</v>
      </c>
      <c r="P310" s="188"/>
      <c r="Q310" s="188"/>
      <c r="R310" s="188"/>
      <c r="S310" s="146"/>
      <c r="T310" s="146"/>
      <c r="U310" s="146"/>
      <c r="V310" s="141" t="s">
        <v>2852</v>
      </c>
    </row>
    <row r="311" s="162" customFormat="1" ht="24" spans="1:22">
      <c r="A311" s="141"/>
      <c r="B311" s="192" t="s">
        <v>2853</v>
      </c>
      <c r="C311" s="141" t="s">
        <v>1688</v>
      </c>
      <c r="D311" s="141" t="s">
        <v>192</v>
      </c>
      <c r="E311" s="141">
        <v>5.173</v>
      </c>
      <c r="F311" s="141">
        <v>6</v>
      </c>
      <c r="G311" s="141">
        <v>22</v>
      </c>
      <c r="H311" s="177">
        <v>2018</v>
      </c>
      <c r="I311" s="177" t="s">
        <v>2750</v>
      </c>
      <c r="J311" s="188">
        <f t="shared" si="239"/>
        <v>376</v>
      </c>
      <c r="K311" s="188">
        <v>150</v>
      </c>
      <c r="L311" s="188">
        <v>226</v>
      </c>
      <c r="M311" s="188"/>
      <c r="N311" s="188"/>
      <c r="O311" s="188">
        <f>J311</f>
        <v>376</v>
      </c>
      <c r="P311" s="188"/>
      <c r="Q311" s="188"/>
      <c r="R311" s="188"/>
      <c r="S311" s="146"/>
      <c r="T311" s="146"/>
      <c r="U311" s="146"/>
      <c r="V311" s="141" t="s">
        <v>2854</v>
      </c>
    </row>
    <row r="312" s="162" customFormat="1" ht="36" spans="1:22">
      <c r="A312" s="141"/>
      <c r="B312" s="192" t="s">
        <v>2855</v>
      </c>
      <c r="C312" s="141" t="s">
        <v>1688</v>
      </c>
      <c r="D312" s="141" t="s">
        <v>192</v>
      </c>
      <c r="E312" s="141">
        <v>2.098</v>
      </c>
      <c r="F312" s="141">
        <v>12</v>
      </c>
      <c r="G312" s="141">
        <v>50</v>
      </c>
      <c r="H312" s="177">
        <v>2018</v>
      </c>
      <c r="I312" s="177" t="s">
        <v>2750</v>
      </c>
      <c r="J312" s="188">
        <f t="shared" si="239"/>
        <v>150</v>
      </c>
      <c r="K312" s="188">
        <v>50</v>
      </c>
      <c r="L312" s="188">
        <v>100</v>
      </c>
      <c r="M312" s="188"/>
      <c r="N312" s="188"/>
      <c r="O312" s="188">
        <f>J312</f>
        <v>150</v>
      </c>
      <c r="P312" s="188"/>
      <c r="Q312" s="188"/>
      <c r="R312" s="188"/>
      <c r="S312" s="146"/>
      <c r="T312" s="146"/>
      <c r="U312" s="146"/>
      <c r="V312" s="141" t="s">
        <v>2854</v>
      </c>
    </row>
    <row r="313" s="162" customFormat="1" ht="24" spans="1:22">
      <c r="A313" s="141"/>
      <c r="B313" s="192" t="s">
        <v>2856</v>
      </c>
      <c r="C313" s="141" t="s">
        <v>1124</v>
      </c>
      <c r="D313" s="141" t="s">
        <v>192</v>
      </c>
      <c r="E313" s="141">
        <v>9.5</v>
      </c>
      <c r="F313" s="141">
        <v>190</v>
      </c>
      <c r="G313" s="141">
        <v>698</v>
      </c>
      <c r="H313" s="141">
        <v>2019</v>
      </c>
      <c r="I313" s="141">
        <v>2019</v>
      </c>
      <c r="J313" s="188">
        <f t="shared" si="239"/>
        <v>76</v>
      </c>
      <c r="K313" s="188"/>
      <c r="L313" s="188">
        <v>76</v>
      </c>
      <c r="M313" s="188"/>
      <c r="N313" s="188"/>
      <c r="O313" s="188">
        <f>J313</f>
        <v>76</v>
      </c>
      <c r="P313" s="188"/>
      <c r="Q313" s="188"/>
      <c r="R313" s="188"/>
      <c r="S313" s="146"/>
      <c r="T313" s="146"/>
      <c r="U313" s="146"/>
      <c r="V313" s="141" t="s">
        <v>2857</v>
      </c>
    </row>
    <row r="314" s="162" customFormat="1" ht="24" spans="1:22">
      <c r="A314" s="141"/>
      <c r="B314" s="192" t="s">
        <v>2858</v>
      </c>
      <c r="C314" s="141" t="s">
        <v>1124</v>
      </c>
      <c r="D314" s="141" t="s">
        <v>192</v>
      </c>
      <c r="E314" s="141">
        <v>21</v>
      </c>
      <c r="F314" s="141">
        <v>302</v>
      </c>
      <c r="G314" s="141">
        <v>1155</v>
      </c>
      <c r="H314" s="141">
        <v>2019</v>
      </c>
      <c r="I314" s="141">
        <v>2019</v>
      </c>
      <c r="J314" s="188">
        <f t="shared" si="239"/>
        <v>210</v>
      </c>
      <c r="K314" s="188"/>
      <c r="L314" s="188">
        <v>210</v>
      </c>
      <c r="M314" s="188"/>
      <c r="N314" s="188"/>
      <c r="O314" s="188"/>
      <c r="P314" s="188">
        <v>210</v>
      </c>
      <c r="Q314" s="188"/>
      <c r="R314" s="188"/>
      <c r="S314" s="146"/>
      <c r="T314" s="146"/>
      <c r="U314" s="146"/>
      <c r="V314" s="141" t="s">
        <v>2859</v>
      </c>
    </row>
    <row r="315" s="162" customFormat="1" ht="24" spans="1:22">
      <c r="A315" s="141">
        <v>64</v>
      </c>
      <c r="B315" s="192" t="s">
        <v>495</v>
      </c>
      <c r="C315" s="141" t="s">
        <v>1124</v>
      </c>
      <c r="D315" s="141" t="s">
        <v>496</v>
      </c>
      <c r="E315" s="141">
        <f t="shared" ref="E315:G315" si="243">SUM(E316:E318)</f>
        <v>8</v>
      </c>
      <c r="F315" s="141">
        <f t="shared" si="243"/>
        <v>67</v>
      </c>
      <c r="G315" s="141">
        <f t="shared" si="243"/>
        <v>243</v>
      </c>
      <c r="H315" s="177">
        <v>2018</v>
      </c>
      <c r="I315" s="177" t="s">
        <v>2750</v>
      </c>
      <c r="J315" s="188">
        <f t="shared" ref="J315:R315" si="244">SUM(J316:J318)</f>
        <v>187.8</v>
      </c>
      <c r="K315" s="188">
        <f t="shared" si="244"/>
        <v>62.8</v>
      </c>
      <c r="L315" s="188">
        <f t="shared" si="244"/>
        <v>125</v>
      </c>
      <c r="M315" s="188">
        <f t="shared" si="244"/>
        <v>0</v>
      </c>
      <c r="N315" s="188">
        <f t="shared" si="244"/>
        <v>0</v>
      </c>
      <c r="O315" s="188">
        <f t="shared" si="244"/>
        <v>0</v>
      </c>
      <c r="P315" s="188">
        <f t="shared" si="244"/>
        <v>187.8</v>
      </c>
      <c r="Q315" s="188">
        <f t="shared" si="244"/>
        <v>0</v>
      </c>
      <c r="R315" s="188">
        <f t="shared" si="244"/>
        <v>0</v>
      </c>
      <c r="S315" s="146" t="s">
        <v>2860</v>
      </c>
      <c r="T315" s="146" t="s">
        <v>2748</v>
      </c>
      <c r="U315" s="146" t="s">
        <v>497</v>
      </c>
      <c r="V315" s="141" t="s">
        <v>41</v>
      </c>
    </row>
    <row r="316" s="162" customFormat="1" ht="12" spans="1:22">
      <c r="A316" s="141"/>
      <c r="B316" s="192" t="s">
        <v>2758</v>
      </c>
      <c r="C316" s="141" t="s">
        <v>52</v>
      </c>
      <c r="D316" s="141" t="s">
        <v>496</v>
      </c>
      <c r="E316" s="141">
        <v>1</v>
      </c>
      <c r="F316" s="141">
        <v>7</v>
      </c>
      <c r="G316" s="141">
        <v>24</v>
      </c>
      <c r="H316" s="141"/>
      <c r="I316" s="141"/>
      <c r="J316" s="188">
        <f t="shared" ref="J316:J318" si="245">K316+L316+M316</f>
        <v>15</v>
      </c>
      <c r="K316" s="188"/>
      <c r="L316" s="188">
        <v>15</v>
      </c>
      <c r="M316" s="188"/>
      <c r="N316" s="188"/>
      <c r="O316" s="188"/>
      <c r="P316" s="188">
        <f t="shared" ref="P316:P318" si="246">J316</f>
        <v>15</v>
      </c>
      <c r="Q316" s="188"/>
      <c r="R316" s="188"/>
      <c r="S316" s="146"/>
      <c r="T316" s="146"/>
      <c r="U316" s="146"/>
      <c r="V316" s="141" t="s">
        <v>2861</v>
      </c>
    </row>
    <row r="317" s="162" customFormat="1" ht="24" spans="1:22">
      <c r="A317" s="141"/>
      <c r="B317" s="192" t="s">
        <v>2759</v>
      </c>
      <c r="C317" s="141" t="s">
        <v>52</v>
      </c>
      <c r="D317" s="141" t="s">
        <v>496</v>
      </c>
      <c r="E317" s="141">
        <v>3</v>
      </c>
      <c r="F317" s="141">
        <v>20</v>
      </c>
      <c r="G317" s="141">
        <v>77</v>
      </c>
      <c r="H317" s="141"/>
      <c r="I317" s="141"/>
      <c r="J317" s="188">
        <f t="shared" si="245"/>
        <v>97.8</v>
      </c>
      <c r="K317" s="188">
        <v>62.8</v>
      </c>
      <c r="L317" s="188">
        <v>35</v>
      </c>
      <c r="M317" s="188"/>
      <c r="N317" s="188"/>
      <c r="O317" s="188"/>
      <c r="P317" s="188">
        <f t="shared" si="246"/>
        <v>97.8</v>
      </c>
      <c r="Q317" s="188"/>
      <c r="R317" s="188"/>
      <c r="S317" s="146"/>
      <c r="T317" s="146"/>
      <c r="U317" s="146"/>
      <c r="V317" s="141" t="s">
        <v>2862</v>
      </c>
    </row>
    <row r="318" s="162" customFormat="1" ht="12" spans="1:22">
      <c r="A318" s="141"/>
      <c r="B318" s="192" t="s">
        <v>2755</v>
      </c>
      <c r="C318" s="141" t="s">
        <v>52</v>
      </c>
      <c r="D318" s="141" t="s">
        <v>496</v>
      </c>
      <c r="E318" s="141">
        <v>4</v>
      </c>
      <c r="F318" s="141">
        <v>40</v>
      </c>
      <c r="G318" s="141">
        <v>142</v>
      </c>
      <c r="H318" s="141"/>
      <c r="I318" s="141"/>
      <c r="J318" s="188">
        <f t="shared" si="245"/>
        <v>75</v>
      </c>
      <c r="K318" s="188"/>
      <c r="L318" s="188">
        <v>75</v>
      </c>
      <c r="M318" s="188"/>
      <c r="N318" s="188"/>
      <c r="O318" s="188"/>
      <c r="P318" s="188">
        <f t="shared" si="246"/>
        <v>75</v>
      </c>
      <c r="Q318" s="188"/>
      <c r="R318" s="188"/>
      <c r="S318" s="146"/>
      <c r="T318" s="146"/>
      <c r="U318" s="146"/>
      <c r="V318" s="141" t="s">
        <v>2863</v>
      </c>
    </row>
    <row r="319" s="162" customFormat="1" ht="24" spans="1:22">
      <c r="A319" s="141">
        <v>65</v>
      </c>
      <c r="B319" s="192" t="s">
        <v>499</v>
      </c>
      <c r="C319" s="141" t="s">
        <v>1124</v>
      </c>
      <c r="D319" s="141" t="s">
        <v>384</v>
      </c>
      <c r="E319" s="141">
        <f t="shared" ref="E319:G319" si="247">SUM(E320:E325)</f>
        <v>61</v>
      </c>
      <c r="F319" s="141">
        <f t="shared" si="247"/>
        <v>61</v>
      </c>
      <c r="G319" s="141">
        <f t="shared" si="247"/>
        <v>145</v>
      </c>
      <c r="H319" s="141">
        <v>2019</v>
      </c>
      <c r="I319" s="141">
        <v>2019</v>
      </c>
      <c r="J319" s="141">
        <f t="shared" ref="J319:J325" si="248">SUM(K319:M319)</f>
        <v>2.135</v>
      </c>
      <c r="K319" s="141">
        <f t="shared" ref="K319:P319" si="249">SUM(K320:K325)</f>
        <v>0</v>
      </c>
      <c r="L319" s="141">
        <f t="shared" si="249"/>
        <v>2.135</v>
      </c>
      <c r="M319" s="141">
        <f t="shared" si="249"/>
        <v>0</v>
      </c>
      <c r="N319" s="141">
        <f t="shared" si="249"/>
        <v>2.135</v>
      </c>
      <c r="O319" s="141">
        <f t="shared" si="249"/>
        <v>0</v>
      </c>
      <c r="P319" s="146">
        <f t="shared" si="249"/>
        <v>0</v>
      </c>
      <c r="Q319" s="188"/>
      <c r="R319" s="188"/>
      <c r="S319" s="146" t="s">
        <v>2804</v>
      </c>
      <c r="T319" s="146" t="s">
        <v>2833</v>
      </c>
      <c r="U319" s="146" t="s">
        <v>500</v>
      </c>
      <c r="V319" s="141" t="s">
        <v>2864</v>
      </c>
    </row>
    <row r="320" s="162" customFormat="1" ht="24" spans="1:22">
      <c r="A320" s="141"/>
      <c r="B320" s="141" t="s">
        <v>2758</v>
      </c>
      <c r="C320" s="141"/>
      <c r="D320" s="141" t="s">
        <v>384</v>
      </c>
      <c r="E320" s="141">
        <v>12</v>
      </c>
      <c r="F320" s="141">
        <v>12</v>
      </c>
      <c r="G320" s="141">
        <v>38</v>
      </c>
      <c r="H320" s="141">
        <v>2019</v>
      </c>
      <c r="I320" s="141">
        <v>2019</v>
      </c>
      <c r="J320" s="141">
        <f t="shared" si="248"/>
        <v>0.42</v>
      </c>
      <c r="K320" s="196"/>
      <c r="L320" s="196">
        <f>(12*350)/10000</f>
        <v>0.42</v>
      </c>
      <c r="M320" s="188"/>
      <c r="N320" s="196">
        <f>12*350/10000</f>
        <v>0.42</v>
      </c>
      <c r="O320" s="141"/>
      <c r="P320" s="196"/>
      <c r="Q320" s="188"/>
      <c r="R320" s="188"/>
      <c r="S320" s="146"/>
      <c r="T320" s="146"/>
      <c r="U320" s="146"/>
      <c r="V320" s="141" t="s">
        <v>2865</v>
      </c>
    </row>
    <row r="321" s="162" customFormat="1" ht="24" spans="1:22">
      <c r="A321" s="141"/>
      <c r="B321" s="141" t="s">
        <v>2754</v>
      </c>
      <c r="C321" s="141"/>
      <c r="D321" s="141" t="s">
        <v>384</v>
      </c>
      <c r="E321" s="141">
        <v>13</v>
      </c>
      <c r="F321" s="141">
        <v>13</v>
      </c>
      <c r="G321" s="141">
        <v>25</v>
      </c>
      <c r="H321" s="141">
        <v>2019</v>
      </c>
      <c r="I321" s="141">
        <v>2019</v>
      </c>
      <c r="J321" s="141">
        <f t="shared" si="248"/>
        <v>0.455</v>
      </c>
      <c r="K321" s="196"/>
      <c r="L321" s="196">
        <f>(13*350)/10000</f>
        <v>0.455</v>
      </c>
      <c r="M321" s="188"/>
      <c r="N321" s="196">
        <f>13*350/10000</f>
        <v>0.455</v>
      </c>
      <c r="O321" s="141"/>
      <c r="P321" s="196"/>
      <c r="Q321" s="188"/>
      <c r="R321" s="188"/>
      <c r="S321" s="146"/>
      <c r="T321" s="146"/>
      <c r="U321" s="146"/>
      <c r="V321" s="141" t="s">
        <v>2866</v>
      </c>
    </row>
    <row r="322" s="162" customFormat="1" ht="24" spans="1:22">
      <c r="A322" s="141"/>
      <c r="B322" s="141" t="s">
        <v>2759</v>
      </c>
      <c r="C322" s="141"/>
      <c r="D322" s="141" t="s">
        <v>384</v>
      </c>
      <c r="E322" s="141">
        <v>1</v>
      </c>
      <c r="F322" s="141">
        <v>1</v>
      </c>
      <c r="G322" s="141">
        <v>2</v>
      </c>
      <c r="H322" s="141">
        <v>2019</v>
      </c>
      <c r="I322" s="141">
        <v>2019</v>
      </c>
      <c r="J322" s="141">
        <f t="shared" si="248"/>
        <v>0.035</v>
      </c>
      <c r="K322" s="196"/>
      <c r="L322" s="196">
        <f>(1*350)/10000</f>
        <v>0.035</v>
      </c>
      <c r="M322" s="188"/>
      <c r="N322" s="196">
        <f>1*350/10000</f>
        <v>0.035</v>
      </c>
      <c r="O322" s="141"/>
      <c r="P322" s="196"/>
      <c r="Q322" s="188"/>
      <c r="R322" s="188"/>
      <c r="S322" s="146"/>
      <c r="T322" s="146"/>
      <c r="U322" s="146"/>
      <c r="V322" s="141" t="s">
        <v>2867</v>
      </c>
    </row>
    <row r="323" s="162" customFormat="1" ht="24" spans="1:22">
      <c r="A323" s="141"/>
      <c r="B323" s="141" t="s">
        <v>2760</v>
      </c>
      <c r="C323" s="141"/>
      <c r="D323" s="141" t="s">
        <v>384</v>
      </c>
      <c r="E323" s="141">
        <v>10</v>
      </c>
      <c r="F323" s="141">
        <v>10</v>
      </c>
      <c r="G323" s="141">
        <v>21</v>
      </c>
      <c r="H323" s="141">
        <v>2019</v>
      </c>
      <c r="I323" s="141">
        <v>2019</v>
      </c>
      <c r="J323" s="141">
        <f t="shared" si="248"/>
        <v>0.35</v>
      </c>
      <c r="K323" s="196"/>
      <c r="L323" s="196">
        <f>(10*350)/10000</f>
        <v>0.35</v>
      </c>
      <c r="M323" s="188"/>
      <c r="N323" s="196">
        <f>10*350/10000</f>
        <v>0.35</v>
      </c>
      <c r="O323" s="141"/>
      <c r="P323" s="196"/>
      <c r="Q323" s="188"/>
      <c r="R323" s="188"/>
      <c r="S323" s="146"/>
      <c r="T323" s="146"/>
      <c r="U323" s="146"/>
      <c r="V323" s="141" t="s">
        <v>2868</v>
      </c>
    </row>
    <row r="324" s="162" customFormat="1" ht="24" spans="1:22">
      <c r="A324" s="141"/>
      <c r="B324" s="141" t="s">
        <v>2755</v>
      </c>
      <c r="C324" s="141"/>
      <c r="D324" s="141" t="s">
        <v>384</v>
      </c>
      <c r="E324" s="141">
        <v>16</v>
      </c>
      <c r="F324" s="141">
        <v>16</v>
      </c>
      <c r="G324" s="141">
        <v>37</v>
      </c>
      <c r="H324" s="141">
        <v>2019</v>
      </c>
      <c r="I324" s="141">
        <v>2019</v>
      </c>
      <c r="J324" s="141">
        <f t="shared" si="248"/>
        <v>0.56</v>
      </c>
      <c r="K324" s="196"/>
      <c r="L324" s="196">
        <f>(16*350)/10000</f>
        <v>0.56</v>
      </c>
      <c r="M324" s="188"/>
      <c r="N324" s="196">
        <f>16*350/10000</f>
        <v>0.56</v>
      </c>
      <c r="O324" s="141"/>
      <c r="P324" s="196"/>
      <c r="Q324" s="188"/>
      <c r="R324" s="188"/>
      <c r="S324" s="146"/>
      <c r="T324" s="146"/>
      <c r="U324" s="146"/>
      <c r="V324" s="141" t="s">
        <v>2869</v>
      </c>
    </row>
    <row r="325" s="162" customFormat="1" ht="24" spans="1:22">
      <c r="A325" s="141"/>
      <c r="B325" s="141" t="s">
        <v>2756</v>
      </c>
      <c r="C325" s="141"/>
      <c r="D325" s="141" t="s">
        <v>384</v>
      </c>
      <c r="E325" s="141">
        <v>9</v>
      </c>
      <c r="F325" s="141">
        <v>9</v>
      </c>
      <c r="G325" s="141">
        <v>22</v>
      </c>
      <c r="H325" s="141">
        <v>2019</v>
      </c>
      <c r="I325" s="141">
        <v>2019</v>
      </c>
      <c r="J325" s="141">
        <f t="shared" si="248"/>
        <v>0.315</v>
      </c>
      <c r="K325" s="196"/>
      <c r="L325" s="196">
        <f>(9*350)/10000</f>
        <v>0.315</v>
      </c>
      <c r="M325" s="188"/>
      <c r="N325" s="196">
        <f>9*350/10000</f>
        <v>0.315</v>
      </c>
      <c r="P325" s="196"/>
      <c r="Q325" s="188"/>
      <c r="R325" s="188"/>
      <c r="S325" s="146"/>
      <c r="T325" s="146"/>
      <c r="U325" s="146"/>
      <c r="V325" s="141" t="s">
        <v>2870</v>
      </c>
    </row>
    <row r="326" s="162" customFormat="1" ht="12" spans="1:22">
      <c r="A326" s="141">
        <v>66</v>
      </c>
      <c r="B326" s="192" t="s">
        <v>501</v>
      </c>
      <c r="C326" s="141" t="s">
        <v>320</v>
      </c>
      <c r="D326" s="141" t="s">
        <v>320</v>
      </c>
      <c r="E326" s="141"/>
      <c r="F326" s="141"/>
      <c r="G326" s="141"/>
      <c r="H326" s="141"/>
      <c r="I326" s="141"/>
      <c r="J326" s="188">
        <f t="shared" ref="J326:J329" si="250">K326+L326+M326</f>
        <v>0</v>
      </c>
      <c r="K326" s="188"/>
      <c r="L326" s="188"/>
      <c r="M326" s="188"/>
      <c r="N326" s="188"/>
      <c r="O326" s="188"/>
      <c r="P326" s="188"/>
      <c r="Q326" s="188"/>
      <c r="R326" s="188"/>
      <c r="S326" s="146"/>
      <c r="T326" s="146"/>
      <c r="U326" s="141" t="s">
        <v>320</v>
      </c>
      <c r="V326" s="141" t="s">
        <v>41</v>
      </c>
    </row>
    <row r="327" s="162" customFormat="1" ht="24" spans="1:22">
      <c r="A327" s="141">
        <v>67</v>
      </c>
      <c r="B327" s="192" t="s">
        <v>502</v>
      </c>
      <c r="C327" s="141" t="s">
        <v>1124</v>
      </c>
      <c r="D327" s="141" t="s">
        <v>496</v>
      </c>
      <c r="E327" s="141"/>
      <c r="F327" s="141"/>
      <c r="G327" s="141"/>
      <c r="H327" s="141"/>
      <c r="I327" s="141"/>
      <c r="J327" s="188">
        <f t="shared" si="250"/>
        <v>0</v>
      </c>
      <c r="K327" s="188"/>
      <c r="L327" s="188"/>
      <c r="M327" s="188"/>
      <c r="N327" s="188"/>
      <c r="O327" s="188"/>
      <c r="P327" s="188"/>
      <c r="Q327" s="188"/>
      <c r="R327" s="188"/>
      <c r="S327" s="146"/>
      <c r="T327" s="146"/>
      <c r="U327" s="146" t="s">
        <v>497</v>
      </c>
      <c r="V327" s="141" t="s">
        <v>41</v>
      </c>
    </row>
    <row r="328" s="162" customFormat="1" ht="24" spans="1:22">
      <c r="A328" s="141">
        <v>68</v>
      </c>
      <c r="B328" s="192" t="s">
        <v>503</v>
      </c>
      <c r="C328" s="141" t="s">
        <v>1124</v>
      </c>
      <c r="D328" s="141" t="s">
        <v>496</v>
      </c>
      <c r="E328" s="141"/>
      <c r="F328" s="141"/>
      <c r="G328" s="141"/>
      <c r="H328" s="141"/>
      <c r="I328" s="141"/>
      <c r="J328" s="188">
        <f t="shared" si="250"/>
        <v>0</v>
      </c>
      <c r="K328" s="188"/>
      <c r="L328" s="188"/>
      <c r="M328" s="188"/>
      <c r="N328" s="188"/>
      <c r="O328" s="188"/>
      <c r="P328" s="188"/>
      <c r="Q328" s="188"/>
      <c r="R328" s="188"/>
      <c r="S328" s="146"/>
      <c r="T328" s="146"/>
      <c r="U328" s="146" t="s">
        <v>497</v>
      </c>
      <c r="V328" s="141" t="s">
        <v>41</v>
      </c>
    </row>
    <row r="329" s="162" customFormat="1" ht="24" spans="1:22">
      <c r="A329" s="141">
        <v>69</v>
      </c>
      <c r="B329" s="192" t="s">
        <v>504</v>
      </c>
      <c r="C329" s="141" t="s">
        <v>1124</v>
      </c>
      <c r="D329" s="141" t="s">
        <v>496</v>
      </c>
      <c r="E329" s="141"/>
      <c r="F329" s="141"/>
      <c r="G329" s="141"/>
      <c r="H329" s="141"/>
      <c r="I329" s="141"/>
      <c r="J329" s="188">
        <f t="shared" si="250"/>
        <v>0</v>
      </c>
      <c r="K329" s="188"/>
      <c r="L329" s="188"/>
      <c r="M329" s="188"/>
      <c r="N329" s="188"/>
      <c r="O329" s="188"/>
      <c r="P329" s="188"/>
      <c r="Q329" s="188"/>
      <c r="R329" s="188"/>
      <c r="S329" s="146"/>
      <c r="T329" s="146"/>
      <c r="U329" s="146" t="s">
        <v>497</v>
      </c>
      <c r="V329" s="141" t="s">
        <v>41</v>
      </c>
    </row>
    <row r="330" s="162" customFormat="1" ht="24" spans="1:22">
      <c r="A330" s="141">
        <v>70</v>
      </c>
      <c r="B330" s="141" t="s">
        <v>505</v>
      </c>
      <c r="C330" s="141" t="s">
        <v>1124</v>
      </c>
      <c r="D330" s="141" t="s">
        <v>147</v>
      </c>
      <c r="E330" s="141">
        <f t="shared" ref="E330:G330" si="251">SUM(E331:E337)</f>
        <v>3571</v>
      </c>
      <c r="F330" s="141">
        <f t="shared" si="251"/>
        <v>353</v>
      </c>
      <c r="G330" s="141">
        <f t="shared" si="251"/>
        <v>1315</v>
      </c>
      <c r="H330" s="177">
        <v>2018</v>
      </c>
      <c r="I330" s="177" t="s">
        <v>2750</v>
      </c>
      <c r="J330" s="141">
        <f t="shared" ref="J330:R330" si="252">SUM(J331:J337)</f>
        <v>566.78</v>
      </c>
      <c r="K330" s="141">
        <f t="shared" si="252"/>
        <v>361.44</v>
      </c>
      <c r="L330" s="141">
        <f t="shared" si="252"/>
        <v>205.34</v>
      </c>
      <c r="M330" s="141">
        <f t="shared" si="252"/>
        <v>0</v>
      </c>
      <c r="N330" s="141">
        <f t="shared" si="252"/>
        <v>67.23</v>
      </c>
      <c r="O330" s="141">
        <f t="shared" si="252"/>
        <v>499.55</v>
      </c>
      <c r="P330" s="141">
        <f t="shared" si="252"/>
        <v>0</v>
      </c>
      <c r="Q330" s="141">
        <f t="shared" si="252"/>
        <v>0</v>
      </c>
      <c r="R330" s="141">
        <f t="shared" si="252"/>
        <v>0</v>
      </c>
      <c r="S330" s="146" t="s">
        <v>2751</v>
      </c>
      <c r="T330" s="146" t="s">
        <v>2752</v>
      </c>
      <c r="U330" s="146" t="s">
        <v>275</v>
      </c>
      <c r="V330" s="141" t="s">
        <v>41</v>
      </c>
    </row>
    <row r="331" s="162" customFormat="1" ht="36" spans="1:22">
      <c r="A331" s="141"/>
      <c r="B331" s="141" t="s">
        <v>2758</v>
      </c>
      <c r="C331" s="141" t="s">
        <v>1124</v>
      </c>
      <c r="D331" s="141" t="s">
        <v>147</v>
      </c>
      <c r="E331" s="141">
        <v>763</v>
      </c>
      <c r="F331" s="141">
        <v>85</v>
      </c>
      <c r="G331" s="141">
        <v>301</v>
      </c>
      <c r="H331" s="177">
        <v>2018</v>
      </c>
      <c r="I331" s="177" t="s">
        <v>2750</v>
      </c>
      <c r="J331" s="188">
        <f t="shared" ref="J331:J337" si="253">K331+L331+M331</f>
        <v>91.04</v>
      </c>
      <c r="K331" s="188">
        <v>66.96</v>
      </c>
      <c r="L331" s="188">
        <f>172*0.14</f>
        <v>24.08</v>
      </c>
      <c r="M331" s="188"/>
      <c r="N331" s="188">
        <v>7</v>
      </c>
      <c r="O331" s="188">
        <f t="shared" ref="O331:O336" si="254">J331-N331</f>
        <v>84.04</v>
      </c>
      <c r="P331" s="188"/>
      <c r="Q331" s="188"/>
      <c r="R331" s="188"/>
      <c r="S331" s="146"/>
      <c r="T331" s="146"/>
      <c r="U331" s="146"/>
      <c r="V331" s="141" t="s">
        <v>2871</v>
      </c>
    </row>
    <row r="332" s="162" customFormat="1" ht="48" spans="1:22">
      <c r="A332" s="141"/>
      <c r="B332" s="141" t="s">
        <v>2754</v>
      </c>
      <c r="C332" s="141" t="s">
        <v>1124</v>
      </c>
      <c r="D332" s="141" t="s">
        <v>147</v>
      </c>
      <c r="E332" s="141">
        <v>1008</v>
      </c>
      <c r="F332" s="141">
        <v>86</v>
      </c>
      <c r="G332" s="141">
        <v>333</v>
      </c>
      <c r="H332" s="177">
        <v>2018</v>
      </c>
      <c r="I332" s="177" t="s">
        <v>2750</v>
      </c>
      <c r="J332" s="188">
        <f t="shared" si="253"/>
        <v>149.75</v>
      </c>
      <c r="K332" s="141">
        <v>108.73</v>
      </c>
      <c r="L332" s="141">
        <f>293*0.14</f>
        <v>41.02</v>
      </c>
      <c r="M332" s="188"/>
      <c r="N332" s="188">
        <v>15</v>
      </c>
      <c r="O332" s="188">
        <f t="shared" si="254"/>
        <v>134.75</v>
      </c>
      <c r="P332" s="188"/>
      <c r="Q332" s="188"/>
      <c r="R332" s="188"/>
      <c r="S332" s="146"/>
      <c r="T332" s="146"/>
      <c r="U332" s="146"/>
      <c r="V332" s="141" t="s">
        <v>2872</v>
      </c>
    </row>
    <row r="333" s="162" customFormat="1" ht="36" spans="1:22">
      <c r="A333" s="141"/>
      <c r="B333" s="141" t="s">
        <v>2759</v>
      </c>
      <c r="C333" s="141" t="s">
        <v>1124</v>
      </c>
      <c r="D333" s="141" t="s">
        <v>147</v>
      </c>
      <c r="E333" s="141">
        <v>348</v>
      </c>
      <c r="F333" s="141">
        <v>39</v>
      </c>
      <c r="G333" s="162">
        <v>141</v>
      </c>
      <c r="H333" s="177">
        <v>2018</v>
      </c>
      <c r="I333" s="177" t="s">
        <v>2750</v>
      </c>
      <c r="J333" s="188">
        <f t="shared" si="253"/>
        <v>52.44</v>
      </c>
      <c r="K333" s="188">
        <v>42.64</v>
      </c>
      <c r="L333" s="188">
        <f>70*0.14</f>
        <v>9.8</v>
      </c>
      <c r="M333" s="188"/>
      <c r="N333" s="188">
        <v>1</v>
      </c>
      <c r="O333" s="188">
        <f t="shared" si="254"/>
        <v>51.44</v>
      </c>
      <c r="P333" s="188"/>
      <c r="Q333" s="188"/>
      <c r="R333" s="188"/>
      <c r="S333" s="146"/>
      <c r="T333" s="146"/>
      <c r="U333" s="146"/>
      <c r="V333" s="141" t="s">
        <v>2873</v>
      </c>
    </row>
    <row r="334" s="162" customFormat="1" ht="48" spans="1:22">
      <c r="A334" s="141"/>
      <c r="B334" s="141" t="s">
        <v>2760</v>
      </c>
      <c r="C334" s="141" t="s">
        <v>1124</v>
      </c>
      <c r="D334" s="141" t="s">
        <v>147</v>
      </c>
      <c r="E334" s="141">
        <v>440</v>
      </c>
      <c r="F334" s="141">
        <v>52</v>
      </c>
      <c r="G334" s="141">
        <v>193</v>
      </c>
      <c r="H334" s="177">
        <v>2018</v>
      </c>
      <c r="I334" s="177" t="s">
        <v>2750</v>
      </c>
      <c r="J334" s="188">
        <f t="shared" si="253"/>
        <v>126.29</v>
      </c>
      <c r="K334" s="141">
        <v>84.57</v>
      </c>
      <c r="L334" s="141">
        <f>298*0.14</f>
        <v>41.72</v>
      </c>
      <c r="M334" s="188"/>
      <c r="N334" s="188">
        <f>35+8.23</f>
        <v>43.23</v>
      </c>
      <c r="O334" s="188">
        <f t="shared" si="254"/>
        <v>83.06</v>
      </c>
      <c r="P334" s="188"/>
      <c r="Q334" s="188"/>
      <c r="R334" s="188"/>
      <c r="S334" s="146"/>
      <c r="T334" s="146"/>
      <c r="U334" s="146"/>
      <c r="V334" s="141" t="s">
        <v>2874</v>
      </c>
    </row>
    <row r="335" s="162" customFormat="1" ht="24" spans="1:22">
      <c r="A335" s="141"/>
      <c r="B335" s="141" t="s">
        <v>2755</v>
      </c>
      <c r="C335" s="141" t="s">
        <v>52</v>
      </c>
      <c r="D335" s="141" t="s">
        <v>147</v>
      </c>
      <c r="E335" s="141">
        <v>272</v>
      </c>
      <c r="F335" s="141">
        <v>23</v>
      </c>
      <c r="G335" s="141">
        <v>82</v>
      </c>
      <c r="H335" s="141">
        <v>2019</v>
      </c>
      <c r="I335" s="141">
        <v>2019</v>
      </c>
      <c r="J335" s="188">
        <f t="shared" si="253"/>
        <v>38.08</v>
      </c>
      <c r="K335" s="188"/>
      <c r="L335" s="188">
        <f>272*0.14</f>
        <v>38.08</v>
      </c>
      <c r="M335" s="188"/>
      <c r="N335" s="188"/>
      <c r="O335" s="188">
        <f t="shared" si="254"/>
        <v>38.08</v>
      </c>
      <c r="P335" s="188"/>
      <c r="Q335" s="188"/>
      <c r="R335" s="188"/>
      <c r="S335" s="146"/>
      <c r="T335" s="146"/>
      <c r="U335" s="146"/>
      <c r="V335" s="141" t="s">
        <v>2875</v>
      </c>
    </row>
    <row r="336" s="162" customFormat="1" ht="36" spans="1:22">
      <c r="A336" s="141"/>
      <c r="B336" s="141" t="s">
        <v>2756</v>
      </c>
      <c r="C336" s="141" t="s">
        <v>1124</v>
      </c>
      <c r="D336" s="141" t="s">
        <v>147</v>
      </c>
      <c r="E336" s="141">
        <v>708</v>
      </c>
      <c r="F336" s="141">
        <v>56</v>
      </c>
      <c r="G336" s="141">
        <v>220</v>
      </c>
      <c r="H336" s="177">
        <v>2018</v>
      </c>
      <c r="I336" s="177" t="s">
        <v>2750</v>
      </c>
      <c r="J336" s="188">
        <f t="shared" si="253"/>
        <v>92.56</v>
      </c>
      <c r="K336" s="188">
        <v>58.54</v>
      </c>
      <c r="L336" s="188">
        <f>243*0.14</f>
        <v>34.02</v>
      </c>
      <c r="M336" s="188"/>
      <c r="N336" s="188">
        <v>1</v>
      </c>
      <c r="O336" s="188">
        <f t="shared" si="254"/>
        <v>91.56</v>
      </c>
      <c r="P336" s="188"/>
      <c r="Q336" s="188"/>
      <c r="R336" s="188"/>
      <c r="S336" s="146"/>
      <c r="T336" s="146"/>
      <c r="U336" s="146"/>
      <c r="V336" s="141" t="s">
        <v>2876</v>
      </c>
    </row>
    <row r="337" s="162" customFormat="1" ht="48" spans="1:22">
      <c r="A337" s="141"/>
      <c r="B337" s="141" t="s">
        <v>1221</v>
      </c>
      <c r="C337" s="141" t="s">
        <v>488</v>
      </c>
      <c r="D337" s="141" t="s">
        <v>384</v>
      </c>
      <c r="E337" s="141">
        <f t="shared" ref="E337:G337" si="255">SUM(E338:E342)</f>
        <v>32</v>
      </c>
      <c r="F337" s="141">
        <f t="shared" si="255"/>
        <v>12</v>
      </c>
      <c r="G337" s="141">
        <f t="shared" si="255"/>
        <v>45</v>
      </c>
      <c r="H337" s="141">
        <v>2019</v>
      </c>
      <c r="I337" s="141">
        <v>2019</v>
      </c>
      <c r="J337" s="188">
        <f t="shared" si="253"/>
        <v>16.62</v>
      </c>
      <c r="K337" s="188"/>
      <c r="L337" s="188">
        <f>SUM(L338:L342)</f>
        <v>16.62</v>
      </c>
      <c r="M337" s="188"/>
      <c r="N337" s="188"/>
      <c r="O337" s="188">
        <f>L337</f>
        <v>16.62</v>
      </c>
      <c r="P337" s="188"/>
      <c r="Q337" s="188"/>
      <c r="R337" s="188"/>
      <c r="S337" s="146"/>
      <c r="T337" s="146"/>
      <c r="U337" s="146"/>
      <c r="V337" s="141" t="s">
        <v>2877</v>
      </c>
    </row>
    <row r="338" s="162" customFormat="1" ht="12" spans="1:22">
      <c r="A338" s="141"/>
      <c r="B338" s="141" t="s">
        <v>2758</v>
      </c>
      <c r="C338" s="141" t="s">
        <v>488</v>
      </c>
      <c r="D338" s="141" t="s">
        <v>384</v>
      </c>
      <c r="E338" s="141">
        <v>3</v>
      </c>
      <c r="F338" s="141">
        <v>1</v>
      </c>
      <c r="G338" s="141">
        <v>3</v>
      </c>
      <c r="H338" s="141">
        <v>2019</v>
      </c>
      <c r="I338" s="141">
        <v>2019</v>
      </c>
      <c r="J338" s="188"/>
      <c r="K338" s="188"/>
      <c r="L338" s="188">
        <v>1.62</v>
      </c>
      <c r="M338" s="188"/>
      <c r="N338" s="188"/>
      <c r="O338" s="188"/>
      <c r="P338" s="188"/>
      <c r="Q338" s="188"/>
      <c r="R338" s="188"/>
      <c r="S338" s="146"/>
      <c r="T338" s="146"/>
      <c r="U338" s="146"/>
      <c r="V338" s="141"/>
    </row>
    <row r="339" s="162" customFormat="1" ht="12" spans="1:22">
      <c r="A339" s="141"/>
      <c r="B339" s="141" t="s">
        <v>2760</v>
      </c>
      <c r="C339" s="141" t="s">
        <v>488</v>
      </c>
      <c r="D339" s="141" t="s">
        <v>384</v>
      </c>
      <c r="E339" s="141">
        <v>6</v>
      </c>
      <c r="F339" s="141">
        <v>3</v>
      </c>
      <c r="G339" s="141">
        <v>15</v>
      </c>
      <c r="H339" s="141">
        <v>2019</v>
      </c>
      <c r="I339" s="141">
        <v>2019</v>
      </c>
      <c r="J339" s="188"/>
      <c r="K339" s="188"/>
      <c r="L339" s="188">
        <v>3.2</v>
      </c>
      <c r="M339" s="188"/>
      <c r="N339" s="188"/>
      <c r="O339" s="188"/>
      <c r="P339" s="188"/>
      <c r="Q339" s="188"/>
      <c r="R339" s="188"/>
      <c r="S339" s="146"/>
      <c r="T339" s="146"/>
      <c r="U339" s="146"/>
      <c r="V339" s="141"/>
    </row>
    <row r="340" s="162" customFormat="1" ht="12" spans="1:22">
      <c r="A340" s="141"/>
      <c r="B340" s="141" t="s">
        <v>2754</v>
      </c>
      <c r="C340" s="141" t="s">
        <v>488</v>
      </c>
      <c r="D340" s="141" t="s">
        <v>384</v>
      </c>
      <c r="E340" s="141">
        <v>13</v>
      </c>
      <c r="F340" s="141">
        <v>5</v>
      </c>
      <c r="G340" s="141">
        <v>16</v>
      </c>
      <c r="H340" s="141">
        <v>2019</v>
      </c>
      <c r="I340" s="141">
        <v>2019</v>
      </c>
      <c r="J340" s="188"/>
      <c r="K340" s="188"/>
      <c r="L340" s="188">
        <v>6.7</v>
      </c>
      <c r="M340" s="188"/>
      <c r="N340" s="188"/>
      <c r="O340" s="188"/>
      <c r="P340" s="188"/>
      <c r="Q340" s="188"/>
      <c r="R340" s="188"/>
      <c r="S340" s="146"/>
      <c r="T340" s="146"/>
      <c r="U340" s="146"/>
      <c r="V340" s="141"/>
    </row>
    <row r="341" s="162" customFormat="1" ht="12" spans="1:22">
      <c r="A341" s="141"/>
      <c r="B341" s="141" t="s">
        <v>2756</v>
      </c>
      <c r="C341" s="141" t="s">
        <v>488</v>
      </c>
      <c r="D341" s="141" t="s">
        <v>384</v>
      </c>
      <c r="E341" s="141">
        <v>2</v>
      </c>
      <c r="F341" s="141"/>
      <c r="G341" s="141"/>
      <c r="H341" s="141">
        <v>2019</v>
      </c>
      <c r="I341" s="141">
        <v>2019</v>
      </c>
      <c r="J341" s="188"/>
      <c r="K341" s="188"/>
      <c r="L341" s="188">
        <v>1.1</v>
      </c>
      <c r="M341" s="188"/>
      <c r="N341" s="188"/>
      <c r="O341" s="188"/>
      <c r="P341" s="188"/>
      <c r="Q341" s="188"/>
      <c r="R341" s="188"/>
      <c r="S341" s="146"/>
      <c r="T341" s="146"/>
      <c r="U341" s="146"/>
      <c r="V341" s="141"/>
    </row>
    <row r="342" s="162" customFormat="1" ht="12" spans="1:22">
      <c r="A342" s="141"/>
      <c r="B342" s="141" t="s">
        <v>2755</v>
      </c>
      <c r="C342" s="141" t="s">
        <v>488</v>
      </c>
      <c r="D342" s="141" t="s">
        <v>384</v>
      </c>
      <c r="E342" s="141">
        <v>8</v>
      </c>
      <c r="F342" s="141">
        <v>3</v>
      </c>
      <c r="G342" s="141">
        <v>11</v>
      </c>
      <c r="H342" s="141">
        <v>2019</v>
      </c>
      <c r="I342" s="141">
        <v>2019</v>
      </c>
      <c r="J342" s="188"/>
      <c r="K342" s="188"/>
      <c r="L342" s="188">
        <v>4</v>
      </c>
      <c r="M342" s="188"/>
      <c r="N342" s="188"/>
      <c r="O342" s="188"/>
      <c r="P342" s="188"/>
      <c r="Q342" s="188"/>
      <c r="R342" s="188"/>
      <c r="S342" s="146"/>
      <c r="T342" s="146"/>
      <c r="U342" s="146"/>
      <c r="V342" s="141"/>
    </row>
    <row r="343" s="162" customFormat="1" ht="36" spans="1:22">
      <c r="A343" s="141">
        <v>71</v>
      </c>
      <c r="B343" s="192" t="s">
        <v>2878</v>
      </c>
      <c r="C343" s="141" t="s">
        <v>320</v>
      </c>
      <c r="D343" s="141" t="s">
        <v>320</v>
      </c>
      <c r="E343" s="141">
        <f t="shared" ref="E343:G343" si="256">SUM(E344:E348)</f>
        <v>9122</v>
      </c>
      <c r="F343" s="141">
        <f t="shared" si="256"/>
        <v>860</v>
      </c>
      <c r="G343" s="141">
        <f t="shared" si="256"/>
        <v>3173</v>
      </c>
      <c r="H343" s="177">
        <v>2018</v>
      </c>
      <c r="I343" s="177" t="s">
        <v>2750</v>
      </c>
      <c r="J343" s="188">
        <f t="shared" ref="J343:R343" si="257">SUM(J344:J348)</f>
        <v>20</v>
      </c>
      <c r="K343" s="188">
        <f t="shared" si="257"/>
        <v>4</v>
      </c>
      <c r="L343" s="188">
        <f t="shared" si="257"/>
        <v>16</v>
      </c>
      <c r="M343" s="188">
        <f t="shared" si="257"/>
        <v>0</v>
      </c>
      <c r="N343" s="188">
        <f t="shared" si="257"/>
        <v>0</v>
      </c>
      <c r="O343" s="188">
        <f t="shared" si="257"/>
        <v>0</v>
      </c>
      <c r="P343" s="188">
        <f t="shared" si="257"/>
        <v>20</v>
      </c>
      <c r="Q343" s="188">
        <f t="shared" si="257"/>
        <v>0</v>
      </c>
      <c r="R343" s="188">
        <f t="shared" si="257"/>
        <v>0</v>
      </c>
      <c r="S343" s="146" t="s">
        <v>2775</v>
      </c>
      <c r="T343" s="146" t="s">
        <v>2776</v>
      </c>
      <c r="U343" s="141" t="s">
        <v>320</v>
      </c>
      <c r="V343" s="141"/>
    </row>
    <row r="344" s="162" customFormat="1" ht="36" spans="1:22">
      <c r="A344" s="141"/>
      <c r="B344" s="141" t="s">
        <v>2758</v>
      </c>
      <c r="C344" s="141"/>
      <c r="D344" s="141" t="s">
        <v>147</v>
      </c>
      <c r="E344" s="141">
        <v>1878</v>
      </c>
      <c r="F344" s="141">
        <v>190</v>
      </c>
      <c r="G344" s="141">
        <v>698</v>
      </c>
      <c r="H344" s="141">
        <v>2019</v>
      </c>
      <c r="I344" s="141">
        <v>2019</v>
      </c>
      <c r="J344" s="188">
        <f t="shared" ref="J344:J348" si="258">SUM(K344:M344)</f>
        <v>4</v>
      </c>
      <c r="K344" s="188"/>
      <c r="L344" s="188">
        <v>4</v>
      </c>
      <c r="M344" s="188"/>
      <c r="N344" s="188"/>
      <c r="O344" s="188"/>
      <c r="P344" s="188">
        <f t="shared" ref="P344:P348" si="259">J344</f>
        <v>4</v>
      </c>
      <c r="Q344" s="188"/>
      <c r="R344" s="188"/>
      <c r="S344" s="146"/>
      <c r="T344" s="146"/>
      <c r="U344" s="141"/>
      <c r="V344" s="141" t="s">
        <v>2879</v>
      </c>
    </row>
    <row r="345" s="162" customFormat="1" ht="24" spans="1:22">
      <c r="A345" s="141"/>
      <c r="B345" s="141" t="s">
        <v>2759</v>
      </c>
      <c r="C345" s="141"/>
      <c r="D345" s="141" t="s">
        <v>147</v>
      </c>
      <c r="E345" s="141">
        <v>1432</v>
      </c>
      <c r="F345" s="141">
        <v>122</v>
      </c>
      <c r="G345" s="141">
        <v>434</v>
      </c>
      <c r="H345" s="177">
        <v>2018</v>
      </c>
      <c r="I345" s="177" t="s">
        <v>2592</v>
      </c>
      <c r="J345" s="188">
        <f t="shared" si="258"/>
        <v>4</v>
      </c>
      <c r="K345" s="188">
        <v>4</v>
      </c>
      <c r="L345" s="188"/>
      <c r="M345" s="188"/>
      <c r="N345" s="188"/>
      <c r="O345" s="188"/>
      <c r="P345" s="188">
        <f t="shared" si="259"/>
        <v>4</v>
      </c>
      <c r="Q345" s="188"/>
      <c r="R345" s="188"/>
      <c r="S345" s="146"/>
      <c r="T345" s="146"/>
      <c r="U345" s="141"/>
      <c r="V345" s="141" t="s">
        <v>2880</v>
      </c>
    </row>
    <row r="346" s="162" customFormat="1" ht="24" spans="1:22">
      <c r="A346" s="141"/>
      <c r="B346" s="141" t="s">
        <v>2760</v>
      </c>
      <c r="C346" s="141"/>
      <c r="D346" s="141" t="s">
        <v>147</v>
      </c>
      <c r="E346" s="141">
        <v>1145</v>
      </c>
      <c r="F346" s="141">
        <v>119</v>
      </c>
      <c r="G346" s="141">
        <v>447</v>
      </c>
      <c r="H346" s="141">
        <v>2019</v>
      </c>
      <c r="I346" s="141">
        <v>2019</v>
      </c>
      <c r="J346" s="188">
        <f t="shared" si="258"/>
        <v>4</v>
      </c>
      <c r="K346" s="188"/>
      <c r="L346" s="188">
        <v>4</v>
      </c>
      <c r="M346" s="188"/>
      <c r="N346" s="188"/>
      <c r="O346" s="188"/>
      <c r="P346" s="188">
        <f t="shared" si="259"/>
        <v>4</v>
      </c>
      <c r="Q346" s="188"/>
      <c r="R346" s="188"/>
      <c r="S346" s="146"/>
      <c r="T346" s="146"/>
      <c r="U346" s="141"/>
      <c r="V346" s="141" t="s">
        <v>2880</v>
      </c>
    </row>
    <row r="347" s="162" customFormat="1" ht="24" spans="1:22">
      <c r="A347" s="141"/>
      <c r="B347" s="141" t="s">
        <v>2755</v>
      </c>
      <c r="C347" s="141"/>
      <c r="D347" s="141" t="s">
        <v>147</v>
      </c>
      <c r="E347" s="141">
        <v>2022</v>
      </c>
      <c r="F347" s="141">
        <v>203</v>
      </c>
      <c r="G347" s="141">
        <v>745</v>
      </c>
      <c r="H347" s="141">
        <v>2019</v>
      </c>
      <c r="I347" s="141">
        <v>2019</v>
      </c>
      <c r="J347" s="188">
        <f t="shared" si="258"/>
        <v>4</v>
      </c>
      <c r="K347" s="188"/>
      <c r="L347" s="188">
        <v>4</v>
      </c>
      <c r="M347" s="188"/>
      <c r="N347" s="188"/>
      <c r="O347" s="188"/>
      <c r="P347" s="188">
        <f t="shared" si="259"/>
        <v>4</v>
      </c>
      <c r="Q347" s="188"/>
      <c r="R347" s="188"/>
      <c r="S347" s="146"/>
      <c r="T347" s="146"/>
      <c r="U347" s="141"/>
      <c r="V347" s="141" t="s">
        <v>2880</v>
      </c>
    </row>
    <row r="348" s="162" customFormat="1" ht="24" spans="1:22">
      <c r="A348" s="141"/>
      <c r="B348" s="141" t="s">
        <v>2756</v>
      </c>
      <c r="C348" s="141"/>
      <c r="D348" s="141" t="s">
        <v>147</v>
      </c>
      <c r="E348" s="141">
        <v>2645</v>
      </c>
      <c r="F348" s="141">
        <v>226</v>
      </c>
      <c r="G348" s="141">
        <v>849</v>
      </c>
      <c r="H348" s="141">
        <v>2019</v>
      </c>
      <c r="I348" s="141">
        <v>2019</v>
      </c>
      <c r="J348" s="188">
        <f t="shared" si="258"/>
        <v>4</v>
      </c>
      <c r="K348" s="188"/>
      <c r="L348" s="188">
        <v>4</v>
      </c>
      <c r="M348" s="188"/>
      <c r="N348" s="188"/>
      <c r="O348" s="188"/>
      <c r="P348" s="188">
        <f t="shared" si="259"/>
        <v>4</v>
      </c>
      <c r="Q348" s="188"/>
      <c r="R348" s="188"/>
      <c r="S348" s="146"/>
      <c r="T348" s="146"/>
      <c r="U348" s="141"/>
      <c r="V348" s="141" t="s">
        <v>2880</v>
      </c>
    </row>
    <row r="349" s="162" customFormat="1" ht="12" spans="1:22">
      <c r="A349" s="141">
        <v>72</v>
      </c>
      <c r="B349" s="192" t="s">
        <v>552</v>
      </c>
      <c r="C349" s="141" t="s">
        <v>320</v>
      </c>
      <c r="D349" s="141" t="s">
        <v>320</v>
      </c>
      <c r="E349" s="162">
        <v>1</v>
      </c>
      <c r="F349" s="141">
        <f t="shared" ref="F349:R349" si="260">F350</f>
        <v>14</v>
      </c>
      <c r="G349" s="141">
        <f t="shared" si="260"/>
        <v>54</v>
      </c>
      <c r="H349" s="177">
        <v>2018</v>
      </c>
      <c r="I349" s="177" t="s">
        <v>2592</v>
      </c>
      <c r="J349" s="188">
        <f t="shared" ref="J349:J352" si="261">K349+L349+M349</f>
        <v>20</v>
      </c>
      <c r="K349" s="188">
        <f t="shared" si="260"/>
        <v>0</v>
      </c>
      <c r="L349" s="188">
        <f t="shared" si="260"/>
        <v>20</v>
      </c>
      <c r="M349" s="188">
        <f t="shared" si="260"/>
        <v>0</v>
      </c>
      <c r="N349" s="188">
        <f t="shared" si="260"/>
        <v>0</v>
      </c>
      <c r="O349" s="188">
        <f t="shared" si="260"/>
        <v>20</v>
      </c>
      <c r="P349" s="188">
        <f t="shared" si="260"/>
        <v>0</v>
      </c>
      <c r="Q349" s="188">
        <f t="shared" si="260"/>
        <v>0</v>
      </c>
      <c r="R349" s="188">
        <f t="shared" si="260"/>
        <v>0</v>
      </c>
      <c r="S349" s="146" t="s">
        <v>2881</v>
      </c>
      <c r="T349" s="146" t="s">
        <v>2882</v>
      </c>
      <c r="U349" s="141" t="s">
        <v>320</v>
      </c>
      <c r="V349" s="141" t="s">
        <v>41</v>
      </c>
    </row>
    <row r="350" s="162" customFormat="1" ht="24" spans="1:22">
      <c r="A350" s="141"/>
      <c r="B350" s="192" t="s">
        <v>554</v>
      </c>
      <c r="C350" s="141" t="s">
        <v>52</v>
      </c>
      <c r="D350" s="141" t="s">
        <v>150</v>
      </c>
      <c r="E350" s="141">
        <v>1</v>
      </c>
      <c r="F350" s="141">
        <v>14</v>
      </c>
      <c r="G350" s="141">
        <v>54</v>
      </c>
      <c r="H350" s="141">
        <v>2019</v>
      </c>
      <c r="I350" s="141">
        <v>2019</v>
      </c>
      <c r="J350" s="188">
        <f t="shared" si="261"/>
        <v>20</v>
      </c>
      <c r="K350" s="188"/>
      <c r="L350" s="188">
        <v>20</v>
      </c>
      <c r="M350" s="188"/>
      <c r="N350" s="188"/>
      <c r="O350" s="188">
        <f>J350</f>
        <v>20</v>
      </c>
      <c r="P350" s="188"/>
      <c r="Q350" s="188"/>
      <c r="R350" s="188"/>
      <c r="S350" s="146"/>
      <c r="T350" s="146"/>
      <c r="U350" s="146" t="s">
        <v>553</v>
      </c>
      <c r="V350" s="141" t="s">
        <v>2883</v>
      </c>
    </row>
    <row r="351" s="162" customFormat="1" ht="24" spans="1:22">
      <c r="A351" s="141">
        <v>73</v>
      </c>
      <c r="B351" s="192" t="s">
        <v>555</v>
      </c>
      <c r="C351" s="141" t="s">
        <v>320</v>
      </c>
      <c r="D351" s="141" t="s">
        <v>320</v>
      </c>
      <c r="E351" s="141">
        <f t="shared" ref="E351:G351" si="262">E352</f>
        <v>1400</v>
      </c>
      <c r="F351" s="141">
        <f t="shared" si="262"/>
        <v>348</v>
      </c>
      <c r="G351" s="141">
        <f t="shared" si="262"/>
        <v>473</v>
      </c>
      <c r="H351" s="177">
        <v>2018</v>
      </c>
      <c r="I351" s="177" t="s">
        <v>2593</v>
      </c>
      <c r="J351" s="188">
        <f t="shared" si="261"/>
        <v>0</v>
      </c>
      <c r="K351" s="188"/>
      <c r="L351" s="188"/>
      <c r="M351" s="188"/>
      <c r="N351" s="188"/>
      <c r="O351" s="188"/>
      <c r="P351" s="188"/>
      <c r="Q351" s="188"/>
      <c r="R351" s="188"/>
      <c r="S351" s="146" t="s">
        <v>2751</v>
      </c>
      <c r="T351" s="146" t="s">
        <v>2763</v>
      </c>
      <c r="U351" s="141" t="s">
        <v>320</v>
      </c>
      <c r="V351" s="141" t="s">
        <v>2784</v>
      </c>
    </row>
    <row r="352" s="162" customFormat="1" ht="48" spans="1:22">
      <c r="A352" s="141"/>
      <c r="B352" s="192" t="s">
        <v>2884</v>
      </c>
      <c r="C352" s="141" t="s">
        <v>320</v>
      </c>
      <c r="D352" s="141" t="s">
        <v>147</v>
      </c>
      <c r="E352" s="141">
        <v>1400</v>
      </c>
      <c r="F352" s="141">
        <v>348</v>
      </c>
      <c r="G352" s="141">
        <v>473</v>
      </c>
      <c r="H352" s="141"/>
      <c r="I352" s="141"/>
      <c r="J352" s="188">
        <f t="shared" si="261"/>
        <v>0</v>
      </c>
      <c r="K352" s="188"/>
      <c r="L352" s="188"/>
      <c r="M352" s="188"/>
      <c r="N352" s="188"/>
      <c r="O352" s="188"/>
      <c r="P352" s="188"/>
      <c r="Q352" s="188"/>
      <c r="R352" s="188"/>
      <c r="S352" s="146"/>
      <c r="T352" s="146"/>
      <c r="U352" s="146" t="s">
        <v>294</v>
      </c>
      <c r="V352" s="141" t="s">
        <v>2784</v>
      </c>
    </row>
    <row r="353" s="162" customFormat="1" ht="12" spans="1:22">
      <c r="A353" s="141"/>
      <c r="B353" s="197" t="s">
        <v>570</v>
      </c>
      <c r="C353" s="195" t="s">
        <v>52</v>
      </c>
      <c r="D353" s="195" t="s">
        <v>150</v>
      </c>
      <c r="E353" s="195">
        <f t="shared" ref="E353:G353" si="263">E354</f>
        <v>104</v>
      </c>
      <c r="F353" s="195">
        <f t="shared" si="263"/>
        <v>1032</v>
      </c>
      <c r="G353" s="195">
        <f t="shared" si="263"/>
        <v>3855</v>
      </c>
      <c r="H353" s="195">
        <v>2019</v>
      </c>
      <c r="I353" s="195">
        <v>2019</v>
      </c>
      <c r="J353" s="146">
        <f t="shared" ref="J353:R353" si="264">J354</f>
        <v>312</v>
      </c>
      <c r="K353" s="146">
        <f t="shared" si="264"/>
        <v>0</v>
      </c>
      <c r="L353" s="146">
        <f t="shared" si="264"/>
        <v>312</v>
      </c>
      <c r="M353" s="146">
        <f t="shared" si="264"/>
        <v>0</v>
      </c>
      <c r="N353" s="146">
        <f t="shared" si="264"/>
        <v>312</v>
      </c>
      <c r="O353" s="146">
        <f t="shared" si="264"/>
        <v>0</v>
      </c>
      <c r="P353" s="146">
        <f t="shared" si="264"/>
        <v>0</v>
      </c>
      <c r="Q353" s="146">
        <f t="shared" si="264"/>
        <v>0</v>
      </c>
      <c r="R353" s="146">
        <f t="shared" si="264"/>
        <v>0</v>
      </c>
      <c r="S353" s="146"/>
      <c r="T353" s="146"/>
      <c r="U353" s="146"/>
      <c r="V353" s="141" t="s">
        <v>2885</v>
      </c>
    </row>
    <row r="354" s="162" customFormat="1" ht="12" spans="1:22">
      <c r="A354" s="141"/>
      <c r="B354" s="141" t="s">
        <v>2886</v>
      </c>
      <c r="C354" s="195" t="s">
        <v>52</v>
      </c>
      <c r="D354" s="195" t="s">
        <v>150</v>
      </c>
      <c r="E354" s="195">
        <f t="shared" ref="E354:G354" si="265">SUM(E355:E360)</f>
        <v>104</v>
      </c>
      <c r="F354" s="195">
        <f t="shared" si="265"/>
        <v>1032</v>
      </c>
      <c r="G354" s="195">
        <f t="shared" si="265"/>
        <v>3855</v>
      </c>
      <c r="H354" s="195">
        <v>2019</v>
      </c>
      <c r="I354" s="195">
        <v>2019</v>
      </c>
      <c r="J354" s="146">
        <f t="shared" ref="J354:R354" si="266">SUM(J355:J360)</f>
        <v>312</v>
      </c>
      <c r="K354" s="146">
        <f t="shared" si="266"/>
        <v>0</v>
      </c>
      <c r="L354" s="146">
        <f t="shared" si="266"/>
        <v>312</v>
      </c>
      <c r="M354" s="146">
        <f t="shared" si="266"/>
        <v>0</v>
      </c>
      <c r="N354" s="146">
        <f t="shared" si="266"/>
        <v>312</v>
      </c>
      <c r="O354" s="146">
        <f t="shared" si="266"/>
        <v>0</v>
      </c>
      <c r="P354" s="146">
        <f t="shared" si="266"/>
        <v>0</v>
      </c>
      <c r="Q354" s="146">
        <f t="shared" si="266"/>
        <v>0</v>
      </c>
      <c r="R354" s="146">
        <f t="shared" si="266"/>
        <v>0</v>
      </c>
      <c r="S354" s="146"/>
      <c r="T354" s="146"/>
      <c r="U354" s="146" t="s">
        <v>273</v>
      </c>
      <c r="V354" s="141" t="s">
        <v>2887</v>
      </c>
    </row>
    <row r="355" s="162" customFormat="1" ht="12" spans="1:22">
      <c r="A355" s="141"/>
      <c r="B355" s="141" t="s">
        <v>2758</v>
      </c>
      <c r="C355" s="195" t="s">
        <v>52</v>
      </c>
      <c r="D355" s="195" t="s">
        <v>150</v>
      </c>
      <c r="E355" s="195">
        <v>12</v>
      </c>
      <c r="F355" s="195">
        <v>190</v>
      </c>
      <c r="G355" s="195">
        <v>698</v>
      </c>
      <c r="H355" s="195">
        <v>2019</v>
      </c>
      <c r="I355" s="195">
        <v>2019</v>
      </c>
      <c r="J355" s="146">
        <f t="shared" ref="J355:J360" si="267">K355+L355+M355</f>
        <v>36</v>
      </c>
      <c r="K355" s="146"/>
      <c r="L355" s="146">
        <f t="shared" ref="L355:L360" si="268">E355*30000/10000</f>
        <v>36</v>
      </c>
      <c r="M355" s="146"/>
      <c r="N355" s="146">
        <f t="shared" ref="N355:N360" si="269">J355</f>
        <v>36</v>
      </c>
      <c r="O355" s="146"/>
      <c r="P355" s="146"/>
      <c r="Q355" s="146"/>
      <c r="R355" s="146"/>
      <c r="S355" s="146"/>
      <c r="T355" s="146"/>
      <c r="U355" s="146"/>
      <c r="V355" s="141" t="s">
        <v>2887</v>
      </c>
    </row>
    <row r="356" s="162" customFormat="1" ht="12" spans="1:22">
      <c r="A356" s="141"/>
      <c r="B356" s="141" t="s">
        <v>2754</v>
      </c>
      <c r="C356" s="195" t="s">
        <v>52</v>
      </c>
      <c r="D356" s="195" t="s">
        <v>150</v>
      </c>
      <c r="E356" s="195">
        <v>19</v>
      </c>
      <c r="F356" s="141">
        <v>183</v>
      </c>
      <c r="G356" s="141">
        <v>708</v>
      </c>
      <c r="H356" s="195">
        <v>2019</v>
      </c>
      <c r="I356" s="195">
        <v>2019</v>
      </c>
      <c r="J356" s="146">
        <f t="shared" si="267"/>
        <v>57</v>
      </c>
      <c r="K356" s="146"/>
      <c r="L356" s="146">
        <f t="shared" si="268"/>
        <v>57</v>
      </c>
      <c r="M356" s="146"/>
      <c r="N356" s="146">
        <f t="shared" si="269"/>
        <v>57</v>
      </c>
      <c r="O356" s="146"/>
      <c r="P356" s="146"/>
      <c r="Q356" s="146"/>
      <c r="R356" s="146"/>
      <c r="S356" s="146"/>
      <c r="T356" s="146"/>
      <c r="U356" s="146"/>
      <c r="V356" s="141" t="s">
        <v>2887</v>
      </c>
    </row>
    <row r="357" s="162" customFormat="1" ht="12" spans="1:22">
      <c r="A357" s="141"/>
      <c r="B357" s="141" t="s">
        <v>2759</v>
      </c>
      <c r="C357" s="195" t="s">
        <v>52</v>
      </c>
      <c r="D357" s="195" t="s">
        <v>150</v>
      </c>
      <c r="E357" s="195">
        <v>15</v>
      </c>
      <c r="F357" s="195">
        <v>111</v>
      </c>
      <c r="G357" s="195">
        <v>408</v>
      </c>
      <c r="H357" s="195">
        <v>2019</v>
      </c>
      <c r="I357" s="195">
        <v>2019</v>
      </c>
      <c r="J357" s="146">
        <f t="shared" si="267"/>
        <v>45</v>
      </c>
      <c r="K357" s="146"/>
      <c r="L357" s="146">
        <f t="shared" si="268"/>
        <v>45</v>
      </c>
      <c r="M357" s="146"/>
      <c r="N357" s="146">
        <f t="shared" si="269"/>
        <v>45</v>
      </c>
      <c r="O357" s="146"/>
      <c r="P357" s="146"/>
      <c r="Q357" s="146"/>
      <c r="R357" s="146"/>
      <c r="S357" s="146"/>
      <c r="T357" s="146"/>
      <c r="U357" s="146"/>
      <c r="V357" s="141" t="s">
        <v>2887</v>
      </c>
    </row>
    <row r="358" s="162" customFormat="1" ht="12" spans="1:22">
      <c r="A358" s="141"/>
      <c r="B358" s="141" t="s">
        <v>2760</v>
      </c>
      <c r="C358" s="195" t="s">
        <v>52</v>
      </c>
      <c r="D358" s="195" t="s">
        <v>150</v>
      </c>
      <c r="E358" s="195">
        <v>12</v>
      </c>
      <c r="F358" s="195">
        <v>119</v>
      </c>
      <c r="G358" s="195">
        <v>447</v>
      </c>
      <c r="H358" s="195">
        <v>2019</v>
      </c>
      <c r="I358" s="195">
        <v>2019</v>
      </c>
      <c r="J358" s="146">
        <f t="shared" si="267"/>
        <v>36</v>
      </c>
      <c r="K358" s="146"/>
      <c r="L358" s="146">
        <f t="shared" si="268"/>
        <v>36</v>
      </c>
      <c r="M358" s="146"/>
      <c r="N358" s="146">
        <f t="shared" si="269"/>
        <v>36</v>
      </c>
      <c r="O358" s="146"/>
      <c r="P358" s="146"/>
      <c r="Q358" s="146"/>
      <c r="R358" s="146"/>
      <c r="S358" s="146"/>
      <c r="T358" s="146"/>
      <c r="U358" s="146"/>
      <c r="V358" s="141" t="s">
        <v>2887</v>
      </c>
    </row>
    <row r="359" s="162" customFormat="1" ht="12" spans="1:22">
      <c r="A359" s="141"/>
      <c r="B359" s="141" t="s">
        <v>2755</v>
      </c>
      <c r="C359" s="195" t="s">
        <v>52</v>
      </c>
      <c r="D359" s="195" t="s">
        <v>150</v>
      </c>
      <c r="E359" s="195">
        <v>23</v>
      </c>
      <c r="F359" s="195">
        <v>203</v>
      </c>
      <c r="G359" s="195">
        <v>745</v>
      </c>
      <c r="H359" s="195">
        <v>2019</v>
      </c>
      <c r="I359" s="195">
        <v>2019</v>
      </c>
      <c r="J359" s="146">
        <f t="shared" si="267"/>
        <v>69</v>
      </c>
      <c r="K359" s="146"/>
      <c r="L359" s="146">
        <f t="shared" si="268"/>
        <v>69</v>
      </c>
      <c r="M359" s="146"/>
      <c r="N359" s="146">
        <f t="shared" si="269"/>
        <v>69</v>
      </c>
      <c r="O359" s="146"/>
      <c r="P359" s="146"/>
      <c r="Q359" s="146"/>
      <c r="R359" s="146"/>
      <c r="S359" s="146"/>
      <c r="T359" s="146"/>
      <c r="U359" s="146"/>
      <c r="V359" s="141" t="s">
        <v>2887</v>
      </c>
    </row>
    <row r="360" s="162" customFormat="1" ht="12" spans="1:22">
      <c r="A360" s="141"/>
      <c r="B360" s="141" t="s">
        <v>2756</v>
      </c>
      <c r="C360" s="195" t="s">
        <v>52</v>
      </c>
      <c r="D360" s="195" t="s">
        <v>150</v>
      </c>
      <c r="E360" s="195">
        <v>23</v>
      </c>
      <c r="F360" s="195">
        <v>226</v>
      </c>
      <c r="G360" s="195">
        <v>849</v>
      </c>
      <c r="H360" s="195">
        <v>2019</v>
      </c>
      <c r="I360" s="195">
        <v>2019</v>
      </c>
      <c r="J360" s="146">
        <f t="shared" si="267"/>
        <v>69</v>
      </c>
      <c r="K360" s="146"/>
      <c r="L360" s="146">
        <f t="shared" si="268"/>
        <v>69</v>
      </c>
      <c r="M360" s="146"/>
      <c r="N360" s="146">
        <f t="shared" si="269"/>
        <v>69</v>
      </c>
      <c r="O360" s="146"/>
      <c r="P360" s="146"/>
      <c r="Q360" s="146"/>
      <c r="R360" s="146"/>
      <c r="S360" s="146"/>
      <c r="T360" s="146"/>
      <c r="U360" s="146"/>
      <c r="V360" s="141" t="s">
        <v>2887</v>
      </c>
    </row>
    <row r="361" s="162" customFormat="1" ht="12" spans="1:22">
      <c r="A361" s="141">
        <v>74</v>
      </c>
      <c r="B361" s="192" t="s">
        <v>1048</v>
      </c>
      <c r="C361" s="141"/>
      <c r="D361" s="141"/>
      <c r="E361" s="141">
        <f t="shared" ref="E361:I361" si="270">E365</f>
        <v>5</v>
      </c>
      <c r="F361" s="141">
        <f t="shared" si="270"/>
        <v>921</v>
      </c>
      <c r="G361" s="141">
        <f t="shared" si="270"/>
        <v>3447</v>
      </c>
      <c r="H361" s="177">
        <f t="shared" si="270"/>
        <v>2018</v>
      </c>
      <c r="I361" s="177" t="str">
        <f t="shared" si="270"/>
        <v>2018</v>
      </c>
      <c r="J361" s="188">
        <f t="shared" ref="J361:R361" si="271">J362+J371</f>
        <v>150</v>
      </c>
      <c r="K361" s="188">
        <f t="shared" si="271"/>
        <v>120</v>
      </c>
      <c r="L361" s="188">
        <f t="shared" si="271"/>
        <v>30</v>
      </c>
      <c r="M361" s="188">
        <f t="shared" si="271"/>
        <v>0</v>
      </c>
      <c r="N361" s="188">
        <f t="shared" si="271"/>
        <v>0</v>
      </c>
      <c r="O361" s="188">
        <f t="shared" si="271"/>
        <v>150</v>
      </c>
      <c r="P361" s="188">
        <f t="shared" si="271"/>
        <v>0</v>
      </c>
      <c r="Q361" s="188">
        <f t="shared" si="271"/>
        <v>0</v>
      </c>
      <c r="R361" s="188">
        <f t="shared" si="271"/>
        <v>0</v>
      </c>
      <c r="S361" s="141" t="s">
        <v>2789</v>
      </c>
      <c r="T361" s="141"/>
      <c r="U361" s="146"/>
      <c r="V361" s="141" t="s">
        <v>41</v>
      </c>
    </row>
    <row r="362" s="162" customFormat="1" ht="12" spans="1:22">
      <c r="A362" s="141">
        <v>75</v>
      </c>
      <c r="B362" s="192" t="s">
        <v>1049</v>
      </c>
      <c r="C362" s="141" t="s">
        <v>320</v>
      </c>
      <c r="D362" s="141" t="s">
        <v>320</v>
      </c>
      <c r="E362" s="141"/>
      <c r="F362" s="141"/>
      <c r="G362" s="141"/>
      <c r="H362" s="141"/>
      <c r="I362" s="141"/>
      <c r="J362" s="188">
        <f t="shared" ref="J362:R362" si="272">J363+J364+J365</f>
        <v>150</v>
      </c>
      <c r="K362" s="188">
        <f t="shared" si="272"/>
        <v>120</v>
      </c>
      <c r="L362" s="188">
        <f t="shared" si="272"/>
        <v>30</v>
      </c>
      <c r="M362" s="188">
        <f t="shared" si="272"/>
        <v>0</v>
      </c>
      <c r="N362" s="188">
        <f t="shared" si="272"/>
        <v>0</v>
      </c>
      <c r="O362" s="188">
        <f t="shared" si="272"/>
        <v>150</v>
      </c>
      <c r="P362" s="188">
        <f t="shared" si="272"/>
        <v>0</v>
      </c>
      <c r="Q362" s="188">
        <f t="shared" si="272"/>
        <v>0</v>
      </c>
      <c r="R362" s="188">
        <f t="shared" si="272"/>
        <v>0</v>
      </c>
      <c r="S362" s="141" t="s">
        <v>2789</v>
      </c>
      <c r="T362" s="141"/>
      <c r="U362" s="141" t="s">
        <v>320</v>
      </c>
      <c r="V362" s="141" t="s">
        <v>41</v>
      </c>
    </row>
    <row r="363" s="162" customFormat="1" ht="12" spans="1:22">
      <c r="A363" s="141">
        <v>76</v>
      </c>
      <c r="B363" s="192" t="s">
        <v>1237</v>
      </c>
      <c r="C363" s="141" t="s">
        <v>52</v>
      </c>
      <c r="D363" s="141" t="s">
        <v>202</v>
      </c>
      <c r="E363" s="141"/>
      <c r="F363" s="141"/>
      <c r="G363" s="141"/>
      <c r="H363" s="141"/>
      <c r="I363" s="141"/>
      <c r="J363" s="188">
        <f t="shared" ref="J363:J371" si="273">K363+L363+M363</f>
        <v>0</v>
      </c>
      <c r="K363" s="188"/>
      <c r="L363" s="188"/>
      <c r="M363" s="188"/>
      <c r="N363" s="188"/>
      <c r="O363" s="188"/>
      <c r="P363" s="188"/>
      <c r="Q363" s="188"/>
      <c r="R363" s="188"/>
      <c r="S363" s="146"/>
      <c r="T363" s="146"/>
      <c r="U363" s="146" t="s">
        <v>497</v>
      </c>
      <c r="V363" s="141" t="s">
        <v>41</v>
      </c>
    </row>
    <row r="364" s="162" customFormat="1" ht="24" spans="1:22">
      <c r="A364" s="141">
        <v>77</v>
      </c>
      <c r="B364" s="141" t="s">
        <v>1238</v>
      </c>
      <c r="C364" s="141" t="s">
        <v>320</v>
      </c>
      <c r="D364" s="141" t="s">
        <v>320</v>
      </c>
      <c r="E364" s="141"/>
      <c r="F364" s="141"/>
      <c r="G364" s="141"/>
      <c r="H364" s="141"/>
      <c r="I364" s="141"/>
      <c r="J364" s="188"/>
      <c r="K364" s="188"/>
      <c r="L364" s="188"/>
      <c r="M364" s="188"/>
      <c r="N364" s="188"/>
      <c r="O364" s="188"/>
      <c r="P364" s="188"/>
      <c r="Q364" s="188"/>
      <c r="R364" s="188"/>
      <c r="S364" s="193"/>
      <c r="T364" s="193"/>
      <c r="U364" s="193" t="s">
        <v>160</v>
      </c>
      <c r="V364" s="141" t="s">
        <v>41</v>
      </c>
    </row>
    <row r="365" s="162" customFormat="1" ht="24" spans="1:22">
      <c r="A365" s="141">
        <v>78</v>
      </c>
      <c r="B365" s="141" t="s">
        <v>1239</v>
      </c>
      <c r="C365" s="141" t="s">
        <v>320</v>
      </c>
      <c r="D365" s="141" t="s">
        <v>150</v>
      </c>
      <c r="E365" s="141">
        <v>5</v>
      </c>
      <c r="F365" s="141">
        <f t="shared" ref="F365:G365" si="274">SUM(F366:F370)</f>
        <v>921</v>
      </c>
      <c r="G365" s="141">
        <f t="shared" si="274"/>
        <v>3447</v>
      </c>
      <c r="H365" s="177">
        <v>2018</v>
      </c>
      <c r="I365" s="177" t="s">
        <v>2592</v>
      </c>
      <c r="J365" s="146">
        <f t="shared" ref="J365:S365" si="275">SUM(J366:J370)</f>
        <v>150</v>
      </c>
      <c r="K365" s="146">
        <f t="shared" si="275"/>
        <v>120</v>
      </c>
      <c r="L365" s="146">
        <f t="shared" si="275"/>
        <v>30</v>
      </c>
      <c r="M365" s="146">
        <f t="shared" si="275"/>
        <v>0</v>
      </c>
      <c r="N365" s="146">
        <f t="shared" si="275"/>
        <v>0</v>
      </c>
      <c r="O365" s="146">
        <f t="shared" si="275"/>
        <v>150</v>
      </c>
      <c r="P365" s="146">
        <f t="shared" si="275"/>
        <v>0</v>
      </c>
      <c r="Q365" s="146">
        <f t="shared" si="275"/>
        <v>0</v>
      </c>
      <c r="R365" s="146">
        <f t="shared" si="275"/>
        <v>0</v>
      </c>
      <c r="S365" s="146">
        <f t="shared" si="275"/>
        <v>0</v>
      </c>
      <c r="T365" s="146"/>
      <c r="U365" s="146" t="s">
        <v>435</v>
      </c>
      <c r="V365" s="141" t="s">
        <v>41</v>
      </c>
    </row>
    <row r="366" s="162" customFormat="1" ht="12" spans="1:22">
      <c r="A366" s="141"/>
      <c r="B366" s="141" t="s">
        <v>2758</v>
      </c>
      <c r="C366" s="141"/>
      <c r="D366" s="141" t="s">
        <v>150</v>
      </c>
      <c r="E366" s="141">
        <v>1</v>
      </c>
      <c r="F366" s="141">
        <v>190</v>
      </c>
      <c r="G366" s="141">
        <v>698</v>
      </c>
      <c r="H366" s="177">
        <v>2018</v>
      </c>
      <c r="I366" s="177" t="s">
        <v>2750</v>
      </c>
      <c r="J366" s="188">
        <f t="shared" si="273"/>
        <v>30</v>
      </c>
      <c r="K366" s="188">
        <v>15</v>
      </c>
      <c r="L366" s="188">
        <v>15</v>
      </c>
      <c r="M366" s="188"/>
      <c r="N366" s="188"/>
      <c r="O366" s="188">
        <v>30</v>
      </c>
      <c r="P366" s="188"/>
      <c r="Q366" s="188"/>
      <c r="R366" s="188"/>
      <c r="S366" s="146"/>
      <c r="T366" s="146"/>
      <c r="U366" s="146"/>
      <c r="V366" s="141"/>
    </row>
    <row r="367" s="162" customFormat="1" ht="12" spans="1:22">
      <c r="A367" s="141"/>
      <c r="B367" s="141" t="s">
        <v>2754</v>
      </c>
      <c r="C367" s="141"/>
      <c r="D367" s="141" t="s">
        <v>150</v>
      </c>
      <c r="E367" s="141">
        <v>1</v>
      </c>
      <c r="F367" s="141">
        <v>183</v>
      </c>
      <c r="G367" s="141">
        <v>708</v>
      </c>
      <c r="H367" s="177">
        <v>2018</v>
      </c>
      <c r="I367" s="177" t="s">
        <v>2592</v>
      </c>
      <c r="J367" s="188">
        <f t="shared" si="273"/>
        <v>30</v>
      </c>
      <c r="K367" s="188">
        <v>30</v>
      </c>
      <c r="L367" s="188"/>
      <c r="M367" s="188"/>
      <c r="N367" s="188"/>
      <c r="O367" s="188">
        <v>30</v>
      </c>
      <c r="P367" s="188"/>
      <c r="Q367" s="188"/>
      <c r="R367" s="188"/>
      <c r="S367" s="146"/>
      <c r="T367" s="146"/>
      <c r="U367" s="146"/>
      <c r="V367" s="141"/>
    </row>
    <row r="368" s="162" customFormat="1" ht="12" spans="1:22">
      <c r="A368" s="141"/>
      <c r="B368" s="141" t="s">
        <v>2760</v>
      </c>
      <c r="C368" s="141"/>
      <c r="D368" s="141" t="s">
        <v>150</v>
      </c>
      <c r="E368" s="141">
        <v>1</v>
      </c>
      <c r="F368" s="141">
        <v>119</v>
      </c>
      <c r="G368" s="141">
        <v>447</v>
      </c>
      <c r="H368" s="177">
        <v>2018</v>
      </c>
      <c r="I368" s="177" t="s">
        <v>2592</v>
      </c>
      <c r="J368" s="188">
        <f t="shared" si="273"/>
        <v>30</v>
      </c>
      <c r="K368" s="188">
        <v>30</v>
      </c>
      <c r="L368" s="188"/>
      <c r="M368" s="188"/>
      <c r="N368" s="188"/>
      <c r="O368" s="188">
        <v>30</v>
      </c>
      <c r="P368" s="188"/>
      <c r="Q368" s="188"/>
      <c r="R368" s="188"/>
      <c r="S368" s="146"/>
      <c r="T368" s="146"/>
      <c r="U368" s="146"/>
      <c r="V368" s="141"/>
    </row>
    <row r="369" s="162" customFormat="1" ht="12" spans="1:22">
      <c r="A369" s="141"/>
      <c r="B369" s="141" t="s">
        <v>2755</v>
      </c>
      <c r="C369" s="141"/>
      <c r="D369" s="141" t="s">
        <v>150</v>
      </c>
      <c r="E369" s="141">
        <v>1</v>
      </c>
      <c r="F369" s="141">
        <v>203</v>
      </c>
      <c r="G369" s="141">
        <v>745</v>
      </c>
      <c r="H369" s="177">
        <v>2018</v>
      </c>
      <c r="I369" s="177" t="s">
        <v>2592</v>
      </c>
      <c r="J369" s="188">
        <f t="shared" si="273"/>
        <v>30</v>
      </c>
      <c r="K369" s="188">
        <v>30</v>
      </c>
      <c r="L369" s="188"/>
      <c r="M369" s="188"/>
      <c r="N369" s="188"/>
      <c r="O369" s="188">
        <v>30</v>
      </c>
      <c r="P369" s="188"/>
      <c r="Q369" s="188"/>
      <c r="R369" s="188"/>
      <c r="S369" s="146"/>
      <c r="T369" s="146"/>
      <c r="U369" s="146"/>
      <c r="V369" s="141"/>
    </row>
    <row r="370" s="162" customFormat="1" ht="12" spans="1:22">
      <c r="A370" s="141"/>
      <c r="B370" s="141" t="s">
        <v>2756</v>
      </c>
      <c r="C370" s="141"/>
      <c r="D370" s="141" t="s">
        <v>150</v>
      </c>
      <c r="E370" s="141">
        <v>1</v>
      </c>
      <c r="F370" s="141">
        <v>226</v>
      </c>
      <c r="G370" s="141">
        <v>849</v>
      </c>
      <c r="H370" s="177">
        <v>2018</v>
      </c>
      <c r="I370" s="177" t="s">
        <v>2750</v>
      </c>
      <c r="J370" s="188">
        <f t="shared" si="273"/>
        <v>30</v>
      </c>
      <c r="K370" s="188">
        <v>15</v>
      </c>
      <c r="L370" s="188">
        <v>15</v>
      </c>
      <c r="M370" s="188"/>
      <c r="N370" s="188"/>
      <c r="O370" s="188">
        <v>30</v>
      </c>
      <c r="P370" s="188"/>
      <c r="Q370" s="188"/>
      <c r="R370" s="188"/>
      <c r="S370" s="146"/>
      <c r="T370" s="146"/>
      <c r="U370" s="146"/>
      <c r="V370" s="141"/>
    </row>
    <row r="371" s="162" customFormat="1" ht="12" spans="1:22">
      <c r="A371" s="141">
        <v>79</v>
      </c>
      <c r="B371" s="198" t="s">
        <v>1059</v>
      </c>
      <c r="C371" s="199"/>
      <c r="D371" s="141"/>
      <c r="E371" s="141"/>
      <c r="F371" s="141">
        <v>0</v>
      </c>
      <c r="G371" s="141">
        <v>0</v>
      </c>
      <c r="H371" s="141"/>
      <c r="I371" s="141"/>
      <c r="J371" s="188">
        <f t="shared" si="273"/>
        <v>0</v>
      </c>
      <c r="K371" s="188"/>
      <c r="L371" s="188"/>
      <c r="M371" s="188"/>
      <c r="N371" s="188"/>
      <c r="O371" s="188"/>
      <c r="P371" s="188"/>
      <c r="Q371" s="188"/>
      <c r="R371" s="188"/>
      <c r="S371" s="141"/>
      <c r="T371" s="141"/>
      <c r="U371" s="146" t="s">
        <v>43</v>
      </c>
      <c r="V371" s="141" t="s">
        <v>41</v>
      </c>
    </row>
    <row r="372" spans="1:10">
      <c r="A372" s="164" t="s">
        <v>1256</v>
      </c>
      <c r="H372" s="69"/>
      <c r="I372" s="69"/>
      <c r="J372" s="200"/>
    </row>
    <row r="373" ht="29.1" customHeight="1" spans="1:9">
      <c r="A373" s="164" t="s">
        <v>1416</v>
      </c>
      <c r="H373" s="69"/>
      <c r="I373" s="69"/>
    </row>
    <row r="374" ht="18.95" customHeight="1" spans="1:9">
      <c r="A374" s="164" t="s">
        <v>1258</v>
      </c>
      <c r="H374" s="69"/>
      <c r="I374" s="69"/>
    </row>
    <row r="375" spans="10:10">
      <c r="J375" s="200"/>
    </row>
    <row r="376" spans="10:10">
      <c r="J376" s="200"/>
    </row>
    <row r="377" spans="10:10">
      <c r="J377" s="200"/>
    </row>
    <row r="378" spans="10:10">
      <c r="J378" s="200"/>
    </row>
    <row r="379" spans="10:10">
      <c r="J379" s="200"/>
    </row>
    <row r="380" spans="10:10">
      <c r="J380" s="200"/>
    </row>
    <row r="381" spans="10:10">
      <c r="J381" s="200"/>
    </row>
    <row r="382" spans="10:10">
      <c r="J382" s="200"/>
    </row>
    <row r="383" spans="10:10">
      <c r="J383" s="200"/>
    </row>
    <row r="384" spans="10:10">
      <c r="J384" s="200"/>
    </row>
    <row r="385" spans="10:10">
      <c r="J385" s="200"/>
    </row>
    <row r="386" spans="10:10">
      <c r="J386" s="200"/>
    </row>
  </sheetData>
  <mergeCells count="20">
    <mergeCell ref="A1:B1"/>
    <mergeCell ref="A2:V2"/>
    <mergeCell ref="A3:V3"/>
    <mergeCell ref="A4:V4"/>
    <mergeCell ref="F5:G5"/>
    <mergeCell ref="H5:I5"/>
    <mergeCell ref="J5:M5"/>
    <mergeCell ref="N5:R5"/>
    <mergeCell ref="B371:C371"/>
    <mergeCell ref="A372:F372"/>
    <mergeCell ref="A373:K373"/>
    <mergeCell ref="A374:J374"/>
    <mergeCell ref="A5:A7"/>
    <mergeCell ref="B5:B7"/>
    <mergeCell ref="C5:C7"/>
    <mergeCell ref="D5:D6"/>
    <mergeCell ref="E5:E6"/>
    <mergeCell ref="U5:U6"/>
    <mergeCell ref="V5:V6"/>
    <mergeCell ref="S5:T6"/>
  </mergeCells>
  <dataValidations count="1">
    <dataValidation allowBlank="1" showInputMessage="1" showErrorMessage="1" sqref="A2 A3"/>
  </dataValidations>
  <pageMargins left="0.309027777777778" right="0.0777777777777778" top="0.388888888888889" bottom="0.279166666666667" header="0.279166666666667" footer="0.11875"/>
  <pageSetup paperSize="9" scale="64" orientation="landscape"/>
  <headerFooter alignWithMargins="0" scaleWithDoc="0"/>
  <rowBreaks count="1" manualBreakCount="1">
    <brk id="346"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W506"/>
  <sheetViews>
    <sheetView view="pageBreakPreview" zoomScaleNormal="100" workbookViewId="0">
      <pane xSplit="9" ySplit="7" topLeftCell="J47" activePane="bottomRight" state="frozen"/>
      <selection/>
      <selection pane="topRight"/>
      <selection pane="bottomLeft"/>
      <selection pane="bottomRight" activeCell="K49" sqref="K49"/>
    </sheetView>
  </sheetViews>
  <sheetFormatPr defaultColWidth="9" defaultRowHeight="13.5"/>
  <cols>
    <col min="1" max="1" width="3.88333333333333" style="104" customWidth="1"/>
    <col min="2" max="2" width="24.5" style="105" customWidth="1"/>
    <col min="3" max="3" width="8.13333333333333" style="104" customWidth="1"/>
    <col min="4" max="4" width="6.88333333333333" style="104" customWidth="1"/>
    <col min="5" max="5" width="13" style="104" customWidth="1"/>
    <col min="6" max="9" width="6.88333333333333" style="104" customWidth="1"/>
    <col min="10" max="10" width="14.25" style="104" customWidth="1"/>
    <col min="11" max="11" width="9.5" style="104" customWidth="1"/>
    <col min="12" max="12" width="9.63333333333333" style="104" customWidth="1"/>
    <col min="13" max="13" width="8.5" style="104" customWidth="1"/>
    <col min="14" max="14" width="10.5" style="104" customWidth="1"/>
    <col min="15" max="15" width="9" style="104" customWidth="1"/>
    <col min="16" max="18" width="7.88333333333333" style="104" customWidth="1"/>
    <col min="19" max="19" width="10.25" style="104" customWidth="1"/>
    <col min="20" max="20" width="7.75" style="104" customWidth="1"/>
    <col min="21" max="21" width="7.13333333333333" style="104" customWidth="1"/>
    <col min="22" max="22" width="12.25" style="106" hidden="1" customWidth="1"/>
    <col min="23" max="23" width="9" style="105" hidden="1" customWidth="1"/>
    <col min="24" max="16384" width="9" style="105"/>
  </cols>
  <sheetData>
    <row r="1" ht="19.5" customHeight="1" spans="1:22">
      <c r="A1" s="107" t="s">
        <v>1417</v>
      </c>
      <c r="B1" s="107"/>
      <c r="C1" s="108"/>
      <c r="D1" s="108"/>
      <c r="E1" s="108"/>
      <c r="F1" s="108"/>
      <c r="G1" s="108"/>
      <c r="H1" s="108"/>
      <c r="I1" s="108"/>
      <c r="J1" s="108"/>
      <c r="K1" s="108"/>
      <c r="L1" s="108"/>
      <c r="M1" s="108"/>
      <c r="N1" s="108"/>
      <c r="O1" s="108"/>
      <c r="P1" s="108"/>
      <c r="Q1" s="108"/>
      <c r="R1" s="108"/>
      <c r="S1" s="108"/>
      <c r="T1" s="108"/>
      <c r="U1" s="108"/>
      <c r="V1" s="69"/>
    </row>
    <row r="2" ht="25.5" customHeight="1" spans="1:22">
      <c r="A2" s="8" t="s">
        <v>2888</v>
      </c>
      <c r="B2" s="8"/>
      <c r="C2" s="8"/>
      <c r="D2" s="8"/>
      <c r="E2" s="8"/>
      <c r="F2" s="8"/>
      <c r="G2" s="8"/>
      <c r="H2" s="8"/>
      <c r="I2" s="8"/>
      <c r="J2" s="8"/>
      <c r="K2" s="8"/>
      <c r="L2" s="8"/>
      <c r="M2" s="8"/>
      <c r="N2" s="8"/>
      <c r="O2" s="8"/>
      <c r="P2" s="8"/>
      <c r="Q2" s="8"/>
      <c r="R2" s="8"/>
      <c r="S2" s="8"/>
      <c r="T2" s="8"/>
      <c r="U2" s="8"/>
      <c r="V2" s="46"/>
    </row>
    <row r="3" s="103" customFormat="1" ht="24" customHeight="1" spans="1:22">
      <c r="A3" s="109" t="s">
        <v>2889</v>
      </c>
      <c r="B3" s="110"/>
      <c r="C3" s="110"/>
      <c r="D3" s="110"/>
      <c r="E3" s="110"/>
      <c r="F3" s="110"/>
      <c r="G3" s="110"/>
      <c r="H3" s="110"/>
      <c r="I3" s="110"/>
      <c r="J3" s="110"/>
      <c r="K3" s="110"/>
      <c r="L3" s="110"/>
      <c r="M3" s="110"/>
      <c r="N3" s="110"/>
      <c r="O3" s="110"/>
      <c r="P3" s="110"/>
      <c r="Q3" s="110"/>
      <c r="R3" s="110"/>
      <c r="S3" s="110"/>
      <c r="T3" s="110"/>
      <c r="U3" s="125"/>
      <c r="V3" s="69"/>
    </row>
    <row r="4" s="103" customFormat="1" ht="21.75" customHeight="1" spans="1:22">
      <c r="A4" s="111" t="s">
        <v>3</v>
      </c>
      <c r="B4" s="111" t="s">
        <v>4</v>
      </c>
      <c r="C4" s="56" t="s">
        <v>1066</v>
      </c>
      <c r="D4" s="112" t="s">
        <v>6</v>
      </c>
      <c r="E4" s="111" t="s">
        <v>736</v>
      </c>
      <c r="F4" s="113" t="s">
        <v>737</v>
      </c>
      <c r="G4" s="113"/>
      <c r="H4" s="114" t="s">
        <v>11</v>
      </c>
      <c r="I4" s="117"/>
      <c r="J4" s="118" t="s">
        <v>12</v>
      </c>
      <c r="K4" s="118"/>
      <c r="L4" s="118"/>
      <c r="M4" s="118"/>
      <c r="N4" s="119" t="s">
        <v>13</v>
      </c>
      <c r="O4" s="119"/>
      <c r="P4" s="119"/>
      <c r="Q4" s="119"/>
      <c r="R4" s="119"/>
      <c r="S4" s="126" t="s">
        <v>18</v>
      </c>
      <c r="T4" s="127"/>
      <c r="U4" s="128" t="s">
        <v>19</v>
      </c>
      <c r="V4" s="56" t="s">
        <v>20</v>
      </c>
    </row>
    <row r="5" ht="34.5" customHeight="1" spans="1:22">
      <c r="A5" s="115"/>
      <c r="B5" s="115"/>
      <c r="C5" s="56"/>
      <c r="D5" s="112"/>
      <c r="E5" s="116"/>
      <c r="F5" s="112" t="s">
        <v>384</v>
      </c>
      <c r="G5" s="112" t="s">
        <v>147</v>
      </c>
      <c r="H5" s="56" t="s">
        <v>22</v>
      </c>
      <c r="I5" s="56" t="s">
        <v>23</v>
      </c>
      <c r="J5" s="120" t="s">
        <v>38</v>
      </c>
      <c r="K5" s="56" t="s">
        <v>591</v>
      </c>
      <c r="L5" s="56" t="s">
        <v>592</v>
      </c>
      <c r="M5" s="56" t="s">
        <v>593</v>
      </c>
      <c r="N5" s="121" t="s">
        <v>25</v>
      </c>
      <c r="O5" s="121" t="s">
        <v>26</v>
      </c>
      <c r="P5" s="121" t="s">
        <v>27</v>
      </c>
      <c r="Q5" s="121" t="s">
        <v>28</v>
      </c>
      <c r="R5" s="121" t="s">
        <v>29</v>
      </c>
      <c r="S5" s="129"/>
      <c r="T5" s="130"/>
      <c r="U5" s="131"/>
      <c r="V5" s="56"/>
    </row>
    <row r="6" ht="22.5" customHeight="1" spans="1:23">
      <c r="A6" s="116"/>
      <c r="B6" s="116"/>
      <c r="C6" s="56"/>
      <c r="D6" s="56">
        <v>1</v>
      </c>
      <c r="E6" s="112">
        <v>2</v>
      </c>
      <c r="F6" s="112">
        <v>3</v>
      </c>
      <c r="G6" s="112">
        <v>4</v>
      </c>
      <c r="H6" s="112">
        <v>5</v>
      </c>
      <c r="I6" s="112">
        <v>6</v>
      </c>
      <c r="J6" s="56" t="s">
        <v>740</v>
      </c>
      <c r="K6" s="56">
        <v>8</v>
      </c>
      <c r="L6" s="56">
        <v>9</v>
      </c>
      <c r="M6" s="56">
        <v>10</v>
      </c>
      <c r="N6" s="122">
        <v>11</v>
      </c>
      <c r="O6" s="122">
        <v>12</v>
      </c>
      <c r="P6" s="122">
        <v>13</v>
      </c>
      <c r="Q6" s="122">
        <v>14</v>
      </c>
      <c r="R6" s="122">
        <v>15</v>
      </c>
      <c r="S6" s="132">
        <v>16</v>
      </c>
      <c r="T6" s="132">
        <v>17</v>
      </c>
      <c r="U6" s="132">
        <v>18</v>
      </c>
      <c r="V6" s="56"/>
      <c r="W6" s="61"/>
    </row>
    <row r="7" ht="23.25" customHeight="1" spans="1:23">
      <c r="A7" s="71">
        <v>0</v>
      </c>
      <c r="B7" s="71" t="s">
        <v>39</v>
      </c>
      <c r="C7" s="71" t="s">
        <v>320</v>
      </c>
      <c r="D7" s="71" t="s">
        <v>320</v>
      </c>
      <c r="E7" s="71"/>
      <c r="F7" s="71"/>
      <c r="G7" s="71"/>
      <c r="H7" s="71"/>
      <c r="I7" s="71"/>
      <c r="J7" s="123">
        <f t="shared" ref="J7:R7" si="0">J8+J46+J103+J144+J260+J365+J385+J419+J490</f>
        <v>13393.975946</v>
      </c>
      <c r="K7" s="123">
        <f t="shared" si="0"/>
        <v>6169.66394</v>
      </c>
      <c r="L7" s="123">
        <f t="shared" si="0"/>
        <v>5327.66732</v>
      </c>
      <c r="M7" s="123">
        <f t="shared" si="0"/>
        <v>1896.644686</v>
      </c>
      <c r="N7" s="123">
        <f t="shared" si="0"/>
        <v>6186.70902</v>
      </c>
      <c r="O7" s="123">
        <f t="shared" si="0"/>
        <v>5975.808926</v>
      </c>
      <c r="P7" s="123">
        <f t="shared" si="0"/>
        <v>1157.208</v>
      </c>
      <c r="Q7" s="123">
        <f t="shared" si="0"/>
        <v>74.25</v>
      </c>
      <c r="R7" s="123">
        <f t="shared" si="0"/>
        <v>0</v>
      </c>
      <c r="S7" s="71" t="s">
        <v>320</v>
      </c>
      <c r="T7" s="71" t="s">
        <v>320</v>
      </c>
      <c r="U7" s="71" t="s">
        <v>320</v>
      </c>
      <c r="V7" s="56"/>
      <c r="W7" s="61" t="str">
        <f>IF(SUM(N7:R7)=J7,"Y","N")</f>
        <v>Y</v>
      </c>
    </row>
    <row r="8" ht="23.25" customHeight="1" spans="1:23">
      <c r="A8" s="71">
        <v>1</v>
      </c>
      <c r="B8" s="73" t="s">
        <v>742</v>
      </c>
      <c r="C8" s="71" t="s">
        <v>52</v>
      </c>
      <c r="D8" s="71"/>
      <c r="E8" s="71">
        <f t="shared" ref="E8:G8" si="1">E9+E13+E38</f>
        <v>870</v>
      </c>
      <c r="F8" s="71">
        <f t="shared" si="1"/>
        <v>575</v>
      </c>
      <c r="G8" s="71">
        <f t="shared" si="1"/>
        <v>1974</v>
      </c>
      <c r="H8" s="71">
        <v>2018</v>
      </c>
      <c r="I8" s="71">
        <v>2019</v>
      </c>
      <c r="J8" s="71">
        <f>K8+L8+M8</f>
        <v>4129.175</v>
      </c>
      <c r="K8" s="71">
        <f t="shared" ref="K8:R8" si="2">K9+K13+K38</f>
        <v>2846.375</v>
      </c>
      <c r="L8" s="71">
        <f t="shared" si="2"/>
        <v>1282.8</v>
      </c>
      <c r="M8" s="71">
        <f t="shared" si="2"/>
        <v>0</v>
      </c>
      <c r="N8" s="71">
        <f t="shared" si="2"/>
        <v>1941.375</v>
      </c>
      <c r="O8" s="71">
        <f t="shared" si="2"/>
        <v>1592.8</v>
      </c>
      <c r="P8" s="71">
        <f t="shared" si="2"/>
        <v>595</v>
      </c>
      <c r="Q8" s="71">
        <f t="shared" si="2"/>
        <v>0</v>
      </c>
      <c r="R8" s="71">
        <f t="shared" si="2"/>
        <v>0</v>
      </c>
      <c r="S8" s="71" t="s">
        <v>320</v>
      </c>
      <c r="T8" s="71" t="s">
        <v>320</v>
      </c>
      <c r="U8" s="71" t="s">
        <v>320</v>
      </c>
      <c r="V8" s="56"/>
      <c r="W8" s="61" t="str">
        <f t="shared" ref="W8:W71" si="3">IF(SUM(N8:R8)=J8,"Y","N")</f>
        <v>Y</v>
      </c>
    </row>
    <row r="9" ht="23.25" customHeight="1" spans="1:23">
      <c r="A9" s="71">
        <v>2</v>
      </c>
      <c r="B9" s="73" t="s">
        <v>380</v>
      </c>
      <c r="C9" s="71" t="s">
        <v>52</v>
      </c>
      <c r="D9" s="71" t="s">
        <v>384</v>
      </c>
      <c r="E9" s="71">
        <f t="shared" ref="E9:G9" si="4">E10+E11+E12</f>
        <v>93</v>
      </c>
      <c r="F9" s="71">
        <f t="shared" si="4"/>
        <v>93</v>
      </c>
      <c r="G9" s="71">
        <f t="shared" si="4"/>
        <v>299</v>
      </c>
      <c r="H9" s="71">
        <v>2018</v>
      </c>
      <c r="I9" s="71">
        <v>2019</v>
      </c>
      <c r="J9" s="71">
        <v>2491.375</v>
      </c>
      <c r="K9" s="71">
        <f>K10+K11+K12</f>
        <v>1664.575</v>
      </c>
      <c r="L9" s="71">
        <v>826.8</v>
      </c>
      <c r="M9" s="71">
        <v>0</v>
      </c>
      <c r="N9" s="71">
        <v>1941.375</v>
      </c>
      <c r="O9" s="71"/>
      <c r="P9" s="71">
        <v>550</v>
      </c>
      <c r="Q9" s="71"/>
      <c r="R9" s="71"/>
      <c r="S9" s="86" t="s">
        <v>2890</v>
      </c>
      <c r="T9" s="86" t="s">
        <v>2891</v>
      </c>
      <c r="U9" s="86" t="s">
        <v>201</v>
      </c>
      <c r="V9" s="56" t="s">
        <v>1819</v>
      </c>
      <c r="W9" s="61" t="str">
        <f t="shared" si="3"/>
        <v>Y</v>
      </c>
    </row>
    <row r="10" ht="15" customHeight="1" spans="1:23">
      <c r="A10" s="71"/>
      <c r="B10" s="73" t="s">
        <v>2892</v>
      </c>
      <c r="C10" s="71" t="s">
        <v>52</v>
      </c>
      <c r="D10" s="71" t="s">
        <v>384</v>
      </c>
      <c r="E10" s="71">
        <v>57</v>
      </c>
      <c r="F10" s="71">
        <v>57</v>
      </c>
      <c r="G10" s="71">
        <v>178</v>
      </c>
      <c r="H10" s="71">
        <v>2018</v>
      </c>
      <c r="I10" s="71">
        <v>2019</v>
      </c>
      <c r="J10" s="71">
        <f t="shared" ref="J10:J12" si="5">SUM(K10:M10)</f>
        <v>1610.072</v>
      </c>
      <c r="K10" s="71">
        <v>931.472</v>
      </c>
      <c r="L10" s="71">
        <v>678.6</v>
      </c>
      <c r="M10" s="71">
        <v>0</v>
      </c>
      <c r="N10" s="124"/>
      <c r="O10" s="124"/>
      <c r="P10" s="124"/>
      <c r="Q10" s="124"/>
      <c r="R10" s="124"/>
      <c r="S10" s="86"/>
      <c r="T10" s="86"/>
      <c r="U10" s="86"/>
      <c r="V10" s="56" t="s">
        <v>1819</v>
      </c>
      <c r="W10" s="61" t="str">
        <f t="shared" si="3"/>
        <v>N</v>
      </c>
    </row>
    <row r="11" ht="15" customHeight="1" spans="1:23">
      <c r="A11" s="71"/>
      <c r="B11" s="73" t="s">
        <v>2893</v>
      </c>
      <c r="C11" s="71" t="s">
        <v>52</v>
      </c>
      <c r="D11" s="71" t="s">
        <v>384</v>
      </c>
      <c r="E11" s="71">
        <v>15</v>
      </c>
      <c r="F11" s="71">
        <v>15</v>
      </c>
      <c r="G11" s="71">
        <v>52</v>
      </c>
      <c r="H11" s="71">
        <v>2018</v>
      </c>
      <c r="I11" s="71">
        <v>2019</v>
      </c>
      <c r="J11" s="71">
        <f t="shared" si="5"/>
        <v>360.152</v>
      </c>
      <c r="K11" s="71">
        <v>258.752</v>
      </c>
      <c r="L11" s="71">
        <v>101.4</v>
      </c>
      <c r="M11" s="71">
        <v>0</v>
      </c>
      <c r="N11" s="124"/>
      <c r="O11" s="124"/>
      <c r="P11" s="124"/>
      <c r="Q11" s="124"/>
      <c r="R11" s="124"/>
      <c r="S11" s="86"/>
      <c r="T11" s="86"/>
      <c r="U11" s="86"/>
      <c r="V11" s="56" t="s">
        <v>1819</v>
      </c>
      <c r="W11" s="61" t="str">
        <f t="shared" si="3"/>
        <v>N</v>
      </c>
    </row>
    <row r="12" ht="15" customHeight="1" spans="1:23">
      <c r="A12" s="71"/>
      <c r="B12" s="73" t="s">
        <v>2894</v>
      </c>
      <c r="C12" s="71" t="s">
        <v>52</v>
      </c>
      <c r="D12" s="71" t="s">
        <v>384</v>
      </c>
      <c r="E12" s="71">
        <v>21</v>
      </c>
      <c r="F12" s="71">
        <v>21</v>
      </c>
      <c r="G12" s="71">
        <v>69</v>
      </c>
      <c r="H12" s="71">
        <v>2018</v>
      </c>
      <c r="I12" s="71">
        <v>2019</v>
      </c>
      <c r="J12" s="71">
        <f t="shared" si="5"/>
        <v>521.151</v>
      </c>
      <c r="K12" s="71">
        <v>474.351</v>
      </c>
      <c r="L12" s="71">
        <v>46.8</v>
      </c>
      <c r="M12" s="71">
        <v>0</v>
      </c>
      <c r="N12" s="124"/>
      <c r="O12" s="124"/>
      <c r="P12" s="124"/>
      <c r="Q12" s="124"/>
      <c r="R12" s="124"/>
      <c r="S12" s="86"/>
      <c r="T12" s="86"/>
      <c r="U12" s="86"/>
      <c r="V12" s="56" t="s">
        <v>1819</v>
      </c>
      <c r="W12" s="61" t="str">
        <f t="shared" si="3"/>
        <v>N</v>
      </c>
    </row>
    <row r="13" ht="23.25" customHeight="1" spans="1:23">
      <c r="A13" s="71">
        <v>3</v>
      </c>
      <c r="B13" s="73" t="s">
        <v>761</v>
      </c>
      <c r="C13" s="71" t="s">
        <v>52</v>
      </c>
      <c r="D13" s="71" t="s">
        <v>384</v>
      </c>
      <c r="E13" s="71">
        <f t="shared" ref="E13:G13" si="6">E14+E22+E30</f>
        <v>752</v>
      </c>
      <c r="F13" s="71">
        <f t="shared" si="6"/>
        <v>482</v>
      </c>
      <c r="G13" s="71">
        <f t="shared" si="6"/>
        <v>1675</v>
      </c>
      <c r="H13" s="71">
        <v>2018</v>
      </c>
      <c r="I13" s="71">
        <v>2018</v>
      </c>
      <c r="J13" s="71">
        <f>K13+L13+M13</f>
        <v>1592.8</v>
      </c>
      <c r="K13" s="71">
        <f>K14+K22+K30</f>
        <v>1181.8</v>
      </c>
      <c r="L13" s="71">
        <f t="shared" ref="L13:R13" si="7">L14+L22+L30</f>
        <v>411</v>
      </c>
      <c r="M13" s="71">
        <f t="shared" si="7"/>
        <v>0</v>
      </c>
      <c r="N13" s="71">
        <f t="shared" si="7"/>
        <v>0</v>
      </c>
      <c r="O13" s="71">
        <f t="shared" si="7"/>
        <v>1592.8</v>
      </c>
      <c r="P13" s="71">
        <f t="shared" si="7"/>
        <v>0</v>
      </c>
      <c r="Q13" s="71">
        <f t="shared" si="7"/>
        <v>0</v>
      </c>
      <c r="R13" s="71">
        <f t="shared" si="7"/>
        <v>0</v>
      </c>
      <c r="S13" s="86" t="s">
        <v>2895</v>
      </c>
      <c r="T13" s="86" t="s">
        <v>2896</v>
      </c>
      <c r="U13" s="71" t="s">
        <v>320</v>
      </c>
      <c r="V13" s="56" t="s">
        <v>1819</v>
      </c>
      <c r="W13" s="61" t="str">
        <f t="shared" si="3"/>
        <v>Y</v>
      </c>
    </row>
    <row r="14" ht="23.25" customHeight="1" spans="1:23">
      <c r="A14" s="71">
        <v>4</v>
      </c>
      <c r="B14" s="73" t="s">
        <v>1072</v>
      </c>
      <c r="C14" s="71" t="s">
        <v>52</v>
      </c>
      <c r="D14" s="71" t="s">
        <v>384</v>
      </c>
      <c r="E14" s="101">
        <v>137</v>
      </c>
      <c r="F14" s="101">
        <v>114</v>
      </c>
      <c r="G14" s="101">
        <f>SUM(G15:G21)</f>
        <v>323</v>
      </c>
      <c r="H14" s="71">
        <v>2018</v>
      </c>
      <c r="I14" s="71">
        <v>2018</v>
      </c>
      <c r="J14" s="71">
        <f>K14+L14+M14</f>
        <v>411</v>
      </c>
      <c r="K14" s="71">
        <f>SUM(K15:K21)</f>
        <v>0</v>
      </c>
      <c r="L14" s="71">
        <f t="shared" ref="L14:R14" si="8">SUM(L15:L21)</f>
        <v>411</v>
      </c>
      <c r="M14" s="71">
        <f t="shared" si="8"/>
        <v>0</v>
      </c>
      <c r="N14" s="71">
        <f t="shared" si="8"/>
        <v>0</v>
      </c>
      <c r="O14" s="71">
        <f>J14</f>
        <v>411</v>
      </c>
      <c r="P14" s="71">
        <f t="shared" si="8"/>
        <v>0</v>
      </c>
      <c r="Q14" s="71">
        <f t="shared" si="8"/>
        <v>0</v>
      </c>
      <c r="R14" s="71">
        <f t="shared" si="8"/>
        <v>0</v>
      </c>
      <c r="S14" s="86" t="s">
        <v>2895</v>
      </c>
      <c r="T14" s="86" t="s">
        <v>2896</v>
      </c>
      <c r="U14" s="86" t="s">
        <v>273</v>
      </c>
      <c r="V14" s="56" t="s">
        <v>1819</v>
      </c>
      <c r="W14" s="61" t="str">
        <f t="shared" si="3"/>
        <v>Y</v>
      </c>
    </row>
    <row r="15" ht="14.1" customHeight="1" spans="1:23">
      <c r="A15" s="71"/>
      <c r="B15" s="73" t="s">
        <v>2892</v>
      </c>
      <c r="C15" s="71" t="s">
        <v>52</v>
      </c>
      <c r="D15" s="71" t="s">
        <v>384</v>
      </c>
      <c r="E15" s="71">
        <v>33</v>
      </c>
      <c r="F15" s="71">
        <v>31</v>
      </c>
      <c r="G15" s="71">
        <v>108</v>
      </c>
      <c r="H15" s="71">
        <v>2018</v>
      </c>
      <c r="I15" s="71">
        <v>2018</v>
      </c>
      <c r="J15" s="71">
        <f>K15+L15+M15</f>
        <v>99</v>
      </c>
      <c r="K15" s="71"/>
      <c r="L15" s="71">
        <v>99</v>
      </c>
      <c r="M15" s="71">
        <v>0</v>
      </c>
      <c r="N15" s="71"/>
      <c r="O15" s="71">
        <f t="shared" ref="O15:O22" si="9">J15</f>
        <v>99</v>
      </c>
      <c r="P15" s="71"/>
      <c r="Q15" s="71"/>
      <c r="R15" s="71"/>
      <c r="S15" s="86"/>
      <c r="T15" s="86"/>
      <c r="U15" s="86"/>
      <c r="V15" s="56" t="s">
        <v>1819</v>
      </c>
      <c r="W15" s="61" t="str">
        <f t="shared" si="3"/>
        <v>Y</v>
      </c>
    </row>
    <row r="16" ht="14.1" customHeight="1" spans="1:23">
      <c r="A16" s="71"/>
      <c r="B16" s="73" t="s">
        <v>2897</v>
      </c>
      <c r="C16" s="71" t="s">
        <v>52</v>
      </c>
      <c r="D16" s="71" t="s">
        <v>384</v>
      </c>
      <c r="E16" s="71">
        <v>38</v>
      </c>
      <c r="F16" s="71">
        <v>35</v>
      </c>
      <c r="G16" s="71">
        <v>77</v>
      </c>
      <c r="H16" s="71">
        <v>2018</v>
      </c>
      <c r="I16" s="71">
        <v>2018</v>
      </c>
      <c r="J16" s="71">
        <f t="shared" ref="J16:J22" si="10">K16+L16+M16</f>
        <v>114</v>
      </c>
      <c r="K16" s="71"/>
      <c r="L16" s="71">
        <v>114</v>
      </c>
      <c r="M16" s="71">
        <v>0</v>
      </c>
      <c r="N16" s="71"/>
      <c r="O16" s="71">
        <f t="shared" si="9"/>
        <v>114</v>
      </c>
      <c r="P16" s="71"/>
      <c r="Q16" s="71"/>
      <c r="R16" s="71"/>
      <c r="S16" s="86"/>
      <c r="T16" s="86"/>
      <c r="U16" s="86"/>
      <c r="V16" s="56" t="s">
        <v>1819</v>
      </c>
      <c r="W16" s="61" t="str">
        <f t="shared" si="3"/>
        <v>Y</v>
      </c>
    </row>
    <row r="17" ht="14.1" customHeight="1" spans="1:23">
      <c r="A17" s="71"/>
      <c r="B17" s="73" t="s">
        <v>2893</v>
      </c>
      <c r="C17" s="71" t="s">
        <v>52</v>
      </c>
      <c r="D17" s="71" t="s">
        <v>384</v>
      </c>
      <c r="E17" s="71">
        <v>22</v>
      </c>
      <c r="F17" s="71">
        <v>21</v>
      </c>
      <c r="G17" s="71">
        <v>59</v>
      </c>
      <c r="H17" s="71">
        <v>2018</v>
      </c>
      <c r="I17" s="71">
        <v>2018</v>
      </c>
      <c r="J17" s="71">
        <f t="shared" si="10"/>
        <v>66</v>
      </c>
      <c r="K17" s="71"/>
      <c r="L17" s="71">
        <v>66</v>
      </c>
      <c r="M17" s="71">
        <v>0</v>
      </c>
      <c r="N17" s="71"/>
      <c r="O17" s="71">
        <f t="shared" si="9"/>
        <v>66</v>
      </c>
      <c r="P17" s="71"/>
      <c r="Q17" s="71"/>
      <c r="R17" s="71"/>
      <c r="S17" s="86"/>
      <c r="T17" s="86"/>
      <c r="U17" s="86"/>
      <c r="V17" s="56" t="s">
        <v>1819</v>
      </c>
      <c r="W17" s="61" t="str">
        <f t="shared" si="3"/>
        <v>Y</v>
      </c>
    </row>
    <row r="18" ht="14.1" customHeight="1" spans="1:23">
      <c r="A18" s="71"/>
      <c r="B18" s="73" t="s">
        <v>2898</v>
      </c>
      <c r="C18" s="71" t="s">
        <v>52</v>
      </c>
      <c r="D18" s="71" t="s">
        <v>384</v>
      </c>
      <c r="E18" s="71">
        <v>11</v>
      </c>
      <c r="F18" s="71">
        <v>7</v>
      </c>
      <c r="G18" s="71">
        <v>18</v>
      </c>
      <c r="H18" s="71">
        <v>2018</v>
      </c>
      <c r="I18" s="71">
        <v>2018</v>
      </c>
      <c r="J18" s="71">
        <f t="shared" si="10"/>
        <v>33</v>
      </c>
      <c r="K18" s="71"/>
      <c r="L18" s="71">
        <v>33</v>
      </c>
      <c r="M18" s="71">
        <v>0</v>
      </c>
      <c r="N18" s="71"/>
      <c r="O18" s="71">
        <f t="shared" si="9"/>
        <v>33</v>
      </c>
      <c r="P18" s="71"/>
      <c r="Q18" s="71"/>
      <c r="R18" s="71"/>
      <c r="S18" s="86"/>
      <c r="T18" s="86"/>
      <c r="U18" s="86"/>
      <c r="V18" s="56" t="s">
        <v>1819</v>
      </c>
      <c r="W18" s="61" t="str">
        <f t="shared" si="3"/>
        <v>Y</v>
      </c>
    </row>
    <row r="19" ht="14.1" customHeight="1" spans="1:23">
      <c r="A19" s="71"/>
      <c r="B19" s="73" t="s">
        <v>2894</v>
      </c>
      <c r="C19" s="71" t="s">
        <v>52</v>
      </c>
      <c r="D19" s="71" t="s">
        <v>384</v>
      </c>
      <c r="E19" s="71">
        <v>13</v>
      </c>
      <c r="F19" s="71">
        <v>8</v>
      </c>
      <c r="G19" s="71">
        <v>32</v>
      </c>
      <c r="H19" s="71">
        <v>2018</v>
      </c>
      <c r="I19" s="71">
        <v>2018</v>
      </c>
      <c r="J19" s="71">
        <f t="shared" si="10"/>
        <v>39</v>
      </c>
      <c r="K19" s="71"/>
      <c r="L19" s="71">
        <v>39</v>
      </c>
      <c r="M19" s="71">
        <v>0</v>
      </c>
      <c r="N19" s="71"/>
      <c r="O19" s="71">
        <f t="shared" si="9"/>
        <v>39</v>
      </c>
      <c r="P19" s="71"/>
      <c r="Q19" s="71"/>
      <c r="R19" s="71"/>
      <c r="S19" s="86"/>
      <c r="T19" s="86"/>
      <c r="U19" s="86"/>
      <c r="V19" s="56" t="s">
        <v>1819</v>
      </c>
      <c r="W19" s="61" t="str">
        <f t="shared" si="3"/>
        <v>Y</v>
      </c>
    </row>
    <row r="20" ht="14.1" customHeight="1" spans="1:23">
      <c r="A20" s="71"/>
      <c r="B20" s="73" t="s">
        <v>2899</v>
      </c>
      <c r="C20" s="71" t="s">
        <v>52</v>
      </c>
      <c r="D20" s="71" t="s">
        <v>384</v>
      </c>
      <c r="E20" s="71">
        <v>13</v>
      </c>
      <c r="F20" s="71">
        <v>9</v>
      </c>
      <c r="G20" s="71">
        <v>20</v>
      </c>
      <c r="H20" s="71">
        <v>2018</v>
      </c>
      <c r="I20" s="71">
        <v>2018</v>
      </c>
      <c r="J20" s="71">
        <f t="shared" si="10"/>
        <v>39</v>
      </c>
      <c r="K20" s="71"/>
      <c r="L20" s="71">
        <v>39</v>
      </c>
      <c r="M20" s="71">
        <v>0</v>
      </c>
      <c r="N20" s="71"/>
      <c r="O20" s="71">
        <f t="shared" si="9"/>
        <v>39</v>
      </c>
      <c r="P20" s="71"/>
      <c r="Q20" s="71"/>
      <c r="R20" s="71"/>
      <c r="S20" s="86"/>
      <c r="T20" s="86"/>
      <c r="U20" s="86"/>
      <c r="V20" s="56" t="s">
        <v>1819</v>
      </c>
      <c r="W20" s="61" t="str">
        <f t="shared" si="3"/>
        <v>Y</v>
      </c>
    </row>
    <row r="21" ht="14.1" customHeight="1" spans="1:23">
      <c r="A21" s="71"/>
      <c r="B21" s="73" t="s">
        <v>2900</v>
      </c>
      <c r="C21" s="71" t="s">
        <v>52</v>
      </c>
      <c r="D21" s="71" t="s">
        <v>384</v>
      </c>
      <c r="E21" s="71">
        <v>7</v>
      </c>
      <c r="F21" s="71">
        <v>3</v>
      </c>
      <c r="G21" s="71">
        <v>9</v>
      </c>
      <c r="H21" s="71">
        <v>2018</v>
      </c>
      <c r="I21" s="71">
        <v>2018</v>
      </c>
      <c r="J21" s="71">
        <f t="shared" si="10"/>
        <v>21</v>
      </c>
      <c r="K21" s="71"/>
      <c r="L21" s="71">
        <v>21</v>
      </c>
      <c r="M21" s="71">
        <v>0</v>
      </c>
      <c r="N21" s="71"/>
      <c r="O21" s="71">
        <f t="shared" si="9"/>
        <v>21</v>
      </c>
      <c r="P21" s="71"/>
      <c r="Q21" s="71"/>
      <c r="R21" s="71"/>
      <c r="S21" s="86"/>
      <c r="T21" s="86"/>
      <c r="U21" s="86"/>
      <c r="V21" s="56" t="s">
        <v>1819</v>
      </c>
      <c r="W21" s="61" t="str">
        <f t="shared" si="3"/>
        <v>Y</v>
      </c>
    </row>
    <row r="22" ht="23.25" customHeight="1" spans="1:23">
      <c r="A22" s="71">
        <v>5</v>
      </c>
      <c r="B22" s="73" t="s">
        <v>1074</v>
      </c>
      <c r="C22" s="71" t="s">
        <v>52</v>
      </c>
      <c r="D22" s="71" t="s">
        <v>384</v>
      </c>
      <c r="E22" s="71">
        <v>581</v>
      </c>
      <c r="F22" s="71">
        <v>336</v>
      </c>
      <c r="G22" s="71">
        <f>SUM(G23:G29)</f>
        <v>1281</v>
      </c>
      <c r="H22" s="71">
        <v>2018</v>
      </c>
      <c r="I22" s="71">
        <v>2018</v>
      </c>
      <c r="J22" s="71">
        <f t="shared" si="10"/>
        <v>1045.8</v>
      </c>
      <c r="K22" s="71">
        <f t="shared" ref="K22:K29" si="11">E22*1.8</f>
        <v>1045.8</v>
      </c>
      <c r="L22" s="71">
        <v>0</v>
      </c>
      <c r="M22" s="71">
        <v>0</v>
      </c>
      <c r="N22" s="71"/>
      <c r="O22" s="71">
        <f t="shared" si="9"/>
        <v>1045.8</v>
      </c>
      <c r="P22" s="71"/>
      <c r="Q22" s="71"/>
      <c r="R22" s="71"/>
      <c r="S22" s="133" t="s">
        <v>2895</v>
      </c>
      <c r="T22" s="133" t="s">
        <v>2896</v>
      </c>
      <c r="U22" s="86" t="s">
        <v>273</v>
      </c>
      <c r="V22" s="56" t="s">
        <v>1819</v>
      </c>
      <c r="W22" s="61" t="str">
        <f t="shared" si="3"/>
        <v>Y</v>
      </c>
    </row>
    <row r="23" ht="15.95" customHeight="1" spans="1:23">
      <c r="A23" s="71"/>
      <c r="B23" s="73" t="s">
        <v>2892</v>
      </c>
      <c r="C23" s="71" t="s">
        <v>52</v>
      </c>
      <c r="D23" s="71" t="s">
        <v>384</v>
      </c>
      <c r="E23" s="71">
        <v>120</v>
      </c>
      <c r="F23" s="71">
        <v>64</v>
      </c>
      <c r="G23" s="71">
        <v>268</v>
      </c>
      <c r="H23" s="71">
        <v>2018</v>
      </c>
      <c r="I23" s="71">
        <v>2018</v>
      </c>
      <c r="J23" s="71">
        <f t="shared" ref="J23:J29" si="12">K23</f>
        <v>216</v>
      </c>
      <c r="K23" s="71">
        <f t="shared" si="11"/>
        <v>216</v>
      </c>
      <c r="L23" s="71">
        <v>0</v>
      </c>
      <c r="M23" s="71">
        <v>0</v>
      </c>
      <c r="N23" s="71"/>
      <c r="O23" s="71"/>
      <c r="P23" s="71"/>
      <c r="Q23" s="71"/>
      <c r="R23" s="71"/>
      <c r="S23" s="86"/>
      <c r="T23" s="86"/>
      <c r="U23" s="86"/>
      <c r="V23" s="56" t="s">
        <v>1819</v>
      </c>
      <c r="W23" s="61" t="str">
        <f t="shared" si="3"/>
        <v>N</v>
      </c>
    </row>
    <row r="24" ht="15.95" customHeight="1" spans="1:23">
      <c r="A24" s="71"/>
      <c r="B24" s="73" t="s">
        <v>2897</v>
      </c>
      <c r="C24" s="71" t="s">
        <v>52</v>
      </c>
      <c r="D24" s="71" t="s">
        <v>384</v>
      </c>
      <c r="E24" s="71">
        <v>69</v>
      </c>
      <c r="F24" s="71">
        <v>38</v>
      </c>
      <c r="G24" s="71">
        <v>149</v>
      </c>
      <c r="H24" s="71">
        <v>2018</v>
      </c>
      <c r="I24" s="71">
        <v>2018</v>
      </c>
      <c r="J24" s="71">
        <f t="shared" si="12"/>
        <v>124.2</v>
      </c>
      <c r="K24" s="71">
        <f t="shared" si="11"/>
        <v>124.2</v>
      </c>
      <c r="L24" s="71">
        <v>0</v>
      </c>
      <c r="M24" s="71">
        <v>0</v>
      </c>
      <c r="N24" s="71"/>
      <c r="O24" s="71"/>
      <c r="P24" s="71"/>
      <c r="Q24" s="71"/>
      <c r="R24" s="71"/>
      <c r="S24" s="86"/>
      <c r="T24" s="86"/>
      <c r="U24" s="86"/>
      <c r="V24" s="56" t="s">
        <v>1819</v>
      </c>
      <c r="W24" s="61" t="str">
        <f t="shared" si="3"/>
        <v>N</v>
      </c>
    </row>
    <row r="25" ht="15.95" customHeight="1" spans="1:23">
      <c r="A25" s="71"/>
      <c r="B25" s="73" t="s">
        <v>2893</v>
      </c>
      <c r="C25" s="71" t="s">
        <v>52</v>
      </c>
      <c r="D25" s="71" t="s">
        <v>384</v>
      </c>
      <c r="E25" s="71">
        <v>68</v>
      </c>
      <c r="F25" s="71">
        <v>42</v>
      </c>
      <c r="G25" s="71">
        <v>159</v>
      </c>
      <c r="H25" s="71">
        <v>2018</v>
      </c>
      <c r="I25" s="71">
        <v>2018</v>
      </c>
      <c r="J25" s="71">
        <f t="shared" si="12"/>
        <v>122.4</v>
      </c>
      <c r="K25" s="71">
        <f t="shared" si="11"/>
        <v>122.4</v>
      </c>
      <c r="L25" s="71">
        <v>0</v>
      </c>
      <c r="M25" s="71">
        <v>0</v>
      </c>
      <c r="N25" s="71"/>
      <c r="O25" s="71"/>
      <c r="P25" s="71"/>
      <c r="Q25" s="71"/>
      <c r="R25" s="71"/>
      <c r="S25" s="86"/>
      <c r="T25" s="86"/>
      <c r="U25" s="86"/>
      <c r="V25" s="56" t="s">
        <v>1819</v>
      </c>
      <c r="W25" s="61" t="str">
        <f t="shared" si="3"/>
        <v>N</v>
      </c>
    </row>
    <row r="26" ht="15.95" customHeight="1" spans="1:23">
      <c r="A26" s="71"/>
      <c r="B26" s="73" t="s">
        <v>2898</v>
      </c>
      <c r="C26" s="71" t="s">
        <v>52</v>
      </c>
      <c r="D26" s="71" t="s">
        <v>384</v>
      </c>
      <c r="E26" s="71">
        <v>118</v>
      </c>
      <c r="F26" s="71">
        <v>68</v>
      </c>
      <c r="G26" s="71">
        <v>244</v>
      </c>
      <c r="H26" s="71">
        <v>2018</v>
      </c>
      <c r="I26" s="71">
        <v>2018</v>
      </c>
      <c r="J26" s="71">
        <f t="shared" si="12"/>
        <v>212.4</v>
      </c>
      <c r="K26" s="71">
        <f t="shared" si="11"/>
        <v>212.4</v>
      </c>
      <c r="L26" s="71">
        <v>0</v>
      </c>
      <c r="M26" s="71">
        <v>0</v>
      </c>
      <c r="N26" s="71"/>
      <c r="O26" s="71"/>
      <c r="P26" s="71"/>
      <c r="Q26" s="71"/>
      <c r="R26" s="71"/>
      <c r="S26" s="86"/>
      <c r="T26" s="86"/>
      <c r="U26" s="86"/>
      <c r="V26" s="56" t="s">
        <v>1819</v>
      </c>
      <c r="W26" s="61" t="str">
        <f t="shared" si="3"/>
        <v>N</v>
      </c>
    </row>
    <row r="27" ht="15.95" customHeight="1" spans="1:23">
      <c r="A27" s="71"/>
      <c r="B27" s="73" t="s">
        <v>2894</v>
      </c>
      <c r="C27" s="71" t="s">
        <v>52</v>
      </c>
      <c r="D27" s="71" t="s">
        <v>384</v>
      </c>
      <c r="E27" s="71">
        <v>68</v>
      </c>
      <c r="F27" s="71">
        <v>26</v>
      </c>
      <c r="G27" s="71">
        <v>106</v>
      </c>
      <c r="H27" s="71">
        <v>2018</v>
      </c>
      <c r="I27" s="71">
        <v>2018</v>
      </c>
      <c r="J27" s="71">
        <f t="shared" si="12"/>
        <v>122.4</v>
      </c>
      <c r="K27" s="71">
        <f t="shared" si="11"/>
        <v>122.4</v>
      </c>
      <c r="L27" s="71">
        <v>0</v>
      </c>
      <c r="M27" s="71">
        <v>0</v>
      </c>
      <c r="N27" s="71"/>
      <c r="O27" s="71"/>
      <c r="P27" s="71"/>
      <c r="Q27" s="71"/>
      <c r="R27" s="71"/>
      <c r="S27" s="86"/>
      <c r="T27" s="86"/>
      <c r="U27" s="86"/>
      <c r="V27" s="56" t="s">
        <v>1819</v>
      </c>
      <c r="W27" s="61" t="str">
        <f t="shared" si="3"/>
        <v>N</v>
      </c>
    </row>
    <row r="28" ht="15.95" customHeight="1" spans="1:23">
      <c r="A28" s="71"/>
      <c r="B28" s="73" t="s">
        <v>2899</v>
      </c>
      <c r="C28" s="71" t="s">
        <v>52</v>
      </c>
      <c r="D28" s="71" t="s">
        <v>384</v>
      </c>
      <c r="E28" s="71">
        <v>103</v>
      </c>
      <c r="F28" s="71">
        <v>77</v>
      </c>
      <c r="G28" s="71">
        <v>303</v>
      </c>
      <c r="H28" s="71">
        <v>2018</v>
      </c>
      <c r="I28" s="71">
        <v>2018</v>
      </c>
      <c r="J28" s="71">
        <f t="shared" si="12"/>
        <v>185.4</v>
      </c>
      <c r="K28" s="71">
        <f t="shared" si="11"/>
        <v>185.4</v>
      </c>
      <c r="L28" s="71">
        <v>0</v>
      </c>
      <c r="M28" s="71">
        <v>0</v>
      </c>
      <c r="N28" s="71"/>
      <c r="O28" s="71"/>
      <c r="P28" s="71"/>
      <c r="Q28" s="71"/>
      <c r="R28" s="71"/>
      <c r="S28" s="86"/>
      <c r="T28" s="86"/>
      <c r="U28" s="86"/>
      <c r="V28" s="56" t="s">
        <v>1819</v>
      </c>
      <c r="W28" s="61" t="str">
        <f t="shared" si="3"/>
        <v>N</v>
      </c>
    </row>
    <row r="29" ht="15.95" customHeight="1" spans="1:23">
      <c r="A29" s="71"/>
      <c r="B29" s="73" t="s">
        <v>2900</v>
      </c>
      <c r="C29" s="71" t="s">
        <v>52</v>
      </c>
      <c r="D29" s="71" t="s">
        <v>384</v>
      </c>
      <c r="E29" s="71">
        <v>35</v>
      </c>
      <c r="F29" s="71">
        <v>19</v>
      </c>
      <c r="G29" s="71">
        <v>52</v>
      </c>
      <c r="H29" s="71">
        <v>2018</v>
      </c>
      <c r="I29" s="71">
        <v>2018</v>
      </c>
      <c r="J29" s="71">
        <f t="shared" si="12"/>
        <v>63</v>
      </c>
      <c r="K29" s="71">
        <f t="shared" si="11"/>
        <v>63</v>
      </c>
      <c r="L29" s="71">
        <v>0</v>
      </c>
      <c r="M29" s="71">
        <v>0</v>
      </c>
      <c r="N29" s="71"/>
      <c r="O29" s="71"/>
      <c r="P29" s="71"/>
      <c r="Q29" s="71"/>
      <c r="R29" s="71"/>
      <c r="S29" s="86"/>
      <c r="T29" s="86"/>
      <c r="U29" s="86"/>
      <c r="V29" s="56" t="s">
        <v>1819</v>
      </c>
      <c r="W29" s="61" t="str">
        <f t="shared" si="3"/>
        <v>N</v>
      </c>
    </row>
    <row r="30" ht="23.25" customHeight="1" spans="1:23">
      <c r="A30" s="71">
        <v>6</v>
      </c>
      <c r="B30" s="74" t="s">
        <v>1075</v>
      </c>
      <c r="C30" s="71" t="s">
        <v>52</v>
      </c>
      <c r="D30" s="71" t="s">
        <v>384</v>
      </c>
      <c r="E30" s="71">
        <v>34</v>
      </c>
      <c r="F30" s="71">
        <v>32</v>
      </c>
      <c r="G30" s="71">
        <v>71</v>
      </c>
      <c r="H30" s="71">
        <v>2018</v>
      </c>
      <c r="I30" s="71">
        <v>2018</v>
      </c>
      <c r="J30" s="71">
        <f>K30+L30+M30</f>
        <v>136</v>
      </c>
      <c r="K30" s="71">
        <f t="shared" ref="K30:K37" si="13">E30*4</f>
        <v>136</v>
      </c>
      <c r="L30" s="71">
        <v>0</v>
      </c>
      <c r="M30" s="71">
        <v>0</v>
      </c>
      <c r="N30" s="71"/>
      <c r="O30" s="71">
        <f>J30</f>
        <v>136</v>
      </c>
      <c r="P30" s="71"/>
      <c r="Q30" s="71"/>
      <c r="R30" s="71"/>
      <c r="S30" s="133" t="s">
        <v>2895</v>
      </c>
      <c r="T30" s="133" t="s">
        <v>2896</v>
      </c>
      <c r="U30" s="86" t="s">
        <v>273</v>
      </c>
      <c r="V30" s="56" t="s">
        <v>1819</v>
      </c>
      <c r="W30" s="61" t="str">
        <f t="shared" si="3"/>
        <v>Y</v>
      </c>
    </row>
    <row r="31" ht="15.95" customHeight="1" spans="1:23">
      <c r="A31" s="71"/>
      <c r="B31" s="73" t="s">
        <v>2892</v>
      </c>
      <c r="C31" s="71" t="s">
        <v>52</v>
      </c>
      <c r="D31" s="71" t="s">
        <v>384</v>
      </c>
      <c r="E31" s="71">
        <v>6</v>
      </c>
      <c r="F31" s="71">
        <v>6</v>
      </c>
      <c r="G31" s="71">
        <v>13</v>
      </c>
      <c r="H31" s="71">
        <v>2018</v>
      </c>
      <c r="I31" s="71">
        <v>2018</v>
      </c>
      <c r="J31" s="71">
        <f t="shared" ref="J31:J37" si="14">K31</f>
        <v>24</v>
      </c>
      <c r="K31" s="71">
        <f t="shared" si="13"/>
        <v>24</v>
      </c>
      <c r="L31" s="71">
        <v>0</v>
      </c>
      <c r="M31" s="71">
        <v>0</v>
      </c>
      <c r="N31" s="71"/>
      <c r="O31" s="71"/>
      <c r="P31" s="71"/>
      <c r="Q31" s="71"/>
      <c r="R31" s="71"/>
      <c r="S31" s="134"/>
      <c r="T31" s="134"/>
      <c r="U31" s="86"/>
      <c r="V31" s="56" t="s">
        <v>1819</v>
      </c>
      <c r="W31" s="61" t="str">
        <f t="shared" si="3"/>
        <v>N</v>
      </c>
    </row>
    <row r="32" ht="15.95" customHeight="1" spans="1:23">
      <c r="A32" s="71"/>
      <c r="B32" s="73" t="s">
        <v>2897</v>
      </c>
      <c r="C32" s="71" t="s">
        <v>52</v>
      </c>
      <c r="D32" s="71" t="s">
        <v>384</v>
      </c>
      <c r="E32" s="71">
        <v>4</v>
      </c>
      <c r="F32" s="71">
        <v>4</v>
      </c>
      <c r="G32" s="71">
        <v>8</v>
      </c>
      <c r="H32" s="71">
        <v>2018</v>
      </c>
      <c r="I32" s="71">
        <v>2018</v>
      </c>
      <c r="J32" s="71">
        <f t="shared" si="14"/>
        <v>16</v>
      </c>
      <c r="K32" s="71">
        <f t="shared" si="13"/>
        <v>16</v>
      </c>
      <c r="L32" s="71">
        <v>0</v>
      </c>
      <c r="M32" s="71">
        <v>0</v>
      </c>
      <c r="N32" s="71"/>
      <c r="O32" s="71"/>
      <c r="P32" s="71"/>
      <c r="Q32" s="71"/>
      <c r="R32" s="71"/>
      <c r="S32" s="134"/>
      <c r="T32" s="134"/>
      <c r="U32" s="86"/>
      <c r="V32" s="56" t="s">
        <v>1819</v>
      </c>
      <c r="W32" s="61" t="str">
        <f t="shared" si="3"/>
        <v>N</v>
      </c>
    </row>
    <row r="33" ht="15.95" customHeight="1" spans="1:23">
      <c r="A33" s="71"/>
      <c r="B33" s="73" t="s">
        <v>2893</v>
      </c>
      <c r="C33" s="71" t="s">
        <v>52</v>
      </c>
      <c r="D33" s="71" t="s">
        <v>384</v>
      </c>
      <c r="E33" s="71">
        <v>7</v>
      </c>
      <c r="F33" s="71">
        <v>6</v>
      </c>
      <c r="G33" s="71">
        <v>14</v>
      </c>
      <c r="H33" s="71">
        <v>2018</v>
      </c>
      <c r="I33" s="71">
        <v>2018</v>
      </c>
      <c r="J33" s="71">
        <f t="shared" si="14"/>
        <v>28</v>
      </c>
      <c r="K33" s="71">
        <f t="shared" si="13"/>
        <v>28</v>
      </c>
      <c r="L33" s="71">
        <v>0</v>
      </c>
      <c r="M33" s="71">
        <v>0</v>
      </c>
      <c r="N33" s="71"/>
      <c r="O33" s="71"/>
      <c r="P33" s="71"/>
      <c r="Q33" s="71"/>
      <c r="R33" s="71"/>
      <c r="S33" s="134"/>
      <c r="T33" s="134"/>
      <c r="U33" s="86"/>
      <c r="V33" s="56" t="s">
        <v>1819</v>
      </c>
      <c r="W33" s="61" t="str">
        <f t="shared" si="3"/>
        <v>N</v>
      </c>
    </row>
    <row r="34" ht="15.95" customHeight="1" spans="1:23">
      <c r="A34" s="71"/>
      <c r="B34" s="73" t="s">
        <v>2898</v>
      </c>
      <c r="C34" s="71" t="s">
        <v>52</v>
      </c>
      <c r="D34" s="71" t="s">
        <v>384</v>
      </c>
      <c r="E34" s="71">
        <v>6</v>
      </c>
      <c r="F34" s="71">
        <v>6</v>
      </c>
      <c r="G34" s="71">
        <v>11</v>
      </c>
      <c r="H34" s="71">
        <v>2018</v>
      </c>
      <c r="I34" s="71">
        <v>2018</v>
      </c>
      <c r="J34" s="71">
        <f t="shared" si="14"/>
        <v>24</v>
      </c>
      <c r="K34" s="71">
        <f t="shared" si="13"/>
        <v>24</v>
      </c>
      <c r="L34" s="71">
        <v>0</v>
      </c>
      <c r="M34" s="71">
        <v>0</v>
      </c>
      <c r="N34" s="71"/>
      <c r="O34" s="71"/>
      <c r="P34" s="71"/>
      <c r="Q34" s="71"/>
      <c r="R34" s="71"/>
      <c r="S34" s="134"/>
      <c r="T34" s="134"/>
      <c r="U34" s="86"/>
      <c r="V34" s="56" t="s">
        <v>1819</v>
      </c>
      <c r="W34" s="61" t="str">
        <f t="shared" si="3"/>
        <v>N</v>
      </c>
    </row>
    <row r="35" ht="15.95" customHeight="1" spans="1:23">
      <c r="A35" s="71"/>
      <c r="B35" s="73" t="s">
        <v>2894</v>
      </c>
      <c r="C35" s="71" t="s">
        <v>52</v>
      </c>
      <c r="D35" s="71" t="s">
        <v>384</v>
      </c>
      <c r="E35" s="71">
        <v>6</v>
      </c>
      <c r="F35" s="71">
        <v>5</v>
      </c>
      <c r="G35" s="71">
        <v>15</v>
      </c>
      <c r="H35" s="71">
        <v>2018</v>
      </c>
      <c r="I35" s="71">
        <v>2018</v>
      </c>
      <c r="J35" s="71">
        <f t="shared" si="14"/>
        <v>24</v>
      </c>
      <c r="K35" s="71">
        <f t="shared" si="13"/>
        <v>24</v>
      </c>
      <c r="L35" s="71">
        <v>0</v>
      </c>
      <c r="M35" s="71">
        <v>0</v>
      </c>
      <c r="N35" s="71"/>
      <c r="O35" s="71"/>
      <c r="P35" s="71"/>
      <c r="Q35" s="71"/>
      <c r="R35" s="71"/>
      <c r="S35" s="134"/>
      <c r="T35" s="134"/>
      <c r="U35" s="86"/>
      <c r="V35" s="56" t="s">
        <v>1819</v>
      </c>
      <c r="W35" s="61" t="str">
        <f t="shared" si="3"/>
        <v>N</v>
      </c>
    </row>
    <row r="36" ht="15.95" customHeight="1" spans="1:23">
      <c r="A36" s="71"/>
      <c r="B36" s="73" t="s">
        <v>2899</v>
      </c>
      <c r="C36" s="71" t="s">
        <v>52</v>
      </c>
      <c r="D36" s="71" t="s">
        <v>384</v>
      </c>
      <c r="E36" s="71">
        <v>4</v>
      </c>
      <c r="F36" s="71">
        <v>4</v>
      </c>
      <c r="G36" s="71">
        <v>5</v>
      </c>
      <c r="H36" s="71">
        <v>2018</v>
      </c>
      <c r="I36" s="71">
        <v>2018</v>
      </c>
      <c r="J36" s="71">
        <f t="shared" si="14"/>
        <v>16</v>
      </c>
      <c r="K36" s="71">
        <f t="shared" si="13"/>
        <v>16</v>
      </c>
      <c r="L36" s="71">
        <v>0</v>
      </c>
      <c r="M36" s="71">
        <v>0</v>
      </c>
      <c r="N36" s="71"/>
      <c r="O36" s="71"/>
      <c r="P36" s="71"/>
      <c r="Q36" s="71"/>
      <c r="R36" s="71"/>
      <c r="S36" s="134"/>
      <c r="T36" s="134"/>
      <c r="U36" s="86"/>
      <c r="V36" s="56" t="s">
        <v>1819</v>
      </c>
      <c r="W36" s="61" t="str">
        <f t="shared" si="3"/>
        <v>N</v>
      </c>
    </row>
    <row r="37" ht="15.95" customHeight="1" spans="1:23">
      <c r="A37" s="71"/>
      <c r="B37" s="73" t="s">
        <v>2900</v>
      </c>
      <c r="C37" s="71" t="s">
        <v>52</v>
      </c>
      <c r="D37" s="71" t="s">
        <v>384</v>
      </c>
      <c r="E37" s="71">
        <v>1</v>
      </c>
      <c r="F37" s="71">
        <v>1</v>
      </c>
      <c r="G37" s="71">
        <v>5</v>
      </c>
      <c r="H37" s="71">
        <v>2018</v>
      </c>
      <c r="I37" s="71">
        <v>2018</v>
      </c>
      <c r="J37" s="71">
        <f t="shared" si="14"/>
        <v>4</v>
      </c>
      <c r="K37" s="71">
        <f t="shared" si="13"/>
        <v>4</v>
      </c>
      <c r="L37" s="71">
        <v>0</v>
      </c>
      <c r="M37" s="71">
        <v>0</v>
      </c>
      <c r="N37" s="71"/>
      <c r="O37" s="71"/>
      <c r="P37" s="71"/>
      <c r="Q37" s="71"/>
      <c r="R37" s="71"/>
      <c r="S37" s="134"/>
      <c r="T37" s="134"/>
      <c r="U37" s="86"/>
      <c r="V37" s="56" t="s">
        <v>1819</v>
      </c>
      <c r="W37" s="61" t="str">
        <f t="shared" si="3"/>
        <v>N</v>
      </c>
    </row>
    <row r="38" ht="23.25" customHeight="1" spans="1:23">
      <c r="A38" s="71">
        <v>7</v>
      </c>
      <c r="B38" s="73" t="s">
        <v>1076</v>
      </c>
      <c r="C38" s="71" t="s">
        <v>52</v>
      </c>
      <c r="D38" s="71" t="s">
        <v>384</v>
      </c>
      <c r="E38" s="71">
        <f>SUM(E39:E45)</f>
        <v>25</v>
      </c>
      <c r="F38" s="71">
        <v>0</v>
      </c>
      <c r="G38" s="71">
        <v>0</v>
      </c>
      <c r="H38" s="71">
        <v>2018</v>
      </c>
      <c r="I38" s="71">
        <v>2018</v>
      </c>
      <c r="J38" s="71">
        <f>K38+L38+M38</f>
        <v>45</v>
      </c>
      <c r="K38" s="71">
        <f>SUM(K39:K45)</f>
        <v>0</v>
      </c>
      <c r="L38" s="71">
        <f t="shared" ref="L38:R38" si="15">SUM(L39:L45)</f>
        <v>45</v>
      </c>
      <c r="M38" s="71">
        <f t="shared" si="15"/>
        <v>0</v>
      </c>
      <c r="N38" s="71">
        <f t="shared" si="15"/>
        <v>0</v>
      </c>
      <c r="O38" s="71">
        <f t="shared" si="15"/>
        <v>0</v>
      </c>
      <c r="P38" s="71">
        <f t="shared" si="15"/>
        <v>45</v>
      </c>
      <c r="Q38" s="71">
        <f t="shared" si="15"/>
        <v>0</v>
      </c>
      <c r="R38" s="71">
        <f t="shared" si="15"/>
        <v>0</v>
      </c>
      <c r="S38" s="133" t="s">
        <v>2895</v>
      </c>
      <c r="T38" s="133" t="s">
        <v>2896</v>
      </c>
      <c r="U38" s="86" t="s">
        <v>273</v>
      </c>
      <c r="V38" s="56" t="s">
        <v>1819</v>
      </c>
      <c r="W38" s="61" t="str">
        <f t="shared" si="3"/>
        <v>Y</v>
      </c>
    </row>
    <row r="39" ht="17.1" customHeight="1" spans="1:23">
      <c r="A39" s="71"/>
      <c r="B39" s="73" t="s">
        <v>2892</v>
      </c>
      <c r="C39" s="71" t="s">
        <v>52</v>
      </c>
      <c r="D39" s="71" t="s">
        <v>384</v>
      </c>
      <c r="E39" s="71">
        <v>6</v>
      </c>
      <c r="F39" s="71" t="s">
        <v>320</v>
      </c>
      <c r="G39" s="71" t="s">
        <v>320</v>
      </c>
      <c r="H39" s="71">
        <v>2018</v>
      </c>
      <c r="I39" s="71">
        <v>2018</v>
      </c>
      <c r="J39" s="71">
        <f>K39+L39+M39</f>
        <v>10.8</v>
      </c>
      <c r="K39" s="71"/>
      <c r="L39" s="71">
        <v>10.8</v>
      </c>
      <c r="M39" s="71">
        <v>0</v>
      </c>
      <c r="N39" s="71"/>
      <c r="O39" s="71"/>
      <c r="P39" s="71">
        <f t="shared" ref="P39:P45" si="16">J39</f>
        <v>10.8</v>
      </c>
      <c r="Q39" s="71"/>
      <c r="R39" s="71"/>
      <c r="S39" s="86"/>
      <c r="T39" s="86"/>
      <c r="U39" s="86"/>
      <c r="V39" s="56" t="s">
        <v>1819</v>
      </c>
      <c r="W39" s="61" t="str">
        <f t="shared" si="3"/>
        <v>Y</v>
      </c>
    </row>
    <row r="40" ht="17.1" customHeight="1" spans="1:23">
      <c r="A40" s="71"/>
      <c r="B40" s="73" t="s">
        <v>2897</v>
      </c>
      <c r="C40" s="71" t="s">
        <v>52</v>
      </c>
      <c r="D40" s="71" t="s">
        <v>384</v>
      </c>
      <c r="E40" s="71">
        <v>4</v>
      </c>
      <c r="F40" s="71" t="s">
        <v>320</v>
      </c>
      <c r="G40" s="71" t="s">
        <v>320</v>
      </c>
      <c r="H40" s="71">
        <v>2018</v>
      </c>
      <c r="I40" s="71">
        <v>2018</v>
      </c>
      <c r="J40" s="71">
        <f t="shared" ref="J40:J45" si="17">K40+L40+M40</f>
        <v>7.2</v>
      </c>
      <c r="K40" s="71"/>
      <c r="L40" s="71">
        <v>7.2</v>
      </c>
      <c r="M40" s="71">
        <v>0</v>
      </c>
      <c r="N40" s="71"/>
      <c r="O40" s="71"/>
      <c r="P40" s="71">
        <f t="shared" si="16"/>
        <v>7.2</v>
      </c>
      <c r="Q40" s="71"/>
      <c r="R40" s="71"/>
      <c r="S40" s="86"/>
      <c r="T40" s="86"/>
      <c r="U40" s="86"/>
      <c r="V40" s="56" t="s">
        <v>1819</v>
      </c>
      <c r="W40" s="61" t="str">
        <f t="shared" si="3"/>
        <v>Y</v>
      </c>
    </row>
    <row r="41" ht="17.1" customHeight="1" spans="1:23">
      <c r="A41" s="71"/>
      <c r="B41" s="73" t="s">
        <v>2893</v>
      </c>
      <c r="C41" s="71" t="s">
        <v>52</v>
      </c>
      <c r="D41" s="71" t="s">
        <v>384</v>
      </c>
      <c r="E41" s="71">
        <v>5</v>
      </c>
      <c r="F41" s="71" t="s">
        <v>320</v>
      </c>
      <c r="G41" s="71" t="s">
        <v>320</v>
      </c>
      <c r="H41" s="71">
        <v>2018</v>
      </c>
      <c r="I41" s="71">
        <v>2018</v>
      </c>
      <c r="J41" s="71">
        <f t="shared" si="17"/>
        <v>9</v>
      </c>
      <c r="K41" s="71"/>
      <c r="L41" s="71">
        <v>9</v>
      </c>
      <c r="M41" s="71">
        <v>0</v>
      </c>
      <c r="N41" s="71"/>
      <c r="O41" s="71"/>
      <c r="P41" s="71">
        <f t="shared" si="16"/>
        <v>9</v>
      </c>
      <c r="Q41" s="71"/>
      <c r="R41" s="71"/>
      <c r="S41" s="86"/>
      <c r="T41" s="86"/>
      <c r="U41" s="86"/>
      <c r="V41" s="56" t="s">
        <v>1819</v>
      </c>
      <c r="W41" s="61" t="str">
        <f t="shared" si="3"/>
        <v>Y</v>
      </c>
    </row>
    <row r="42" ht="17.1" customHeight="1" spans="1:23">
      <c r="A42" s="71"/>
      <c r="B42" s="73" t="s">
        <v>2898</v>
      </c>
      <c r="C42" s="71" t="s">
        <v>52</v>
      </c>
      <c r="D42" s="71" t="s">
        <v>384</v>
      </c>
      <c r="E42" s="71">
        <v>0</v>
      </c>
      <c r="F42" s="71" t="s">
        <v>320</v>
      </c>
      <c r="G42" s="71" t="s">
        <v>320</v>
      </c>
      <c r="H42" s="71">
        <v>2018</v>
      </c>
      <c r="I42" s="71">
        <v>2018</v>
      </c>
      <c r="J42" s="71">
        <f t="shared" si="17"/>
        <v>0</v>
      </c>
      <c r="K42" s="71"/>
      <c r="L42" s="71">
        <v>0</v>
      </c>
      <c r="M42" s="71">
        <v>0</v>
      </c>
      <c r="N42" s="71"/>
      <c r="O42" s="71"/>
      <c r="P42" s="71">
        <f t="shared" si="16"/>
        <v>0</v>
      </c>
      <c r="Q42" s="71"/>
      <c r="R42" s="71"/>
      <c r="S42" s="86"/>
      <c r="T42" s="86"/>
      <c r="U42" s="86"/>
      <c r="V42" s="56" t="s">
        <v>1819</v>
      </c>
      <c r="W42" s="61" t="str">
        <f t="shared" si="3"/>
        <v>Y</v>
      </c>
    </row>
    <row r="43" ht="17.1" customHeight="1" spans="1:23">
      <c r="A43" s="71"/>
      <c r="B43" s="73" t="s">
        <v>2894</v>
      </c>
      <c r="C43" s="71" t="s">
        <v>52</v>
      </c>
      <c r="D43" s="71" t="s">
        <v>384</v>
      </c>
      <c r="E43" s="71">
        <v>3</v>
      </c>
      <c r="F43" s="71" t="s">
        <v>320</v>
      </c>
      <c r="G43" s="71" t="s">
        <v>320</v>
      </c>
      <c r="H43" s="71">
        <v>2018</v>
      </c>
      <c r="I43" s="71">
        <v>2018</v>
      </c>
      <c r="J43" s="71">
        <f t="shared" si="17"/>
        <v>5.4</v>
      </c>
      <c r="K43" s="71"/>
      <c r="L43" s="71">
        <v>5.4</v>
      </c>
      <c r="M43" s="71">
        <v>0</v>
      </c>
      <c r="N43" s="71"/>
      <c r="O43" s="71"/>
      <c r="P43" s="71">
        <f t="shared" si="16"/>
        <v>5.4</v>
      </c>
      <c r="Q43" s="71"/>
      <c r="R43" s="71"/>
      <c r="S43" s="86"/>
      <c r="T43" s="86"/>
      <c r="U43" s="86"/>
      <c r="V43" s="56" t="s">
        <v>1819</v>
      </c>
      <c r="W43" s="61" t="str">
        <f t="shared" si="3"/>
        <v>Y</v>
      </c>
    </row>
    <row r="44" ht="17.1" customHeight="1" spans="1:23">
      <c r="A44" s="71"/>
      <c r="B44" s="73" t="s">
        <v>2899</v>
      </c>
      <c r="C44" s="71" t="s">
        <v>52</v>
      </c>
      <c r="D44" s="71" t="s">
        <v>384</v>
      </c>
      <c r="E44" s="71">
        <v>6</v>
      </c>
      <c r="F44" s="71" t="s">
        <v>320</v>
      </c>
      <c r="G44" s="71" t="s">
        <v>320</v>
      </c>
      <c r="H44" s="71">
        <v>2018</v>
      </c>
      <c r="I44" s="71">
        <v>2018</v>
      </c>
      <c r="J44" s="71">
        <f t="shared" si="17"/>
        <v>10.8</v>
      </c>
      <c r="K44" s="71"/>
      <c r="L44" s="71">
        <v>10.8</v>
      </c>
      <c r="M44" s="71">
        <v>0</v>
      </c>
      <c r="N44" s="71"/>
      <c r="O44" s="71"/>
      <c r="P44" s="71">
        <f t="shared" si="16"/>
        <v>10.8</v>
      </c>
      <c r="Q44" s="71"/>
      <c r="R44" s="71"/>
      <c r="S44" s="86"/>
      <c r="T44" s="86"/>
      <c r="U44" s="86"/>
      <c r="V44" s="56" t="s">
        <v>1819</v>
      </c>
      <c r="W44" s="61" t="str">
        <f t="shared" si="3"/>
        <v>Y</v>
      </c>
    </row>
    <row r="45" ht="17.1" customHeight="1" spans="1:23">
      <c r="A45" s="71"/>
      <c r="B45" s="73" t="s">
        <v>2900</v>
      </c>
      <c r="C45" s="71" t="s">
        <v>52</v>
      </c>
      <c r="D45" s="71" t="s">
        <v>384</v>
      </c>
      <c r="E45" s="71">
        <v>1</v>
      </c>
      <c r="F45" s="71" t="s">
        <v>320</v>
      </c>
      <c r="G45" s="71" t="s">
        <v>320</v>
      </c>
      <c r="H45" s="71">
        <v>2018</v>
      </c>
      <c r="I45" s="71">
        <v>2018</v>
      </c>
      <c r="J45" s="71">
        <f t="shared" si="17"/>
        <v>1.8</v>
      </c>
      <c r="K45" s="71"/>
      <c r="L45" s="71">
        <v>1.8</v>
      </c>
      <c r="M45" s="71">
        <v>0</v>
      </c>
      <c r="N45" s="71"/>
      <c r="O45" s="71"/>
      <c r="P45" s="71">
        <f t="shared" si="16"/>
        <v>1.8</v>
      </c>
      <c r="Q45" s="71"/>
      <c r="R45" s="71"/>
      <c r="S45" s="86"/>
      <c r="T45" s="86"/>
      <c r="U45" s="86"/>
      <c r="V45" s="56" t="s">
        <v>1819</v>
      </c>
      <c r="W45" s="61" t="str">
        <f t="shared" si="3"/>
        <v>Y</v>
      </c>
    </row>
    <row r="46" ht="23.25" customHeight="1" spans="1:23">
      <c r="A46" s="71">
        <v>8</v>
      </c>
      <c r="B46" s="73" t="s">
        <v>779</v>
      </c>
      <c r="C46" s="71" t="s">
        <v>320</v>
      </c>
      <c r="D46" s="71" t="s">
        <v>320</v>
      </c>
      <c r="E46" s="71">
        <v>303</v>
      </c>
      <c r="F46" s="71">
        <v>265</v>
      </c>
      <c r="G46" s="71">
        <v>271</v>
      </c>
      <c r="H46" s="71">
        <v>2018</v>
      </c>
      <c r="I46" s="71">
        <v>2020</v>
      </c>
      <c r="J46" s="71">
        <v>402.975</v>
      </c>
      <c r="K46" s="71">
        <v>134.325</v>
      </c>
      <c r="L46" s="71">
        <v>134.325</v>
      </c>
      <c r="M46" s="71">
        <v>134.325</v>
      </c>
      <c r="N46" s="71">
        <v>191.175</v>
      </c>
      <c r="O46" s="71">
        <v>104.4</v>
      </c>
      <c r="P46" s="71">
        <v>107.4</v>
      </c>
      <c r="Q46" s="71"/>
      <c r="R46" s="71"/>
      <c r="S46" s="133" t="s">
        <v>2901</v>
      </c>
      <c r="T46" s="133" t="s">
        <v>2902</v>
      </c>
      <c r="U46" s="71" t="s">
        <v>320</v>
      </c>
      <c r="V46" s="56"/>
      <c r="W46" s="61" t="str">
        <f t="shared" si="3"/>
        <v>Y</v>
      </c>
    </row>
    <row r="47" ht="31.5" customHeight="1" spans="1:23">
      <c r="A47" s="71">
        <v>9</v>
      </c>
      <c r="B47" s="73" t="s">
        <v>295</v>
      </c>
      <c r="C47" s="71" t="s">
        <v>320</v>
      </c>
      <c r="D47" s="71" t="s">
        <v>147</v>
      </c>
      <c r="E47" s="71">
        <v>0</v>
      </c>
      <c r="F47" s="71">
        <v>0</v>
      </c>
      <c r="G47" s="71">
        <v>0</v>
      </c>
      <c r="H47" s="71">
        <v>2018</v>
      </c>
      <c r="I47" s="71">
        <v>2020</v>
      </c>
      <c r="J47" s="71" t="s">
        <v>320</v>
      </c>
      <c r="K47" s="71" t="s">
        <v>320</v>
      </c>
      <c r="L47" s="71" t="s">
        <v>320</v>
      </c>
      <c r="M47" s="71" t="s">
        <v>320</v>
      </c>
      <c r="N47" s="71"/>
      <c r="O47" s="71"/>
      <c r="P47" s="71"/>
      <c r="Q47" s="71"/>
      <c r="R47" s="71"/>
      <c r="S47" s="86"/>
      <c r="T47" s="86"/>
      <c r="U47" s="86" t="s">
        <v>294</v>
      </c>
      <c r="V47" s="56"/>
      <c r="W47" s="61" t="str">
        <f t="shared" si="3"/>
        <v>N</v>
      </c>
    </row>
    <row r="48" ht="31.5" customHeight="1" spans="1:23">
      <c r="A48" s="71"/>
      <c r="B48" s="73" t="s">
        <v>783</v>
      </c>
      <c r="C48" s="71" t="s">
        <v>320</v>
      </c>
      <c r="D48" s="71" t="s">
        <v>147</v>
      </c>
      <c r="E48" s="71">
        <v>0</v>
      </c>
      <c r="F48" s="71">
        <v>0</v>
      </c>
      <c r="G48" s="71">
        <v>0</v>
      </c>
      <c r="H48" s="71">
        <v>2018</v>
      </c>
      <c r="I48" s="71">
        <v>2020</v>
      </c>
      <c r="J48" s="71" t="s">
        <v>320</v>
      </c>
      <c r="K48" s="71" t="s">
        <v>320</v>
      </c>
      <c r="L48" s="71" t="s">
        <v>320</v>
      </c>
      <c r="M48" s="71" t="s">
        <v>320</v>
      </c>
      <c r="N48" s="71"/>
      <c r="O48" s="71"/>
      <c r="P48" s="71"/>
      <c r="Q48" s="71"/>
      <c r="R48" s="71"/>
      <c r="S48" s="86"/>
      <c r="T48" s="86"/>
      <c r="U48" s="86"/>
      <c r="V48" s="56"/>
      <c r="W48" s="61" t="str">
        <f t="shared" si="3"/>
        <v>N</v>
      </c>
    </row>
    <row r="49" ht="31.5" customHeight="1" spans="1:23">
      <c r="A49" s="71"/>
      <c r="B49" s="73" t="s">
        <v>784</v>
      </c>
      <c r="C49" s="71" t="s">
        <v>320</v>
      </c>
      <c r="D49" s="71" t="s">
        <v>147</v>
      </c>
      <c r="E49" s="71">
        <v>0</v>
      </c>
      <c r="F49" s="71">
        <v>0</v>
      </c>
      <c r="G49" s="71">
        <v>0</v>
      </c>
      <c r="H49" s="71">
        <v>2018</v>
      </c>
      <c r="I49" s="71">
        <v>2020</v>
      </c>
      <c r="J49" s="71" t="s">
        <v>320</v>
      </c>
      <c r="K49" s="71" t="s">
        <v>320</v>
      </c>
      <c r="L49" s="71" t="s">
        <v>320</v>
      </c>
      <c r="M49" s="71" t="s">
        <v>320</v>
      </c>
      <c r="N49" s="71"/>
      <c r="O49" s="71"/>
      <c r="P49" s="71"/>
      <c r="Q49" s="71"/>
      <c r="R49" s="71"/>
      <c r="S49" s="86"/>
      <c r="T49" s="86"/>
      <c r="U49" s="86"/>
      <c r="V49" s="56"/>
      <c r="W49" s="61" t="str">
        <f t="shared" si="3"/>
        <v>N</v>
      </c>
    </row>
    <row r="50" ht="23.25" customHeight="1" spans="1:23">
      <c r="A50" s="71">
        <v>10</v>
      </c>
      <c r="B50" s="73" t="s">
        <v>319</v>
      </c>
      <c r="C50" s="71" t="s">
        <v>320</v>
      </c>
      <c r="D50" s="71" t="s">
        <v>147</v>
      </c>
      <c r="E50" s="71">
        <f t="shared" ref="E50:G50" si="18">SUM(E51:E57)</f>
        <v>49</v>
      </c>
      <c r="F50" s="71">
        <f t="shared" si="18"/>
        <v>16</v>
      </c>
      <c r="G50" s="71">
        <f t="shared" si="18"/>
        <v>17</v>
      </c>
      <c r="H50" s="71">
        <v>2018</v>
      </c>
      <c r="I50" s="71">
        <v>2020</v>
      </c>
      <c r="J50" s="71">
        <f t="shared" ref="J50:J73" si="19">K50+L50+M50</f>
        <v>18.375</v>
      </c>
      <c r="K50" s="71">
        <v>6.125</v>
      </c>
      <c r="L50" s="71">
        <v>6.125</v>
      </c>
      <c r="M50" s="71">
        <v>6.125</v>
      </c>
      <c r="N50" s="71"/>
      <c r="O50" s="71"/>
      <c r="P50" s="71">
        <v>18.375</v>
      </c>
      <c r="Q50" s="71"/>
      <c r="R50" s="71"/>
      <c r="S50" s="133" t="s">
        <v>2901</v>
      </c>
      <c r="T50" s="133" t="s">
        <v>2902</v>
      </c>
      <c r="U50" s="86" t="s">
        <v>294</v>
      </c>
      <c r="V50" s="56"/>
      <c r="W50" s="61" t="str">
        <f t="shared" si="3"/>
        <v>Y</v>
      </c>
    </row>
    <row r="51" ht="14.1" customHeight="1" spans="1:23">
      <c r="A51" s="71"/>
      <c r="B51" s="73" t="s">
        <v>2892</v>
      </c>
      <c r="C51" s="71" t="s">
        <v>320</v>
      </c>
      <c r="D51" s="71" t="s">
        <v>147</v>
      </c>
      <c r="E51" s="71">
        <v>9</v>
      </c>
      <c r="F51" s="71">
        <v>4</v>
      </c>
      <c r="G51" s="71">
        <v>4</v>
      </c>
      <c r="H51" s="71">
        <v>2018</v>
      </c>
      <c r="I51" s="71">
        <v>2020</v>
      </c>
      <c r="J51" s="71">
        <f t="shared" si="19"/>
        <v>3.375</v>
      </c>
      <c r="K51" s="71">
        <f t="shared" ref="K51:K57" si="20">E51*0.125</f>
        <v>1.125</v>
      </c>
      <c r="L51" s="71">
        <f t="shared" ref="L51:L57" si="21">K51</f>
        <v>1.125</v>
      </c>
      <c r="M51" s="71">
        <f t="shared" ref="M51:M57" si="22">K51</f>
        <v>1.125</v>
      </c>
      <c r="N51" s="71"/>
      <c r="O51" s="71"/>
      <c r="P51" s="71"/>
      <c r="Q51" s="71"/>
      <c r="R51" s="71"/>
      <c r="S51" s="71"/>
      <c r="T51" s="71"/>
      <c r="U51" s="86"/>
      <c r="V51" s="56"/>
      <c r="W51" s="61" t="str">
        <f t="shared" si="3"/>
        <v>N</v>
      </c>
    </row>
    <row r="52" ht="14.1" customHeight="1" spans="1:23">
      <c r="A52" s="71"/>
      <c r="B52" s="73" t="s">
        <v>2897</v>
      </c>
      <c r="C52" s="71" t="s">
        <v>320</v>
      </c>
      <c r="D52" s="71" t="s">
        <v>147</v>
      </c>
      <c r="E52" s="71">
        <v>12</v>
      </c>
      <c r="F52" s="71">
        <v>3</v>
      </c>
      <c r="G52" s="71">
        <v>4</v>
      </c>
      <c r="H52" s="71">
        <v>2018</v>
      </c>
      <c r="I52" s="71">
        <v>2020</v>
      </c>
      <c r="J52" s="71">
        <f t="shared" si="19"/>
        <v>4.5</v>
      </c>
      <c r="K52" s="71">
        <f t="shared" si="20"/>
        <v>1.5</v>
      </c>
      <c r="L52" s="71">
        <f t="shared" si="21"/>
        <v>1.5</v>
      </c>
      <c r="M52" s="71">
        <f t="shared" si="22"/>
        <v>1.5</v>
      </c>
      <c r="N52" s="71"/>
      <c r="O52" s="71"/>
      <c r="P52" s="71"/>
      <c r="Q52" s="71"/>
      <c r="R52" s="71"/>
      <c r="S52" s="71"/>
      <c r="T52" s="71"/>
      <c r="U52" s="86"/>
      <c r="V52" s="56"/>
      <c r="W52" s="61" t="str">
        <f t="shared" si="3"/>
        <v>N</v>
      </c>
    </row>
    <row r="53" ht="14.1" customHeight="1" spans="1:23">
      <c r="A53" s="71"/>
      <c r="B53" s="73" t="s">
        <v>2893</v>
      </c>
      <c r="C53" s="71" t="s">
        <v>320</v>
      </c>
      <c r="D53" s="71" t="s">
        <v>147</v>
      </c>
      <c r="E53" s="71">
        <v>10</v>
      </c>
      <c r="F53" s="71">
        <v>2</v>
      </c>
      <c r="G53" s="71">
        <v>2</v>
      </c>
      <c r="H53" s="71">
        <v>2018</v>
      </c>
      <c r="I53" s="71">
        <v>2020</v>
      </c>
      <c r="J53" s="71">
        <f t="shared" si="19"/>
        <v>3.75</v>
      </c>
      <c r="K53" s="71">
        <f t="shared" si="20"/>
        <v>1.25</v>
      </c>
      <c r="L53" s="71">
        <f t="shared" si="21"/>
        <v>1.25</v>
      </c>
      <c r="M53" s="71">
        <f t="shared" si="22"/>
        <v>1.25</v>
      </c>
      <c r="N53" s="71"/>
      <c r="O53" s="71"/>
      <c r="P53" s="71"/>
      <c r="Q53" s="71"/>
      <c r="R53" s="71"/>
      <c r="S53" s="71"/>
      <c r="T53" s="71"/>
      <c r="U53" s="86"/>
      <c r="V53" s="56"/>
      <c r="W53" s="61" t="str">
        <f t="shared" si="3"/>
        <v>N</v>
      </c>
    </row>
    <row r="54" ht="14.1" customHeight="1" spans="1:23">
      <c r="A54" s="71"/>
      <c r="B54" s="73" t="s">
        <v>2898</v>
      </c>
      <c r="C54" s="71" t="s">
        <v>320</v>
      </c>
      <c r="D54" s="71" t="s">
        <v>147</v>
      </c>
      <c r="E54" s="71">
        <v>7</v>
      </c>
      <c r="F54" s="71">
        <v>3</v>
      </c>
      <c r="G54" s="71">
        <v>3</v>
      </c>
      <c r="H54" s="71">
        <v>2018</v>
      </c>
      <c r="I54" s="71">
        <v>2020</v>
      </c>
      <c r="J54" s="71">
        <f t="shared" si="19"/>
        <v>2.625</v>
      </c>
      <c r="K54" s="71">
        <f t="shared" si="20"/>
        <v>0.875</v>
      </c>
      <c r="L54" s="71">
        <f t="shared" si="21"/>
        <v>0.875</v>
      </c>
      <c r="M54" s="71">
        <f t="shared" si="22"/>
        <v>0.875</v>
      </c>
      <c r="N54" s="71"/>
      <c r="O54" s="71"/>
      <c r="P54" s="71"/>
      <c r="Q54" s="71"/>
      <c r="R54" s="71"/>
      <c r="S54" s="71"/>
      <c r="T54" s="71"/>
      <c r="U54" s="86"/>
      <c r="V54" s="56"/>
      <c r="W54" s="61" t="str">
        <f t="shared" si="3"/>
        <v>N</v>
      </c>
    </row>
    <row r="55" ht="14.1" customHeight="1" spans="1:23">
      <c r="A55" s="71"/>
      <c r="B55" s="73" t="s">
        <v>2894</v>
      </c>
      <c r="C55" s="71" t="s">
        <v>320</v>
      </c>
      <c r="D55" s="71" t="s">
        <v>147</v>
      </c>
      <c r="E55" s="71">
        <v>4</v>
      </c>
      <c r="F55" s="71">
        <v>0</v>
      </c>
      <c r="G55" s="71">
        <v>0</v>
      </c>
      <c r="H55" s="71">
        <v>2018</v>
      </c>
      <c r="I55" s="71">
        <v>2020</v>
      </c>
      <c r="J55" s="71">
        <f t="shared" si="19"/>
        <v>1.5</v>
      </c>
      <c r="K55" s="71">
        <f t="shared" si="20"/>
        <v>0.5</v>
      </c>
      <c r="L55" s="71">
        <f t="shared" si="21"/>
        <v>0.5</v>
      </c>
      <c r="M55" s="71">
        <f t="shared" si="22"/>
        <v>0.5</v>
      </c>
      <c r="N55" s="71"/>
      <c r="O55" s="71"/>
      <c r="P55" s="71"/>
      <c r="Q55" s="71"/>
      <c r="R55" s="71"/>
      <c r="S55" s="71"/>
      <c r="T55" s="71"/>
      <c r="U55" s="86"/>
      <c r="V55" s="56"/>
      <c r="W55" s="61" t="str">
        <f t="shared" si="3"/>
        <v>N</v>
      </c>
    </row>
    <row r="56" ht="14.1" customHeight="1" spans="1:23">
      <c r="A56" s="71"/>
      <c r="B56" s="73" t="s">
        <v>2899</v>
      </c>
      <c r="C56" s="71" t="s">
        <v>320</v>
      </c>
      <c r="D56" s="71" t="s">
        <v>147</v>
      </c>
      <c r="E56" s="71">
        <v>5</v>
      </c>
      <c r="F56" s="71">
        <v>3</v>
      </c>
      <c r="G56" s="71">
        <v>3</v>
      </c>
      <c r="H56" s="71">
        <v>2018</v>
      </c>
      <c r="I56" s="71">
        <v>2020</v>
      </c>
      <c r="J56" s="71">
        <f t="shared" si="19"/>
        <v>1.875</v>
      </c>
      <c r="K56" s="71">
        <f t="shared" si="20"/>
        <v>0.625</v>
      </c>
      <c r="L56" s="71">
        <f t="shared" si="21"/>
        <v>0.625</v>
      </c>
      <c r="M56" s="71">
        <f t="shared" si="22"/>
        <v>0.625</v>
      </c>
      <c r="N56" s="71"/>
      <c r="O56" s="71"/>
      <c r="P56" s="71"/>
      <c r="Q56" s="71"/>
      <c r="R56" s="71"/>
      <c r="S56" s="71"/>
      <c r="T56" s="71"/>
      <c r="U56" s="86"/>
      <c r="V56" s="56"/>
      <c r="W56" s="61" t="str">
        <f t="shared" si="3"/>
        <v>N</v>
      </c>
    </row>
    <row r="57" ht="14.1" customHeight="1" spans="1:23">
      <c r="A57" s="71"/>
      <c r="B57" s="73" t="s">
        <v>2900</v>
      </c>
      <c r="C57" s="71" t="s">
        <v>320</v>
      </c>
      <c r="D57" s="71" t="s">
        <v>147</v>
      </c>
      <c r="E57" s="71">
        <v>2</v>
      </c>
      <c r="F57" s="71">
        <v>1</v>
      </c>
      <c r="G57" s="71">
        <v>1</v>
      </c>
      <c r="H57" s="71">
        <v>2018</v>
      </c>
      <c r="I57" s="71">
        <v>2020</v>
      </c>
      <c r="J57" s="71">
        <f t="shared" si="19"/>
        <v>0.75</v>
      </c>
      <c r="K57" s="71">
        <f t="shared" si="20"/>
        <v>0.25</v>
      </c>
      <c r="L57" s="71">
        <f t="shared" si="21"/>
        <v>0.25</v>
      </c>
      <c r="M57" s="71">
        <f t="shared" si="22"/>
        <v>0.25</v>
      </c>
      <c r="N57" s="71"/>
      <c r="O57" s="71"/>
      <c r="P57" s="71"/>
      <c r="Q57" s="71"/>
      <c r="R57" s="71"/>
      <c r="S57" s="71"/>
      <c r="T57" s="71"/>
      <c r="U57" s="86"/>
      <c r="V57" s="56"/>
      <c r="W57" s="61" t="str">
        <f t="shared" si="3"/>
        <v>N</v>
      </c>
    </row>
    <row r="58" ht="23.25" customHeight="1" spans="1:23">
      <c r="A58" s="71">
        <v>11</v>
      </c>
      <c r="B58" s="73" t="s">
        <v>321</v>
      </c>
      <c r="C58" s="71" t="s">
        <v>320</v>
      </c>
      <c r="D58" s="71" t="s">
        <v>147</v>
      </c>
      <c r="E58" s="71">
        <v>89</v>
      </c>
      <c r="F58" s="71">
        <v>87</v>
      </c>
      <c r="G58" s="71">
        <v>89</v>
      </c>
      <c r="H58" s="71">
        <v>2018</v>
      </c>
      <c r="I58" s="71">
        <v>2020</v>
      </c>
      <c r="J58" s="71">
        <f t="shared" si="19"/>
        <v>146.85</v>
      </c>
      <c r="K58" s="71">
        <v>48.95</v>
      </c>
      <c r="L58" s="71">
        <v>48.95</v>
      </c>
      <c r="M58" s="71">
        <v>48.95</v>
      </c>
      <c r="N58" s="71">
        <f>E58*0.425*3</f>
        <v>113.475</v>
      </c>
      <c r="O58" s="71"/>
      <c r="P58" s="71">
        <f>E58*0.125*3</f>
        <v>33.375</v>
      </c>
      <c r="Q58" s="71"/>
      <c r="R58" s="71"/>
      <c r="S58" s="133" t="s">
        <v>2901</v>
      </c>
      <c r="T58" s="133" t="s">
        <v>2902</v>
      </c>
      <c r="U58" s="86" t="s">
        <v>294</v>
      </c>
      <c r="V58" s="56" t="s">
        <v>1819</v>
      </c>
      <c r="W58" s="61" t="str">
        <f t="shared" si="3"/>
        <v>Y</v>
      </c>
    </row>
    <row r="59" ht="14.1" customHeight="1" spans="1:23">
      <c r="A59" s="71"/>
      <c r="B59" s="73" t="s">
        <v>2892</v>
      </c>
      <c r="C59" s="71" t="s">
        <v>320</v>
      </c>
      <c r="D59" s="71" t="s">
        <v>147</v>
      </c>
      <c r="E59" s="71">
        <v>30</v>
      </c>
      <c r="F59" s="71">
        <v>30</v>
      </c>
      <c r="G59" s="71">
        <v>30</v>
      </c>
      <c r="H59" s="71">
        <v>2018</v>
      </c>
      <c r="I59" s="71">
        <v>2020</v>
      </c>
      <c r="J59" s="71">
        <f t="shared" si="19"/>
        <v>49.5</v>
      </c>
      <c r="K59" s="71">
        <f t="shared" ref="K59:K65" si="23">E59*0.55</f>
        <v>16.5</v>
      </c>
      <c r="L59" s="71">
        <f t="shared" ref="L59:L65" si="24">K59</f>
        <v>16.5</v>
      </c>
      <c r="M59" s="71">
        <f t="shared" ref="M59:M65" si="25">K59</f>
        <v>16.5</v>
      </c>
      <c r="N59" s="71">
        <f>E59*0.425*3</f>
        <v>38.25</v>
      </c>
      <c r="O59" s="71"/>
      <c r="P59" s="71">
        <f>E59*0.125*3</f>
        <v>11.25</v>
      </c>
      <c r="Q59" s="71"/>
      <c r="R59" s="71"/>
      <c r="S59" s="86"/>
      <c r="T59" s="86"/>
      <c r="U59" s="86"/>
      <c r="V59" s="56" t="s">
        <v>1819</v>
      </c>
      <c r="W59" s="61" t="str">
        <f t="shared" si="3"/>
        <v>Y</v>
      </c>
    </row>
    <row r="60" ht="14.1" customHeight="1" spans="1:23">
      <c r="A60" s="71"/>
      <c r="B60" s="73" t="s">
        <v>2897</v>
      </c>
      <c r="C60" s="71" t="s">
        <v>320</v>
      </c>
      <c r="D60" s="71" t="s">
        <v>147</v>
      </c>
      <c r="E60" s="71">
        <v>11</v>
      </c>
      <c r="F60" s="71">
        <v>11</v>
      </c>
      <c r="G60" s="71">
        <v>11</v>
      </c>
      <c r="H60" s="71">
        <v>2018</v>
      </c>
      <c r="I60" s="71">
        <v>2020</v>
      </c>
      <c r="J60" s="71">
        <f t="shared" si="19"/>
        <v>18.15</v>
      </c>
      <c r="K60" s="71">
        <f t="shared" si="23"/>
        <v>6.05</v>
      </c>
      <c r="L60" s="71">
        <f t="shared" si="24"/>
        <v>6.05</v>
      </c>
      <c r="M60" s="71">
        <f t="shared" si="25"/>
        <v>6.05</v>
      </c>
      <c r="N60" s="71"/>
      <c r="O60" s="71"/>
      <c r="P60" s="71"/>
      <c r="Q60" s="71"/>
      <c r="R60" s="71"/>
      <c r="S60" s="86"/>
      <c r="T60" s="86"/>
      <c r="U60" s="86"/>
      <c r="V60" s="56" t="s">
        <v>1819</v>
      </c>
      <c r="W60" s="61" t="str">
        <f t="shared" si="3"/>
        <v>N</v>
      </c>
    </row>
    <row r="61" ht="14.1" customHeight="1" spans="1:23">
      <c r="A61" s="71"/>
      <c r="B61" s="73" t="s">
        <v>2893</v>
      </c>
      <c r="C61" s="71" t="s">
        <v>320</v>
      </c>
      <c r="D61" s="71" t="s">
        <v>147</v>
      </c>
      <c r="E61" s="71">
        <v>9</v>
      </c>
      <c r="F61" s="71">
        <v>9</v>
      </c>
      <c r="G61" s="71">
        <v>9</v>
      </c>
      <c r="H61" s="71">
        <v>2018</v>
      </c>
      <c r="I61" s="71">
        <v>2020</v>
      </c>
      <c r="J61" s="71">
        <f t="shared" si="19"/>
        <v>14.85</v>
      </c>
      <c r="K61" s="71">
        <f t="shared" si="23"/>
        <v>4.95</v>
      </c>
      <c r="L61" s="71">
        <f t="shared" si="24"/>
        <v>4.95</v>
      </c>
      <c r="M61" s="71">
        <f t="shared" si="25"/>
        <v>4.95</v>
      </c>
      <c r="N61" s="71"/>
      <c r="O61" s="71"/>
      <c r="P61" s="71"/>
      <c r="Q61" s="71"/>
      <c r="R61" s="71"/>
      <c r="S61" s="86"/>
      <c r="T61" s="86"/>
      <c r="U61" s="86"/>
      <c r="V61" s="56" t="s">
        <v>1819</v>
      </c>
      <c r="W61" s="61" t="str">
        <f t="shared" si="3"/>
        <v>N</v>
      </c>
    </row>
    <row r="62" ht="14.1" customHeight="1" spans="1:23">
      <c r="A62" s="71"/>
      <c r="B62" s="73" t="s">
        <v>2898</v>
      </c>
      <c r="C62" s="71" t="s">
        <v>320</v>
      </c>
      <c r="D62" s="71" t="s">
        <v>147</v>
      </c>
      <c r="E62" s="71">
        <v>17</v>
      </c>
      <c r="F62" s="71">
        <v>16</v>
      </c>
      <c r="G62" s="71">
        <v>17</v>
      </c>
      <c r="H62" s="71">
        <v>2018</v>
      </c>
      <c r="I62" s="71">
        <v>2020</v>
      </c>
      <c r="J62" s="71">
        <f t="shared" si="19"/>
        <v>28.05</v>
      </c>
      <c r="K62" s="71">
        <f t="shared" si="23"/>
        <v>9.35</v>
      </c>
      <c r="L62" s="71">
        <f t="shared" si="24"/>
        <v>9.35</v>
      </c>
      <c r="M62" s="71">
        <f t="shared" si="25"/>
        <v>9.35</v>
      </c>
      <c r="N62" s="71"/>
      <c r="O62" s="71"/>
      <c r="P62" s="71"/>
      <c r="Q62" s="71"/>
      <c r="R62" s="71"/>
      <c r="S62" s="86"/>
      <c r="T62" s="86"/>
      <c r="U62" s="86"/>
      <c r="V62" s="56" t="s">
        <v>1819</v>
      </c>
      <c r="W62" s="61" t="str">
        <f t="shared" si="3"/>
        <v>N</v>
      </c>
    </row>
    <row r="63" ht="14.1" customHeight="1" spans="1:23">
      <c r="A63" s="71"/>
      <c r="B63" s="73" t="s">
        <v>2894</v>
      </c>
      <c r="C63" s="71" t="s">
        <v>320</v>
      </c>
      <c r="D63" s="71" t="s">
        <v>147</v>
      </c>
      <c r="E63" s="71">
        <v>18</v>
      </c>
      <c r="F63" s="71">
        <v>17</v>
      </c>
      <c r="G63" s="71">
        <v>18</v>
      </c>
      <c r="H63" s="71">
        <v>2018</v>
      </c>
      <c r="I63" s="71">
        <v>2020</v>
      </c>
      <c r="J63" s="71">
        <f t="shared" si="19"/>
        <v>29.7</v>
      </c>
      <c r="K63" s="71">
        <f t="shared" si="23"/>
        <v>9.9</v>
      </c>
      <c r="L63" s="71">
        <f t="shared" si="24"/>
        <v>9.9</v>
      </c>
      <c r="M63" s="71">
        <f t="shared" si="25"/>
        <v>9.9</v>
      </c>
      <c r="N63" s="71"/>
      <c r="O63" s="71"/>
      <c r="P63" s="71"/>
      <c r="Q63" s="71"/>
      <c r="R63" s="71"/>
      <c r="S63" s="86"/>
      <c r="T63" s="86"/>
      <c r="U63" s="86"/>
      <c r="V63" s="56" t="s">
        <v>1819</v>
      </c>
      <c r="W63" s="61" t="str">
        <f t="shared" si="3"/>
        <v>N</v>
      </c>
    </row>
    <row r="64" ht="14.1" customHeight="1" spans="1:23">
      <c r="A64" s="71"/>
      <c r="B64" s="73" t="s">
        <v>2899</v>
      </c>
      <c r="C64" s="71" t="s">
        <v>320</v>
      </c>
      <c r="D64" s="71" t="s">
        <v>147</v>
      </c>
      <c r="E64" s="71">
        <v>2</v>
      </c>
      <c r="F64" s="71">
        <v>2</v>
      </c>
      <c r="G64" s="71">
        <v>2</v>
      </c>
      <c r="H64" s="71">
        <v>2018</v>
      </c>
      <c r="I64" s="71">
        <v>2020</v>
      </c>
      <c r="J64" s="71">
        <f t="shared" si="19"/>
        <v>3.3</v>
      </c>
      <c r="K64" s="71">
        <f t="shared" si="23"/>
        <v>1.1</v>
      </c>
      <c r="L64" s="71">
        <f t="shared" si="24"/>
        <v>1.1</v>
      </c>
      <c r="M64" s="71">
        <f t="shared" si="25"/>
        <v>1.1</v>
      </c>
      <c r="N64" s="71"/>
      <c r="O64" s="71"/>
      <c r="P64" s="71"/>
      <c r="Q64" s="71"/>
      <c r="R64" s="71"/>
      <c r="S64" s="86"/>
      <c r="T64" s="86"/>
      <c r="U64" s="86"/>
      <c r="V64" s="56" t="s">
        <v>1819</v>
      </c>
      <c r="W64" s="61" t="str">
        <f t="shared" si="3"/>
        <v>N</v>
      </c>
    </row>
    <row r="65" ht="14.1" customHeight="1" spans="1:23">
      <c r="A65" s="71"/>
      <c r="B65" s="73" t="s">
        <v>2900</v>
      </c>
      <c r="C65" s="71" t="s">
        <v>320</v>
      </c>
      <c r="D65" s="71" t="s">
        <v>147</v>
      </c>
      <c r="E65" s="71">
        <v>2</v>
      </c>
      <c r="F65" s="71">
        <v>2</v>
      </c>
      <c r="G65" s="71">
        <v>2</v>
      </c>
      <c r="H65" s="71">
        <v>2018</v>
      </c>
      <c r="I65" s="71">
        <v>2020</v>
      </c>
      <c r="J65" s="71">
        <f t="shared" si="19"/>
        <v>3.3</v>
      </c>
      <c r="K65" s="71">
        <f t="shared" si="23"/>
        <v>1.1</v>
      </c>
      <c r="L65" s="71">
        <f t="shared" si="24"/>
        <v>1.1</v>
      </c>
      <c r="M65" s="71">
        <f t="shared" si="25"/>
        <v>1.1</v>
      </c>
      <c r="N65" s="71"/>
      <c r="O65" s="71"/>
      <c r="P65" s="71"/>
      <c r="Q65" s="71"/>
      <c r="R65" s="71"/>
      <c r="S65" s="86"/>
      <c r="T65" s="86"/>
      <c r="U65" s="86"/>
      <c r="V65" s="56" t="s">
        <v>1819</v>
      </c>
      <c r="W65" s="61" t="str">
        <f t="shared" si="3"/>
        <v>N</v>
      </c>
    </row>
    <row r="66" ht="23.25" customHeight="1" spans="1:23">
      <c r="A66" s="71">
        <v>12</v>
      </c>
      <c r="B66" s="73" t="s">
        <v>322</v>
      </c>
      <c r="C66" s="71" t="s">
        <v>320</v>
      </c>
      <c r="D66" s="71" t="s">
        <v>147</v>
      </c>
      <c r="E66" s="71">
        <v>62</v>
      </c>
      <c r="F66" s="71">
        <v>61</v>
      </c>
      <c r="G66" s="71">
        <v>62</v>
      </c>
      <c r="H66" s="71">
        <v>2018</v>
      </c>
      <c r="I66" s="71">
        <v>2020</v>
      </c>
      <c r="J66" s="71">
        <f t="shared" si="19"/>
        <v>102.3</v>
      </c>
      <c r="K66" s="71">
        <v>34.1</v>
      </c>
      <c r="L66" s="71">
        <v>34.1</v>
      </c>
      <c r="M66" s="71">
        <v>34.1</v>
      </c>
      <c r="N66" s="71">
        <f>E66*0.2*3</f>
        <v>37.2</v>
      </c>
      <c r="O66" s="71">
        <f>E66*0.3*3</f>
        <v>55.8</v>
      </c>
      <c r="P66" s="71">
        <f>E66*0.05*3</f>
        <v>9.3</v>
      </c>
      <c r="Q66" s="71"/>
      <c r="R66" s="71"/>
      <c r="S66" s="133" t="s">
        <v>2901</v>
      </c>
      <c r="T66" s="133" t="s">
        <v>2902</v>
      </c>
      <c r="U66" s="86" t="s">
        <v>294</v>
      </c>
      <c r="V66" s="56" t="s">
        <v>1819</v>
      </c>
      <c r="W66" s="61" t="str">
        <f t="shared" si="3"/>
        <v>Y</v>
      </c>
    </row>
    <row r="67" ht="15" customHeight="1" spans="1:23">
      <c r="A67" s="71"/>
      <c r="B67" s="73" t="s">
        <v>2892</v>
      </c>
      <c r="C67" s="71" t="s">
        <v>320</v>
      </c>
      <c r="D67" s="71" t="s">
        <v>147</v>
      </c>
      <c r="E67" s="71">
        <v>12</v>
      </c>
      <c r="F67" s="71">
        <v>12</v>
      </c>
      <c r="G67" s="71">
        <v>12</v>
      </c>
      <c r="H67" s="71">
        <v>2018</v>
      </c>
      <c r="I67" s="71">
        <v>2020</v>
      </c>
      <c r="J67" s="71">
        <f t="shared" si="19"/>
        <v>19.8</v>
      </c>
      <c r="K67" s="71">
        <f t="shared" ref="K67:K73" si="26">E67*0.55</f>
        <v>6.6</v>
      </c>
      <c r="L67" s="71">
        <v>6.6</v>
      </c>
      <c r="M67" s="71">
        <v>6.6</v>
      </c>
      <c r="N67" s="71">
        <f>E67*0.2*3</f>
        <v>7.2</v>
      </c>
      <c r="O67" s="71">
        <f>E67*0.3*3</f>
        <v>10.8</v>
      </c>
      <c r="P67" s="71">
        <f>E67*0.05*3</f>
        <v>1.8</v>
      </c>
      <c r="Q67" s="71"/>
      <c r="R67" s="71"/>
      <c r="S67" s="86"/>
      <c r="T67" s="86"/>
      <c r="U67" s="86"/>
      <c r="V67" s="56" t="s">
        <v>1819</v>
      </c>
      <c r="W67" s="61" t="str">
        <f t="shared" si="3"/>
        <v>Y</v>
      </c>
    </row>
    <row r="68" ht="15" customHeight="1" spans="1:23">
      <c r="A68" s="71"/>
      <c r="B68" s="73" t="s">
        <v>2897</v>
      </c>
      <c r="C68" s="71" t="s">
        <v>320</v>
      </c>
      <c r="D68" s="71" t="s">
        <v>147</v>
      </c>
      <c r="E68" s="71">
        <v>12</v>
      </c>
      <c r="F68" s="71">
        <v>11</v>
      </c>
      <c r="G68" s="71">
        <v>12</v>
      </c>
      <c r="H68" s="71">
        <v>2018</v>
      </c>
      <c r="I68" s="71">
        <v>2020</v>
      </c>
      <c r="J68" s="71">
        <f t="shared" si="19"/>
        <v>19.8</v>
      </c>
      <c r="K68" s="71">
        <f t="shared" si="26"/>
        <v>6.6</v>
      </c>
      <c r="L68" s="71">
        <v>6.6</v>
      </c>
      <c r="M68" s="71">
        <v>6.6</v>
      </c>
      <c r="N68" s="71"/>
      <c r="O68" s="71"/>
      <c r="P68" s="71"/>
      <c r="Q68" s="71"/>
      <c r="R68" s="71"/>
      <c r="S68" s="86"/>
      <c r="T68" s="86"/>
      <c r="U68" s="86"/>
      <c r="V68" s="56" t="s">
        <v>1819</v>
      </c>
      <c r="W68" s="61" t="str">
        <f t="shared" si="3"/>
        <v>N</v>
      </c>
    </row>
    <row r="69" ht="15" customHeight="1" spans="1:23">
      <c r="A69" s="71"/>
      <c r="B69" s="73" t="s">
        <v>2893</v>
      </c>
      <c r="C69" s="71" t="s">
        <v>320</v>
      </c>
      <c r="D69" s="71" t="s">
        <v>147</v>
      </c>
      <c r="E69" s="71">
        <v>7</v>
      </c>
      <c r="F69" s="71">
        <v>7</v>
      </c>
      <c r="G69" s="71">
        <v>7</v>
      </c>
      <c r="H69" s="71">
        <v>2018</v>
      </c>
      <c r="I69" s="71">
        <v>2020</v>
      </c>
      <c r="J69" s="71">
        <f t="shared" si="19"/>
        <v>11.55</v>
      </c>
      <c r="K69" s="71">
        <f t="shared" si="26"/>
        <v>3.85</v>
      </c>
      <c r="L69" s="71">
        <v>3.85</v>
      </c>
      <c r="M69" s="71">
        <v>3.85</v>
      </c>
      <c r="N69" s="71"/>
      <c r="O69" s="71"/>
      <c r="P69" s="71"/>
      <c r="Q69" s="71"/>
      <c r="R69" s="71"/>
      <c r="S69" s="86"/>
      <c r="T69" s="86"/>
      <c r="U69" s="86"/>
      <c r="V69" s="56" t="s">
        <v>1819</v>
      </c>
      <c r="W69" s="61" t="str">
        <f t="shared" si="3"/>
        <v>N</v>
      </c>
    </row>
    <row r="70" ht="15" customHeight="1" spans="1:23">
      <c r="A70" s="71"/>
      <c r="B70" s="73" t="s">
        <v>2898</v>
      </c>
      <c r="C70" s="71" t="s">
        <v>320</v>
      </c>
      <c r="D70" s="71" t="s">
        <v>147</v>
      </c>
      <c r="E70" s="71">
        <v>7</v>
      </c>
      <c r="F70" s="71">
        <v>7</v>
      </c>
      <c r="G70" s="71">
        <v>7</v>
      </c>
      <c r="H70" s="71">
        <v>2018</v>
      </c>
      <c r="I70" s="71">
        <v>2020</v>
      </c>
      <c r="J70" s="71">
        <f t="shared" si="19"/>
        <v>11.55</v>
      </c>
      <c r="K70" s="71">
        <f t="shared" si="26"/>
        <v>3.85</v>
      </c>
      <c r="L70" s="71">
        <v>3.85</v>
      </c>
      <c r="M70" s="71">
        <v>3.85</v>
      </c>
      <c r="N70" s="71"/>
      <c r="O70" s="71"/>
      <c r="P70" s="71"/>
      <c r="Q70" s="71"/>
      <c r="R70" s="71"/>
      <c r="S70" s="86"/>
      <c r="T70" s="86"/>
      <c r="U70" s="86"/>
      <c r="V70" s="56" t="s">
        <v>1819</v>
      </c>
      <c r="W70" s="61" t="str">
        <f t="shared" si="3"/>
        <v>N</v>
      </c>
    </row>
    <row r="71" ht="15" customHeight="1" spans="1:23">
      <c r="A71" s="71"/>
      <c r="B71" s="73" t="s">
        <v>2894</v>
      </c>
      <c r="C71" s="71" t="s">
        <v>320</v>
      </c>
      <c r="D71" s="71" t="s">
        <v>147</v>
      </c>
      <c r="E71" s="71">
        <v>10</v>
      </c>
      <c r="F71" s="71">
        <v>10</v>
      </c>
      <c r="G71" s="71">
        <v>10</v>
      </c>
      <c r="H71" s="71">
        <v>2018</v>
      </c>
      <c r="I71" s="71">
        <v>2020</v>
      </c>
      <c r="J71" s="71">
        <f t="shared" si="19"/>
        <v>16.5</v>
      </c>
      <c r="K71" s="71">
        <f t="shared" si="26"/>
        <v>5.5</v>
      </c>
      <c r="L71" s="71">
        <v>5.5</v>
      </c>
      <c r="M71" s="71">
        <v>5.5</v>
      </c>
      <c r="N71" s="71"/>
      <c r="O71" s="71"/>
      <c r="P71" s="71"/>
      <c r="Q71" s="71"/>
      <c r="R71" s="71"/>
      <c r="S71" s="86"/>
      <c r="T71" s="86"/>
      <c r="U71" s="86"/>
      <c r="V71" s="56" t="s">
        <v>1819</v>
      </c>
      <c r="W71" s="61" t="str">
        <f t="shared" si="3"/>
        <v>N</v>
      </c>
    </row>
    <row r="72" ht="15" customHeight="1" spans="1:23">
      <c r="A72" s="71"/>
      <c r="B72" s="73" t="s">
        <v>2899</v>
      </c>
      <c r="C72" s="71" t="s">
        <v>320</v>
      </c>
      <c r="D72" s="71" t="s">
        <v>147</v>
      </c>
      <c r="E72" s="71">
        <v>11</v>
      </c>
      <c r="F72" s="71">
        <v>11</v>
      </c>
      <c r="G72" s="71">
        <v>11</v>
      </c>
      <c r="H72" s="71">
        <v>2018</v>
      </c>
      <c r="I72" s="71">
        <v>2020</v>
      </c>
      <c r="J72" s="71">
        <f t="shared" si="19"/>
        <v>18.15</v>
      </c>
      <c r="K72" s="71">
        <f t="shared" si="26"/>
        <v>6.05</v>
      </c>
      <c r="L72" s="71">
        <v>6.05</v>
      </c>
      <c r="M72" s="71">
        <v>6.05</v>
      </c>
      <c r="N72" s="71"/>
      <c r="O72" s="71"/>
      <c r="P72" s="71"/>
      <c r="Q72" s="71"/>
      <c r="R72" s="71"/>
      <c r="S72" s="86"/>
      <c r="T72" s="86"/>
      <c r="U72" s="86"/>
      <c r="V72" s="56" t="s">
        <v>1819</v>
      </c>
      <c r="W72" s="61" t="str">
        <f t="shared" ref="W72:W135" si="27">IF(SUM(N72:R72)=J72,"Y","N")</f>
        <v>N</v>
      </c>
    </row>
    <row r="73" ht="15" customHeight="1" spans="1:23">
      <c r="A73" s="71"/>
      <c r="B73" s="73" t="s">
        <v>2900</v>
      </c>
      <c r="C73" s="71" t="s">
        <v>320</v>
      </c>
      <c r="D73" s="71" t="s">
        <v>147</v>
      </c>
      <c r="E73" s="71">
        <v>3</v>
      </c>
      <c r="F73" s="71">
        <v>3</v>
      </c>
      <c r="G73" s="71">
        <v>3</v>
      </c>
      <c r="H73" s="71">
        <v>2018</v>
      </c>
      <c r="I73" s="71">
        <v>2020</v>
      </c>
      <c r="J73" s="71">
        <f t="shared" si="19"/>
        <v>4.95</v>
      </c>
      <c r="K73" s="71">
        <f t="shared" si="26"/>
        <v>1.65</v>
      </c>
      <c r="L73" s="71">
        <v>1.65</v>
      </c>
      <c r="M73" s="71">
        <v>1.65</v>
      </c>
      <c r="N73" s="71"/>
      <c r="O73" s="71"/>
      <c r="P73" s="71"/>
      <c r="Q73" s="71"/>
      <c r="R73" s="71"/>
      <c r="S73" s="86"/>
      <c r="T73" s="86"/>
      <c r="U73" s="86"/>
      <c r="V73" s="56" t="s">
        <v>1819</v>
      </c>
      <c r="W73" s="61" t="str">
        <f t="shared" si="27"/>
        <v>N</v>
      </c>
    </row>
    <row r="74" ht="23.25" customHeight="1" spans="1:23">
      <c r="A74" s="71">
        <v>13</v>
      </c>
      <c r="B74" s="73" t="s">
        <v>323</v>
      </c>
      <c r="C74" s="71" t="s">
        <v>320</v>
      </c>
      <c r="D74" s="71" t="s">
        <v>147</v>
      </c>
      <c r="E74" s="71">
        <f t="shared" ref="E74:G74" si="28">E75+E83+E91+E99</f>
        <v>103</v>
      </c>
      <c r="F74" s="71">
        <f t="shared" si="28"/>
        <v>100</v>
      </c>
      <c r="G74" s="71">
        <f t="shared" si="28"/>
        <v>103</v>
      </c>
      <c r="H74" s="71">
        <v>2018</v>
      </c>
      <c r="I74" s="71">
        <v>2020</v>
      </c>
      <c r="J74" s="71">
        <f t="shared" ref="J74:M74" si="29">J75+J83+J91+J99</f>
        <v>135.45</v>
      </c>
      <c r="K74" s="71">
        <f t="shared" si="29"/>
        <v>45.15</v>
      </c>
      <c r="L74" s="71">
        <f t="shared" si="29"/>
        <v>45.15</v>
      </c>
      <c r="M74" s="71">
        <f t="shared" si="29"/>
        <v>45.15</v>
      </c>
      <c r="N74" s="71">
        <v>40.5</v>
      </c>
      <c r="O74" s="71">
        <v>48.6</v>
      </c>
      <c r="P74" s="71">
        <v>46.35</v>
      </c>
      <c r="Q74" s="71"/>
      <c r="R74" s="71"/>
      <c r="S74" s="133" t="s">
        <v>2901</v>
      </c>
      <c r="T74" s="133" t="s">
        <v>2902</v>
      </c>
      <c r="U74" s="86" t="s">
        <v>294</v>
      </c>
      <c r="V74" s="56" t="s">
        <v>1819</v>
      </c>
      <c r="W74" s="61" t="str">
        <f t="shared" si="27"/>
        <v>Y</v>
      </c>
    </row>
    <row r="75" ht="23.25" customHeight="1" spans="1:23">
      <c r="A75" s="71"/>
      <c r="B75" s="71" t="s">
        <v>1803</v>
      </c>
      <c r="C75" s="71" t="s">
        <v>320</v>
      </c>
      <c r="D75" s="71" t="s">
        <v>147</v>
      </c>
      <c r="E75" s="71">
        <v>21</v>
      </c>
      <c r="F75" s="71">
        <v>20</v>
      </c>
      <c r="G75" s="71">
        <v>21</v>
      </c>
      <c r="H75" s="71">
        <v>2018</v>
      </c>
      <c r="I75" s="71">
        <v>2020</v>
      </c>
      <c r="J75" s="71">
        <f t="shared" ref="J75:J101" si="30">K75+L75+M75</f>
        <v>37.8</v>
      </c>
      <c r="K75" s="71">
        <f t="shared" ref="K75:K82" si="31">E75*0.6</f>
        <v>12.6</v>
      </c>
      <c r="L75" s="71">
        <f t="shared" ref="L75:L101" si="32">K75</f>
        <v>12.6</v>
      </c>
      <c r="M75" s="71">
        <f t="shared" ref="M75:M101" si="33">K75</f>
        <v>12.6</v>
      </c>
      <c r="N75" s="71">
        <f>E75*0.15*3</f>
        <v>9.45</v>
      </c>
      <c r="O75" s="71">
        <f>E75*0.3*3</f>
        <v>18.9</v>
      </c>
      <c r="P75" s="71">
        <f>E75*0.15*3</f>
        <v>9.45</v>
      </c>
      <c r="Q75" s="71"/>
      <c r="R75" s="71"/>
      <c r="S75" s="133"/>
      <c r="T75" s="133"/>
      <c r="U75" s="86"/>
      <c r="V75" s="56" t="s">
        <v>1819</v>
      </c>
      <c r="W75" s="61" t="str">
        <f t="shared" si="27"/>
        <v>Y</v>
      </c>
    </row>
    <row r="76" ht="15" customHeight="1" spans="1:23">
      <c r="A76" s="71"/>
      <c r="B76" s="73" t="s">
        <v>2892</v>
      </c>
      <c r="C76" s="71" t="s">
        <v>320</v>
      </c>
      <c r="D76" s="71" t="s">
        <v>147</v>
      </c>
      <c r="E76" s="71">
        <v>5</v>
      </c>
      <c r="F76" s="71">
        <v>5</v>
      </c>
      <c r="G76" s="71">
        <v>5</v>
      </c>
      <c r="H76" s="71">
        <v>2018</v>
      </c>
      <c r="I76" s="71">
        <v>2020</v>
      </c>
      <c r="J76" s="71">
        <f t="shared" si="30"/>
        <v>9</v>
      </c>
      <c r="K76" s="71">
        <f t="shared" si="31"/>
        <v>3</v>
      </c>
      <c r="L76" s="71">
        <f t="shared" si="32"/>
        <v>3</v>
      </c>
      <c r="M76" s="71">
        <f t="shared" si="33"/>
        <v>3</v>
      </c>
      <c r="N76" s="71"/>
      <c r="O76" s="71"/>
      <c r="P76" s="71"/>
      <c r="Q76" s="71"/>
      <c r="R76" s="71"/>
      <c r="S76" s="133"/>
      <c r="T76" s="133"/>
      <c r="U76" s="86"/>
      <c r="V76" s="56" t="s">
        <v>1819</v>
      </c>
      <c r="W76" s="61" t="str">
        <f t="shared" si="27"/>
        <v>N</v>
      </c>
    </row>
    <row r="77" ht="15" customHeight="1" spans="1:23">
      <c r="A77" s="71"/>
      <c r="B77" s="73" t="s">
        <v>2897</v>
      </c>
      <c r="C77" s="71" t="s">
        <v>320</v>
      </c>
      <c r="D77" s="71" t="s">
        <v>147</v>
      </c>
      <c r="E77" s="71">
        <v>0</v>
      </c>
      <c r="F77" s="71">
        <v>0</v>
      </c>
      <c r="G77" s="71">
        <v>0</v>
      </c>
      <c r="H77" s="71">
        <v>2018</v>
      </c>
      <c r="I77" s="71">
        <v>2020</v>
      </c>
      <c r="J77" s="71">
        <f t="shared" si="30"/>
        <v>0</v>
      </c>
      <c r="K77" s="71">
        <f t="shared" si="31"/>
        <v>0</v>
      </c>
      <c r="L77" s="71">
        <f t="shared" si="32"/>
        <v>0</v>
      </c>
      <c r="M77" s="71">
        <f t="shared" si="33"/>
        <v>0</v>
      </c>
      <c r="N77" s="71"/>
      <c r="O77" s="71"/>
      <c r="P77" s="71"/>
      <c r="Q77" s="71"/>
      <c r="R77" s="71"/>
      <c r="S77" s="133"/>
      <c r="T77" s="133"/>
      <c r="U77" s="86"/>
      <c r="V77" s="56" t="s">
        <v>1819</v>
      </c>
      <c r="W77" s="61" t="str">
        <f t="shared" si="27"/>
        <v>Y</v>
      </c>
    </row>
    <row r="78" ht="15" customHeight="1" spans="1:23">
      <c r="A78" s="71"/>
      <c r="B78" s="73" t="s">
        <v>2893</v>
      </c>
      <c r="C78" s="71" t="s">
        <v>320</v>
      </c>
      <c r="D78" s="71" t="s">
        <v>147</v>
      </c>
      <c r="E78" s="71">
        <v>4</v>
      </c>
      <c r="F78" s="71">
        <v>4</v>
      </c>
      <c r="G78" s="71">
        <v>4</v>
      </c>
      <c r="H78" s="71">
        <v>2018</v>
      </c>
      <c r="I78" s="71">
        <v>2020</v>
      </c>
      <c r="J78" s="71">
        <f t="shared" si="30"/>
        <v>7.2</v>
      </c>
      <c r="K78" s="71">
        <f t="shared" si="31"/>
        <v>2.4</v>
      </c>
      <c r="L78" s="71">
        <f t="shared" si="32"/>
        <v>2.4</v>
      </c>
      <c r="M78" s="71">
        <f t="shared" si="33"/>
        <v>2.4</v>
      </c>
      <c r="N78" s="71"/>
      <c r="O78" s="71"/>
      <c r="P78" s="71"/>
      <c r="Q78" s="71"/>
      <c r="R78" s="71"/>
      <c r="S78" s="133"/>
      <c r="T78" s="133"/>
      <c r="U78" s="86"/>
      <c r="V78" s="56" t="s">
        <v>1819</v>
      </c>
      <c r="W78" s="61" t="str">
        <f t="shared" si="27"/>
        <v>N</v>
      </c>
    </row>
    <row r="79" ht="15" customHeight="1" spans="1:23">
      <c r="A79" s="71"/>
      <c r="B79" s="73" t="s">
        <v>2898</v>
      </c>
      <c r="C79" s="71" t="s">
        <v>320</v>
      </c>
      <c r="D79" s="71" t="s">
        <v>147</v>
      </c>
      <c r="E79" s="71">
        <v>1</v>
      </c>
      <c r="F79" s="71">
        <v>1</v>
      </c>
      <c r="G79" s="71">
        <v>1</v>
      </c>
      <c r="H79" s="71">
        <v>2018</v>
      </c>
      <c r="I79" s="71">
        <v>2020</v>
      </c>
      <c r="J79" s="71">
        <f t="shared" si="30"/>
        <v>1.8</v>
      </c>
      <c r="K79" s="71">
        <f t="shared" si="31"/>
        <v>0.6</v>
      </c>
      <c r="L79" s="71">
        <f t="shared" si="32"/>
        <v>0.6</v>
      </c>
      <c r="M79" s="71">
        <f t="shared" si="33"/>
        <v>0.6</v>
      </c>
      <c r="N79" s="71"/>
      <c r="O79" s="71"/>
      <c r="P79" s="71"/>
      <c r="Q79" s="71"/>
      <c r="R79" s="71"/>
      <c r="S79" s="133"/>
      <c r="T79" s="133"/>
      <c r="U79" s="86"/>
      <c r="V79" s="56" t="s">
        <v>1819</v>
      </c>
      <c r="W79" s="61" t="str">
        <f t="shared" si="27"/>
        <v>N</v>
      </c>
    </row>
    <row r="80" ht="15" customHeight="1" spans="1:23">
      <c r="A80" s="71"/>
      <c r="B80" s="73" t="s">
        <v>2894</v>
      </c>
      <c r="C80" s="71" t="s">
        <v>320</v>
      </c>
      <c r="D80" s="71" t="s">
        <v>147</v>
      </c>
      <c r="E80" s="71">
        <v>3</v>
      </c>
      <c r="F80" s="71">
        <v>3</v>
      </c>
      <c r="G80" s="71">
        <v>3</v>
      </c>
      <c r="H80" s="71">
        <v>2018</v>
      </c>
      <c r="I80" s="71">
        <v>2020</v>
      </c>
      <c r="J80" s="71">
        <f t="shared" si="30"/>
        <v>5.4</v>
      </c>
      <c r="K80" s="71">
        <f t="shared" si="31"/>
        <v>1.8</v>
      </c>
      <c r="L80" s="71">
        <f t="shared" si="32"/>
        <v>1.8</v>
      </c>
      <c r="M80" s="71">
        <f t="shared" si="33"/>
        <v>1.8</v>
      </c>
      <c r="N80" s="71"/>
      <c r="O80" s="71"/>
      <c r="P80" s="71"/>
      <c r="Q80" s="71"/>
      <c r="R80" s="71"/>
      <c r="S80" s="133"/>
      <c r="T80" s="133"/>
      <c r="U80" s="86"/>
      <c r="V80" s="56" t="s">
        <v>1819</v>
      </c>
      <c r="W80" s="61" t="str">
        <f t="shared" si="27"/>
        <v>N</v>
      </c>
    </row>
    <row r="81" ht="15" customHeight="1" spans="1:23">
      <c r="A81" s="71"/>
      <c r="B81" s="73" t="s">
        <v>2899</v>
      </c>
      <c r="C81" s="71" t="s">
        <v>320</v>
      </c>
      <c r="D81" s="71" t="s">
        <v>147</v>
      </c>
      <c r="E81" s="71">
        <v>6</v>
      </c>
      <c r="F81" s="71">
        <v>5</v>
      </c>
      <c r="G81" s="71">
        <v>6</v>
      </c>
      <c r="H81" s="71">
        <v>2018</v>
      </c>
      <c r="I81" s="71">
        <v>2020</v>
      </c>
      <c r="J81" s="71">
        <f t="shared" si="30"/>
        <v>10.8</v>
      </c>
      <c r="K81" s="71">
        <f t="shared" si="31"/>
        <v>3.6</v>
      </c>
      <c r="L81" s="71">
        <f t="shared" si="32"/>
        <v>3.6</v>
      </c>
      <c r="M81" s="71">
        <f t="shared" si="33"/>
        <v>3.6</v>
      </c>
      <c r="N81" s="71"/>
      <c r="O81" s="71"/>
      <c r="P81" s="71"/>
      <c r="Q81" s="71"/>
      <c r="R81" s="71"/>
      <c r="S81" s="133"/>
      <c r="T81" s="133"/>
      <c r="U81" s="86"/>
      <c r="V81" s="56" t="s">
        <v>1819</v>
      </c>
      <c r="W81" s="61" t="str">
        <f t="shared" si="27"/>
        <v>N</v>
      </c>
    </row>
    <row r="82" ht="15" customHeight="1" spans="1:23">
      <c r="A82" s="71"/>
      <c r="B82" s="73" t="s">
        <v>2900</v>
      </c>
      <c r="C82" s="71" t="s">
        <v>320</v>
      </c>
      <c r="D82" s="71" t="s">
        <v>147</v>
      </c>
      <c r="E82" s="71">
        <v>2</v>
      </c>
      <c r="F82" s="71">
        <v>2</v>
      </c>
      <c r="G82" s="71">
        <v>2</v>
      </c>
      <c r="H82" s="71">
        <v>2018</v>
      </c>
      <c r="I82" s="71">
        <v>2020</v>
      </c>
      <c r="J82" s="71">
        <f t="shared" si="30"/>
        <v>3.6</v>
      </c>
      <c r="K82" s="71">
        <f t="shared" si="31"/>
        <v>1.2</v>
      </c>
      <c r="L82" s="71">
        <f t="shared" si="32"/>
        <v>1.2</v>
      </c>
      <c r="M82" s="71">
        <f t="shared" si="33"/>
        <v>1.2</v>
      </c>
      <c r="N82" s="71"/>
      <c r="O82" s="71"/>
      <c r="P82" s="71"/>
      <c r="Q82" s="71"/>
      <c r="R82" s="71"/>
      <c r="S82" s="133"/>
      <c r="T82" s="133"/>
      <c r="U82" s="86"/>
      <c r="V82" s="56" t="s">
        <v>1819</v>
      </c>
      <c r="W82" s="61" t="str">
        <f t="shared" si="27"/>
        <v>N</v>
      </c>
    </row>
    <row r="83" ht="23.25" customHeight="1" spans="1:23">
      <c r="A83" s="71"/>
      <c r="B83" s="71" t="s">
        <v>1805</v>
      </c>
      <c r="C83" s="71" t="s">
        <v>320</v>
      </c>
      <c r="D83" s="71" t="s">
        <v>147</v>
      </c>
      <c r="E83" s="71">
        <v>33</v>
      </c>
      <c r="F83" s="71">
        <v>32</v>
      </c>
      <c r="G83" s="71">
        <v>33</v>
      </c>
      <c r="H83" s="71">
        <v>2018</v>
      </c>
      <c r="I83" s="71">
        <v>2020</v>
      </c>
      <c r="J83" s="71">
        <f t="shared" si="30"/>
        <v>54.45</v>
      </c>
      <c r="K83" s="71">
        <f t="shared" ref="K83:K90" si="34">E83*0.55</f>
        <v>18.15</v>
      </c>
      <c r="L83" s="71">
        <f t="shared" si="32"/>
        <v>18.15</v>
      </c>
      <c r="M83" s="71">
        <f t="shared" si="33"/>
        <v>18.15</v>
      </c>
      <c r="N83" s="71">
        <f>E83*0.1*3</f>
        <v>9.9</v>
      </c>
      <c r="O83" s="71">
        <f>E83*0.3*3</f>
        <v>29.7</v>
      </c>
      <c r="P83" s="71">
        <f>E83*0.15*3</f>
        <v>14.85</v>
      </c>
      <c r="Q83" s="71"/>
      <c r="R83" s="71"/>
      <c r="S83" s="133"/>
      <c r="T83" s="133"/>
      <c r="U83" s="86"/>
      <c r="V83" s="56" t="s">
        <v>1819</v>
      </c>
      <c r="W83" s="61" t="str">
        <f t="shared" si="27"/>
        <v>Y</v>
      </c>
    </row>
    <row r="84" ht="14.1" customHeight="1" spans="1:23">
      <c r="A84" s="71"/>
      <c r="B84" s="74" t="s">
        <v>2892</v>
      </c>
      <c r="C84" s="71" t="s">
        <v>320</v>
      </c>
      <c r="D84" s="71" t="s">
        <v>147</v>
      </c>
      <c r="E84" s="71">
        <v>10</v>
      </c>
      <c r="F84" s="71">
        <v>10</v>
      </c>
      <c r="G84" s="71">
        <v>10</v>
      </c>
      <c r="H84" s="71">
        <v>2018</v>
      </c>
      <c r="I84" s="71">
        <v>2020</v>
      </c>
      <c r="J84" s="71">
        <f t="shared" si="30"/>
        <v>16.5</v>
      </c>
      <c r="K84" s="71">
        <f t="shared" si="34"/>
        <v>5.5</v>
      </c>
      <c r="L84" s="71">
        <f t="shared" si="32"/>
        <v>5.5</v>
      </c>
      <c r="M84" s="71">
        <f t="shared" si="33"/>
        <v>5.5</v>
      </c>
      <c r="N84" s="71"/>
      <c r="O84" s="71"/>
      <c r="P84" s="71"/>
      <c r="Q84" s="71"/>
      <c r="R84" s="71"/>
      <c r="S84" s="133"/>
      <c r="T84" s="133"/>
      <c r="U84" s="86"/>
      <c r="V84" s="56" t="s">
        <v>1819</v>
      </c>
      <c r="W84" s="61" t="str">
        <f t="shared" si="27"/>
        <v>N</v>
      </c>
    </row>
    <row r="85" ht="14.1" customHeight="1" spans="1:23">
      <c r="A85" s="71"/>
      <c r="B85" s="74" t="s">
        <v>2897</v>
      </c>
      <c r="C85" s="71" t="s">
        <v>320</v>
      </c>
      <c r="D85" s="71" t="s">
        <v>147</v>
      </c>
      <c r="E85" s="71">
        <v>7</v>
      </c>
      <c r="F85" s="71">
        <v>7</v>
      </c>
      <c r="G85" s="71">
        <v>7</v>
      </c>
      <c r="H85" s="71">
        <v>2018</v>
      </c>
      <c r="I85" s="71">
        <v>2020</v>
      </c>
      <c r="J85" s="71">
        <f t="shared" si="30"/>
        <v>11.55</v>
      </c>
      <c r="K85" s="71">
        <f t="shared" si="34"/>
        <v>3.85</v>
      </c>
      <c r="L85" s="71">
        <f t="shared" si="32"/>
        <v>3.85</v>
      </c>
      <c r="M85" s="71">
        <f t="shared" si="33"/>
        <v>3.85</v>
      </c>
      <c r="N85" s="71"/>
      <c r="O85" s="71"/>
      <c r="P85" s="71"/>
      <c r="Q85" s="71"/>
      <c r="R85" s="71"/>
      <c r="S85" s="133"/>
      <c r="T85" s="133"/>
      <c r="U85" s="86"/>
      <c r="V85" s="56" t="s">
        <v>1819</v>
      </c>
      <c r="W85" s="61" t="str">
        <f t="shared" si="27"/>
        <v>N</v>
      </c>
    </row>
    <row r="86" ht="14.1" customHeight="1" spans="1:23">
      <c r="A86" s="71"/>
      <c r="B86" s="74" t="s">
        <v>2893</v>
      </c>
      <c r="C86" s="71" t="s">
        <v>320</v>
      </c>
      <c r="D86" s="71" t="s">
        <v>147</v>
      </c>
      <c r="E86" s="71">
        <v>3</v>
      </c>
      <c r="F86" s="71">
        <v>3</v>
      </c>
      <c r="G86" s="71">
        <v>3</v>
      </c>
      <c r="H86" s="71">
        <v>2018</v>
      </c>
      <c r="I86" s="71">
        <v>2020</v>
      </c>
      <c r="J86" s="71">
        <f t="shared" si="30"/>
        <v>4.95</v>
      </c>
      <c r="K86" s="71">
        <f t="shared" si="34"/>
        <v>1.65</v>
      </c>
      <c r="L86" s="71">
        <f t="shared" si="32"/>
        <v>1.65</v>
      </c>
      <c r="M86" s="71">
        <f t="shared" si="33"/>
        <v>1.65</v>
      </c>
      <c r="N86" s="71"/>
      <c r="O86" s="71"/>
      <c r="P86" s="71"/>
      <c r="Q86" s="71"/>
      <c r="R86" s="71"/>
      <c r="S86" s="133"/>
      <c r="T86" s="133"/>
      <c r="U86" s="86"/>
      <c r="V86" s="56" t="s">
        <v>1819</v>
      </c>
      <c r="W86" s="61" t="str">
        <f t="shared" si="27"/>
        <v>N</v>
      </c>
    </row>
    <row r="87" ht="14.1" customHeight="1" spans="1:23">
      <c r="A87" s="71"/>
      <c r="B87" s="74" t="s">
        <v>2898</v>
      </c>
      <c r="C87" s="71" t="s">
        <v>320</v>
      </c>
      <c r="D87" s="71" t="s">
        <v>147</v>
      </c>
      <c r="E87" s="71">
        <v>6</v>
      </c>
      <c r="F87" s="71">
        <v>5</v>
      </c>
      <c r="G87" s="71">
        <v>6</v>
      </c>
      <c r="H87" s="71">
        <v>2018</v>
      </c>
      <c r="I87" s="71">
        <v>2020</v>
      </c>
      <c r="J87" s="71">
        <f t="shared" si="30"/>
        <v>9.9</v>
      </c>
      <c r="K87" s="71">
        <f t="shared" si="34"/>
        <v>3.3</v>
      </c>
      <c r="L87" s="71">
        <f t="shared" si="32"/>
        <v>3.3</v>
      </c>
      <c r="M87" s="71">
        <f t="shared" si="33"/>
        <v>3.3</v>
      </c>
      <c r="N87" s="71"/>
      <c r="O87" s="71"/>
      <c r="P87" s="71"/>
      <c r="Q87" s="71"/>
      <c r="R87" s="71"/>
      <c r="S87" s="133"/>
      <c r="T87" s="133"/>
      <c r="U87" s="86"/>
      <c r="V87" s="56" t="s">
        <v>1819</v>
      </c>
      <c r="W87" s="61" t="str">
        <f t="shared" si="27"/>
        <v>N</v>
      </c>
    </row>
    <row r="88" ht="14.1" customHeight="1" spans="1:23">
      <c r="A88" s="71"/>
      <c r="B88" s="74" t="s">
        <v>2894</v>
      </c>
      <c r="C88" s="71" t="s">
        <v>320</v>
      </c>
      <c r="D88" s="71" t="s">
        <v>147</v>
      </c>
      <c r="E88" s="71">
        <v>3</v>
      </c>
      <c r="F88" s="71">
        <v>3</v>
      </c>
      <c r="G88" s="71">
        <v>3</v>
      </c>
      <c r="H88" s="71">
        <v>2018</v>
      </c>
      <c r="I88" s="71">
        <v>2020</v>
      </c>
      <c r="J88" s="71">
        <f t="shared" si="30"/>
        <v>4.95</v>
      </c>
      <c r="K88" s="71">
        <f t="shared" si="34"/>
        <v>1.65</v>
      </c>
      <c r="L88" s="71">
        <f t="shared" si="32"/>
        <v>1.65</v>
      </c>
      <c r="M88" s="71">
        <f t="shared" si="33"/>
        <v>1.65</v>
      </c>
      <c r="N88" s="71"/>
      <c r="O88" s="71"/>
      <c r="P88" s="71"/>
      <c r="Q88" s="71"/>
      <c r="R88" s="71"/>
      <c r="S88" s="133"/>
      <c r="T88" s="133"/>
      <c r="U88" s="86"/>
      <c r="V88" s="56" t="s">
        <v>1819</v>
      </c>
      <c r="W88" s="61" t="str">
        <f t="shared" si="27"/>
        <v>N</v>
      </c>
    </row>
    <row r="89" ht="14.1" customHeight="1" spans="1:23">
      <c r="A89" s="71"/>
      <c r="B89" s="74" t="s">
        <v>2899</v>
      </c>
      <c r="C89" s="71" t="s">
        <v>320</v>
      </c>
      <c r="D89" s="71" t="s">
        <v>147</v>
      </c>
      <c r="E89" s="71">
        <v>1</v>
      </c>
      <c r="F89" s="71">
        <v>1</v>
      </c>
      <c r="G89" s="71">
        <v>1</v>
      </c>
      <c r="H89" s="71">
        <v>2018</v>
      </c>
      <c r="I89" s="71">
        <v>2020</v>
      </c>
      <c r="J89" s="71">
        <f t="shared" si="30"/>
        <v>1.65</v>
      </c>
      <c r="K89" s="71">
        <f t="shared" si="34"/>
        <v>0.55</v>
      </c>
      <c r="L89" s="71">
        <f t="shared" si="32"/>
        <v>0.55</v>
      </c>
      <c r="M89" s="71">
        <f t="shared" si="33"/>
        <v>0.55</v>
      </c>
      <c r="N89" s="71"/>
      <c r="O89" s="71"/>
      <c r="P89" s="71"/>
      <c r="Q89" s="71"/>
      <c r="R89" s="71"/>
      <c r="S89" s="133"/>
      <c r="T89" s="133"/>
      <c r="U89" s="86"/>
      <c r="V89" s="56" t="s">
        <v>1819</v>
      </c>
      <c r="W89" s="61" t="str">
        <f t="shared" si="27"/>
        <v>N</v>
      </c>
    </row>
    <row r="90" ht="14.1" customHeight="1" spans="1:23">
      <c r="A90" s="71"/>
      <c r="B90" s="74" t="s">
        <v>2900</v>
      </c>
      <c r="C90" s="71" t="s">
        <v>320</v>
      </c>
      <c r="D90" s="71" t="s">
        <v>147</v>
      </c>
      <c r="E90" s="71">
        <v>3</v>
      </c>
      <c r="F90" s="71">
        <v>3</v>
      </c>
      <c r="G90" s="71">
        <v>3</v>
      </c>
      <c r="H90" s="71">
        <v>2018</v>
      </c>
      <c r="I90" s="71">
        <v>2020</v>
      </c>
      <c r="J90" s="71">
        <f t="shared" si="30"/>
        <v>4.95</v>
      </c>
      <c r="K90" s="71">
        <f t="shared" si="34"/>
        <v>1.65</v>
      </c>
      <c r="L90" s="71">
        <f t="shared" si="32"/>
        <v>1.65</v>
      </c>
      <c r="M90" s="71">
        <f t="shared" si="33"/>
        <v>1.65</v>
      </c>
      <c r="N90" s="71"/>
      <c r="O90" s="71"/>
      <c r="P90" s="71"/>
      <c r="Q90" s="71"/>
      <c r="R90" s="71"/>
      <c r="S90" s="133"/>
      <c r="T90" s="133"/>
      <c r="U90" s="86"/>
      <c r="V90" s="56" t="s">
        <v>1819</v>
      </c>
      <c r="W90" s="61" t="str">
        <f t="shared" si="27"/>
        <v>N</v>
      </c>
    </row>
    <row r="91" ht="23.25" customHeight="1" spans="1:23">
      <c r="A91" s="71"/>
      <c r="B91" s="71" t="s">
        <v>1806</v>
      </c>
      <c r="C91" s="71" t="s">
        <v>320</v>
      </c>
      <c r="D91" s="71" t="s">
        <v>147</v>
      </c>
      <c r="E91" s="71">
        <v>47</v>
      </c>
      <c r="F91" s="71">
        <v>46</v>
      </c>
      <c r="G91" s="71">
        <v>47</v>
      </c>
      <c r="H91" s="71">
        <v>2018</v>
      </c>
      <c r="I91" s="71">
        <v>2020</v>
      </c>
      <c r="J91" s="71">
        <f t="shared" si="30"/>
        <v>42.3</v>
      </c>
      <c r="K91" s="71">
        <f t="shared" ref="K91:K98" si="35">E91*0.3</f>
        <v>14.1</v>
      </c>
      <c r="L91" s="71">
        <f t="shared" si="32"/>
        <v>14.1</v>
      </c>
      <c r="M91" s="71">
        <f t="shared" si="33"/>
        <v>14.1</v>
      </c>
      <c r="N91" s="71">
        <f>E91*0.15*3</f>
        <v>21.15</v>
      </c>
      <c r="O91" s="71"/>
      <c r="P91" s="71">
        <f>E91*0.15*3</f>
        <v>21.15</v>
      </c>
      <c r="Q91" s="71"/>
      <c r="R91" s="71"/>
      <c r="S91" s="133"/>
      <c r="T91" s="133"/>
      <c r="U91" s="86"/>
      <c r="V91" s="56" t="s">
        <v>1819</v>
      </c>
      <c r="W91" s="61" t="str">
        <f t="shared" si="27"/>
        <v>Y</v>
      </c>
    </row>
    <row r="92" ht="14.1" customHeight="1" spans="1:23">
      <c r="A92" s="71"/>
      <c r="B92" s="74" t="s">
        <v>2892</v>
      </c>
      <c r="C92" s="71" t="s">
        <v>320</v>
      </c>
      <c r="D92" s="71" t="s">
        <v>147</v>
      </c>
      <c r="E92" s="71">
        <v>9</v>
      </c>
      <c r="F92" s="71">
        <v>9</v>
      </c>
      <c r="G92" s="71">
        <v>9</v>
      </c>
      <c r="H92" s="71">
        <v>2018</v>
      </c>
      <c r="I92" s="71">
        <v>2020</v>
      </c>
      <c r="J92" s="71">
        <f t="shared" si="30"/>
        <v>8.1</v>
      </c>
      <c r="K92" s="71">
        <f t="shared" si="35"/>
        <v>2.7</v>
      </c>
      <c r="L92" s="71">
        <f t="shared" si="32"/>
        <v>2.7</v>
      </c>
      <c r="M92" s="71">
        <f t="shared" si="33"/>
        <v>2.7</v>
      </c>
      <c r="N92" s="71"/>
      <c r="O92" s="71"/>
      <c r="P92" s="71"/>
      <c r="Q92" s="71"/>
      <c r="R92" s="71"/>
      <c r="S92" s="133"/>
      <c r="T92" s="133"/>
      <c r="U92" s="86"/>
      <c r="V92" s="56" t="s">
        <v>1819</v>
      </c>
      <c r="W92" s="61" t="str">
        <f t="shared" si="27"/>
        <v>N</v>
      </c>
    </row>
    <row r="93" ht="14.1" customHeight="1" spans="1:23">
      <c r="A93" s="71"/>
      <c r="B93" s="74" t="s">
        <v>2897</v>
      </c>
      <c r="C93" s="71" t="s">
        <v>320</v>
      </c>
      <c r="D93" s="71" t="s">
        <v>147</v>
      </c>
      <c r="E93" s="71">
        <v>7</v>
      </c>
      <c r="F93" s="71">
        <v>7</v>
      </c>
      <c r="G93" s="71">
        <v>7</v>
      </c>
      <c r="H93" s="71">
        <v>2018</v>
      </c>
      <c r="I93" s="71">
        <v>2020</v>
      </c>
      <c r="J93" s="71">
        <f t="shared" si="30"/>
        <v>6.3</v>
      </c>
      <c r="K93" s="71">
        <f t="shared" si="35"/>
        <v>2.1</v>
      </c>
      <c r="L93" s="71">
        <f t="shared" si="32"/>
        <v>2.1</v>
      </c>
      <c r="M93" s="71">
        <f t="shared" si="33"/>
        <v>2.1</v>
      </c>
      <c r="N93" s="71"/>
      <c r="O93" s="71"/>
      <c r="P93" s="71"/>
      <c r="Q93" s="71"/>
      <c r="R93" s="71"/>
      <c r="S93" s="133"/>
      <c r="T93" s="133"/>
      <c r="U93" s="86"/>
      <c r="V93" s="56" t="s">
        <v>1819</v>
      </c>
      <c r="W93" s="61" t="str">
        <f t="shared" si="27"/>
        <v>N</v>
      </c>
    </row>
    <row r="94" ht="14.1" customHeight="1" spans="1:23">
      <c r="A94" s="71"/>
      <c r="B94" s="74" t="s">
        <v>2893</v>
      </c>
      <c r="C94" s="71" t="s">
        <v>320</v>
      </c>
      <c r="D94" s="71" t="s">
        <v>147</v>
      </c>
      <c r="E94" s="71">
        <v>12</v>
      </c>
      <c r="F94" s="71">
        <v>12</v>
      </c>
      <c r="G94" s="71">
        <v>12</v>
      </c>
      <c r="H94" s="71">
        <v>2018</v>
      </c>
      <c r="I94" s="71">
        <v>2020</v>
      </c>
      <c r="J94" s="71">
        <f t="shared" si="30"/>
        <v>10.8</v>
      </c>
      <c r="K94" s="71">
        <f t="shared" si="35"/>
        <v>3.6</v>
      </c>
      <c r="L94" s="71">
        <f t="shared" si="32"/>
        <v>3.6</v>
      </c>
      <c r="M94" s="71">
        <f t="shared" si="33"/>
        <v>3.6</v>
      </c>
      <c r="N94" s="71"/>
      <c r="O94" s="71"/>
      <c r="P94" s="71"/>
      <c r="Q94" s="71"/>
      <c r="R94" s="71"/>
      <c r="S94" s="133"/>
      <c r="T94" s="133"/>
      <c r="U94" s="86"/>
      <c r="V94" s="56" t="s">
        <v>1819</v>
      </c>
      <c r="W94" s="61" t="str">
        <f t="shared" si="27"/>
        <v>N</v>
      </c>
    </row>
    <row r="95" ht="14.1" customHeight="1" spans="1:23">
      <c r="A95" s="71"/>
      <c r="B95" s="74" t="s">
        <v>2898</v>
      </c>
      <c r="C95" s="71" t="s">
        <v>320</v>
      </c>
      <c r="D95" s="71" t="s">
        <v>147</v>
      </c>
      <c r="E95" s="71">
        <v>5</v>
      </c>
      <c r="F95" s="71">
        <v>5</v>
      </c>
      <c r="G95" s="71">
        <v>5</v>
      </c>
      <c r="H95" s="71">
        <v>2018</v>
      </c>
      <c r="I95" s="71">
        <v>2020</v>
      </c>
      <c r="J95" s="71">
        <f t="shared" si="30"/>
        <v>4.5</v>
      </c>
      <c r="K95" s="71">
        <f t="shared" si="35"/>
        <v>1.5</v>
      </c>
      <c r="L95" s="71">
        <f t="shared" si="32"/>
        <v>1.5</v>
      </c>
      <c r="M95" s="71">
        <f t="shared" si="33"/>
        <v>1.5</v>
      </c>
      <c r="N95" s="71"/>
      <c r="O95" s="71"/>
      <c r="P95" s="71"/>
      <c r="Q95" s="71"/>
      <c r="R95" s="71"/>
      <c r="S95" s="133"/>
      <c r="T95" s="133"/>
      <c r="U95" s="86"/>
      <c r="V95" s="56" t="s">
        <v>1819</v>
      </c>
      <c r="W95" s="61" t="str">
        <f t="shared" si="27"/>
        <v>N</v>
      </c>
    </row>
    <row r="96" ht="14.1" customHeight="1" spans="1:23">
      <c r="A96" s="71"/>
      <c r="B96" s="74" t="s">
        <v>2894</v>
      </c>
      <c r="C96" s="71" t="s">
        <v>320</v>
      </c>
      <c r="D96" s="71" t="s">
        <v>147</v>
      </c>
      <c r="E96" s="71">
        <v>11</v>
      </c>
      <c r="F96" s="71">
        <v>10</v>
      </c>
      <c r="G96" s="71">
        <v>11</v>
      </c>
      <c r="H96" s="71">
        <v>2018</v>
      </c>
      <c r="I96" s="71">
        <v>2020</v>
      </c>
      <c r="J96" s="71">
        <f t="shared" si="30"/>
        <v>9.9</v>
      </c>
      <c r="K96" s="71">
        <f t="shared" si="35"/>
        <v>3.3</v>
      </c>
      <c r="L96" s="71">
        <f t="shared" si="32"/>
        <v>3.3</v>
      </c>
      <c r="M96" s="71">
        <f t="shared" si="33"/>
        <v>3.3</v>
      </c>
      <c r="N96" s="71"/>
      <c r="O96" s="71"/>
      <c r="P96" s="71"/>
      <c r="Q96" s="71"/>
      <c r="R96" s="71"/>
      <c r="S96" s="133"/>
      <c r="T96" s="133"/>
      <c r="U96" s="86"/>
      <c r="V96" s="56" t="s">
        <v>1819</v>
      </c>
      <c r="W96" s="61" t="str">
        <f t="shared" si="27"/>
        <v>N</v>
      </c>
    </row>
    <row r="97" ht="14.1" customHeight="1" spans="1:23">
      <c r="A97" s="71"/>
      <c r="B97" s="74" t="s">
        <v>2899</v>
      </c>
      <c r="C97" s="71" t="s">
        <v>320</v>
      </c>
      <c r="D97" s="71" t="s">
        <v>147</v>
      </c>
      <c r="E97" s="71">
        <v>2</v>
      </c>
      <c r="F97" s="71">
        <v>2</v>
      </c>
      <c r="G97" s="71">
        <v>2</v>
      </c>
      <c r="H97" s="71">
        <v>2018</v>
      </c>
      <c r="I97" s="71">
        <v>2020</v>
      </c>
      <c r="J97" s="71">
        <f t="shared" si="30"/>
        <v>1.8</v>
      </c>
      <c r="K97" s="71">
        <f t="shared" si="35"/>
        <v>0.6</v>
      </c>
      <c r="L97" s="71">
        <f t="shared" si="32"/>
        <v>0.6</v>
      </c>
      <c r="M97" s="71">
        <f t="shared" si="33"/>
        <v>0.6</v>
      </c>
      <c r="N97" s="71"/>
      <c r="O97" s="71"/>
      <c r="P97" s="71"/>
      <c r="Q97" s="71"/>
      <c r="R97" s="71"/>
      <c r="S97" s="133"/>
      <c r="T97" s="133"/>
      <c r="U97" s="86"/>
      <c r="V97" s="56" t="s">
        <v>1819</v>
      </c>
      <c r="W97" s="61" t="str">
        <f t="shared" si="27"/>
        <v>N</v>
      </c>
    </row>
    <row r="98" ht="14.1" customHeight="1" spans="1:23">
      <c r="A98" s="71"/>
      <c r="B98" s="74" t="s">
        <v>2900</v>
      </c>
      <c r="C98" s="71" t="s">
        <v>320</v>
      </c>
      <c r="D98" s="71" t="s">
        <v>147</v>
      </c>
      <c r="E98" s="71">
        <v>1</v>
      </c>
      <c r="F98" s="71">
        <v>1</v>
      </c>
      <c r="G98" s="71">
        <v>1</v>
      </c>
      <c r="H98" s="71">
        <v>2018</v>
      </c>
      <c r="I98" s="71">
        <v>2020</v>
      </c>
      <c r="J98" s="71">
        <f t="shared" si="30"/>
        <v>0.9</v>
      </c>
      <c r="K98" s="71">
        <f t="shared" si="35"/>
        <v>0.3</v>
      </c>
      <c r="L98" s="71">
        <f t="shared" si="32"/>
        <v>0.3</v>
      </c>
      <c r="M98" s="71">
        <f t="shared" si="33"/>
        <v>0.3</v>
      </c>
      <c r="N98" s="71"/>
      <c r="O98" s="71"/>
      <c r="P98" s="71"/>
      <c r="Q98" s="71"/>
      <c r="R98" s="71"/>
      <c r="S98" s="133"/>
      <c r="T98" s="133"/>
      <c r="U98" s="86"/>
      <c r="V98" s="56" t="s">
        <v>1819</v>
      </c>
      <c r="W98" s="61" t="str">
        <f t="shared" si="27"/>
        <v>N</v>
      </c>
    </row>
    <row r="99" ht="23.25" customHeight="1" spans="1:23">
      <c r="A99" s="71"/>
      <c r="B99" s="71" t="s">
        <v>1807</v>
      </c>
      <c r="C99" s="71" t="s">
        <v>320</v>
      </c>
      <c r="D99" s="71" t="s">
        <v>147</v>
      </c>
      <c r="E99" s="71">
        <v>2</v>
      </c>
      <c r="F99" s="71">
        <v>2</v>
      </c>
      <c r="G99" s="71">
        <v>2</v>
      </c>
      <c r="H99" s="71">
        <v>2018</v>
      </c>
      <c r="I99" s="71">
        <v>2020</v>
      </c>
      <c r="J99" s="71">
        <f t="shared" si="30"/>
        <v>0.9</v>
      </c>
      <c r="K99" s="71">
        <f t="shared" ref="K99:K101" si="36">E99*0.15</f>
        <v>0.3</v>
      </c>
      <c r="L99" s="71">
        <f t="shared" si="32"/>
        <v>0.3</v>
      </c>
      <c r="M99" s="71">
        <f t="shared" si="33"/>
        <v>0.3</v>
      </c>
      <c r="N99" s="71"/>
      <c r="O99" s="71"/>
      <c r="P99" s="71">
        <f>E99*0.15*3</f>
        <v>0.9</v>
      </c>
      <c r="Q99" s="71"/>
      <c r="R99" s="71"/>
      <c r="S99" s="133"/>
      <c r="T99" s="133"/>
      <c r="U99" s="86"/>
      <c r="V99" s="56" t="s">
        <v>1819</v>
      </c>
      <c r="W99" s="61" t="str">
        <f t="shared" si="27"/>
        <v>Y</v>
      </c>
    </row>
    <row r="100" ht="14.1" customHeight="1" spans="1:23">
      <c r="A100" s="71"/>
      <c r="B100" s="74" t="s">
        <v>2893</v>
      </c>
      <c r="C100" s="71" t="s">
        <v>320</v>
      </c>
      <c r="D100" s="71" t="s">
        <v>147</v>
      </c>
      <c r="E100" s="71">
        <v>1</v>
      </c>
      <c r="F100" s="71">
        <v>1</v>
      </c>
      <c r="G100" s="71">
        <v>1</v>
      </c>
      <c r="H100" s="71">
        <v>2018</v>
      </c>
      <c r="I100" s="71">
        <v>2020</v>
      </c>
      <c r="J100" s="71">
        <f t="shared" si="30"/>
        <v>0.45</v>
      </c>
      <c r="K100" s="71">
        <f t="shared" si="36"/>
        <v>0.15</v>
      </c>
      <c r="L100" s="71">
        <f t="shared" si="32"/>
        <v>0.15</v>
      </c>
      <c r="M100" s="71">
        <f t="shared" si="33"/>
        <v>0.15</v>
      </c>
      <c r="N100" s="71"/>
      <c r="O100" s="71"/>
      <c r="P100" s="71"/>
      <c r="Q100" s="71"/>
      <c r="R100" s="71"/>
      <c r="S100" s="133"/>
      <c r="T100" s="133"/>
      <c r="U100" s="86"/>
      <c r="V100" s="56" t="s">
        <v>1819</v>
      </c>
      <c r="W100" s="61" t="str">
        <f t="shared" si="27"/>
        <v>N</v>
      </c>
    </row>
    <row r="101" ht="14.1" customHeight="1" spans="1:23">
      <c r="A101" s="71"/>
      <c r="B101" s="74" t="s">
        <v>2894</v>
      </c>
      <c r="C101" s="71" t="s">
        <v>320</v>
      </c>
      <c r="D101" s="71" t="s">
        <v>147</v>
      </c>
      <c r="E101" s="71">
        <v>1</v>
      </c>
      <c r="F101" s="71">
        <v>1</v>
      </c>
      <c r="G101" s="71">
        <v>1</v>
      </c>
      <c r="H101" s="71">
        <v>2018</v>
      </c>
      <c r="I101" s="71">
        <v>2020</v>
      </c>
      <c r="J101" s="71">
        <f t="shared" si="30"/>
        <v>0.45</v>
      </c>
      <c r="K101" s="71">
        <f t="shared" si="36"/>
        <v>0.15</v>
      </c>
      <c r="L101" s="71">
        <f t="shared" si="32"/>
        <v>0.15</v>
      </c>
      <c r="M101" s="71">
        <f t="shared" si="33"/>
        <v>0.15</v>
      </c>
      <c r="N101" s="71"/>
      <c r="O101" s="71"/>
      <c r="P101" s="71"/>
      <c r="Q101" s="71"/>
      <c r="R101" s="71"/>
      <c r="S101" s="86"/>
      <c r="T101" s="86"/>
      <c r="U101" s="86"/>
      <c r="V101" s="56" t="s">
        <v>1819</v>
      </c>
      <c r="W101" s="61" t="str">
        <f t="shared" si="27"/>
        <v>N</v>
      </c>
    </row>
    <row r="102" ht="23.25" customHeight="1" spans="1:23">
      <c r="A102" s="71">
        <v>14</v>
      </c>
      <c r="B102" s="73" t="s">
        <v>324</v>
      </c>
      <c r="C102" s="71" t="s">
        <v>320</v>
      </c>
      <c r="D102" s="71" t="s">
        <v>147</v>
      </c>
      <c r="E102" s="71" t="s">
        <v>320</v>
      </c>
      <c r="F102" s="71" t="s">
        <v>320</v>
      </c>
      <c r="G102" s="71" t="s">
        <v>320</v>
      </c>
      <c r="H102" s="71" t="s">
        <v>320</v>
      </c>
      <c r="I102" s="71" t="s">
        <v>320</v>
      </c>
      <c r="J102" s="71" t="s">
        <v>320</v>
      </c>
      <c r="K102" s="71" t="s">
        <v>320</v>
      </c>
      <c r="L102" s="71" t="s">
        <v>320</v>
      </c>
      <c r="M102" s="71" t="s">
        <v>320</v>
      </c>
      <c r="N102" s="71"/>
      <c r="O102" s="71"/>
      <c r="P102" s="71"/>
      <c r="Q102" s="71"/>
      <c r="R102" s="71"/>
      <c r="S102" s="86"/>
      <c r="T102" s="86"/>
      <c r="U102" s="86" t="s">
        <v>294</v>
      </c>
      <c r="V102" s="56" t="s">
        <v>2885</v>
      </c>
      <c r="W102" s="61" t="str">
        <f t="shared" si="27"/>
        <v>N</v>
      </c>
    </row>
    <row r="103" ht="23.25" customHeight="1" spans="1:23">
      <c r="A103" s="71">
        <v>15</v>
      </c>
      <c r="B103" s="73" t="s">
        <v>802</v>
      </c>
      <c r="C103" s="71" t="s">
        <v>320</v>
      </c>
      <c r="D103" s="71" t="s">
        <v>320</v>
      </c>
      <c r="E103" s="71">
        <v>6185</v>
      </c>
      <c r="F103" s="71">
        <v>1576</v>
      </c>
      <c r="G103" s="71">
        <v>6185</v>
      </c>
      <c r="H103" s="71">
        <v>2018</v>
      </c>
      <c r="I103" s="71">
        <v>2020</v>
      </c>
      <c r="J103" s="86">
        <f>K103+L103+M103</f>
        <v>429.6212</v>
      </c>
      <c r="K103" s="86">
        <f>K104+K120+K136</f>
        <v>140.22</v>
      </c>
      <c r="L103" s="86">
        <f t="shared" ref="L103:R103" si="37">L104+L120+L136</f>
        <v>143.112</v>
      </c>
      <c r="M103" s="86">
        <f t="shared" si="37"/>
        <v>146.2892</v>
      </c>
      <c r="N103" s="86">
        <f t="shared" si="37"/>
        <v>291.7862</v>
      </c>
      <c r="O103" s="86">
        <f t="shared" si="37"/>
        <v>0</v>
      </c>
      <c r="P103" s="86">
        <f t="shared" si="37"/>
        <v>137.835</v>
      </c>
      <c r="Q103" s="86">
        <f t="shared" si="37"/>
        <v>0</v>
      </c>
      <c r="R103" s="86">
        <f t="shared" si="37"/>
        <v>0</v>
      </c>
      <c r="S103" s="133" t="s">
        <v>2901</v>
      </c>
      <c r="T103" s="133" t="s">
        <v>2903</v>
      </c>
      <c r="U103" s="71" t="s">
        <v>320</v>
      </c>
      <c r="V103" s="56"/>
      <c r="W103" s="61" t="str">
        <f t="shared" si="27"/>
        <v>Y</v>
      </c>
    </row>
    <row r="104" ht="23.25" customHeight="1" spans="1:23">
      <c r="A104" s="71">
        <v>16</v>
      </c>
      <c r="B104" s="73" t="s">
        <v>327</v>
      </c>
      <c r="C104" s="71" t="s">
        <v>320</v>
      </c>
      <c r="D104" s="71" t="s">
        <v>147</v>
      </c>
      <c r="E104" s="71">
        <v>6185</v>
      </c>
      <c r="F104" s="71">
        <v>1576</v>
      </c>
      <c r="G104" s="71">
        <v>6185</v>
      </c>
      <c r="H104" s="71">
        <v>2018</v>
      </c>
      <c r="I104" s="71">
        <v>2020</v>
      </c>
      <c r="J104" s="71">
        <f t="shared" ref="J104:J111" si="38">K104+L104+M104</f>
        <v>333.99</v>
      </c>
      <c r="K104" s="71">
        <v>111.33</v>
      </c>
      <c r="L104" s="71">
        <v>111.33</v>
      </c>
      <c r="M104" s="71">
        <v>111.33</v>
      </c>
      <c r="N104" s="135">
        <f>J104-P104</f>
        <v>196.155</v>
      </c>
      <c r="O104" s="135"/>
      <c r="P104" s="135">
        <f>(3485*0.009*3)+(2700*0.0054*3)</f>
        <v>137.835</v>
      </c>
      <c r="Q104" s="135"/>
      <c r="R104" s="135"/>
      <c r="S104" s="86"/>
      <c r="T104" s="86"/>
      <c r="U104" s="86" t="s">
        <v>195</v>
      </c>
      <c r="V104" s="56" t="s">
        <v>1819</v>
      </c>
      <c r="W104" s="61" t="str">
        <f t="shared" si="27"/>
        <v>Y</v>
      </c>
    </row>
    <row r="105" ht="14.1" customHeight="1" spans="1:23">
      <c r="A105" s="71"/>
      <c r="B105" s="73" t="s">
        <v>2892</v>
      </c>
      <c r="C105" s="71" t="s">
        <v>320</v>
      </c>
      <c r="D105" s="71" t="s">
        <v>147</v>
      </c>
      <c r="E105" s="71">
        <v>1672</v>
      </c>
      <c r="F105" s="71">
        <v>429</v>
      </c>
      <c r="G105" s="71">
        <v>1672</v>
      </c>
      <c r="H105" s="71">
        <v>2018</v>
      </c>
      <c r="I105" s="71">
        <v>2020</v>
      </c>
      <c r="J105" s="71">
        <f t="shared" si="38"/>
        <v>90.288</v>
      </c>
      <c r="K105" s="71">
        <f t="shared" ref="K105:K111" si="39">E105*0.018</f>
        <v>30.096</v>
      </c>
      <c r="L105" s="71">
        <f t="shared" ref="L105:L111" si="40">E105*0.018</f>
        <v>30.096</v>
      </c>
      <c r="M105" s="71">
        <f t="shared" ref="M105:M111" si="41">E105*0.018</f>
        <v>30.096</v>
      </c>
      <c r="N105" s="135"/>
      <c r="O105" s="135"/>
      <c r="P105" s="135"/>
      <c r="Q105" s="135"/>
      <c r="R105" s="135"/>
      <c r="S105" s="86"/>
      <c r="T105" s="86"/>
      <c r="U105" s="86"/>
      <c r="V105" s="56" t="s">
        <v>1819</v>
      </c>
      <c r="W105" s="61" t="str">
        <f t="shared" si="27"/>
        <v>N</v>
      </c>
    </row>
    <row r="106" ht="14.1" customHeight="1" spans="1:23">
      <c r="A106" s="71"/>
      <c r="B106" s="73" t="s">
        <v>2897</v>
      </c>
      <c r="C106" s="71" t="s">
        <v>320</v>
      </c>
      <c r="D106" s="71" t="s">
        <v>147</v>
      </c>
      <c r="E106" s="71">
        <v>983</v>
      </c>
      <c r="F106" s="71">
        <v>249</v>
      </c>
      <c r="G106" s="71">
        <v>983</v>
      </c>
      <c r="H106" s="71">
        <v>2018</v>
      </c>
      <c r="I106" s="71">
        <v>2020</v>
      </c>
      <c r="J106" s="71">
        <f t="shared" si="38"/>
        <v>53.082</v>
      </c>
      <c r="K106" s="71">
        <f t="shared" si="39"/>
        <v>17.694</v>
      </c>
      <c r="L106" s="71">
        <f t="shared" si="40"/>
        <v>17.694</v>
      </c>
      <c r="M106" s="71">
        <f t="shared" si="41"/>
        <v>17.694</v>
      </c>
      <c r="N106" s="135"/>
      <c r="O106" s="135"/>
      <c r="P106" s="135"/>
      <c r="Q106" s="135"/>
      <c r="R106" s="135"/>
      <c r="S106" s="86"/>
      <c r="T106" s="86"/>
      <c r="U106" s="86"/>
      <c r="V106" s="56" t="s">
        <v>1819</v>
      </c>
      <c r="W106" s="61" t="str">
        <f t="shared" si="27"/>
        <v>N</v>
      </c>
    </row>
    <row r="107" ht="14.1" customHeight="1" spans="1:23">
      <c r="A107" s="71"/>
      <c r="B107" s="73" t="s">
        <v>2893</v>
      </c>
      <c r="C107" s="71" t="s">
        <v>320</v>
      </c>
      <c r="D107" s="71" t="s">
        <v>147</v>
      </c>
      <c r="E107" s="71">
        <v>980</v>
      </c>
      <c r="F107" s="71">
        <v>238</v>
      </c>
      <c r="G107" s="71">
        <v>980</v>
      </c>
      <c r="H107" s="71">
        <v>2018</v>
      </c>
      <c r="I107" s="71">
        <v>2020</v>
      </c>
      <c r="J107" s="71">
        <f t="shared" si="38"/>
        <v>52.92</v>
      </c>
      <c r="K107" s="71">
        <f t="shared" si="39"/>
        <v>17.64</v>
      </c>
      <c r="L107" s="71">
        <f t="shared" si="40"/>
        <v>17.64</v>
      </c>
      <c r="M107" s="71">
        <f t="shared" si="41"/>
        <v>17.64</v>
      </c>
      <c r="N107" s="135"/>
      <c r="O107" s="135"/>
      <c r="P107" s="135"/>
      <c r="Q107" s="135"/>
      <c r="R107" s="135"/>
      <c r="S107" s="86"/>
      <c r="T107" s="86"/>
      <c r="U107" s="86"/>
      <c r="V107" s="56" t="s">
        <v>1819</v>
      </c>
      <c r="W107" s="61" t="str">
        <f t="shared" si="27"/>
        <v>N</v>
      </c>
    </row>
    <row r="108" ht="14.1" customHeight="1" spans="1:23">
      <c r="A108" s="71"/>
      <c r="B108" s="73" t="s">
        <v>2898</v>
      </c>
      <c r="C108" s="71" t="s">
        <v>320</v>
      </c>
      <c r="D108" s="71" t="s">
        <v>147</v>
      </c>
      <c r="E108" s="71">
        <v>799</v>
      </c>
      <c r="F108" s="71">
        <v>209</v>
      </c>
      <c r="G108" s="71">
        <v>799</v>
      </c>
      <c r="H108" s="71">
        <v>2018</v>
      </c>
      <c r="I108" s="71">
        <v>2020</v>
      </c>
      <c r="J108" s="71">
        <f t="shared" si="38"/>
        <v>43.146</v>
      </c>
      <c r="K108" s="71">
        <f t="shared" si="39"/>
        <v>14.382</v>
      </c>
      <c r="L108" s="71">
        <f t="shared" si="40"/>
        <v>14.382</v>
      </c>
      <c r="M108" s="71">
        <f t="shared" si="41"/>
        <v>14.382</v>
      </c>
      <c r="N108" s="135"/>
      <c r="O108" s="135"/>
      <c r="P108" s="135"/>
      <c r="Q108" s="135"/>
      <c r="R108" s="135"/>
      <c r="S108" s="86"/>
      <c r="T108" s="86"/>
      <c r="U108" s="86"/>
      <c r="V108" s="56" t="s">
        <v>1819</v>
      </c>
      <c r="W108" s="61" t="str">
        <f t="shared" si="27"/>
        <v>N</v>
      </c>
    </row>
    <row r="109" ht="14.1" customHeight="1" spans="1:23">
      <c r="A109" s="71"/>
      <c r="B109" s="73" t="s">
        <v>2894</v>
      </c>
      <c r="C109" s="71" t="s">
        <v>320</v>
      </c>
      <c r="D109" s="71" t="s">
        <v>147</v>
      </c>
      <c r="E109" s="71">
        <v>817</v>
      </c>
      <c r="F109" s="71">
        <v>210</v>
      </c>
      <c r="G109" s="71">
        <v>817</v>
      </c>
      <c r="H109" s="71">
        <v>2018</v>
      </c>
      <c r="I109" s="71">
        <v>2020</v>
      </c>
      <c r="J109" s="71">
        <f t="shared" si="38"/>
        <v>44.118</v>
      </c>
      <c r="K109" s="71">
        <f t="shared" si="39"/>
        <v>14.706</v>
      </c>
      <c r="L109" s="71">
        <f t="shared" si="40"/>
        <v>14.706</v>
      </c>
      <c r="M109" s="71">
        <f t="shared" si="41"/>
        <v>14.706</v>
      </c>
      <c r="N109" s="135"/>
      <c r="O109" s="135"/>
      <c r="P109" s="135"/>
      <c r="Q109" s="135"/>
      <c r="R109" s="135"/>
      <c r="S109" s="86"/>
      <c r="T109" s="86"/>
      <c r="U109" s="86"/>
      <c r="V109" s="56" t="s">
        <v>1819</v>
      </c>
      <c r="W109" s="61" t="str">
        <f t="shared" si="27"/>
        <v>N</v>
      </c>
    </row>
    <row r="110" ht="14.1" customHeight="1" spans="1:23">
      <c r="A110" s="71"/>
      <c r="B110" s="73" t="s">
        <v>2899</v>
      </c>
      <c r="C110" s="71" t="s">
        <v>320</v>
      </c>
      <c r="D110" s="71" t="s">
        <v>147</v>
      </c>
      <c r="E110" s="71">
        <v>753</v>
      </c>
      <c r="F110" s="71">
        <v>191</v>
      </c>
      <c r="G110" s="71">
        <v>753</v>
      </c>
      <c r="H110" s="71">
        <v>2018</v>
      </c>
      <c r="I110" s="71">
        <v>2020</v>
      </c>
      <c r="J110" s="71">
        <f t="shared" si="38"/>
        <v>40.662</v>
      </c>
      <c r="K110" s="71">
        <f t="shared" si="39"/>
        <v>13.554</v>
      </c>
      <c r="L110" s="71">
        <f t="shared" si="40"/>
        <v>13.554</v>
      </c>
      <c r="M110" s="71">
        <f t="shared" si="41"/>
        <v>13.554</v>
      </c>
      <c r="N110" s="135"/>
      <c r="O110" s="135"/>
      <c r="P110" s="135"/>
      <c r="Q110" s="135"/>
      <c r="R110" s="135"/>
      <c r="S110" s="86"/>
      <c r="T110" s="86"/>
      <c r="U110" s="86"/>
      <c r="V110" s="56" t="s">
        <v>1819</v>
      </c>
      <c r="W110" s="61" t="str">
        <f t="shared" si="27"/>
        <v>N</v>
      </c>
    </row>
    <row r="111" ht="14.1" customHeight="1" spans="1:23">
      <c r="A111" s="71"/>
      <c r="B111" s="73" t="s">
        <v>2900</v>
      </c>
      <c r="C111" s="71" t="s">
        <v>320</v>
      </c>
      <c r="D111" s="71" t="s">
        <v>147</v>
      </c>
      <c r="E111" s="71">
        <v>181</v>
      </c>
      <c r="F111" s="71">
        <v>50</v>
      </c>
      <c r="G111" s="71">
        <v>181</v>
      </c>
      <c r="H111" s="71">
        <v>2018</v>
      </c>
      <c r="I111" s="71">
        <v>2020</v>
      </c>
      <c r="J111" s="71">
        <f t="shared" si="38"/>
        <v>9.774</v>
      </c>
      <c r="K111" s="71">
        <f t="shared" si="39"/>
        <v>3.258</v>
      </c>
      <c r="L111" s="71">
        <f t="shared" si="40"/>
        <v>3.258</v>
      </c>
      <c r="M111" s="71">
        <f t="shared" si="41"/>
        <v>3.258</v>
      </c>
      <c r="N111" s="135"/>
      <c r="O111" s="135"/>
      <c r="P111" s="135"/>
      <c r="Q111" s="135"/>
      <c r="R111" s="135"/>
      <c r="S111" s="86"/>
      <c r="T111" s="86"/>
      <c r="U111" s="86"/>
      <c r="V111" s="56" t="s">
        <v>1819</v>
      </c>
      <c r="W111" s="61" t="str">
        <f t="shared" si="27"/>
        <v>N</v>
      </c>
    </row>
    <row r="112" ht="23.25" customHeight="1" spans="1:23">
      <c r="A112" s="71">
        <v>17</v>
      </c>
      <c r="B112" s="73" t="s">
        <v>332</v>
      </c>
      <c r="C112" s="71" t="s">
        <v>320</v>
      </c>
      <c r="D112" s="71" t="s">
        <v>147</v>
      </c>
      <c r="E112" s="71">
        <v>6185</v>
      </c>
      <c r="F112" s="71">
        <v>1576</v>
      </c>
      <c r="G112" s="71">
        <v>6185</v>
      </c>
      <c r="H112" s="71">
        <v>2018</v>
      </c>
      <c r="I112" s="71">
        <v>2020</v>
      </c>
      <c r="J112" s="71" t="s">
        <v>320</v>
      </c>
      <c r="K112" s="71" t="s">
        <v>320</v>
      </c>
      <c r="L112" s="71" t="s">
        <v>320</v>
      </c>
      <c r="M112" s="71" t="s">
        <v>320</v>
      </c>
      <c r="N112" s="71"/>
      <c r="O112" s="71"/>
      <c r="P112" s="71"/>
      <c r="Q112" s="71"/>
      <c r="R112" s="71"/>
      <c r="S112" s="133" t="s">
        <v>2901</v>
      </c>
      <c r="T112" s="133" t="s">
        <v>2903</v>
      </c>
      <c r="U112" s="86" t="s">
        <v>195</v>
      </c>
      <c r="V112" s="56"/>
      <c r="W112" s="61" t="str">
        <f t="shared" si="27"/>
        <v>N</v>
      </c>
    </row>
    <row r="113" ht="12" customHeight="1" spans="1:23">
      <c r="A113" s="71"/>
      <c r="B113" s="73" t="s">
        <v>2892</v>
      </c>
      <c r="C113" s="71" t="s">
        <v>320</v>
      </c>
      <c r="D113" s="71" t="s">
        <v>147</v>
      </c>
      <c r="E113" s="71">
        <v>1672</v>
      </c>
      <c r="F113" s="71">
        <v>429</v>
      </c>
      <c r="G113" s="71">
        <v>1672</v>
      </c>
      <c r="H113" s="71">
        <v>2018</v>
      </c>
      <c r="I113" s="71">
        <v>2020</v>
      </c>
      <c r="J113" s="71" t="s">
        <v>320</v>
      </c>
      <c r="K113" s="71" t="s">
        <v>320</v>
      </c>
      <c r="L113" s="71" t="s">
        <v>320</v>
      </c>
      <c r="M113" s="71" t="s">
        <v>320</v>
      </c>
      <c r="N113" s="71"/>
      <c r="O113" s="71"/>
      <c r="P113" s="71"/>
      <c r="Q113" s="71"/>
      <c r="R113" s="71"/>
      <c r="S113" s="86"/>
      <c r="T113" s="86"/>
      <c r="U113" s="86"/>
      <c r="V113" s="56"/>
      <c r="W113" s="61" t="str">
        <f t="shared" si="27"/>
        <v>N</v>
      </c>
    </row>
    <row r="114" ht="12" customHeight="1" spans="1:23">
      <c r="A114" s="71"/>
      <c r="B114" s="73" t="s">
        <v>2897</v>
      </c>
      <c r="C114" s="71" t="s">
        <v>320</v>
      </c>
      <c r="D114" s="71" t="s">
        <v>147</v>
      </c>
      <c r="E114" s="71">
        <v>983</v>
      </c>
      <c r="F114" s="71">
        <v>249</v>
      </c>
      <c r="G114" s="71">
        <v>983</v>
      </c>
      <c r="H114" s="71">
        <v>2018</v>
      </c>
      <c r="I114" s="71">
        <v>2020</v>
      </c>
      <c r="J114" s="71" t="s">
        <v>320</v>
      </c>
      <c r="K114" s="71" t="s">
        <v>320</v>
      </c>
      <c r="L114" s="71" t="s">
        <v>320</v>
      </c>
      <c r="M114" s="71" t="s">
        <v>320</v>
      </c>
      <c r="N114" s="71"/>
      <c r="O114" s="71"/>
      <c r="P114" s="71"/>
      <c r="Q114" s="71"/>
      <c r="R114" s="71"/>
      <c r="S114" s="86"/>
      <c r="T114" s="86"/>
      <c r="U114" s="86"/>
      <c r="V114" s="56"/>
      <c r="W114" s="61" t="str">
        <f t="shared" si="27"/>
        <v>N</v>
      </c>
    </row>
    <row r="115" ht="12" customHeight="1" spans="1:23">
      <c r="A115" s="71"/>
      <c r="B115" s="73" t="s">
        <v>2893</v>
      </c>
      <c r="C115" s="71" t="s">
        <v>320</v>
      </c>
      <c r="D115" s="71" t="s">
        <v>147</v>
      </c>
      <c r="E115" s="71">
        <v>980</v>
      </c>
      <c r="F115" s="71">
        <v>238</v>
      </c>
      <c r="G115" s="71">
        <v>980</v>
      </c>
      <c r="H115" s="71">
        <v>2018</v>
      </c>
      <c r="I115" s="71">
        <v>2020</v>
      </c>
      <c r="J115" s="71" t="s">
        <v>320</v>
      </c>
      <c r="K115" s="71" t="s">
        <v>320</v>
      </c>
      <c r="L115" s="71" t="s">
        <v>320</v>
      </c>
      <c r="M115" s="71" t="s">
        <v>320</v>
      </c>
      <c r="N115" s="71"/>
      <c r="O115" s="71"/>
      <c r="P115" s="71"/>
      <c r="Q115" s="71"/>
      <c r="R115" s="71"/>
      <c r="S115" s="86"/>
      <c r="T115" s="86"/>
      <c r="U115" s="86"/>
      <c r="V115" s="56"/>
      <c r="W115" s="61" t="str">
        <f t="shared" si="27"/>
        <v>N</v>
      </c>
    </row>
    <row r="116" ht="12" customHeight="1" spans="1:23">
      <c r="A116" s="71"/>
      <c r="B116" s="73" t="s">
        <v>2898</v>
      </c>
      <c r="C116" s="71" t="s">
        <v>320</v>
      </c>
      <c r="D116" s="71" t="s">
        <v>147</v>
      </c>
      <c r="E116" s="71">
        <v>799</v>
      </c>
      <c r="F116" s="71">
        <v>209</v>
      </c>
      <c r="G116" s="71">
        <v>799</v>
      </c>
      <c r="H116" s="71">
        <v>2018</v>
      </c>
      <c r="I116" s="71">
        <v>2020</v>
      </c>
      <c r="J116" s="71" t="s">
        <v>320</v>
      </c>
      <c r="K116" s="71" t="s">
        <v>320</v>
      </c>
      <c r="L116" s="71" t="s">
        <v>320</v>
      </c>
      <c r="M116" s="71" t="s">
        <v>320</v>
      </c>
      <c r="N116" s="71"/>
      <c r="O116" s="71"/>
      <c r="P116" s="71"/>
      <c r="Q116" s="71"/>
      <c r="R116" s="71"/>
      <c r="S116" s="86"/>
      <c r="T116" s="86"/>
      <c r="U116" s="86"/>
      <c r="V116" s="56"/>
      <c r="W116" s="61" t="str">
        <f t="shared" si="27"/>
        <v>N</v>
      </c>
    </row>
    <row r="117" ht="12" customHeight="1" spans="1:23">
      <c r="A117" s="71"/>
      <c r="B117" s="73" t="s">
        <v>2894</v>
      </c>
      <c r="C117" s="71" t="s">
        <v>320</v>
      </c>
      <c r="D117" s="71" t="s">
        <v>147</v>
      </c>
      <c r="E117" s="71">
        <v>817</v>
      </c>
      <c r="F117" s="71">
        <v>210</v>
      </c>
      <c r="G117" s="71">
        <v>817</v>
      </c>
      <c r="H117" s="71">
        <v>2018</v>
      </c>
      <c r="I117" s="71">
        <v>2020</v>
      </c>
      <c r="J117" s="71" t="s">
        <v>320</v>
      </c>
      <c r="K117" s="71" t="s">
        <v>320</v>
      </c>
      <c r="L117" s="71" t="s">
        <v>320</v>
      </c>
      <c r="M117" s="71" t="s">
        <v>320</v>
      </c>
      <c r="N117" s="71"/>
      <c r="O117" s="71"/>
      <c r="P117" s="71"/>
      <c r="Q117" s="71"/>
      <c r="R117" s="71"/>
      <c r="S117" s="86"/>
      <c r="T117" s="86"/>
      <c r="U117" s="86"/>
      <c r="V117" s="56"/>
      <c r="W117" s="61" t="str">
        <f t="shared" si="27"/>
        <v>N</v>
      </c>
    </row>
    <row r="118" ht="12" customHeight="1" spans="1:23">
      <c r="A118" s="71"/>
      <c r="B118" s="73" t="s">
        <v>2899</v>
      </c>
      <c r="C118" s="71" t="s">
        <v>320</v>
      </c>
      <c r="D118" s="71" t="s">
        <v>147</v>
      </c>
      <c r="E118" s="71">
        <v>753</v>
      </c>
      <c r="F118" s="71">
        <v>191</v>
      </c>
      <c r="G118" s="71">
        <v>753</v>
      </c>
      <c r="H118" s="71">
        <v>2018</v>
      </c>
      <c r="I118" s="71">
        <v>2020</v>
      </c>
      <c r="J118" s="71" t="s">
        <v>320</v>
      </c>
      <c r="K118" s="71" t="s">
        <v>320</v>
      </c>
      <c r="L118" s="71" t="s">
        <v>320</v>
      </c>
      <c r="M118" s="71" t="s">
        <v>320</v>
      </c>
      <c r="N118" s="71"/>
      <c r="O118" s="71"/>
      <c r="P118" s="71"/>
      <c r="Q118" s="71"/>
      <c r="R118" s="71"/>
      <c r="S118" s="86"/>
      <c r="T118" s="86"/>
      <c r="U118" s="86"/>
      <c r="V118" s="56"/>
      <c r="W118" s="61" t="str">
        <f t="shared" si="27"/>
        <v>N</v>
      </c>
    </row>
    <row r="119" ht="12" customHeight="1" spans="1:23">
      <c r="A119" s="71"/>
      <c r="B119" s="73" t="s">
        <v>2900</v>
      </c>
      <c r="C119" s="71" t="s">
        <v>320</v>
      </c>
      <c r="D119" s="71" t="s">
        <v>147</v>
      </c>
      <c r="E119" s="71">
        <v>181</v>
      </c>
      <c r="F119" s="71">
        <v>50</v>
      </c>
      <c r="G119" s="71">
        <v>181</v>
      </c>
      <c r="H119" s="71">
        <v>2018</v>
      </c>
      <c r="I119" s="71">
        <v>2020</v>
      </c>
      <c r="J119" s="71" t="s">
        <v>320</v>
      </c>
      <c r="K119" s="71" t="s">
        <v>320</v>
      </c>
      <c r="L119" s="71" t="s">
        <v>320</v>
      </c>
      <c r="M119" s="71" t="s">
        <v>320</v>
      </c>
      <c r="N119" s="71"/>
      <c r="O119" s="71"/>
      <c r="P119" s="71"/>
      <c r="Q119" s="71"/>
      <c r="R119" s="71"/>
      <c r="S119" s="86"/>
      <c r="T119" s="86"/>
      <c r="U119" s="86"/>
      <c r="V119" s="56"/>
      <c r="W119" s="61" t="str">
        <f t="shared" si="27"/>
        <v>N</v>
      </c>
    </row>
    <row r="120" ht="23.25" customHeight="1" spans="1:23">
      <c r="A120" s="71">
        <v>18</v>
      </c>
      <c r="B120" s="73" t="s">
        <v>335</v>
      </c>
      <c r="C120" s="71" t="s">
        <v>320</v>
      </c>
      <c r="D120" s="71" t="s">
        <v>194</v>
      </c>
      <c r="E120" s="71">
        <v>1443</v>
      </c>
      <c r="F120" s="71" t="s">
        <v>320</v>
      </c>
      <c r="G120" s="71">
        <v>1443</v>
      </c>
      <c r="H120" s="71">
        <v>2018</v>
      </c>
      <c r="I120" s="71">
        <v>2020</v>
      </c>
      <c r="J120" s="86">
        <f t="shared" ref="J120:J127" si="42">K120+L120+M120</f>
        <v>74.5412</v>
      </c>
      <c r="K120" s="86">
        <v>22.52</v>
      </c>
      <c r="L120" s="86">
        <f t="shared" ref="L120:L127" si="43">K120*1.1</f>
        <v>24.772</v>
      </c>
      <c r="M120" s="86">
        <f t="shared" ref="M120:M127" si="44">L120*1.1</f>
        <v>27.2492</v>
      </c>
      <c r="N120" s="86">
        <f>SUM(K120:M120)</f>
        <v>74.5412</v>
      </c>
      <c r="O120" s="71"/>
      <c r="P120" s="71"/>
      <c r="Q120" s="71"/>
      <c r="R120" s="71"/>
      <c r="S120" s="133" t="s">
        <v>2901</v>
      </c>
      <c r="T120" s="133" t="s">
        <v>2903</v>
      </c>
      <c r="U120" s="86" t="s">
        <v>358</v>
      </c>
      <c r="V120" s="56" t="s">
        <v>1819</v>
      </c>
      <c r="W120" s="61" t="str">
        <f t="shared" si="27"/>
        <v>Y</v>
      </c>
    </row>
    <row r="121" ht="15" customHeight="1" spans="1:23">
      <c r="A121" s="71"/>
      <c r="B121" s="73" t="s">
        <v>2892</v>
      </c>
      <c r="C121" s="71" t="s">
        <v>320</v>
      </c>
      <c r="D121" s="71" t="s">
        <v>194</v>
      </c>
      <c r="E121" s="71">
        <v>390</v>
      </c>
      <c r="F121" s="71" t="s">
        <v>320</v>
      </c>
      <c r="G121" s="71">
        <v>390</v>
      </c>
      <c r="H121" s="71">
        <v>2018</v>
      </c>
      <c r="I121" s="71">
        <v>2020</v>
      </c>
      <c r="J121" s="86">
        <f t="shared" si="42"/>
        <v>22.0777</v>
      </c>
      <c r="K121" s="71">
        <v>6.67</v>
      </c>
      <c r="L121" s="86">
        <f t="shared" si="43"/>
        <v>7.337</v>
      </c>
      <c r="M121" s="86">
        <f t="shared" si="44"/>
        <v>8.0707</v>
      </c>
      <c r="N121" s="86">
        <v>22.0777</v>
      </c>
      <c r="O121" s="86"/>
      <c r="P121" s="86"/>
      <c r="Q121" s="86"/>
      <c r="R121" s="86"/>
      <c r="S121" s="86"/>
      <c r="T121" s="86"/>
      <c r="U121" s="86"/>
      <c r="V121" s="56" t="s">
        <v>1819</v>
      </c>
      <c r="W121" s="61" t="str">
        <f t="shared" si="27"/>
        <v>Y</v>
      </c>
    </row>
    <row r="122" ht="15" customHeight="1" spans="1:23">
      <c r="A122" s="71"/>
      <c r="B122" s="73" t="s">
        <v>2897</v>
      </c>
      <c r="C122" s="71" t="s">
        <v>320</v>
      </c>
      <c r="D122" s="71" t="s">
        <v>194</v>
      </c>
      <c r="E122" s="71">
        <v>248</v>
      </c>
      <c r="F122" s="71" t="s">
        <v>320</v>
      </c>
      <c r="G122" s="71">
        <v>248</v>
      </c>
      <c r="H122" s="71">
        <v>2018</v>
      </c>
      <c r="I122" s="71">
        <v>2020</v>
      </c>
      <c r="J122" s="86">
        <f t="shared" si="42"/>
        <v>13.5048</v>
      </c>
      <c r="K122" s="71">
        <v>4.08</v>
      </c>
      <c r="L122" s="86">
        <f t="shared" si="43"/>
        <v>4.488</v>
      </c>
      <c r="M122" s="86">
        <f t="shared" si="44"/>
        <v>4.9368</v>
      </c>
      <c r="N122" s="86">
        <v>13.5048</v>
      </c>
      <c r="O122" s="86"/>
      <c r="P122" s="86"/>
      <c r="Q122" s="86"/>
      <c r="R122" s="86"/>
      <c r="S122" s="86"/>
      <c r="T122" s="86"/>
      <c r="U122" s="86"/>
      <c r="V122" s="56" t="s">
        <v>1819</v>
      </c>
      <c r="W122" s="61" t="str">
        <f t="shared" si="27"/>
        <v>Y</v>
      </c>
    </row>
    <row r="123" ht="15" customHeight="1" spans="1:23">
      <c r="A123" s="71"/>
      <c r="B123" s="73" t="s">
        <v>2893</v>
      </c>
      <c r="C123" s="71" t="s">
        <v>320</v>
      </c>
      <c r="D123" s="71" t="s">
        <v>194</v>
      </c>
      <c r="E123" s="71">
        <v>205</v>
      </c>
      <c r="F123" s="71" t="s">
        <v>320</v>
      </c>
      <c r="G123" s="71">
        <v>205</v>
      </c>
      <c r="H123" s="71">
        <v>2018</v>
      </c>
      <c r="I123" s="71">
        <v>2020</v>
      </c>
      <c r="J123" s="86">
        <f t="shared" si="42"/>
        <v>11.1878</v>
      </c>
      <c r="K123" s="71">
        <v>3.38</v>
      </c>
      <c r="L123" s="86">
        <f t="shared" si="43"/>
        <v>3.718</v>
      </c>
      <c r="M123" s="86">
        <f t="shared" si="44"/>
        <v>4.0898</v>
      </c>
      <c r="N123" s="86">
        <v>11.1878</v>
      </c>
      <c r="O123" s="86"/>
      <c r="P123" s="86"/>
      <c r="Q123" s="86"/>
      <c r="R123" s="86"/>
      <c r="S123" s="86"/>
      <c r="T123" s="86"/>
      <c r="U123" s="86"/>
      <c r="V123" s="56" t="s">
        <v>1819</v>
      </c>
      <c r="W123" s="61" t="str">
        <f t="shared" si="27"/>
        <v>Y</v>
      </c>
    </row>
    <row r="124" ht="15" customHeight="1" spans="1:23">
      <c r="A124" s="71"/>
      <c r="B124" s="73" t="s">
        <v>2898</v>
      </c>
      <c r="C124" s="71" t="s">
        <v>320</v>
      </c>
      <c r="D124" s="71" t="s">
        <v>194</v>
      </c>
      <c r="E124" s="71">
        <v>163</v>
      </c>
      <c r="F124" s="71" t="s">
        <v>320</v>
      </c>
      <c r="G124" s="71">
        <v>163</v>
      </c>
      <c r="H124" s="71">
        <v>2018</v>
      </c>
      <c r="I124" s="71">
        <v>2020</v>
      </c>
      <c r="J124" s="86">
        <f t="shared" si="42"/>
        <v>7.0834</v>
      </c>
      <c r="K124" s="71">
        <v>2.14</v>
      </c>
      <c r="L124" s="86">
        <f t="shared" si="43"/>
        <v>2.354</v>
      </c>
      <c r="M124" s="86">
        <f t="shared" si="44"/>
        <v>2.5894</v>
      </c>
      <c r="N124" s="86">
        <v>7.0834</v>
      </c>
      <c r="O124" s="86"/>
      <c r="P124" s="86"/>
      <c r="Q124" s="86"/>
      <c r="R124" s="86"/>
      <c r="S124" s="86"/>
      <c r="T124" s="86"/>
      <c r="U124" s="86"/>
      <c r="V124" s="56" t="s">
        <v>1819</v>
      </c>
      <c r="W124" s="61" t="str">
        <f t="shared" si="27"/>
        <v>Y</v>
      </c>
    </row>
    <row r="125" ht="15" customHeight="1" spans="1:23">
      <c r="A125" s="71"/>
      <c r="B125" s="73" t="s">
        <v>2894</v>
      </c>
      <c r="C125" s="71" t="s">
        <v>320</v>
      </c>
      <c r="D125" s="71" t="s">
        <v>194</v>
      </c>
      <c r="E125" s="71">
        <v>166</v>
      </c>
      <c r="F125" s="71" t="s">
        <v>320</v>
      </c>
      <c r="G125" s="71">
        <v>166</v>
      </c>
      <c r="H125" s="71">
        <v>2018</v>
      </c>
      <c r="I125" s="71">
        <v>2020</v>
      </c>
      <c r="J125" s="86">
        <f t="shared" si="42"/>
        <v>6.9179</v>
      </c>
      <c r="K125" s="71">
        <v>2.09</v>
      </c>
      <c r="L125" s="86">
        <f t="shared" si="43"/>
        <v>2.299</v>
      </c>
      <c r="M125" s="86">
        <f t="shared" si="44"/>
        <v>2.5289</v>
      </c>
      <c r="N125" s="86">
        <v>6.9179</v>
      </c>
      <c r="O125" s="86"/>
      <c r="P125" s="86"/>
      <c r="Q125" s="86"/>
      <c r="R125" s="86"/>
      <c r="S125" s="86"/>
      <c r="T125" s="86"/>
      <c r="U125" s="86"/>
      <c r="V125" s="56" t="s">
        <v>1819</v>
      </c>
      <c r="W125" s="61" t="str">
        <f t="shared" si="27"/>
        <v>Y</v>
      </c>
    </row>
    <row r="126" ht="15" customHeight="1" spans="1:23">
      <c r="A126" s="71"/>
      <c r="B126" s="73" t="s">
        <v>2899</v>
      </c>
      <c r="C126" s="71" t="s">
        <v>320</v>
      </c>
      <c r="D126" s="71" t="s">
        <v>194</v>
      </c>
      <c r="E126" s="71">
        <v>235</v>
      </c>
      <c r="F126" s="71" t="s">
        <v>320</v>
      </c>
      <c r="G126" s="71">
        <v>235</v>
      </c>
      <c r="H126" s="71">
        <v>2018</v>
      </c>
      <c r="I126" s="71">
        <v>2020</v>
      </c>
      <c r="J126" s="86">
        <f t="shared" si="42"/>
        <v>11.2871</v>
      </c>
      <c r="K126" s="71">
        <v>3.41</v>
      </c>
      <c r="L126" s="86">
        <f t="shared" si="43"/>
        <v>3.751</v>
      </c>
      <c r="M126" s="86">
        <f t="shared" si="44"/>
        <v>4.1261</v>
      </c>
      <c r="N126" s="86">
        <v>11.2871</v>
      </c>
      <c r="O126" s="86"/>
      <c r="P126" s="86"/>
      <c r="Q126" s="86"/>
      <c r="R126" s="86"/>
      <c r="S126" s="86"/>
      <c r="T126" s="86"/>
      <c r="U126" s="86"/>
      <c r="V126" s="56" t="s">
        <v>1819</v>
      </c>
      <c r="W126" s="61" t="str">
        <f t="shared" si="27"/>
        <v>Y</v>
      </c>
    </row>
    <row r="127" ht="15" customHeight="1" spans="1:23">
      <c r="A127" s="71"/>
      <c r="B127" s="73" t="s">
        <v>2900</v>
      </c>
      <c r="C127" s="71" t="s">
        <v>320</v>
      </c>
      <c r="D127" s="71" t="s">
        <v>194</v>
      </c>
      <c r="E127" s="71">
        <v>36</v>
      </c>
      <c r="F127" s="71" t="s">
        <v>320</v>
      </c>
      <c r="G127" s="71">
        <v>36</v>
      </c>
      <c r="H127" s="71">
        <v>2018</v>
      </c>
      <c r="I127" s="71">
        <v>2020</v>
      </c>
      <c r="J127" s="86">
        <f t="shared" si="42"/>
        <v>2.4825</v>
      </c>
      <c r="K127" s="71">
        <v>0.75</v>
      </c>
      <c r="L127" s="86">
        <f t="shared" si="43"/>
        <v>0.825</v>
      </c>
      <c r="M127" s="86">
        <f t="shared" si="44"/>
        <v>0.9075</v>
      </c>
      <c r="N127" s="86">
        <v>2.4825</v>
      </c>
      <c r="O127" s="86"/>
      <c r="P127" s="86"/>
      <c r="Q127" s="86"/>
      <c r="R127" s="86"/>
      <c r="S127" s="86"/>
      <c r="T127" s="86"/>
      <c r="U127" s="86"/>
      <c r="V127" s="56" t="s">
        <v>1819</v>
      </c>
      <c r="W127" s="61" t="str">
        <f t="shared" si="27"/>
        <v>Y</v>
      </c>
    </row>
    <row r="128" ht="23.25" customHeight="1" spans="1:23">
      <c r="A128" s="71">
        <v>19</v>
      </c>
      <c r="B128" s="73" t="s">
        <v>355</v>
      </c>
      <c r="C128" s="71" t="s">
        <v>320</v>
      </c>
      <c r="D128" s="71" t="s">
        <v>147</v>
      </c>
      <c r="E128" s="71">
        <v>72</v>
      </c>
      <c r="F128" s="71">
        <v>58</v>
      </c>
      <c r="G128" s="71" t="s">
        <v>320</v>
      </c>
      <c r="H128" s="71">
        <v>2018</v>
      </c>
      <c r="I128" s="71">
        <v>2020</v>
      </c>
      <c r="J128" s="71" t="s">
        <v>320</v>
      </c>
      <c r="K128" s="71" t="s">
        <v>320</v>
      </c>
      <c r="L128" s="71" t="s">
        <v>320</v>
      </c>
      <c r="M128" s="71" t="s">
        <v>320</v>
      </c>
      <c r="N128" s="86"/>
      <c r="O128" s="71"/>
      <c r="P128" s="71"/>
      <c r="Q128" s="71"/>
      <c r="R128" s="71"/>
      <c r="S128" s="133" t="s">
        <v>2901</v>
      </c>
      <c r="T128" s="133" t="s">
        <v>2904</v>
      </c>
      <c r="U128" s="86" t="s">
        <v>358</v>
      </c>
      <c r="V128" s="56" t="s">
        <v>1819</v>
      </c>
      <c r="W128" s="61" t="str">
        <f t="shared" si="27"/>
        <v>N</v>
      </c>
    </row>
    <row r="129" ht="14.1" customHeight="1" spans="1:23">
      <c r="A129" s="71"/>
      <c r="B129" s="73" t="s">
        <v>2892</v>
      </c>
      <c r="C129" s="71" t="s">
        <v>320</v>
      </c>
      <c r="D129" s="71" t="s">
        <v>147</v>
      </c>
      <c r="E129" s="71">
        <v>17</v>
      </c>
      <c r="F129" s="71">
        <v>14</v>
      </c>
      <c r="G129" s="71" t="s">
        <v>320</v>
      </c>
      <c r="H129" s="71">
        <v>2018</v>
      </c>
      <c r="I129" s="71">
        <v>2020</v>
      </c>
      <c r="J129" s="71" t="s">
        <v>320</v>
      </c>
      <c r="K129" s="71" t="s">
        <v>320</v>
      </c>
      <c r="L129" s="71" t="s">
        <v>320</v>
      </c>
      <c r="M129" s="71" t="s">
        <v>320</v>
      </c>
      <c r="N129" s="71"/>
      <c r="O129" s="71"/>
      <c r="P129" s="71"/>
      <c r="Q129" s="71"/>
      <c r="R129" s="71"/>
      <c r="S129" s="86"/>
      <c r="T129" s="86"/>
      <c r="U129" s="86"/>
      <c r="V129" s="56" t="s">
        <v>1819</v>
      </c>
      <c r="W129" s="61" t="str">
        <f t="shared" si="27"/>
        <v>N</v>
      </c>
    </row>
    <row r="130" ht="14.1" customHeight="1" spans="1:23">
      <c r="A130" s="71"/>
      <c r="B130" s="73" t="s">
        <v>2897</v>
      </c>
      <c r="C130" s="71" t="s">
        <v>320</v>
      </c>
      <c r="D130" s="71" t="s">
        <v>147</v>
      </c>
      <c r="E130" s="71">
        <v>8</v>
      </c>
      <c r="F130" s="71">
        <v>6</v>
      </c>
      <c r="G130" s="71" t="s">
        <v>320</v>
      </c>
      <c r="H130" s="71">
        <v>2018</v>
      </c>
      <c r="I130" s="71">
        <v>2020</v>
      </c>
      <c r="J130" s="71" t="s">
        <v>320</v>
      </c>
      <c r="K130" s="71" t="s">
        <v>320</v>
      </c>
      <c r="L130" s="71" t="s">
        <v>320</v>
      </c>
      <c r="M130" s="71" t="s">
        <v>320</v>
      </c>
      <c r="N130" s="71"/>
      <c r="O130" s="71"/>
      <c r="P130" s="71"/>
      <c r="Q130" s="71"/>
      <c r="R130" s="71"/>
      <c r="S130" s="86"/>
      <c r="T130" s="86"/>
      <c r="U130" s="86"/>
      <c r="V130" s="56" t="s">
        <v>1819</v>
      </c>
      <c r="W130" s="61" t="str">
        <f t="shared" si="27"/>
        <v>N</v>
      </c>
    </row>
    <row r="131" ht="14.1" customHeight="1" spans="1:23">
      <c r="A131" s="71"/>
      <c r="B131" s="73" t="s">
        <v>2893</v>
      </c>
      <c r="C131" s="71" t="s">
        <v>320</v>
      </c>
      <c r="D131" s="71" t="s">
        <v>147</v>
      </c>
      <c r="E131" s="71">
        <v>11</v>
      </c>
      <c r="F131" s="71">
        <v>9</v>
      </c>
      <c r="G131" s="71" t="s">
        <v>320</v>
      </c>
      <c r="H131" s="71">
        <v>2018</v>
      </c>
      <c r="I131" s="71">
        <v>2020</v>
      </c>
      <c r="J131" s="71" t="s">
        <v>320</v>
      </c>
      <c r="K131" s="71" t="s">
        <v>320</v>
      </c>
      <c r="L131" s="71" t="s">
        <v>320</v>
      </c>
      <c r="M131" s="71" t="s">
        <v>320</v>
      </c>
      <c r="N131" s="71"/>
      <c r="O131" s="71"/>
      <c r="P131" s="71"/>
      <c r="Q131" s="71"/>
      <c r="R131" s="71"/>
      <c r="S131" s="86"/>
      <c r="T131" s="86"/>
      <c r="U131" s="86"/>
      <c r="V131" s="56" t="s">
        <v>1819</v>
      </c>
      <c r="W131" s="61" t="str">
        <f t="shared" si="27"/>
        <v>N</v>
      </c>
    </row>
    <row r="132" ht="14.1" customHeight="1" spans="1:23">
      <c r="A132" s="71"/>
      <c r="B132" s="73" t="s">
        <v>2898</v>
      </c>
      <c r="C132" s="71" t="s">
        <v>320</v>
      </c>
      <c r="D132" s="71" t="s">
        <v>147</v>
      </c>
      <c r="E132" s="71">
        <v>12</v>
      </c>
      <c r="F132" s="71">
        <v>10</v>
      </c>
      <c r="G132" s="71" t="s">
        <v>320</v>
      </c>
      <c r="H132" s="71">
        <v>2018</v>
      </c>
      <c r="I132" s="71">
        <v>2020</v>
      </c>
      <c r="J132" s="71" t="s">
        <v>320</v>
      </c>
      <c r="K132" s="71" t="s">
        <v>320</v>
      </c>
      <c r="L132" s="71" t="s">
        <v>320</v>
      </c>
      <c r="M132" s="71" t="s">
        <v>320</v>
      </c>
      <c r="N132" s="71"/>
      <c r="O132" s="71"/>
      <c r="P132" s="71"/>
      <c r="Q132" s="71"/>
      <c r="R132" s="71"/>
      <c r="S132" s="86"/>
      <c r="T132" s="86"/>
      <c r="U132" s="86"/>
      <c r="V132" s="56" t="s">
        <v>1819</v>
      </c>
      <c r="W132" s="61" t="str">
        <f t="shared" si="27"/>
        <v>N</v>
      </c>
    </row>
    <row r="133" ht="14.1" customHeight="1" spans="1:23">
      <c r="A133" s="71"/>
      <c r="B133" s="73" t="s">
        <v>2894</v>
      </c>
      <c r="C133" s="71" t="s">
        <v>320</v>
      </c>
      <c r="D133" s="71" t="s">
        <v>147</v>
      </c>
      <c r="E133" s="71">
        <v>12</v>
      </c>
      <c r="F133" s="71">
        <v>10</v>
      </c>
      <c r="G133" s="71" t="s">
        <v>320</v>
      </c>
      <c r="H133" s="71">
        <v>2018</v>
      </c>
      <c r="I133" s="71">
        <v>2020</v>
      </c>
      <c r="J133" s="71" t="s">
        <v>320</v>
      </c>
      <c r="K133" s="71" t="s">
        <v>320</v>
      </c>
      <c r="L133" s="71" t="s">
        <v>320</v>
      </c>
      <c r="M133" s="71" t="s">
        <v>320</v>
      </c>
      <c r="N133" s="71"/>
      <c r="O133" s="71"/>
      <c r="P133" s="71"/>
      <c r="Q133" s="71"/>
      <c r="R133" s="71"/>
      <c r="S133" s="86"/>
      <c r="T133" s="86"/>
      <c r="U133" s="86"/>
      <c r="V133" s="56" t="s">
        <v>1819</v>
      </c>
      <c r="W133" s="61" t="str">
        <f t="shared" si="27"/>
        <v>N</v>
      </c>
    </row>
    <row r="134" ht="14.1" customHeight="1" spans="1:23">
      <c r="A134" s="71"/>
      <c r="B134" s="73" t="s">
        <v>2899</v>
      </c>
      <c r="C134" s="71" t="s">
        <v>320</v>
      </c>
      <c r="D134" s="71" t="s">
        <v>147</v>
      </c>
      <c r="E134" s="71">
        <v>9</v>
      </c>
      <c r="F134" s="71">
        <v>7</v>
      </c>
      <c r="G134" s="71" t="s">
        <v>320</v>
      </c>
      <c r="H134" s="71">
        <v>2018</v>
      </c>
      <c r="I134" s="71">
        <v>2020</v>
      </c>
      <c r="J134" s="71" t="s">
        <v>320</v>
      </c>
      <c r="K134" s="71" t="s">
        <v>320</v>
      </c>
      <c r="L134" s="71" t="s">
        <v>320</v>
      </c>
      <c r="M134" s="71" t="s">
        <v>320</v>
      </c>
      <c r="N134" s="71"/>
      <c r="O134" s="71"/>
      <c r="P134" s="71"/>
      <c r="Q134" s="71"/>
      <c r="R134" s="71"/>
      <c r="S134" s="86"/>
      <c r="T134" s="86"/>
      <c r="U134" s="86"/>
      <c r="V134" s="56" t="s">
        <v>1819</v>
      </c>
      <c r="W134" s="61" t="str">
        <f t="shared" si="27"/>
        <v>N</v>
      </c>
    </row>
    <row r="135" ht="14.1" customHeight="1" spans="1:23">
      <c r="A135" s="71"/>
      <c r="B135" s="73" t="s">
        <v>2900</v>
      </c>
      <c r="C135" s="71" t="s">
        <v>320</v>
      </c>
      <c r="D135" s="71" t="s">
        <v>147</v>
      </c>
      <c r="E135" s="71">
        <v>3</v>
      </c>
      <c r="F135" s="71">
        <v>2</v>
      </c>
      <c r="G135" s="71" t="s">
        <v>320</v>
      </c>
      <c r="H135" s="71">
        <v>2018</v>
      </c>
      <c r="I135" s="71">
        <v>2020</v>
      </c>
      <c r="J135" s="71" t="s">
        <v>320</v>
      </c>
      <c r="K135" s="71" t="s">
        <v>320</v>
      </c>
      <c r="L135" s="71" t="s">
        <v>320</v>
      </c>
      <c r="M135" s="71" t="s">
        <v>320</v>
      </c>
      <c r="N135" s="71"/>
      <c r="O135" s="71"/>
      <c r="P135" s="71"/>
      <c r="Q135" s="71"/>
      <c r="R135" s="71"/>
      <c r="S135" s="86"/>
      <c r="T135" s="86"/>
      <c r="U135" s="86"/>
      <c r="V135" s="56" t="s">
        <v>1819</v>
      </c>
      <c r="W135" s="61" t="str">
        <f t="shared" si="27"/>
        <v>N</v>
      </c>
    </row>
    <row r="136" ht="23.25" customHeight="1" spans="1:23">
      <c r="A136" s="71">
        <v>20</v>
      </c>
      <c r="B136" s="73" t="s">
        <v>370</v>
      </c>
      <c r="C136" s="71" t="s">
        <v>320</v>
      </c>
      <c r="D136" s="71" t="s">
        <v>194</v>
      </c>
      <c r="E136" s="71">
        <v>1310</v>
      </c>
      <c r="F136" s="71">
        <v>1048</v>
      </c>
      <c r="G136" s="71" t="s">
        <v>320</v>
      </c>
      <c r="H136" s="71">
        <v>2018</v>
      </c>
      <c r="I136" s="71">
        <v>2020</v>
      </c>
      <c r="J136" s="71">
        <f>SUM(K136:M136)</f>
        <v>21.09</v>
      </c>
      <c r="K136" s="76">
        <v>6.37</v>
      </c>
      <c r="L136" s="76">
        <v>7.01</v>
      </c>
      <c r="M136" s="76">
        <v>7.71</v>
      </c>
      <c r="N136" s="136">
        <v>21.09</v>
      </c>
      <c r="O136" s="135"/>
      <c r="P136" s="135"/>
      <c r="Q136" s="135"/>
      <c r="R136" s="135"/>
      <c r="S136" s="133" t="s">
        <v>2901</v>
      </c>
      <c r="T136" s="133" t="s">
        <v>2904</v>
      </c>
      <c r="U136" s="86" t="s">
        <v>358</v>
      </c>
      <c r="V136" s="56" t="s">
        <v>1819</v>
      </c>
      <c r="W136" s="61" t="str">
        <f t="shared" ref="W136:W199" si="45">IF(SUM(N136:R136)=J136,"Y","N")</f>
        <v>Y</v>
      </c>
    </row>
    <row r="137" ht="15" customHeight="1" spans="1:23">
      <c r="A137" s="71"/>
      <c r="B137" s="73" t="s">
        <v>2892</v>
      </c>
      <c r="C137" s="71" t="s">
        <v>320</v>
      </c>
      <c r="D137" s="71" t="s">
        <v>194</v>
      </c>
      <c r="E137" s="71"/>
      <c r="F137" s="71"/>
      <c r="G137" s="71" t="s">
        <v>320</v>
      </c>
      <c r="H137" s="71">
        <v>2018</v>
      </c>
      <c r="I137" s="71">
        <v>2020</v>
      </c>
      <c r="J137" s="71"/>
      <c r="K137" s="71"/>
      <c r="L137" s="86"/>
      <c r="M137" s="86"/>
      <c r="N137" s="86"/>
      <c r="O137" s="86"/>
      <c r="P137" s="86"/>
      <c r="Q137" s="86"/>
      <c r="R137" s="86"/>
      <c r="S137" s="86"/>
      <c r="T137" s="86"/>
      <c r="U137" s="86"/>
      <c r="V137" s="56" t="s">
        <v>1819</v>
      </c>
      <c r="W137" s="61" t="str">
        <f t="shared" si="45"/>
        <v>Y</v>
      </c>
    </row>
    <row r="138" ht="15" customHeight="1" spans="1:23">
      <c r="A138" s="71"/>
      <c r="B138" s="73" t="s">
        <v>2897</v>
      </c>
      <c r="C138" s="71" t="s">
        <v>320</v>
      </c>
      <c r="D138" s="71" t="s">
        <v>194</v>
      </c>
      <c r="E138" s="71"/>
      <c r="F138" s="71"/>
      <c r="G138" s="71" t="s">
        <v>320</v>
      </c>
      <c r="H138" s="71">
        <v>2018</v>
      </c>
      <c r="I138" s="71">
        <v>2020</v>
      </c>
      <c r="J138" s="71"/>
      <c r="K138" s="71"/>
      <c r="L138" s="86"/>
      <c r="M138" s="86"/>
      <c r="N138" s="86"/>
      <c r="O138" s="86"/>
      <c r="P138" s="86"/>
      <c r="Q138" s="86"/>
      <c r="R138" s="86"/>
      <c r="S138" s="86"/>
      <c r="T138" s="86"/>
      <c r="U138" s="86"/>
      <c r="V138" s="56" t="s">
        <v>1819</v>
      </c>
      <c r="W138" s="61" t="str">
        <f t="shared" si="45"/>
        <v>Y</v>
      </c>
    </row>
    <row r="139" ht="15" customHeight="1" spans="1:23">
      <c r="A139" s="71"/>
      <c r="B139" s="73" t="s">
        <v>2893</v>
      </c>
      <c r="C139" s="71" t="s">
        <v>320</v>
      </c>
      <c r="D139" s="71" t="s">
        <v>194</v>
      </c>
      <c r="E139" s="71"/>
      <c r="F139" s="71"/>
      <c r="G139" s="71" t="s">
        <v>320</v>
      </c>
      <c r="H139" s="71">
        <v>2018</v>
      </c>
      <c r="I139" s="71">
        <v>2020</v>
      </c>
      <c r="J139" s="71"/>
      <c r="K139" s="71"/>
      <c r="L139" s="86"/>
      <c r="M139" s="86"/>
      <c r="N139" s="86"/>
      <c r="O139" s="86"/>
      <c r="P139" s="86"/>
      <c r="Q139" s="86"/>
      <c r="R139" s="86"/>
      <c r="S139" s="86"/>
      <c r="T139" s="86"/>
      <c r="U139" s="86"/>
      <c r="V139" s="56" t="s">
        <v>1819</v>
      </c>
      <c r="W139" s="61" t="str">
        <f t="shared" si="45"/>
        <v>Y</v>
      </c>
    </row>
    <row r="140" ht="15" customHeight="1" spans="1:23">
      <c r="A140" s="71"/>
      <c r="B140" s="73" t="s">
        <v>2898</v>
      </c>
      <c r="C140" s="71" t="s">
        <v>320</v>
      </c>
      <c r="D140" s="71" t="s">
        <v>194</v>
      </c>
      <c r="E140" s="71"/>
      <c r="F140" s="71"/>
      <c r="G140" s="71" t="s">
        <v>320</v>
      </c>
      <c r="H140" s="71">
        <v>2018</v>
      </c>
      <c r="I140" s="71">
        <v>2020</v>
      </c>
      <c r="J140" s="71"/>
      <c r="K140" s="71"/>
      <c r="L140" s="86"/>
      <c r="M140" s="86"/>
      <c r="N140" s="86"/>
      <c r="O140" s="86"/>
      <c r="P140" s="86"/>
      <c r="Q140" s="86"/>
      <c r="R140" s="86"/>
      <c r="S140" s="86"/>
      <c r="T140" s="86"/>
      <c r="U140" s="86"/>
      <c r="V140" s="56" t="s">
        <v>1819</v>
      </c>
      <c r="W140" s="61" t="str">
        <f t="shared" si="45"/>
        <v>Y</v>
      </c>
    </row>
    <row r="141" ht="15" customHeight="1" spans="1:23">
      <c r="A141" s="71"/>
      <c r="B141" s="73" t="s">
        <v>2894</v>
      </c>
      <c r="C141" s="71" t="s">
        <v>320</v>
      </c>
      <c r="D141" s="71" t="s">
        <v>194</v>
      </c>
      <c r="E141" s="71"/>
      <c r="F141" s="71"/>
      <c r="G141" s="71" t="s">
        <v>320</v>
      </c>
      <c r="H141" s="71">
        <v>2018</v>
      </c>
      <c r="I141" s="71">
        <v>2020</v>
      </c>
      <c r="J141" s="71"/>
      <c r="K141" s="71"/>
      <c r="L141" s="86"/>
      <c r="M141" s="86"/>
      <c r="N141" s="86"/>
      <c r="O141" s="86"/>
      <c r="P141" s="86"/>
      <c r="Q141" s="86"/>
      <c r="R141" s="86"/>
      <c r="S141" s="86"/>
      <c r="T141" s="86"/>
      <c r="U141" s="86"/>
      <c r="V141" s="56" t="s">
        <v>1819</v>
      </c>
      <c r="W141" s="61" t="str">
        <f t="shared" si="45"/>
        <v>Y</v>
      </c>
    </row>
    <row r="142" ht="15" customHeight="1" spans="1:23">
      <c r="A142" s="71"/>
      <c r="B142" s="73" t="s">
        <v>2899</v>
      </c>
      <c r="C142" s="71" t="s">
        <v>320</v>
      </c>
      <c r="D142" s="71" t="s">
        <v>194</v>
      </c>
      <c r="E142" s="71"/>
      <c r="F142" s="71"/>
      <c r="G142" s="71" t="s">
        <v>320</v>
      </c>
      <c r="H142" s="71">
        <v>2018</v>
      </c>
      <c r="I142" s="71">
        <v>2020</v>
      </c>
      <c r="J142" s="71"/>
      <c r="K142" s="71"/>
      <c r="L142" s="86"/>
      <c r="M142" s="86"/>
      <c r="N142" s="86"/>
      <c r="O142" s="86"/>
      <c r="P142" s="86"/>
      <c r="Q142" s="86"/>
      <c r="R142" s="86"/>
      <c r="S142" s="86"/>
      <c r="T142" s="86"/>
      <c r="U142" s="86"/>
      <c r="V142" s="56" t="s">
        <v>1819</v>
      </c>
      <c r="W142" s="61" t="str">
        <f t="shared" si="45"/>
        <v>Y</v>
      </c>
    </row>
    <row r="143" ht="15" customHeight="1" spans="1:23">
      <c r="A143" s="71"/>
      <c r="B143" s="73" t="s">
        <v>2900</v>
      </c>
      <c r="C143" s="71" t="s">
        <v>320</v>
      </c>
      <c r="D143" s="71" t="s">
        <v>194</v>
      </c>
      <c r="E143" s="71"/>
      <c r="F143" s="71"/>
      <c r="G143" s="71" t="s">
        <v>320</v>
      </c>
      <c r="H143" s="71">
        <v>2018</v>
      </c>
      <c r="I143" s="71">
        <v>2020</v>
      </c>
      <c r="J143" s="71"/>
      <c r="K143" s="71"/>
      <c r="L143" s="86"/>
      <c r="M143" s="86"/>
      <c r="N143" s="86"/>
      <c r="O143" s="86"/>
      <c r="P143" s="86"/>
      <c r="Q143" s="86"/>
      <c r="R143" s="86"/>
      <c r="S143" s="86"/>
      <c r="T143" s="86"/>
      <c r="U143" s="86"/>
      <c r="V143" s="56" t="s">
        <v>1819</v>
      </c>
      <c r="W143" s="61" t="str">
        <f t="shared" si="45"/>
        <v>Y</v>
      </c>
    </row>
    <row r="144" ht="23.25" customHeight="1" spans="1:23">
      <c r="A144" s="71">
        <v>21</v>
      </c>
      <c r="B144" s="90" t="s">
        <v>819</v>
      </c>
      <c r="C144" s="71" t="s">
        <v>320</v>
      </c>
      <c r="D144" s="71"/>
      <c r="E144" s="71">
        <f>E146+E154+E162+E171+E180+E185+E191+E199+E208+E216+E224+E229+E237+E244+E252</f>
        <v>10002</v>
      </c>
      <c r="F144" s="71">
        <f>F146+F154+F162+F180+F185+F191+F199+F208+F216+F224+F229+F237+F244+F252</f>
        <v>1445</v>
      </c>
      <c r="G144" s="71">
        <f>G146+G154+G162+G171+G180+G185+G191+G199+G208+G216+G224+G229+G237+G244+G252</f>
        <v>3767</v>
      </c>
      <c r="H144" s="71">
        <v>2018</v>
      </c>
      <c r="I144" s="71">
        <v>2020</v>
      </c>
      <c r="J144" s="86">
        <f>K144+L144+M144</f>
        <v>205.01202</v>
      </c>
      <c r="K144" s="86">
        <f t="shared" ref="K144:R144" si="46">K179</f>
        <v>15.68334</v>
      </c>
      <c r="L144" s="86">
        <f t="shared" si="46"/>
        <v>94.66434</v>
      </c>
      <c r="M144" s="86">
        <f t="shared" si="46"/>
        <v>94.66434</v>
      </c>
      <c r="N144" s="86">
        <f t="shared" si="46"/>
        <v>21.40902</v>
      </c>
      <c r="O144" s="86">
        <f t="shared" si="46"/>
        <v>0</v>
      </c>
      <c r="P144" s="86">
        <f t="shared" si="46"/>
        <v>109.353</v>
      </c>
      <c r="Q144" s="86">
        <f t="shared" si="46"/>
        <v>74.25</v>
      </c>
      <c r="R144" s="86">
        <f t="shared" si="46"/>
        <v>0</v>
      </c>
      <c r="S144" s="133" t="s">
        <v>2901</v>
      </c>
      <c r="T144" s="133" t="s">
        <v>2905</v>
      </c>
      <c r="U144" s="71" t="s">
        <v>320</v>
      </c>
      <c r="V144" s="56"/>
      <c r="W144" s="61" t="str">
        <f t="shared" si="45"/>
        <v>Y</v>
      </c>
    </row>
    <row r="145" ht="23.25" customHeight="1" spans="1:23">
      <c r="A145" s="71">
        <v>22</v>
      </c>
      <c r="B145" s="73" t="s">
        <v>239</v>
      </c>
      <c r="C145" s="71" t="s">
        <v>320</v>
      </c>
      <c r="D145" s="71" t="s">
        <v>147</v>
      </c>
      <c r="E145" s="71"/>
      <c r="F145" s="71"/>
      <c r="G145" s="71"/>
      <c r="H145" s="71"/>
      <c r="I145" s="71"/>
      <c r="J145" s="71" t="s">
        <v>320</v>
      </c>
      <c r="K145" s="71" t="s">
        <v>320</v>
      </c>
      <c r="L145" s="71" t="s">
        <v>320</v>
      </c>
      <c r="M145" s="71" t="s">
        <v>320</v>
      </c>
      <c r="N145" s="71"/>
      <c r="O145" s="71"/>
      <c r="P145" s="71"/>
      <c r="Q145" s="71"/>
      <c r="R145" s="71"/>
      <c r="S145" s="133" t="s">
        <v>2901</v>
      </c>
      <c r="T145" s="133" t="s">
        <v>2905</v>
      </c>
      <c r="U145" s="71" t="s">
        <v>320</v>
      </c>
      <c r="V145" s="56"/>
      <c r="W145" s="61" t="str">
        <f t="shared" si="45"/>
        <v>N</v>
      </c>
    </row>
    <row r="146" ht="23.25" customHeight="1" spans="1:23">
      <c r="A146" s="71">
        <v>23</v>
      </c>
      <c r="B146" s="73" t="s">
        <v>241</v>
      </c>
      <c r="C146" s="71" t="s">
        <v>320</v>
      </c>
      <c r="D146" s="71" t="s">
        <v>147</v>
      </c>
      <c r="E146" s="71">
        <v>1220</v>
      </c>
      <c r="F146" s="71">
        <v>217</v>
      </c>
      <c r="G146" s="71">
        <v>360</v>
      </c>
      <c r="H146" s="71">
        <v>2018</v>
      </c>
      <c r="I146" s="71">
        <v>2020</v>
      </c>
      <c r="J146" s="71" t="s">
        <v>320</v>
      </c>
      <c r="K146" s="71" t="s">
        <v>320</v>
      </c>
      <c r="L146" s="71" t="s">
        <v>320</v>
      </c>
      <c r="M146" s="71" t="s">
        <v>320</v>
      </c>
      <c r="N146" s="71"/>
      <c r="O146" s="71"/>
      <c r="P146" s="71"/>
      <c r="Q146" s="71"/>
      <c r="R146" s="71"/>
      <c r="S146" s="86"/>
      <c r="T146" s="86"/>
      <c r="U146" s="89" t="s">
        <v>195</v>
      </c>
      <c r="V146" s="56"/>
      <c r="W146" s="61" t="str">
        <f t="shared" si="45"/>
        <v>N</v>
      </c>
    </row>
    <row r="147" ht="15.95" customHeight="1" spans="1:23">
      <c r="A147" s="71"/>
      <c r="B147" s="73" t="s">
        <v>2892</v>
      </c>
      <c r="C147" s="71" t="s">
        <v>320</v>
      </c>
      <c r="D147" s="71" t="s">
        <v>147</v>
      </c>
      <c r="E147" s="71">
        <v>545</v>
      </c>
      <c r="F147" s="71">
        <v>90</v>
      </c>
      <c r="G147" s="71">
        <v>129</v>
      </c>
      <c r="H147" s="71">
        <v>2018</v>
      </c>
      <c r="I147" s="71">
        <v>2020</v>
      </c>
      <c r="J147" s="71" t="s">
        <v>320</v>
      </c>
      <c r="K147" s="71" t="s">
        <v>320</v>
      </c>
      <c r="L147" s="71" t="s">
        <v>320</v>
      </c>
      <c r="M147" s="71" t="s">
        <v>320</v>
      </c>
      <c r="N147" s="71"/>
      <c r="O147" s="71"/>
      <c r="P147" s="71"/>
      <c r="Q147" s="71"/>
      <c r="R147" s="71"/>
      <c r="S147" s="89"/>
      <c r="T147" s="89"/>
      <c r="U147" s="89"/>
      <c r="V147" s="56"/>
      <c r="W147" s="61" t="str">
        <f t="shared" si="45"/>
        <v>N</v>
      </c>
    </row>
    <row r="148" ht="15.95" customHeight="1" spans="1:23">
      <c r="A148" s="71"/>
      <c r="B148" s="73" t="s">
        <v>2897</v>
      </c>
      <c r="C148" s="71" t="s">
        <v>320</v>
      </c>
      <c r="D148" s="71" t="s">
        <v>147</v>
      </c>
      <c r="E148" s="71">
        <v>128</v>
      </c>
      <c r="F148" s="71">
        <v>26</v>
      </c>
      <c r="G148" s="71">
        <v>45</v>
      </c>
      <c r="H148" s="71">
        <v>2018</v>
      </c>
      <c r="I148" s="71">
        <v>2020</v>
      </c>
      <c r="J148" s="71" t="s">
        <v>320</v>
      </c>
      <c r="K148" s="71" t="s">
        <v>320</v>
      </c>
      <c r="L148" s="71" t="s">
        <v>320</v>
      </c>
      <c r="M148" s="71" t="s">
        <v>320</v>
      </c>
      <c r="N148" s="71"/>
      <c r="O148" s="71"/>
      <c r="P148" s="71"/>
      <c r="Q148" s="71"/>
      <c r="R148" s="71"/>
      <c r="S148" s="89"/>
      <c r="T148" s="89"/>
      <c r="U148" s="89"/>
      <c r="V148" s="56"/>
      <c r="W148" s="61" t="str">
        <f t="shared" si="45"/>
        <v>N</v>
      </c>
    </row>
    <row r="149" ht="15.95" customHeight="1" spans="1:23">
      <c r="A149" s="71"/>
      <c r="B149" s="73" t="s">
        <v>2893</v>
      </c>
      <c r="C149" s="71" t="s">
        <v>320</v>
      </c>
      <c r="D149" s="71" t="s">
        <v>147</v>
      </c>
      <c r="E149" s="71">
        <v>210</v>
      </c>
      <c r="F149" s="71">
        <v>43</v>
      </c>
      <c r="G149" s="71">
        <v>82</v>
      </c>
      <c r="H149" s="71">
        <v>2018</v>
      </c>
      <c r="I149" s="71">
        <v>2020</v>
      </c>
      <c r="J149" s="71" t="s">
        <v>320</v>
      </c>
      <c r="K149" s="71" t="s">
        <v>320</v>
      </c>
      <c r="L149" s="71" t="s">
        <v>320</v>
      </c>
      <c r="M149" s="71" t="s">
        <v>320</v>
      </c>
      <c r="N149" s="71"/>
      <c r="O149" s="71"/>
      <c r="P149" s="71"/>
      <c r="Q149" s="71"/>
      <c r="R149" s="71"/>
      <c r="S149" s="89"/>
      <c r="T149" s="89"/>
      <c r="U149" s="89"/>
      <c r="V149" s="56"/>
      <c r="W149" s="61" t="str">
        <f t="shared" si="45"/>
        <v>N</v>
      </c>
    </row>
    <row r="150" ht="15.95" customHeight="1" spans="1:23">
      <c r="A150" s="71"/>
      <c r="B150" s="73" t="s">
        <v>2898</v>
      </c>
      <c r="C150" s="71" t="s">
        <v>320</v>
      </c>
      <c r="D150" s="71" t="s">
        <v>147</v>
      </c>
      <c r="E150" s="71">
        <v>58</v>
      </c>
      <c r="F150" s="71">
        <v>7</v>
      </c>
      <c r="G150" s="71">
        <v>8</v>
      </c>
      <c r="H150" s="71">
        <v>2018</v>
      </c>
      <c r="I150" s="71">
        <v>2020</v>
      </c>
      <c r="J150" s="71" t="s">
        <v>320</v>
      </c>
      <c r="K150" s="71" t="s">
        <v>320</v>
      </c>
      <c r="L150" s="71" t="s">
        <v>320</v>
      </c>
      <c r="M150" s="71" t="s">
        <v>320</v>
      </c>
      <c r="N150" s="71"/>
      <c r="O150" s="71"/>
      <c r="P150" s="71"/>
      <c r="Q150" s="71"/>
      <c r="R150" s="71"/>
      <c r="S150" s="89"/>
      <c r="T150" s="89"/>
      <c r="U150" s="89"/>
      <c r="V150" s="56"/>
      <c r="W150" s="61" t="str">
        <f t="shared" si="45"/>
        <v>N</v>
      </c>
    </row>
    <row r="151" ht="15.95" customHeight="1" spans="1:23">
      <c r="A151" s="71"/>
      <c r="B151" s="73" t="s">
        <v>2894</v>
      </c>
      <c r="C151" s="71" t="s">
        <v>320</v>
      </c>
      <c r="D151" s="71" t="s">
        <v>147</v>
      </c>
      <c r="E151" s="71">
        <v>187</v>
      </c>
      <c r="F151" s="71">
        <v>26</v>
      </c>
      <c r="G151" s="71">
        <v>35</v>
      </c>
      <c r="H151" s="71">
        <v>2018</v>
      </c>
      <c r="I151" s="71">
        <v>2020</v>
      </c>
      <c r="J151" s="71" t="s">
        <v>320</v>
      </c>
      <c r="K151" s="71" t="s">
        <v>320</v>
      </c>
      <c r="L151" s="71" t="s">
        <v>320</v>
      </c>
      <c r="M151" s="71" t="s">
        <v>320</v>
      </c>
      <c r="N151" s="71"/>
      <c r="O151" s="71"/>
      <c r="P151" s="71"/>
      <c r="Q151" s="71"/>
      <c r="R151" s="71"/>
      <c r="S151" s="89"/>
      <c r="T151" s="89"/>
      <c r="U151" s="89"/>
      <c r="V151" s="56"/>
      <c r="W151" s="61" t="str">
        <f t="shared" si="45"/>
        <v>N</v>
      </c>
    </row>
    <row r="152" ht="15.95" customHeight="1" spans="1:23">
      <c r="A152" s="71"/>
      <c r="B152" s="73" t="s">
        <v>2899</v>
      </c>
      <c r="C152" s="71" t="s">
        <v>320</v>
      </c>
      <c r="D152" s="71" t="s">
        <v>147</v>
      </c>
      <c r="E152" s="71">
        <v>67</v>
      </c>
      <c r="F152" s="71">
        <v>17</v>
      </c>
      <c r="G152" s="71">
        <v>53</v>
      </c>
      <c r="H152" s="71">
        <v>2018</v>
      </c>
      <c r="I152" s="71">
        <v>2020</v>
      </c>
      <c r="J152" s="71" t="s">
        <v>320</v>
      </c>
      <c r="K152" s="71" t="s">
        <v>320</v>
      </c>
      <c r="L152" s="71" t="s">
        <v>320</v>
      </c>
      <c r="M152" s="71" t="s">
        <v>320</v>
      </c>
      <c r="N152" s="71"/>
      <c r="O152" s="71"/>
      <c r="P152" s="71"/>
      <c r="Q152" s="71"/>
      <c r="R152" s="71"/>
      <c r="S152" s="89"/>
      <c r="T152" s="89"/>
      <c r="U152" s="89"/>
      <c r="V152" s="56"/>
      <c r="W152" s="61" t="str">
        <f t="shared" si="45"/>
        <v>N</v>
      </c>
    </row>
    <row r="153" ht="15.95" customHeight="1" spans="1:23">
      <c r="A153" s="71"/>
      <c r="B153" s="73" t="s">
        <v>2900</v>
      </c>
      <c r="C153" s="71" t="s">
        <v>320</v>
      </c>
      <c r="D153" s="71" t="s">
        <v>147</v>
      </c>
      <c r="E153" s="71">
        <v>25</v>
      </c>
      <c r="F153" s="71">
        <v>8</v>
      </c>
      <c r="G153" s="71">
        <v>8</v>
      </c>
      <c r="H153" s="71">
        <v>2018</v>
      </c>
      <c r="I153" s="71">
        <v>2020</v>
      </c>
      <c r="J153" s="71" t="s">
        <v>320</v>
      </c>
      <c r="K153" s="71" t="s">
        <v>320</v>
      </c>
      <c r="L153" s="71" t="s">
        <v>320</v>
      </c>
      <c r="M153" s="71" t="s">
        <v>320</v>
      </c>
      <c r="N153" s="71"/>
      <c r="O153" s="71"/>
      <c r="P153" s="71"/>
      <c r="Q153" s="71"/>
      <c r="R153" s="71"/>
      <c r="S153" s="89"/>
      <c r="T153" s="89"/>
      <c r="U153" s="89"/>
      <c r="V153" s="56"/>
      <c r="W153" s="61" t="str">
        <f t="shared" si="45"/>
        <v>N</v>
      </c>
    </row>
    <row r="154" ht="23.25" customHeight="1" spans="1:23">
      <c r="A154" s="71">
        <v>24</v>
      </c>
      <c r="B154" s="73" t="s">
        <v>264</v>
      </c>
      <c r="C154" s="71" t="s">
        <v>320</v>
      </c>
      <c r="D154" s="71" t="s">
        <v>147</v>
      </c>
      <c r="E154" s="71">
        <v>1310</v>
      </c>
      <c r="F154" s="71">
        <v>169</v>
      </c>
      <c r="G154" s="71">
        <v>290</v>
      </c>
      <c r="H154" s="71">
        <v>2018</v>
      </c>
      <c r="I154" s="71">
        <v>2020</v>
      </c>
      <c r="J154" s="71" t="s">
        <v>320</v>
      </c>
      <c r="K154" s="71" t="s">
        <v>320</v>
      </c>
      <c r="L154" s="71" t="s">
        <v>320</v>
      </c>
      <c r="M154" s="71" t="s">
        <v>320</v>
      </c>
      <c r="N154" s="71"/>
      <c r="O154" s="71"/>
      <c r="P154" s="71"/>
      <c r="Q154" s="71"/>
      <c r="R154" s="71"/>
      <c r="S154" s="133" t="s">
        <v>2901</v>
      </c>
      <c r="T154" s="133" t="s">
        <v>2905</v>
      </c>
      <c r="U154" s="89" t="s">
        <v>195</v>
      </c>
      <c r="V154" s="56"/>
      <c r="W154" s="61" t="str">
        <f t="shared" si="45"/>
        <v>N</v>
      </c>
    </row>
    <row r="155" ht="15" customHeight="1" spans="1:23">
      <c r="A155" s="71"/>
      <c r="B155" s="73" t="s">
        <v>2892</v>
      </c>
      <c r="C155" s="71" t="s">
        <v>320</v>
      </c>
      <c r="D155" s="71" t="s">
        <v>147</v>
      </c>
      <c r="E155" s="71">
        <v>723</v>
      </c>
      <c r="F155" s="71">
        <v>64</v>
      </c>
      <c r="G155" s="71">
        <v>117</v>
      </c>
      <c r="H155" s="71">
        <v>2018</v>
      </c>
      <c r="I155" s="71">
        <v>2020</v>
      </c>
      <c r="J155" s="71" t="s">
        <v>320</v>
      </c>
      <c r="K155" s="71" t="s">
        <v>320</v>
      </c>
      <c r="L155" s="71" t="s">
        <v>320</v>
      </c>
      <c r="M155" s="71" t="s">
        <v>320</v>
      </c>
      <c r="N155" s="71"/>
      <c r="O155" s="71"/>
      <c r="P155" s="71"/>
      <c r="Q155" s="71"/>
      <c r="R155" s="71"/>
      <c r="S155" s="89"/>
      <c r="T155" s="89"/>
      <c r="U155" s="89"/>
      <c r="V155" s="56"/>
      <c r="W155" s="61" t="str">
        <f t="shared" si="45"/>
        <v>N</v>
      </c>
    </row>
    <row r="156" ht="15" customHeight="1" spans="1:23">
      <c r="A156" s="71"/>
      <c r="B156" s="73" t="s">
        <v>2897</v>
      </c>
      <c r="C156" s="71" t="s">
        <v>320</v>
      </c>
      <c r="D156" s="71" t="s">
        <v>147</v>
      </c>
      <c r="E156" s="101">
        <v>69</v>
      </c>
      <c r="F156" s="101">
        <v>14</v>
      </c>
      <c r="G156" s="101">
        <v>30</v>
      </c>
      <c r="H156" s="71">
        <v>2018</v>
      </c>
      <c r="I156" s="71">
        <v>2020</v>
      </c>
      <c r="J156" s="71" t="s">
        <v>320</v>
      </c>
      <c r="K156" s="71" t="s">
        <v>320</v>
      </c>
      <c r="L156" s="71" t="s">
        <v>320</v>
      </c>
      <c r="M156" s="71" t="s">
        <v>320</v>
      </c>
      <c r="N156" s="71"/>
      <c r="O156" s="71"/>
      <c r="P156" s="71"/>
      <c r="Q156" s="71"/>
      <c r="R156" s="71"/>
      <c r="S156" s="89"/>
      <c r="T156" s="89"/>
      <c r="U156" s="89"/>
      <c r="V156" s="56"/>
      <c r="W156" s="61" t="str">
        <f t="shared" si="45"/>
        <v>N</v>
      </c>
    </row>
    <row r="157" ht="15" customHeight="1" spans="1:23">
      <c r="A157" s="71"/>
      <c r="B157" s="73" t="s">
        <v>2893</v>
      </c>
      <c r="C157" s="71" t="s">
        <v>320</v>
      </c>
      <c r="D157" s="71" t="s">
        <v>147</v>
      </c>
      <c r="E157" s="71">
        <v>121</v>
      </c>
      <c r="F157" s="71">
        <v>43</v>
      </c>
      <c r="G157" s="71">
        <v>72</v>
      </c>
      <c r="H157" s="71">
        <v>2018</v>
      </c>
      <c r="I157" s="71">
        <v>2020</v>
      </c>
      <c r="J157" s="71" t="s">
        <v>320</v>
      </c>
      <c r="K157" s="71" t="s">
        <v>320</v>
      </c>
      <c r="L157" s="71" t="s">
        <v>320</v>
      </c>
      <c r="M157" s="71" t="s">
        <v>320</v>
      </c>
      <c r="N157" s="71"/>
      <c r="O157" s="71"/>
      <c r="P157" s="71"/>
      <c r="Q157" s="71"/>
      <c r="R157" s="71"/>
      <c r="S157" s="89"/>
      <c r="T157" s="89"/>
      <c r="U157" s="89"/>
      <c r="V157" s="56"/>
      <c r="W157" s="61" t="str">
        <f t="shared" si="45"/>
        <v>N</v>
      </c>
    </row>
    <row r="158" ht="15" customHeight="1" spans="1:23">
      <c r="A158" s="71"/>
      <c r="B158" s="73" t="s">
        <v>2898</v>
      </c>
      <c r="C158" s="71" t="s">
        <v>320</v>
      </c>
      <c r="D158" s="71" t="s">
        <v>147</v>
      </c>
      <c r="E158" s="71">
        <v>63</v>
      </c>
      <c r="F158" s="71">
        <v>7</v>
      </c>
      <c r="G158" s="71">
        <v>8</v>
      </c>
      <c r="H158" s="71">
        <v>2018</v>
      </c>
      <c r="I158" s="71">
        <v>2020</v>
      </c>
      <c r="J158" s="71" t="s">
        <v>320</v>
      </c>
      <c r="K158" s="71" t="s">
        <v>320</v>
      </c>
      <c r="L158" s="71" t="s">
        <v>320</v>
      </c>
      <c r="M158" s="71" t="s">
        <v>320</v>
      </c>
      <c r="N158" s="71"/>
      <c r="O158" s="71"/>
      <c r="P158" s="71"/>
      <c r="Q158" s="71"/>
      <c r="R158" s="71"/>
      <c r="S158" s="89"/>
      <c r="T158" s="89"/>
      <c r="U158" s="89"/>
      <c r="V158" s="56"/>
      <c r="W158" s="61" t="str">
        <f t="shared" si="45"/>
        <v>N</v>
      </c>
    </row>
    <row r="159" ht="15" customHeight="1" spans="1:23">
      <c r="A159" s="71"/>
      <c r="B159" s="73" t="s">
        <v>2894</v>
      </c>
      <c r="C159" s="71" t="s">
        <v>320</v>
      </c>
      <c r="D159" s="71" t="s">
        <v>147</v>
      </c>
      <c r="E159" s="71">
        <v>236</v>
      </c>
      <c r="F159" s="71">
        <v>20</v>
      </c>
      <c r="G159" s="71">
        <v>29</v>
      </c>
      <c r="H159" s="71">
        <v>2018</v>
      </c>
      <c r="I159" s="71">
        <v>2020</v>
      </c>
      <c r="J159" s="71" t="s">
        <v>320</v>
      </c>
      <c r="K159" s="71" t="s">
        <v>320</v>
      </c>
      <c r="L159" s="71" t="s">
        <v>320</v>
      </c>
      <c r="M159" s="71" t="s">
        <v>320</v>
      </c>
      <c r="N159" s="71"/>
      <c r="O159" s="71"/>
      <c r="P159" s="71"/>
      <c r="Q159" s="71"/>
      <c r="R159" s="71"/>
      <c r="S159" s="89"/>
      <c r="T159" s="89"/>
      <c r="U159" s="89"/>
      <c r="V159" s="56"/>
      <c r="W159" s="61" t="str">
        <f t="shared" si="45"/>
        <v>N</v>
      </c>
    </row>
    <row r="160" ht="15" customHeight="1" spans="1:23">
      <c r="A160" s="71"/>
      <c r="B160" s="73" t="s">
        <v>2899</v>
      </c>
      <c r="C160" s="71" t="s">
        <v>320</v>
      </c>
      <c r="D160" s="71" t="s">
        <v>147</v>
      </c>
      <c r="E160" s="71">
        <v>33</v>
      </c>
      <c r="F160" s="71">
        <v>11</v>
      </c>
      <c r="G160" s="71">
        <v>21</v>
      </c>
      <c r="H160" s="71">
        <v>2018</v>
      </c>
      <c r="I160" s="71">
        <v>2020</v>
      </c>
      <c r="J160" s="71" t="s">
        <v>320</v>
      </c>
      <c r="K160" s="71" t="s">
        <v>320</v>
      </c>
      <c r="L160" s="71" t="s">
        <v>320</v>
      </c>
      <c r="M160" s="71" t="s">
        <v>320</v>
      </c>
      <c r="N160" s="71"/>
      <c r="O160" s="71"/>
      <c r="P160" s="71"/>
      <c r="Q160" s="71"/>
      <c r="R160" s="71"/>
      <c r="S160" s="89"/>
      <c r="T160" s="89"/>
      <c r="U160" s="89"/>
      <c r="V160" s="56"/>
      <c r="W160" s="61" t="str">
        <f t="shared" si="45"/>
        <v>N</v>
      </c>
    </row>
    <row r="161" ht="15" customHeight="1" spans="1:23">
      <c r="A161" s="71"/>
      <c r="B161" s="73" t="s">
        <v>2900</v>
      </c>
      <c r="C161" s="71" t="s">
        <v>320</v>
      </c>
      <c r="D161" s="71" t="s">
        <v>147</v>
      </c>
      <c r="E161" s="71">
        <v>65</v>
      </c>
      <c r="F161" s="71">
        <v>10</v>
      </c>
      <c r="G161" s="71">
        <v>13</v>
      </c>
      <c r="H161" s="71">
        <v>2018</v>
      </c>
      <c r="I161" s="71">
        <v>2020</v>
      </c>
      <c r="J161" s="71" t="s">
        <v>320</v>
      </c>
      <c r="K161" s="71" t="s">
        <v>320</v>
      </c>
      <c r="L161" s="71" t="s">
        <v>320</v>
      </c>
      <c r="M161" s="71" t="s">
        <v>320</v>
      </c>
      <c r="N161" s="71"/>
      <c r="O161" s="71"/>
      <c r="P161" s="71"/>
      <c r="Q161" s="71"/>
      <c r="R161" s="71"/>
      <c r="S161" s="89"/>
      <c r="T161" s="89"/>
      <c r="U161" s="89"/>
      <c r="V161" s="56"/>
      <c r="W161" s="61" t="str">
        <f t="shared" si="45"/>
        <v>N</v>
      </c>
    </row>
    <row r="162" ht="23.25" customHeight="1" spans="1:23">
      <c r="A162" s="71">
        <v>25</v>
      </c>
      <c r="B162" s="73" t="s">
        <v>265</v>
      </c>
      <c r="C162" s="71" t="s">
        <v>320</v>
      </c>
      <c r="D162" s="71" t="s">
        <v>147</v>
      </c>
      <c r="E162" s="71">
        <v>4949</v>
      </c>
      <c r="F162" s="71">
        <v>789</v>
      </c>
      <c r="G162" s="71">
        <v>1317</v>
      </c>
      <c r="H162" s="71">
        <v>2018</v>
      </c>
      <c r="I162" s="71">
        <v>2020</v>
      </c>
      <c r="J162" s="71" t="s">
        <v>320</v>
      </c>
      <c r="K162" s="71" t="s">
        <v>320</v>
      </c>
      <c r="L162" s="71" t="s">
        <v>320</v>
      </c>
      <c r="M162" s="71" t="s">
        <v>320</v>
      </c>
      <c r="N162" s="71"/>
      <c r="O162" s="71"/>
      <c r="P162" s="71"/>
      <c r="Q162" s="71"/>
      <c r="R162" s="71"/>
      <c r="S162" s="133" t="s">
        <v>2901</v>
      </c>
      <c r="T162" s="133" t="s">
        <v>2905</v>
      </c>
      <c r="U162" s="89" t="s">
        <v>195</v>
      </c>
      <c r="V162" s="56"/>
      <c r="W162" s="61" t="str">
        <f t="shared" si="45"/>
        <v>N</v>
      </c>
    </row>
    <row r="163" ht="15" customHeight="1" spans="1:23">
      <c r="A163" s="71"/>
      <c r="B163" s="73" t="s">
        <v>2892</v>
      </c>
      <c r="C163" s="71" t="s">
        <v>320</v>
      </c>
      <c r="D163" s="71" t="s">
        <v>147</v>
      </c>
      <c r="E163" s="71">
        <v>1089</v>
      </c>
      <c r="F163" s="71">
        <v>165</v>
      </c>
      <c r="G163" s="71">
        <v>246</v>
      </c>
      <c r="H163" s="71">
        <v>2018</v>
      </c>
      <c r="I163" s="71">
        <v>2020</v>
      </c>
      <c r="J163" s="71" t="s">
        <v>320</v>
      </c>
      <c r="K163" s="71" t="s">
        <v>320</v>
      </c>
      <c r="L163" s="71" t="s">
        <v>320</v>
      </c>
      <c r="M163" s="71" t="s">
        <v>320</v>
      </c>
      <c r="N163" s="71"/>
      <c r="O163" s="71"/>
      <c r="P163" s="71"/>
      <c r="Q163" s="71"/>
      <c r="R163" s="71"/>
      <c r="S163" s="89"/>
      <c r="T163" s="89"/>
      <c r="U163" s="89"/>
      <c r="V163" s="56"/>
      <c r="W163" s="61" t="str">
        <f t="shared" si="45"/>
        <v>N</v>
      </c>
    </row>
    <row r="164" ht="15" customHeight="1" spans="1:23">
      <c r="A164" s="71"/>
      <c r="B164" s="73" t="s">
        <v>2897</v>
      </c>
      <c r="C164" s="71" t="s">
        <v>320</v>
      </c>
      <c r="D164" s="71" t="s">
        <v>147</v>
      </c>
      <c r="E164" s="71">
        <v>1714</v>
      </c>
      <c r="F164" s="71">
        <v>179</v>
      </c>
      <c r="G164" s="71">
        <v>339</v>
      </c>
      <c r="H164" s="71">
        <v>2018</v>
      </c>
      <c r="I164" s="71">
        <v>2020</v>
      </c>
      <c r="J164" s="71" t="s">
        <v>320</v>
      </c>
      <c r="K164" s="71" t="s">
        <v>320</v>
      </c>
      <c r="L164" s="71" t="s">
        <v>320</v>
      </c>
      <c r="M164" s="71" t="s">
        <v>320</v>
      </c>
      <c r="N164" s="71"/>
      <c r="O164" s="71"/>
      <c r="P164" s="71"/>
      <c r="Q164" s="71"/>
      <c r="R164" s="71"/>
      <c r="S164" s="89"/>
      <c r="T164" s="89"/>
      <c r="U164" s="89"/>
      <c r="V164" s="56"/>
      <c r="W164" s="61" t="str">
        <f t="shared" si="45"/>
        <v>N</v>
      </c>
    </row>
    <row r="165" ht="15" customHeight="1" spans="1:23">
      <c r="A165" s="71"/>
      <c r="B165" s="73" t="s">
        <v>2893</v>
      </c>
      <c r="C165" s="71" t="s">
        <v>320</v>
      </c>
      <c r="D165" s="71" t="s">
        <v>147</v>
      </c>
      <c r="E165" s="71">
        <v>759</v>
      </c>
      <c r="F165" s="71">
        <v>114</v>
      </c>
      <c r="G165" s="71">
        <v>213</v>
      </c>
      <c r="H165" s="71">
        <v>2018</v>
      </c>
      <c r="I165" s="71">
        <v>2020</v>
      </c>
      <c r="J165" s="71" t="s">
        <v>320</v>
      </c>
      <c r="K165" s="71" t="s">
        <v>320</v>
      </c>
      <c r="L165" s="71" t="s">
        <v>320</v>
      </c>
      <c r="M165" s="71" t="s">
        <v>320</v>
      </c>
      <c r="N165" s="71"/>
      <c r="O165" s="71"/>
      <c r="P165" s="71"/>
      <c r="Q165" s="71"/>
      <c r="R165" s="71"/>
      <c r="S165" s="89"/>
      <c r="T165" s="89"/>
      <c r="U165" s="89"/>
      <c r="V165" s="56"/>
      <c r="W165" s="61" t="str">
        <f t="shared" si="45"/>
        <v>N</v>
      </c>
    </row>
    <row r="166" ht="15" customHeight="1" spans="1:23">
      <c r="A166" s="71"/>
      <c r="B166" s="73" t="s">
        <v>2898</v>
      </c>
      <c r="C166" s="71" t="s">
        <v>320</v>
      </c>
      <c r="D166" s="71" t="s">
        <v>147</v>
      </c>
      <c r="E166" s="71">
        <v>511</v>
      </c>
      <c r="F166" s="71">
        <v>147</v>
      </c>
      <c r="G166" s="71">
        <v>224</v>
      </c>
      <c r="H166" s="71">
        <v>2018</v>
      </c>
      <c r="I166" s="71">
        <v>2020</v>
      </c>
      <c r="J166" s="71" t="s">
        <v>320</v>
      </c>
      <c r="K166" s="71" t="s">
        <v>320</v>
      </c>
      <c r="L166" s="71" t="s">
        <v>320</v>
      </c>
      <c r="M166" s="71" t="s">
        <v>320</v>
      </c>
      <c r="N166" s="71"/>
      <c r="O166" s="71"/>
      <c r="P166" s="71"/>
      <c r="Q166" s="71"/>
      <c r="R166" s="71"/>
      <c r="S166" s="89"/>
      <c r="T166" s="89"/>
      <c r="U166" s="89"/>
      <c r="V166" s="56"/>
      <c r="W166" s="61" t="str">
        <f t="shared" si="45"/>
        <v>N</v>
      </c>
    </row>
    <row r="167" ht="15" customHeight="1" spans="1:23">
      <c r="A167" s="71"/>
      <c r="B167" s="73" t="s">
        <v>2894</v>
      </c>
      <c r="C167" s="71" t="s">
        <v>320</v>
      </c>
      <c r="D167" s="71" t="s">
        <v>147</v>
      </c>
      <c r="E167" s="71">
        <v>329</v>
      </c>
      <c r="F167" s="71">
        <v>78</v>
      </c>
      <c r="G167" s="71">
        <v>112</v>
      </c>
      <c r="H167" s="71">
        <v>2018</v>
      </c>
      <c r="I167" s="71">
        <v>2020</v>
      </c>
      <c r="J167" s="71" t="s">
        <v>320</v>
      </c>
      <c r="K167" s="71" t="s">
        <v>320</v>
      </c>
      <c r="L167" s="71" t="s">
        <v>320</v>
      </c>
      <c r="M167" s="71" t="s">
        <v>320</v>
      </c>
      <c r="N167" s="71"/>
      <c r="O167" s="71"/>
      <c r="P167" s="71"/>
      <c r="Q167" s="71"/>
      <c r="R167" s="71"/>
      <c r="S167" s="89"/>
      <c r="T167" s="89"/>
      <c r="U167" s="89"/>
      <c r="V167" s="56"/>
      <c r="W167" s="61" t="str">
        <f t="shared" si="45"/>
        <v>N</v>
      </c>
    </row>
    <row r="168" ht="15" customHeight="1" spans="1:23">
      <c r="A168" s="71"/>
      <c r="B168" s="73" t="s">
        <v>2899</v>
      </c>
      <c r="C168" s="71" t="s">
        <v>320</v>
      </c>
      <c r="D168" s="71" t="s">
        <v>147</v>
      </c>
      <c r="E168" s="71">
        <v>362</v>
      </c>
      <c r="F168" s="71">
        <v>71</v>
      </c>
      <c r="G168" s="71">
        <v>137</v>
      </c>
      <c r="H168" s="71">
        <v>2018</v>
      </c>
      <c r="I168" s="71">
        <v>2020</v>
      </c>
      <c r="J168" s="71" t="s">
        <v>320</v>
      </c>
      <c r="K168" s="71" t="s">
        <v>320</v>
      </c>
      <c r="L168" s="71" t="s">
        <v>320</v>
      </c>
      <c r="M168" s="71" t="s">
        <v>320</v>
      </c>
      <c r="N168" s="71"/>
      <c r="O168" s="71"/>
      <c r="P168" s="71"/>
      <c r="Q168" s="71"/>
      <c r="R168" s="71"/>
      <c r="S168" s="89"/>
      <c r="T168" s="89"/>
      <c r="U168" s="89"/>
      <c r="V168" s="56"/>
      <c r="W168" s="61" t="str">
        <f t="shared" si="45"/>
        <v>N</v>
      </c>
    </row>
    <row r="169" ht="15" customHeight="1" spans="1:23">
      <c r="A169" s="71"/>
      <c r="B169" s="73" t="s">
        <v>2900</v>
      </c>
      <c r="C169" s="71" t="s">
        <v>320</v>
      </c>
      <c r="D169" s="71" t="s">
        <v>147</v>
      </c>
      <c r="E169" s="71">
        <v>185</v>
      </c>
      <c r="F169" s="71">
        <v>35</v>
      </c>
      <c r="G169" s="71">
        <v>46</v>
      </c>
      <c r="H169" s="71">
        <v>2018</v>
      </c>
      <c r="I169" s="71">
        <v>2020</v>
      </c>
      <c r="J169" s="71" t="s">
        <v>320</v>
      </c>
      <c r="K169" s="71" t="s">
        <v>320</v>
      </c>
      <c r="L169" s="71" t="s">
        <v>320</v>
      </c>
      <c r="M169" s="71" t="s">
        <v>320</v>
      </c>
      <c r="N169" s="71"/>
      <c r="O169" s="71"/>
      <c r="P169" s="71"/>
      <c r="Q169" s="71"/>
      <c r="R169" s="71"/>
      <c r="S169" s="89"/>
      <c r="T169" s="89"/>
      <c r="U169" s="89"/>
      <c r="V169" s="56"/>
      <c r="W169" s="61" t="str">
        <f t="shared" si="45"/>
        <v>N</v>
      </c>
    </row>
    <row r="170" ht="23.25" customHeight="1" spans="1:23">
      <c r="A170" s="71">
        <v>26</v>
      </c>
      <c r="B170" s="73" t="s">
        <v>266</v>
      </c>
      <c r="C170" s="71" t="s">
        <v>320</v>
      </c>
      <c r="D170" s="71" t="s">
        <v>147</v>
      </c>
      <c r="E170" s="71"/>
      <c r="F170" s="71"/>
      <c r="G170" s="71"/>
      <c r="H170" s="71"/>
      <c r="I170" s="71"/>
      <c r="J170" s="71" t="s">
        <v>320</v>
      </c>
      <c r="K170" s="71" t="s">
        <v>320</v>
      </c>
      <c r="L170" s="71" t="s">
        <v>320</v>
      </c>
      <c r="M170" s="71" t="s">
        <v>320</v>
      </c>
      <c r="N170" s="71"/>
      <c r="O170" s="71"/>
      <c r="P170" s="71"/>
      <c r="Q170" s="71"/>
      <c r="R170" s="71"/>
      <c r="S170" s="86"/>
      <c r="T170" s="86"/>
      <c r="U170" s="89" t="s">
        <v>195</v>
      </c>
      <c r="V170" s="56"/>
      <c r="W170" s="61" t="str">
        <f t="shared" si="45"/>
        <v>N</v>
      </c>
    </row>
    <row r="171" ht="23.25" customHeight="1" spans="1:23">
      <c r="A171" s="71">
        <v>27</v>
      </c>
      <c r="B171" s="73" t="s">
        <v>267</v>
      </c>
      <c r="C171" s="71" t="s">
        <v>52</v>
      </c>
      <c r="D171" s="71" t="s">
        <v>194</v>
      </c>
      <c r="E171" s="101">
        <v>2250</v>
      </c>
      <c r="F171" s="71" t="s">
        <v>320</v>
      </c>
      <c r="G171" s="101">
        <v>1530</v>
      </c>
      <c r="H171" s="71">
        <v>2018</v>
      </c>
      <c r="I171" s="71">
        <v>2020</v>
      </c>
      <c r="J171" s="71" t="s">
        <v>320</v>
      </c>
      <c r="K171" s="71" t="s">
        <v>320</v>
      </c>
      <c r="L171" s="71" t="s">
        <v>320</v>
      </c>
      <c r="M171" s="71" t="s">
        <v>320</v>
      </c>
      <c r="N171" s="71"/>
      <c r="O171" s="71"/>
      <c r="P171" s="71"/>
      <c r="Q171" s="71"/>
      <c r="R171" s="71"/>
      <c r="S171" s="133" t="s">
        <v>2901</v>
      </c>
      <c r="T171" s="133" t="s">
        <v>2905</v>
      </c>
      <c r="U171" s="89" t="s">
        <v>195</v>
      </c>
      <c r="V171" s="56"/>
      <c r="W171" s="61" t="str">
        <f t="shared" si="45"/>
        <v>N</v>
      </c>
    </row>
    <row r="172" ht="15" customHeight="1" spans="1:23">
      <c r="A172" s="71"/>
      <c r="B172" s="73" t="s">
        <v>2892</v>
      </c>
      <c r="C172" s="71" t="s">
        <v>52</v>
      </c>
      <c r="D172" s="71" t="s">
        <v>194</v>
      </c>
      <c r="E172" s="101">
        <v>500</v>
      </c>
      <c r="F172" s="71" t="s">
        <v>320</v>
      </c>
      <c r="G172" s="101">
        <v>335</v>
      </c>
      <c r="H172" s="71">
        <v>2018</v>
      </c>
      <c r="I172" s="71">
        <v>2020</v>
      </c>
      <c r="J172" s="71" t="s">
        <v>320</v>
      </c>
      <c r="K172" s="71" t="s">
        <v>320</v>
      </c>
      <c r="L172" s="71" t="s">
        <v>320</v>
      </c>
      <c r="M172" s="71" t="s">
        <v>320</v>
      </c>
      <c r="N172" s="71"/>
      <c r="O172" s="71"/>
      <c r="P172" s="71"/>
      <c r="Q172" s="71"/>
      <c r="R172" s="71"/>
      <c r="S172" s="89"/>
      <c r="T172" s="89"/>
      <c r="U172" s="89"/>
      <c r="V172" s="56"/>
      <c r="W172" s="61" t="str">
        <f t="shared" si="45"/>
        <v>N</v>
      </c>
    </row>
    <row r="173" ht="15" customHeight="1" spans="1:23">
      <c r="A173" s="71"/>
      <c r="B173" s="73" t="s">
        <v>2897</v>
      </c>
      <c r="C173" s="71" t="s">
        <v>52</v>
      </c>
      <c r="D173" s="71" t="s">
        <v>194</v>
      </c>
      <c r="E173" s="101">
        <v>325</v>
      </c>
      <c r="F173" s="71" t="s">
        <v>320</v>
      </c>
      <c r="G173" s="101">
        <v>235</v>
      </c>
      <c r="H173" s="71">
        <v>2018</v>
      </c>
      <c r="I173" s="71">
        <v>2020</v>
      </c>
      <c r="J173" s="71" t="s">
        <v>320</v>
      </c>
      <c r="K173" s="71" t="s">
        <v>320</v>
      </c>
      <c r="L173" s="71" t="s">
        <v>320</v>
      </c>
      <c r="M173" s="71" t="s">
        <v>320</v>
      </c>
      <c r="N173" s="71"/>
      <c r="O173" s="71"/>
      <c r="P173" s="71"/>
      <c r="Q173" s="71"/>
      <c r="R173" s="71"/>
      <c r="S173" s="89"/>
      <c r="T173" s="89"/>
      <c r="U173" s="89"/>
      <c r="V173" s="56"/>
      <c r="W173" s="61" t="str">
        <f t="shared" si="45"/>
        <v>N</v>
      </c>
    </row>
    <row r="174" ht="15" customHeight="1" spans="1:23">
      <c r="A174" s="71"/>
      <c r="B174" s="73" t="s">
        <v>2893</v>
      </c>
      <c r="C174" s="71" t="s">
        <v>52</v>
      </c>
      <c r="D174" s="71" t="s">
        <v>194</v>
      </c>
      <c r="E174" s="101">
        <v>350</v>
      </c>
      <c r="F174" s="71" t="s">
        <v>320</v>
      </c>
      <c r="G174" s="101">
        <v>245</v>
      </c>
      <c r="H174" s="71">
        <v>2018</v>
      </c>
      <c r="I174" s="71">
        <v>2020</v>
      </c>
      <c r="J174" s="71" t="s">
        <v>320</v>
      </c>
      <c r="K174" s="71" t="s">
        <v>320</v>
      </c>
      <c r="L174" s="71" t="s">
        <v>320</v>
      </c>
      <c r="M174" s="71" t="s">
        <v>320</v>
      </c>
      <c r="N174" s="71"/>
      <c r="O174" s="71"/>
      <c r="P174" s="71"/>
      <c r="Q174" s="71"/>
      <c r="R174" s="71"/>
      <c r="S174" s="89"/>
      <c r="T174" s="89"/>
      <c r="U174" s="89"/>
      <c r="V174" s="56"/>
      <c r="W174" s="61" t="str">
        <f t="shared" si="45"/>
        <v>N</v>
      </c>
    </row>
    <row r="175" ht="15" customHeight="1" spans="1:23">
      <c r="A175" s="71"/>
      <c r="B175" s="73" t="s">
        <v>2898</v>
      </c>
      <c r="C175" s="71" t="s">
        <v>52</v>
      </c>
      <c r="D175" s="71" t="s">
        <v>194</v>
      </c>
      <c r="E175" s="101">
        <v>325</v>
      </c>
      <c r="F175" s="71" t="s">
        <v>320</v>
      </c>
      <c r="G175" s="101">
        <v>230</v>
      </c>
      <c r="H175" s="71">
        <v>2018</v>
      </c>
      <c r="I175" s="71">
        <v>2020</v>
      </c>
      <c r="J175" s="71" t="s">
        <v>320</v>
      </c>
      <c r="K175" s="71" t="s">
        <v>320</v>
      </c>
      <c r="L175" s="71" t="s">
        <v>320</v>
      </c>
      <c r="M175" s="71" t="s">
        <v>320</v>
      </c>
      <c r="N175" s="71"/>
      <c r="O175" s="71"/>
      <c r="P175" s="71"/>
      <c r="Q175" s="71"/>
      <c r="R175" s="71"/>
      <c r="S175" s="89"/>
      <c r="T175" s="89"/>
      <c r="U175" s="89"/>
      <c r="V175" s="56"/>
      <c r="W175" s="61" t="str">
        <f t="shared" si="45"/>
        <v>N</v>
      </c>
    </row>
    <row r="176" ht="15" customHeight="1" spans="1:23">
      <c r="A176" s="71"/>
      <c r="B176" s="73" t="s">
        <v>2894</v>
      </c>
      <c r="C176" s="71" t="s">
        <v>52</v>
      </c>
      <c r="D176" s="71" t="s">
        <v>194</v>
      </c>
      <c r="E176" s="101">
        <v>350</v>
      </c>
      <c r="F176" s="71" t="s">
        <v>320</v>
      </c>
      <c r="G176" s="101">
        <v>235</v>
      </c>
      <c r="H176" s="71">
        <v>2018</v>
      </c>
      <c r="I176" s="71">
        <v>2020</v>
      </c>
      <c r="J176" s="71" t="s">
        <v>320</v>
      </c>
      <c r="K176" s="71" t="s">
        <v>320</v>
      </c>
      <c r="L176" s="71" t="s">
        <v>320</v>
      </c>
      <c r="M176" s="71" t="s">
        <v>320</v>
      </c>
      <c r="N176" s="71"/>
      <c r="O176" s="71"/>
      <c r="P176" s="71"/>
      <c r="Q176" s="71"/>
      <c r="R176" s="71"/>
      <c r="S176" s="89"/>
      <c r="T176" s="89"/>
      <c r="U176" s="89"/>
      <c r="V176" s="56"/>
      <c r="W176" s="61" t="str">
        <f t="shared" si="45"/>
        <v>N</v>
      </c>
    </row>
    <row r="177" ht="15" customHeight="1" spans="1:23">
      <c r="A177" s="71"/>
      <c r="B177" s="73" t="s">
        <v>2899</v>
      </c>
      <c r="C177" s="71" t="s">
        <v>52</v>
      </c>
      <c r="D177" s="71" t="s">
        <v>194</v>
      </c>
      <c r="E177" s="101">
        <v>300</v>
      </c>
      <c r="F177" s="71" t="s">
        <v>320</v>
      </c>
      <c r="G177" s="101">
        <v>200</v>
      </c>
      <c r="H177" s="71">
        <v>2018</v>
      </c>
      <c r="I177" s="71">
        <v>2020</v>
      </c>
      <c r="J177" s="71" t="s">
        <v>320</v>
      </c>
      <c r="K177" s="71" t="s">
        <v>320</v>
      </c>
      <c r="L177" s="71" t="s">
        <v>320</v>
      </c>
      <c r="M177" s="71" t="s">
        <v>320</v>
      </c>
      <c r="N177" s="71"/>
      <c r="O177" s="71"/>
      <c r="P177" s="71"/>
      <c r="Q177" s="71"/>
      <c r="R177" s="71"/>
      <c r="S177" s="89"/>
      <c r="T177" s="89"/>
      <c r="U177" s="89"/>
      <c r="V177" s="56"/>
      <c r="W177" s="61" t="str">
        <f t="shared" si="45"/>
        <v>N</v>
      </c>
    </row>
    <row r="178" ht="15" customHeight="1" spans="1:23">
      <c r="A178" s="71"/>
      <c r="B178" s="73" t="s">
        <v>2900</v>
      </c>
      <c r="C178" s="71" t="s">
        <v>52</v>
      </c>
      <c r="D178" s="71" t="s">
        <v>194</v>
      </c>
      <c r="E178" s="101">
        <v>100</v>
      </c>
      <c r="F178" s="71" t="s">
        <v>320</v>
      </c>
      <c r="G178" s="101">
        <v>50</v>
      </c>
      <c r="H178" s="71">
        <v>2018</v>
      </c>
      <c r="I178" s="71">
        <v>2020</v>
      </c>
      <c r="J178" s="71" t="s">
        <v>320</v>
      </c>
      <c r="K178" s="71" t="s">
        <v>320</v>
      </c>
      <c r="L178" s="71" t="s">
        <v>320</v>
      </c>
      <c r="M178" s="71" t="s">
        <v>320</v>
      </c>
      <c r="N178" s="71"/>
      <c r="O178" s="71"/>
      <c r="P178" s="71"/>
      <c r="Q178" s="71"/>
      <c r="R178" s="71"/>
      <c r="S178" s="89"/>
      <c r="T178" s="89"/>
      <c r="U178" s="89"/>
      <c r="V178" s="56"/>
      <c r="W178" s="61" t="str">
        <f t="shared" si="45"/>
        <v>N</v>
      </c>
    </row>
    <row r="179" ht="23.25" customHeight="1" spans="1:23">
      <c r="A179" s="71">
        <v>28</v>
      </c>
      <c r="B179" s="73" t="s">
        <v>268</v>
      </c>
      <c r="C179" s="71" t="s">
        <v>320</v>
      </c>
      <c r="D179" s="71" t="s">
        <v>147</v>
      </c>
      <c r="E179" s="71"/>
      <c r="F179" s="71"/>
      <c r="G179" s="71"/>
      <c r="H179" s="71"/>
      <c r="I179" s="71"/>
      <c r="J179" s="86">
        <f t="shared" ref="J179:J242" si="47">K179+L179+M179</f>
        <v>205.01202</v>
      </c>
      <c r="K179" s="86">
        <f t="shared" ref="K179:R179" si="48">K180+K185+K191+K199+K205+K208+K216+K224+K229+K237+K244+K252</f>
        <v>15.68334</v>
      </c>
      <c r="L179" s="86">
        <f t="shared" si="48"/>
        <v>94.66434</v>
      </c>
      <c r="M179" s="86">
        <f t="shared" si="48"/>
        <v>94.66434</v>
      </c>
      <c r="N179" s="86">
        <f t="shared" si="48"/>
        <v>21.40902</v>
      </c>
      <c r="O179" s="86">
        <f t="shared" si="48"/>
        <v>0</v>
      </c>
      <c r="P179" s="86">
        <f t="shared" si="48"/>
        <v>109.353</v>
      </c>
      <c r="Q179" s="86">
        <f t="shared" si="48"/>
        <v>74.25</v>
      </c>
      <c r="R179" s="86">
        <f t="shared" si="48"/>
        <v>0</v>
      </c>
      <c r="S179" s="86" t="s">
        <v>2901</v>
      </c>
      <c r="T179" s="86" t="s">
        <v>2906</v>
      </c>
      <c r="U179" s="71" t="s">
        <v>320</v>
      </c>
      <c r="V179" s="56"/>
      <c r="W179" s="61" t="str">
        <f t="shared" si="45"/>
        <v>Y</v>
      </c>
    </row>
    <row r="180" ht="23.25" customHeight="1" spans="1:23">
      <c r="A180" s="71">
        <v>29</v>
      </c>
      <c r="B180" s="73" t="s">
        <v>269</v>
      </c>
      <c r="C180" s="71" t="s">
        <v>320</v>
      </c>
      <c r="D180" s="71" t="s">
        <v>147</v>
      </c>
      <c r="E180" s="71">
        <v>5</v>
      </c>
      <c r="F180" s="71">
        <f>SUM(F181:F184)</f>
        <v>2</v>
      </c>
      <c r="G180" s="71">
        <f>SUM(G181:G184)</f>
        <v>2</v>
      </c>
      <c r="H180" s="71">
        <v>2018</v>
      </c>
      <c r="I180" s="71">
        <v>2020</v>
      </c>
      <c r="J180" s="71">
        <f t="shared" si="47"/>
        <v>9</v>
      </c>
      <c r="K180" s="137">
        <v>3</v>
      </c>
      <c r="L180" s="137">
        <v>3</v>
      </c>
      <c r="M180" s="137">
        <v>3</v>
      </c>
      <c r="N180" s="135">
        <v>9</v>
      </c>
      <c r="O180" s="135"/>
      <c r="P180" s="135"/>
      <c r="Q180" s="135"/>
      <c r="R180" s="135"/>
      <c r="S180" s="89"/>
      <c r="T180" s="89"/>
      <c r="U180" s="89" t="s">
        <v>201</v>
      </c>
      <c r="V180" s="56"/>
      <c r="W180" s="61" t="str">
        <f t="shared" si="45"/>
        <v>Y</v>
      </c>
    </row>
    <row r="181" ht="15" customHeight="1" spans="1:23">
      <c r="A181" s="71"/>
      <c r="B181" s="73" t="s">
        <v>2897</v>
      </c>
      <c r="C181" s="71" t="s">
        <v>320</v>
      </c>
      <c r="D181" s="71" t="s">
        <v>147</v>
      </c>
      <c r="E181" s="71">
        <v>1</v>
      </c>
      <c r="F181" s="71">
        <v>0</v>
      </c>
      <c r="G181" s="71">
        <v>0</v>
      </c>
      <c r="H181" s="71">
        <v>2018</v>
      </c>
      <c r="I181" s="71">
        <v>2020</v>
      </c>
      <c r="J181" s="71">
        <f t="shared" si="47"/>
        <v>1.8</v>
      </c>
      <c r="K181" s="71">
        <v>0.6</v>
      </c>
      <c r="L181" s="71">
        <v>0.6</v>
      </c>
      <c r="M181" s="71">
        <v>0.6</v>
      </c>
      <c r="N181" s="71"/>
      <c r="O181" s="71"/>
      <c r="P181" s="71"/>
      <c r="Q181" s="71"/>
      <c r="R181" s="71"/>
      <c r="S181" s="89"/>
      <c r="T181" s="89"/>
      <c r="U181" s="89"/>
      <c r="V181" s="56"/>
      <c r="W181" s="61" t="str">
        <f t="shared" si="45"/>
        <v>N</v>
      </c>
    </row>
    <row r="182" ht="15" customHeight="1" spans="1:23">
      <c r="A182" s="71"/>
      <c r="B182" s="73" t="s">
        <v>2898</v>
      </c>
      <c r="C182" s="71" t="s">
        <v>320</v>
      </c>
      <c r="D182" s="71" t="s">
        <v>147</v>
      </c>
      <c r="E182" s="71">
        <v>2</v>
      </c>
      <c r="F182" s="71">
        <v>1</v>
      </c>
      <c r="G182" s="71">
        <v>1</v>
      </c>
      <c r="H182" s="71">
        <v>2018</v>
      </c>
      <c r="I182" s="71">
        <v>2020</v>
      </c>
      <c r="J182" s="71">
        <f t="shared" si="47"/>
        <v>3.6</v>
      </c>
      <c r="K182" s="71">
        <v>1.2</v>
      </c>
      <c r="L182" s="71">
        <v>1.2</v>
      </c>
      <c r="M182" s="71">
        <v>1.2</v>
      </c>
      <c r="N182" s="71"/>
      <c r="O182" s="71"/>
      <c r="P182" s="71"/>
      <c r="Q182" s="71"/>
      <c r="R182" s="71"/>
      <c r="S182" s="89"/>
      <c r="T182" s="89"/>
      <c r="U182" s="89"/>
      <c r="V182" s="56"/>
      <c r="W182" s="61" t="str">
        <f t="shared" si="45"/>
        <v>N</v>
      </c>
    </row>
    <row r="183" ht="15" customHeight="1" spans="1:23">
      <c r="A183" s="71"/>
      <c r="B183" s="73" t="s">
        <v>2899</v>
      </c>
      <c r="C183" s="71" t="s">
        <v>320</v>
      </c>
      <c r="D183" s="71" t="s">
        <v>147</v>
      </c>
      <c r="E183" s="71">
        <v>1</v>
      </c>
      <c r="F183" s="71">
        <v>1</v>
      </c>
      <c r="G183" s="71">
        <v>1</v>
      </c>
      <c r="H183" s="71">
        <v>2018</v>
      </c>
      <c r="I183" s="71">
        <v>2020</v>
      </c>
      <c r="J183" s="71">
        <f t="shared" si="47"/>
        <v>1.8</v>
      </c>
      <c r="K183" s="71">
        <v>0.6</v>
      </c>
      <c r="L183" s="71">
        <v>0.6</v>
      </c>
      <c r="M183" s="71">
        <v>0.6</v>
      </c>
      <c r="N183" s="71"/>
      <c r="O183" s="71"/>
      <c r="P183" s="71"/>
      <c r="Q183" s="71"/>
      <c r="R183" s="71"/>
      <c r="S183" s="89"/>
      <c r="T183" s="89"/>
      <c r="U183" s="89"/>
      <c r="V183" s="56"/>
      <c r="W183" s="61" t="str">
        <f t="shared" si="45"/>
        <v>N</v>
      </c>
    </row>
    <row r="184" ht="15" customHeight="1" spans="1:23">
      <c r="A184" s="71"/>
      <c r="B184" s="73" t="s">
        <v>2900</v>
      </c>
      <c r="C184" s="71" t="s">
        <v>320</v>
      </c>
      <c r="D184" s="71" t="s">
        <v>147</v>
      </c>
      <c r="E184" s="71">
        <v>1</v>
      </c>
      <c r="F184" s="71">
        <v>0</v>
      </c>
      <c r="G184" s="71">
        <v>0</v>
      </c>
      <c r="H184" s="71">
        <v>2018</v>
      </c>
      <c r="I184" s="71">
        <v>2020</v>
      </c>
      <c r="J184" s="71">
        <f t="shared" si="47"/>
        <v>1.8</v>
      </c>
      <c r="K184" s="71">
        <v>0.6</v>
      </c>
      <c r="L184" s="71">
        <v>0.6</v>
      </c>
      <c r="M184" s="71">
        <v>0.6</v>
      </c>
      <c r="N184" s="71"/>
      <c r="O184" s="71"/>
      <c r="P184" s="71"/>
      <c r="Q184" s="71"/>
      <c r="R184" s="71"/>
      <c r="S184" s="89"/>
      <c r="T184" s="89"/>
      <c r="U184" s="89"/>
      <c r="V184" s="56"/>
      <c r="W184" s="61" t="str">
        <f t="shared" si="45"/>
        <v>N</v>
      </c>
    </row>
    <row r="185" ht="23.25" customHeight="1" spans="1:23">
      <c r="A185" s="71">
        <v>30</v>
      </c>
      <c r="B185" s="73" t="s">
        <v>270</v>
      </c>
      <c r="C185" s="71" t="s">
        <v>320</v>
      </c>
      <c r="D185" s="71" t="s">
        <v>147</v>
      </c>
      <c r="E185" s="71">
        <v>7</v>
      </c>
      <c r="F185" s="71">
        <v>7</v>
      </c>
      <c r="G185" s="71">
        <v>7</v>
      </c>
      <c r="H185" s="71">
        <v>2018</v>
      </c>
      <c r="I185" s="71">
        <v>2020</v>
      </c>
      <c r="J185" s="86">
        <f t="shared" si="47"/>
        <v>10.60902</v>
      </c>
      <c r="K185" s="86">
        <v>3.53634</v>
      </c>
      <c r="L185" s="86">
        <v>3.53634</v>
      </c>
      <c r="M185" s="86">
        <v>3.53634</v>
      </c>
      <c r="N185" s="138">
        <f>J185</f>
        <v>10.60902</v>
      </c>
      <c r="O185" s="135"/>
      <c r="P185" s="135"/>
      <c r="Q185" s="135"/>
      <c r="R185" s="135"/>
      <c r="S185" s="86" t="s">
        <v>2901</v>
      </c>
      <c r="T185" s="86" t="s">
        <v>2906</v>
      </c>
      <c r="U185" s="89" t="s">
        <v>271</v>
      </c>
      <c r="V185" s="56"/>
      <c r="W185" s="61" t="str">
        <f t="shared" si="45"/>
        <v>Y</v>
      </c>
    </row>
    <row r="186" ht="15.95" customHeight="1" spans="1:23">
      <c r="A186" s="71"/>
      <c r="B186" s="73" t="s">
        <v>2897</v>
      </c>
      <c r="C186" s="71" t="s">
        <v>320</v>
      </c>
      <c r="D186" s="71" t="s">
        <v>147</v>
      </c>
      <c r="E186" s="71">
        <v>1</v>
      </c>
      <c r="F186" s="71">
        <v>1</v>
      </c>
      <c r="G186" s="71">
        <v>1</v>
      </c>
      <c r="H186" s="71">
        <v>2018</v>
      </c>
      <c r="I186" s="71">
        <v>2020</v>
      </c>
      <c r="J186" s="86">
        <f t="shared" si="47"/>
        <v>1.515</v>
      </c>
      <c r="K186" s="86">
        <v>0.505</v>
      </c>
      <c r="L186" s="86">
        <v>0.505</v>
      </c>
      <c r="M186" s="86">
        <v>0.505</v>
      </c>
      <c r="N186" s="135"/>
      <c r="O186" s="135"/>
      <c r="P186" s="135"/>
      <c r="Q186" s="135"/>
      <c r="R186" s="135"/>
      <c r="S186" s="89"/>
      <c r="T186" s="89"/>
      <c r="U186" s="89"/>
      <c r="V186" s="56"/>
      <c r="W186" s="61" t="str">
        <f t="shared" si="45"/>
        <v>N</v>
      </c>
    </row>
    <row r="187" ht="15" customHeight="1" spans="1:23">
      <c r="A187" s="71"/>
      <c r="B187" s="73" t="s">
        <v>2893</v>
      </c>
      <c r="C187" s="71" t="s">
        <v>320</v>
      </c>
      <c r="D187" s="71" t="s">
        <v>147</v>
      </c>
      <c r="E187" s="71">
        <v>1</v>
      </c>
      <c r="F187" s="71">
        <v>1</v>
      </c>
      <c r="G187" s="71">
        <v>1</v>
      </c>
      <c r="H187" s="71">
        <v>2018</v>
      </c>
      <c r="I187" s="71">
        <v>2020</v>
      </c>
      <c r="J187" s="86">
        <f t="shared" si="47"/>
        <v>1.515</v>
      </c>
      <c r="K187" s="86">
        <v>0.505</v>
      </c>
      <c r="L187" s="86">
        <v>0.505</v>
      </c>
      <c r="M187" s="86">
        <v>0.505</v>
      </c>
      <c r="N187" s="71"/>
      <c r="O187" s="71"/>
      <c r="P187" s="71"/>
      <c r="Q187" s="71"/>
      <c r="R187" s="71"/>
      <c r="S187" s="89"/>
      <c r="T187" s="89"/>
      <c r="U187" s="89"/>
      <c r="V187" s="56"/>
      <c r="W187" s="61" t="str">
        <f t="shared" si="45"/>
        <v>N</v>
      </c>
    </row>
    <row r="188" ht="15.95" customHeight="1" spans="1:23">
      <c r="A188" s="71"/>
      <c r="B188" s="73" t="s">
        <v>2898</v>
      </c>
      <c r="C188" s="71" t="s">
        <v>320</v>
      </c>
      <c r="D188" s="71" t="s">
        <v>147</v>
      </c>
      <c r="E188" s="71">
        <v>3</v>
      </c>
      <c r="F188" s="71">
        <v>3</v>
      </c>
      <c r="G188" s="71">
        <v>3</v>
      </c>
      <c r="H188" s="71">
        <v>2018</v>
      </c>
      <c r="I188" s="71">
        <v>2020</v>
      </c>
      <c r="J188" s="86">
        <f t="shared" si="47"/>
        <v>4.54902</v>
      </c>
      <c r="K188" s="86">
        <v>1.51634</v>
      </c>
      <c r="L188" s="86">
        <v>1.51634</v>
      </c>
      <c r="M188" s="86">
        <v>1.51634</v>
      </c>
      <c r="N188" s="71"/>
      <c r="O188" s="71"/>
      <c r="P188" s="71"/>
      <c r="Q188" s="71"/>
      <c r="R188" s="71"/>
      <c r="S188" s="89"/>
      <c r="T188" s="89"/>
      <c r="U188" s="89"/>
      <c r="V188" s="56"/>
      <c r="W188" s="61" t="str">
        <f t="shared" si="45"/>
        <v>N</v>
      </c>
    </row>
    <row r="189" ht="15.95" customHeight="1" spans="1:23">
      <c r="A189" s="71"/>
      <c r="B189" s="73" t="s">
        <v>2899</v>
      </c>
      <c r="C189" s="71" t="s">
        <v>320</v>
      </c>
      <c r="D189" s="71" t="s">
        <v>147</v>
      </c>
      <c r="E189" s="71">
        <v>1</v>
      </c>
      <c r="F189" s="71">
        <v>1</v>
      </c>
      <c r="G189" s="71">
        <v>1</v>
      </c>
      <c r="H189" s="71">
        <v>2018</v>
      </c>
      <c r="I189" s="71">
        <v>2020</v>
      </c>
      <c r="J189" s="86">
        <f t="shared" si="47"/>
        <v>1.515</v>
      </c>
      <c r="K189" s="86">
        <v>0.505</v>
      </c>
      <c r="L189" s="86">
        <v>0.505</v>
      </c>
      <c r="M189" s="86">
        <v>0.505</v>
      </c>
      <c r="N189" s="71"/>
      <c r="O189" s="71"/>
      <c r="P189" s="71"/>
      <c r="Q189" s="71"/>
      <c r="R189" s="71"/>
      <c r="S189" s="89"/>
      <c r="T189" s="89"/>
      <c r="U189" s="89"/>
      <c r="V189" s="56"/>
      <c r="W189" s="61" t="str">
        <f t="shared" si="45"/>
        <v>N</v>
      </c>
    </row>
    <row r="190" ht="15.95" customHeight="1" spans="1:23">
      <c r="A190" s="71"/>
      <c r="B190" s="73" t="s">
        <v>2900</v>
      </c>
      <c r="C190" s="71" t="s">
        <v>320</v>
      </c>
      <c r="D190" s="71" t="s">
        <v>147</v>
      </c>
      <c r="E190" s="71">
        <v>1</v>
      </c>
      <c r="F190" s="71">
        <v>1</v>
      </c>
      <c r="G190" s="71">
        <v>1</v>
      </c>
      <c r="H190" s="71">
        <v>2018</v>
      </c>
      <c r="I190" s="71">
        <v>2020</v>
      </c>
      <c r="J190" s="86">
        <f t="shared" si="47"/>
        <v>1.515</v>
      </c>
      <c r="K190" s="86">
        <v>0.505</v>
      </c>
      <c r="L190" s="86">
        <v>0.505</v>
      </c>
      <c r="M190" s="86">
        <v>0.505</v>
      </c>
      <c r="N190" s="71"/>
      <c r="O190" s="71"/>
      <c r="P190" s="71"/>
      <c r="Q190" s="71"/>
      <c r="R190" s="71"/>
      <c r="S190" s="89"/>
      <c r="T190" s="89"/>
      <c r="U190" s="89"/>
      <c r="V190" s="56"/>
      <c r="W190" s="61" t="str">
        <f t="shared" si="45"/>
        <v>N</v>
      </c>
    </row>
    <row r="191" ht="24" customHeight="1" spans="1:23">
      <c r="A191" s="71">
        <v>31</v>
      </c>
      <c r="B191" s="73" t="s">
        <v>272</v>
      </c>
      <c r="C191" s="71" t="s">
        <v>320</v>
      </c>
      <c r="D191" s="71" t="s">
        <v>147</v>
      </c>
      <c r="E191" s="71">
        <v>193</v>
      </c>
      <c r="F191" s="71">
        <v>193</v>
      </c>
      <c r="G191" s="71">
        <v>193</v>
      </c>
      <c r="H191" s="71">
        <v>2019</v>
      </c>
      <c r="I191" s="71">
        <v>2020</v>
      </c>
      <c r="J191" s="86">
        <f t="shared" si="47"/>
        <v>92.64</v>
      </c>
      <c r="K191" s="86">
        <v>0</v>
      </c>
      <c r="L191" s="86">
        <v>46.32</v>
      </c>
      <c r="M191" s="86">
        <v>46.32</v>
      </c>
      <c r="N191" s="71"/>
      <c r="O191" s="71"/>
      <c r="P191" s="71">
        <f>J191</f>
        <v>92.64</v>
      </c>
      <c r="Q191" s="71"/>
      <c r="R191" s="71"/>
      <c r="S191" s="86" t="s">
        <v>2901</v>
      </c>
      <c r="T191" s="86" t="s">
        <v>2906</v>
      </c>
      <c r="U191" s="71" t="s">
        <v>273</v>
      </c>
      <c r="V191" s="56"/>
      <c r="W191" s="61" t="str">
        <f t="shared" si="45"/>
        <v>Y</v>
      </c>
    </row>
    <row r="192" ht="15.95" customHeight="1" spans="1:23">
      <c r="A192" s="71"/>
      <c r="B192" s="73" t="s">
        <v>2892</v>
      </c>
      <c r="C192" s="71" t="s">
        <v>320</v>
      </c>
      <c r="D192" s="71" t="s">
        <v>147</v>
      </c>
      <c r="E192" s="71">
        <v>44</v>
      </c>
      <c r="F192" s="71">
        <v>44</v>
      </c>
      <c r="G192" s="71">
        <v>44</v>
      </c>
      <c r="H192" s="71">
        <v>2019</v>
      </c>
      <c r="I192" s="71">
        <v>2020</v>
      </c>
      <c r="J192" s="86">
        <f t="shared" si="47"/>
        <v>21.12</v>
      </c>
      <c r="K192" s="86">
        <v>0</v>
      </c>
      <c r="L192" s="86">
        <f t="shared" ref="L192:L198" si="49">F192*0.24</f>
        <v>10.56</v>
      </c>
      <c r="M192" s="86">
        <f t="shared" ref="M192:M198" si="50">G192*0.24</f>
        <v>10.56</v>
      </c>
      <c r="N192" s="71"/>
      <c r="O192" s="71"/>
      <c r="P192" s="71"/>
      <c r="Q192" s="71"/>
      <c r="R192" s="71"/>
      <c r="S192" s="89"/>
      <c r="T192" s="89"/>
      <c r="U192" s="89"/>
      <c r="V192" s="56"/>
      <c r="W192" s="61" t="str">
        <f t="shared" si="45"/>
        <v>N</v>
      </c>
    </row>
    <row r="193" ht="12.95" customHeight="1" spans="1:23">
      <c r="A193" s="68"/>
      <c r="B193" s="73" t="s">
        <v>2897</v>
      </c>
      <c r="C193" s="71" t="s">
        <v>320</v>
      </c>
      <c r="D193" s="71" t="s">
        <v>147</v>
      </c>
      <c r="E193" s="71">
        <v>31</v>
      </c>
      <c r="F193" s="71">
        <v>31</v>
      </c>
      <c r="G193" s="71">
        <v>31</v>
      </c>
      <c r="H193" s="71">
        <v>2019</v>
      </c>
      <c r="I193" s="71">
        <v>2020</v>
      </c>
      <c r="J193" s="86">
        <f t="shared" si="47"/>
        <v>14.88</v>
      </c>
      <c r="K193" s="86">
        <v>0</v>
      </c>
      <c r="L193" s="86">
        <f t="shared" si="49"/>
        <v>7.44</v>
      </c>
      <c r="M193" s="86">
        <f t="shared" si="50"/>
        <v>7.44</v>
      </c>
      <c r="N193" s="135"/>
      <c r="O193" s="135"/>
      <c r="P193" s="135"/>
      <c r="Q193" s="135"/>
      <c r="R193" s="135"/>
      <c r="S193" s="89"/>
      <c r="T193" s="89"/>
      <c r="U193" s="68"/>
      <c r="V193" s="56"/>
      <c r="W193" s="61" t="str">
        <f t="shared" si="45"/>
        <v>N</v>
      </c>
    </row>
    <row r="194" ht="15" customHeight="1" spans="1:23">
      <c r="A194" s="71"/>
      <c r="B194" s="73" t="s">
        <v>2893</v>
      </c>
      <c r="C194" s="71" t="s">
        <v>320</v>
      </c>
      <c r="D194" s="71" t="s">
        <v>147</v>
      </c>
      <c r="E194" s="71">
        <v>33</v>
      </c>
      <c r="F194" s="71">
        <v>33</v>
      </c>
      <c r="G194" s="71">
        <v>33</v>
      </c>
      <c r="H194" s="71">
        <v>2019</v>
      </c>
      <c r="I194" s="71">
        <v>2020</v>
      </c>
      <c r="J194" s="86">
        <f t="shared" si="47"/>
        <v>15.84</v>
      </c>
      <c r="K194" s="86">
        <v>0</v>
      </c>
      <c r="L194" s="86">
        <f t="shared" si="49"/>
        <v>7.92</v>
      </c>
      <c r="M194" s="86">
        <f t="shared" si="50"/>
        <v>7.92</v>
      </c>
      <c r="N194" s="135"/>
      <c r="O194" s="135"/>
      <c r="P194" s="135"/>
      <c r="Q194" s="135"/>
      <c r="R194" s="135"/>
      <c r="S194" s="89"/>
      <c r="T194" s="89"/>
      <c r="U194" s="71"/>
      <c r="V194" s="56"/>
      <c r="W194" s="61" t="str">
        <f t="shared" si="45"/>
        <v>N</v>
      </c>
    </row>
    <row r="195" ht="15" customHeight="1" spans="1:23">
      <c r="A195" s="71"/>
      <c r="B195" s="73" t="s">
        <v>2898</v>
      </c>
      <c r="C195" s="71" t="s">
        <v>320</v>
      </c>
      <c r="D195" s="71" t="s">
        <v>147</v>
      </c>
      <c r="E195" s="71">
        <v>23</v>
      </c>
      <c r="F195" s="71">
        <v>23</v>
      </c>
      <c r="G195" s="71">
        <v>23</v>
      </c>
      <c r="H195" s="71">
        <v>2019</v>
      </c>
      <c r="I195" s="71">
        <v>2020</v>
      </c>
      <c r="J195" s="86">
        <f t="shared" si="47"/>
        <v>11.04</v>
      </c>
      <c r="K195" s="86">
        <v>0</v>
      </c>
      <c r="L195" s="86">
        <f t="shared" si="49"/>
        <v>5.52</v>
      </c>
      <c r="M195" s="86">
        <f t="shared" si="50"/>
        <v>5.52</v>
      </c>
      <c r="N195" s="135"/>
      <c r="O195" s="135"/>
      <c r="P195" s="135"/>
      <c r="Q195" s="135"/>
      <c r="R195" s="135"/>
      <c r="S195" s="89"/>
      <c r="T195" s="89"/>
      <c r="U195" s="71"/>
      <c r="V195" s="56"/>
      <c r="W195" s="61" t="str">
        <f t="shared" si="45"/>
        <v>N</v>
      </c>
    </row>
    <row r="196" ht="15" customHeight="1" spans="1:23">
      <c r="A196" s="71"/>
      <c r="B196" s="73" t="s">
        <v>2894</v>
      </c>
      <c r="C196" s="71" t="s">
        <v>320</v>
      </c>
      <c r="D196" s="71" t="s">
        <v>147</v>
      </c>
      <c r="E196" s="71">
        <v>31</v>
      </c>
      <c r="F196" s="71">
        <v>31</v>
      </c>
      <c r="G196" s="71">
        <v>31</v>
      </c>
      <c r="H196" s="71">
        <v>2019</v>
      </c>
      <c r="I196" s="71">
        <v>2020</v>
      </c>
      <c r="J196" s="86">
        <f t="shared" si="47"/>
        <v>14.88</v>
      </c>
      <c r="K196" s="86">
        <v>0</v>
      </c>
      <c r="L196" s="86">
        <f t="shared" si="49"/>
        <v>7.44</v>
      </c>
      <c r="M196" s="86">
        <f t="shared" si="50"/>
        <v>7.44</v>
      </c>
      <c r="N196" s="135"/>
      <c r="O196" s="135"/>
      <c r="P196" s="135"/>
      <c r="Q196" s="135"/>
      <c r="R196" s="135"/>
      <c r="S196" s="89"/>
      <c r="T196" s="89"/>
      <c r="U196" s="71"/>
      <c r="V196" s="56"/>
      <c r="W196" s="61" t="str">
        <f t="shared" si="45"/>
        <v>N</v>
      </c>
    </row>
    <row r="197" ht="15" customHeight="1" spans="1:23">
      <c r="A197" s="71"/>
      <c r="B197" s="73" t="s">
        <v>2899</v>
      </c>
      <c r="C197" s="71" t="s">
        <v>320</v>
      </c>
      <c r="D197" s="71" t="s">
        <v>147</v>
      </c>
      <c r="E197" s="71">
        <v>23</v>
      </c>
      <c r="F197" s="71">
        <v>23</v>
      </c>
      <c r="G197" s="71">
        <v>23</v>
      </c>
      <c r="H197" s="71">
        <v>2019</v>
      </c>
      <c r="I197" s="71">
        <v>2020</v>
      </c>
      <c r="J197" s="86">
        <f t="shared" si="47"/>
        <v>11.04</v>
      </c>
      <c r="K197" s="86">
        <v>0</v>
      </c>
      <c r="L197" s="86">
        <f t="shared" si="49"/>
        <v>5.52</v>
      </c>
      <c r="M197" s="86">
        <f t="shared" si="50"/>
        <v>5.52</v>
      </c>
      <c r="N197" s="135"/>
      <c r="O197" s="135"/>
      <c r="P197" s="135"/>
      <c r="Q197" s="135"/>
      <c r="R197" s="135"/>
      <c r="S197" s="89"/>
      <c r="T197" s="89"/>
      <c r="U197" s="71"/>
      <c r="V197" s="56"/>
      <c r="W197" s="61" t="str">
        <f t="shared" si="45"/>
        <v>N</v>
      </c>
    </row>
    <row r="198" ht="15" customHeight="1" spans="1:23">
      <c r="A198" s="71"/>
      <c r="B198" s="73" t="s">
        <v>2900</v>
      </c>
      <c r="C198" s="71" t="s">
        <v>320</v>
      </c>
      <c r="D198" s="71" t="s">
        <v>147</v>
      </c>
      <c r="E198" s="71">
        <v>8</v>
      </c>
      <c r="F198" s="71">
        <v>8</v>
      </c>
      <c r="G198" s="71">
        <v>8</v>
      </c>
      <c r="H198" s="71">
        <v>2019</v>
      </c>
      <c r="I198" s="71">
        <v>2020</v>
      </c>
      <c r="J198" s="86">
        <f t="shared" si="47"/>
        <v>3.84</v>
      </c>
      <c r="K198" s="86">
        <v>0</v>
      </c>
      <c r="L198" s="86">
        <f t="shared" si="49"/>
        <v>1.92</v>
      </c>
      <c r="M198" s="86">
        <f t="shared" si="50"/>
        <v>1.92</v>
      </c>
      <c r="N198" s="135"/>
      <c r="O198" s="135"/>
      <c r="P198" s="135"/>
      <c r="Q198" s="135"/>
      <c r="R198" s="135"/>
      <c r="S198" s="89"/>
      <c r="T198" s="89"/>
      <c r="U198" s="71"/>
      <c r="V198" s="56"/>
      <c r="W198" s="61" t="str">
        <f t="shared" si="45"/>
        <v>N</v>
      </c>
    </row>
    <row r="199" ht="18.95" customHeight="1" spans="1:23">
      <c r="A199" s="71">
        <v>32</v>
      </c>
      <c r="B199" s="73" t="s">
        <v>274</v>
      </c>
      <c r="C199" s="71" t="s">
        <v>320</v>
      </c>
      <c r="D199" s="71" t="s">
        <v>147</v>
      </c>
      <c r="E199" s="71">
        <v>13</v>
      </c>
      <c r="F199" s="71">
        <v>13</v>
      </c>
      <c r="G199" s="71">
        <v>13</v>
      </c>
      <c r="H199" s="71">
        <v>2019</v>
      </c>
      <c r="I199" s="71">
        <v>2020</v>
      </c>
      <c r="J199" s="86">
        <f t="shared" si="47"/>
        <v>14.04</v>
      </c>
      <c r="K199" s="86">
        <f>SUM(K200:K204)</f>
        <v>0</v>
      </c>
      <c r="L199" s="86">
        <f t="shared" ref="L199:R199" si="51">SUM(L200:L204)</f>
        <v>7.02</v>
      </c>
      <c r="M199" s="86">
        <f t="shared" si="51"/>
        <v>7.02</v>
      </c>
      <c r="N199" s="86">
        <f t="shared" si="51"/>
        <v>0</v>
      </c>
      <c r="O199" s="86">
        <f t="shared" si="51"/>
        <v>0</v>
      </c>
      <c r="P199" s="86">
        <f>J199</f>
        <v>14.04</v>
      </c>
      <c r="Q199" s="86">
        <f t="shared" si="51"/>
        <v>0</v>
      </c>
      <c r="R199" s="86">
        <f t="shared" si="51"/>
        <v>0</v>
      </c>
      <c r="S199" s="86" t="s">
        <v>2901</v>
      </c>
      <c r="T199" s="86" t="s">
        <v>2906</v>
      </c>
      <c r="U199" s="89" t="s">
        <v>275</v>
      </c>
      <c r="V199" s="56"/>
      <c r="W199" s="61" t="str">
        <f t="shared" si="45"/>
        <v>Y</v>
      </c>
    </row>
    <row r="200" ht="15" customHeight="1" spans="1:23">
      <c r="A200" s="71"/>
      <c r="B200" s="73" t="s">
        <v>2892</v>
      </c>
      <c r="C200" s="71" t="s">
        <v>320</v>
      </c>
      <c r="D200" s="71" t="s">
        <v>147</v>
      </c>
      <c r="E200" s="71">
        <v>3</v>
      </c>
      <c r="F200" s="71">
        <v>3</v>
      </c>
      <c r="G200" s="67">
        <v>3</v>
      </c>
      <c r="H200" s="71">
        <v>2019</v>
      </c>
      <c r="I200" s="71">
        <v>2020</v>
      </c>
      <c r="J200" s="86">
        <v>3.24</v>
      </c>
      <c r="K200" s="86">
        <v>0</v>
      </c>
      <c r="L200" s="86">
        <v>1.62</v>
      </c>
      <c r="M200" s="86">
        <v>1.62</v>
      </c>
      <c r="N200" s="135"/>
      <c r="O200" s="135"/>
      <c r="P200" s="135"/>
      <c r="Q200" s="135"/>
      <c r="R200" s="135"/>
      <c r="S200" s="89"/>
      <c r="T200" s="89"/>
      <c r="U200" s="68"/>
      <c r="V200" s="56"/>
      <c r="W200" s="61" t="str">
        <f t="shared" ref="W200:W263" si="52">IF(SUM(N200:R200)=J200,"Y","N")</f>
        <v>N</v>
      </c>
    </row>
    <row r="201" ht="23.25" customHeight="1" spans="1:23">
      <c r="A201" s="68"/>
      <c r="B201" s="73" t="s">
        <v>2897</v>
      </c>
      <c r="C201" s="71" t="s">
        <v>320</v>
      </c>
      <c r="D201" s="71" t="s">
        <v>147</v>
      </c>
      <c r="E201" s="71">
        <v>3</v>
      </c>
      <c r="F201" s="71">
        <v>3</v>
      </c>
      <c r="G201" s="71">
        <v>3</v>
      </c>
      <c r="H201" s="71">
        <v>2019</v>
      </c>
      <c r="I201" s="71">
        <v>2020</v>
      </c>
      <c r="J201" s="86">
        <v>3.24</v>
      </c>
      <c r="K201" s="86">
        <v>0</v>
      </c>
      <c r="L201" s="86">
        <v>1.62</v>
      </c>
      <c r="M201" s="86">
        <v>1.62</v>
      </c>
      <c r="N201" s="135"/>
      <c r="O201" s="135"/>
      <c r="P201" s="135"/>
      <c r="Q201" s="135"/>
      <c r="R201" s="135"/>
      <c r="S201" s="89"/>
      <c r="T201" s="89"/>
      <c r="U201" s="68"/>
      <c r="V201" s="56"/>
      <c r="W201" s="61" t="str">
        <f t="shared" si="52"/>
        <v>N</v>
      </c>
    </row>
    <row r="202" ht="17.1" customHeight="1" spans="1:23">
      <c r="A202" s="71"/>
      <c r="B202" s="73" t="s">
        <v>2893</v>
      </c>
      <c r="C202" s="71" t="s">
        <v>320</v>
      </c>
      <c r="D202" s="71" t="s">
        <v>147</v>
      </c>
      <c r="E202" s="71">
        <v>1</v>
      </c>
      <c r="F202" s="71">
        <v>1</v>
      </c>
      <c r="G202" s="71">
        <v>1</v>
      </c>
      <c r="H202" s="71">
        <v>2019</v>
      </c>
      <c r="I202" s="71">
        <v>2020</v>
      </c>
      <c r="J202" s="86">
        <v>1.08</v>
      </c>
      <c r="K202" s="86">
        <v>0</v>
      </c>
      <c r="L202" s="86">
        <v>0.54</v>
      </c>
      <c r="M202" s="86">
        <v>0.54</v>
      </c>
      <c r="N202" s="71"/>
      <c r="O202" s="71"/>
      <c r="P202" s="71"/>
      <c r="Q202" s="71"/>
      <c r="R202" s="71"/>
      <c r="S202" s="89"/>
      <c r="T202" s="89"/>
      <c r="U202" s="89"/>
      <c r="V202" s="56"/>
      <c r="W202" s="61" t="str">
        <f t="shared" si="52"/>
        <v>N</v>
      </c>
    </row>
    <row r="203" ht="17.1" customHeight="1" spans="1:23">
      <c r="A203" s="71"/>
      <c r="B203" s="73" t="s">
        <v>2898</v>
      </c>
      <c r="C203" s="71" t="s">
        <v>320</v>
      </c>
      <c r="D203" s="71" t="s">
        <v>147</v>
      </c>
      <c r="E203" s="71">
        <v>2</v>
      </c>
      <c r="F203" s="71">
        <v>2</v>
      </c>
      <c r="G203" s="71">
        <v>2</v>
      </c>
      <c r="H203" s="71">
        <v>2019</v>
      </c>
      <c r="I203" s="71">
        <v>2020</v>
      </c>
      <c r="J203" s="86">
        <v>2.16</v>
      </c>
      <c r="K203" s="86">
        <v>0</v>
      </c>
      <c r="L203" s="86">
        <v>1.08</v>
      </c>
      <c r="M203" s="86">
        <v>1.08</v>
      </c>
      <c r="N203" s="71"/>
      <c r="O203" s="71"/>
      <c r="P203" s="71"/>
      <c r="Q203" s="71"/>
      <c r="R203" s="71"/>
      <c r="S203" s="89"/>
      <c r="T203" s="89"/>
      <c r="U203" s="89"/>
      <c r="V203" s="56"/>
      <c r="W203" s="61" t="str">
        <f t="shared" si="52"/>
        <v>N</v>
      </c>
    </row>
    <row r="204" ht="17.1" customHeight="1" spans="1:23">
      <c r="A204" s="71"/>
      <c r="B204" s="73" t="s">
        <v>2899</v>
      </c>
      <c r="C204" s="71" t="s">
        <v>320</v>
      </c>
      <c r="D204" s="71" t="s">
        <v>147</v>
      </c>
      <c r="E204" s="71">
        <v>4</v>
      </c>
      <c r="F204" s="71">
        <v>4</v>
      </c>
      <c r="G204" s="71">
        <v>4</v>
      </c>
      <c r="H204" s="71">
        <v>2019</v>
      </c>
      <c r="I204" s="71">
        <v>2020</v>
      </c>
      <c r="J204" s="86">
        <v>4.32</v>
      </c>
      <c r="K204" s="86">
        <v>0</v>
      </c>
      <c r="L204" s="86">
        <v>2.16</v>
      </c>
      <c r="M204" s="86">
        <v>2.16</v>
      </c>
      <c r="N204" s="71"/>
      <c r="O204" s="71"/>
      <c r="P204" s="71"/>
      <c r="Q204" s="71"/>
      <c r="R204" s="71"/>
      <c r="S204" s="89"/>
      <c r="T204" s="89"/>
      <c r="U204" s="89"/>
      <c r="V204" s="56"/>
      <c r="W204" s="61" t="str">
        <f t="shared" si="52"/>
        <v>N</v>
      </c>
    </row>
    <row r="205" ht="30" customHeight="1" spans="1:23">
      <c r="A205" s="71"/>
      <c r="B205" s="73" t="s">
        <v>276</v>
      </c>
      <c r="C205" s="71" t="s">
        <v>320</v>
      </c>
      <c r="D205" s="71" t="s">
        <v>147</v>
      </c>
      <c r="E205" s="71">
        <v>4</v>
      </c>
      <c r="F205" s="71">
        <v>1</v>
      </c>
      <c r="G205" s="71">
        <v>1</v>
      </c>
      <c r="H205" s="71">
        <v>2018</v>
      </c>
      <c r="I205" s="71">
        <v>2020</v>
      </c>
      <c r="J205" s="86">
        <f t="shared" si="47"/>
        <v>1.8</v>
      </c>
      <c r="K205" s="86">
        <v>0.6</v>
      </c>
      <c r="L205" s="86">
        <v>0.6</v>
      </c>
      <c r="M205" s="86">
        <v>0.6</v>
      </c>
      <c r="N205" s="71">
        <v>1.8</v>
      </c>
      <c r="O205" s="71"/>
      <c r="P205" s="71"/>
      <c r="Q205" s="71"/>
      <c r="R205" s="71"/>
      <c r="S205" s="86" t="s">
        <v>2901</v>
      </c>
      <c r="T205" s="86" t="s">
        <v>2906</v>
      </c>
      <c r="U205" s="89"/>
      <c r="V205" s="56"/>
      <c r="W205" s="61" t="str">
        <f t="shared" si="52"/>
        <v>Y</v>
      </c>
    </row>
    <row r="206" ht="18" customHeight="1" spans="1:23">
      <c r="A206" s="71"/>
      <c r="B206" s="73" t="s">
        <v>2898</v>
      </c>
      <c r="C206" s="71" t="s">
        <v>320</v>
      </c>
      <c r="D206" s="71" t="s">
        <v>147</v>
      </c>
      <c r="E206" s="71">
        <v>2</v>
      </c>
      <c r="F206" s="71">
        <v>0</v>
      </c>
      <c r="G206" s="71">
        <v>0</v>
      </c>
      <c r="H206" s="71">
        <v>2018</v>
      </c>
      <c r="I206" s="71">
        <v>2020</v>
      </c>
      <c r="J206" s="86">
        <f t="shared" si="47"/>
        <v>0.9</v>
      </c>
      <c r="K206" s="86">
        <f>E206*0.15</f>
        <v>0.3</v>
      </c>
      <c r="L206" s="86">
        <v>0.3</v>
      </c>
      <c r="M206" s="86">
        <v>0.3</v>
      </c>
      <c r="N206" s="71"/>
      <c r="O206" s="71"/>
      <c r="P206" s="71"/>
      <c r="Q206" s="71"/>
      <c r="R206" s="71"/>
      <c r="S206" s="89"/>
      <c r="T206" s="89"/>
      <c r="U206" s="89"/>
      <c r="V206" s="56"/>
      <c r="W206" s="61" t="str">
        <f t="shared" si="52"/>
        <v>N</v>
      </c>
    </row>
    <row r="207" ht="18" customHeight="1" spans="1:23">
      <c r="A207" s="71"/>
      <c r="B207" s="73" t="s">
        <v>2899</v>
      </c>
      <c r="C207" s="71" t="s">
        <v>320</v>
      </c>
      <c r="D207" s="71" t="s">
        <v>147</v>
      </c>
      <c r="E207" s="71">
        <v>2</v>
      </c>
      <c r="F207" s="71">
        <v>1</v>
      </c>
      <c r="G207" s="71">
        <v>1</v>
      </c>
      <c r="H207" s="71">
        <v>2018</v>
      </c>
      <c r="I207" s="71">
        <v>2020</v>
      </c>
      <c r="J207" s="86">
        <f t="shared" si="47"/>
        <v>0.9</v>
      </c>
      <c r="K207" s="86">
        <f>E207*0.15</f>
        <v>0.3</v>
      </c>
      <c r="L207" s="86">
        <v>0.3</v>
      </c>
      <c r="M207" s="86">
        <v>0.3</v>
      </c>
      <c r="N207" s="71"/>
      <c r="O207" s="71"/>
      <c r="P207" s="71"/>
      <c r="Q207" s="71"/>
      <c r="R207" s="71"/>
      <c r="S207" s="89"/>
      <c r="T207" s="89"/>
      <c r="U207" s="89"/>
      <c r="V207" s="56" t="s">
        <v>2907</v>
      </c>
      <c r="W207" s="61" t="str">
        <f t="shared" si="52"/>
        <v>N</v>
      </c>
    </row>
    <row r="208" ht="24.95" customHeight="1" spans="1:23">
      <c r="A208" s="71"/>
      <c r="B208" s="73" t="s">
        <v>1568</v>
      </c>
      <c r="C208" s="71" t="s">
        <v>320</v>
      </c>
      <c r="D208" s="71" t="s">
        <v>147</v>
      </c>
      <c r="E208" s="71">
        <v>16</v>
      </c>
      <c r="F208" s="71">
        <v>16</v>
      </c>
      <c r="G208" s="71">
        <v>16</v>
      </c>
      <c r="H208" s="71">
        <v>2018</v>
      </c>
      <c r="I208" s="71">
        <v>2020</v>
      </c>
      <c r="J208" s="86">
        <f t="shared" si="47"/>
        <v>22.3776</v>
      </c>
      <c r="K208" s="86">
        <v>2.4864</v>
      </c>
      <c r="L208" s="86">
        <v>9.9456</v>
      </c>
      <c r="M208" s="86">
        <v>9.9456</v>
      </c>
      <c r="N208" s="71"/>
      <c r="O208" s="71"/>
      <c r="P208" s="71">
        <f>0.0018*27*16</f>
        <v>0.7776</v>
      </c>
      <c r="Q208" s="71">
        <f>0.05*3*16+0.6*2*16</f>
        <v>21.6</v>
      </c>
      <c r="R208" s="71"/>
      <c r="S208" s="86" t="s">
        <v>2901</v>
      </c>
      <c r="T208" s="86" t="s">
        <v>2906</v>
      </c>
      <c r="U208" s="89" t="s">
        <v>195</v>
      </c>
      <c r="V208" s="56" t="s">
        <v>2885</v>
      </c>
      <c r="W208" s="61" t="str">
        <f t="shared" si="52"/>
        <v>Y</v>
      </c>
    </row>
    <row r="209" ht="18" customHeight="1" spans="1:23">
      <c r="A209" s="71"/>
      <c r="B209" s="73" t="s">
        <v>2892</v>
      </c>
      <c r="C209" s="71" t="s">
        <v>320</v>
      </c>
      <c r="D209" s="71" t="s">
        <v>147</v>
      </c>
      <c r="E209" s="71">
        <v>4</v>
      </c>
      <c r="F209" s="71">
        <v>4</v>
      </c>
      <c r="G209" s="71">
        <v>4</v>
      </c>
      <c r="H209" s="71">
        <v>2018</v>
      </c>
      <c r="I209" s="71">
        <v>2020</v>
      </c>
      <c r="J209" s="86">
        <f t="shared" si="47"/>
        <v>5.5944</v>
      </c>
      <c r="K209" s="86">
        <f t="shared" ref="K209:K215" si="53">E209*0.1554</f>
        <v>0.6216</v>
      </c>
      <c r="L209" s="86">
        <f t="shared" ref="L209:L215" si="54">E209*0.6216</f>
        <v>2.4864</v>
      </c>
      <c r="M209" s="86">
        <f t="shared" ref="M209:M215" si="55">E209*0.6+E209*0.0018*12</f>
        <v>2.4864</v>
      </c>
      <c r="N209" s="71"/>
      <c r="O209" s="71"/>
      <c r="P209" s="71"/>
      <c r="Q209" s="71"/>
      <c r="R209" s="71"/>
      <c r="S209" s="89"/>
      <c r="T209" s="89"/>
      <c r="U209" s="89"/>
      <c r="V209" s="56" t="s">
        <v>2885</v>
      </c>
      <c r="W209" s="61" t="str">
        <f t="shared" si="52"/>
        <v>N</v>
      </c>
    </row>
    <row r="210" ht="18" customHeight="1" spans="1:23">
      <c r="A210" s="71"/>
      <c r="B210" s="73" t="s">
        <v>2897</v>
      </c>
      <c r="C210" s="71" t="s">
        <v>320</v>
      </c>
      <c r="D210" s="71" t="s">
        <v>147</v>
      </c>
      <c r="E210" s="71">
        <v>2</v>
      </c>
      <c r="F210" s="71">
        <v>2</v>
      </c>
      <c r="G210" s="71">
        <v>2</v>
      </c>
      <c r="H210" s="71">
        <v>2018</v>
      </c>
      <c r="I210" s="71">
        <v>2020</v>
      </c>
      <c r="J210" s="86">
        <f t="shared" si="47"/>
        <v>2.7972</v>
      </c>
      <c r="K210" s="86">
        <f t="shared" si="53"/>
        <v>0.3108</v>
      </c>
      <c r="L210" s="86">
        <f t="shared" si="54"/>
        <v>1.2432</v>
      </c>
      <c r="M210" s="86">
        <f t="shared" si="55"/>
        <v>1.2432</v>
      </c>
      <c r="N210" s="71"/>
      <c r="O210" s="71"/>
      <c r="P210" s="71"/>
      <c r="Q210" s="71"/>
      <c r="R210" s="71"/>
      <c r="S210" s="89"/>
      <c r="T210" s="89"/>
      <c r="U210" s="89"/>
      <c r="V210" s="56" t="s">
        <v>2885</v>
      </c>
      <c r="W210" s="61" t="str">
        <f t="shared" si="52"/>
        <v>N</v>
      </c>
    </row>
    <row r="211" ht="18" customHeight="1" spans="1:23">
      <c r="A211" s="71"/>
      <c r="B211" s="73" t="s">
        <v>2893</v>
      </c>
      <c r="C211" s="71" t="s">
        <v>320</v>
      </c>
      <c r="D211" s="71" t="s">
        <v>147</v>
      </c>
      <c r="E211" s="71">
        <v>2</v>
      </c>
      <c r="F211" s="71">
        <v>2</v>
      </c>
      <c r="G211" s="71">
        <v>2</v>
      </c>
      <c r="H211" s="71">
        <v>2018</v>
      </c>
      <c r="I211" s="71">
        <v>2020</v>
      </c>
      <c r="J211" s="86">
        <f t="shared" si="47"/>
        <v>2.7972</v>
      </c>
      <c r="K211" s="86">
        <f t="shared" si="53"/>
        <v>0.3108</v>
      </c>
      <c r="L211" s="86">
        <f t="shared" si="54"/>
        <v>1.2432</v>
      </c>
      <c r="M211" s="86">
        <f t="shared" si="55"/>
        <v>1.2432</v>
      </c>
      <c r="N211" s="71"/>
      <c r="O211" s="71"/>
      <c r="P211" s="71"/>
      <c r="Q211" s="71"/>
      <c r="R211" s="71"/>
      <c r="S211" s="89"/>
      <c r="T211" s="89"/>
      <c r="U211" s="89"/>
      <c r="V211" s="56" t="s">
        <v>2885</v>
      </c>
      <c r="W211" s="61" t="str">
        <f t="shared" si="52"/>
        <v>N</v>
      </c>
    </row>
    <row r="212" ht="18" customHeight="1" spans="1:23">
      <c r="A212" s="71"/>
      <c r="B212" s="73" t="s">
        <v>2898</v>
      </c>
      <c r="C212" s="71" t="s">
        <v>320</v>
      </c>
      <c r="D212" s="71" t="s">
        <v>147</v>
      </c>
      <c r="E212" s="71">
        <v>2</v>
      </c>
      <c r="F212" s="71">
        <v>2</v>
      </c>
      <c r="G212" s="71">
        <v>2</v>
      </c>
      <c r="H212" s="71">
        <v>2018</v>
      </c>
      <c r="I212" s="71">
        <v>2020</v>
      </c>
      <c r="J212" s="86">
        <f t="shared" si="47"/>
        <v>2.7972</v>
      </c>
      <c r="K212" s="86">
        <f t="shared" si="53"/>
        <v>0.3108</v>
      </c>
      <c r="L212" s="86">
        <f t="shared" si="54"/>
        <v>1.2432</v>
      </c>
      <c r="M212" s="86">
        <f t="shared" si="55"/>
        <v>1.2432</v>
      </c>
      <c r="N212" s="71"/>
      <c r="O212" s="71"/>
      <c r="P212" s="71"/>
      <c r="Q212" s="71"/>
      <c r="R212" s="71"/>
      <c r="S212" s="89"/>
      <c r="T212" s="89"/>
      <c r="U212" s="89"/>
      <c r="V212" s="56" t="s">
        <v>2885</v>
      </c>
      <c r="W212" s="61" t="str">
        <f t="shared" si="52"/>
        <v>N</v>
      </c>
    </row>
    <row r="213" ht="18" customHeight="1" spans="1:23">
      <c r="A213" s="71"/>
      <c r="B213" s="73" t="s">
        <v>2894</v>
      </c>
      <c r="C213" s="71" t="s">
        <v>320</v>
      </c>
      <c r="D213" s="71" t="s">
        <v>147</v>
      </c>
      <c r="E213" s="71">
        <v>2</v>
      </c>
      <c r="F213" s="71">
        <v>2</v>
      </c>
      <c r="G213" s="71">
        <v>2</v>
      </c>
      <c r="H213" s="71">
        <v>2018</v>
      </c>
      <c r="I213" s="71">
        <v>2020</v>
      </c>
      <c r="J213" s="86">
        <f t="shared" si="47"/>
        <v>2.7972</v>
      </c>
      <c r="K213" s="86">
        <f t="shared" si="53"/>
        <v>0.3108</v>
      </c>
      <c r="L213" s="86">
        <f t="shared" si="54"/>
        <v>1.2432</v>
      </c>
      <c r="M213" s="86">
        <f t="shared" si="55"/>
        <v>1.2432</v>
      </c>
      <c r="N213" s="71"/>
      <c r="O213" s="71"/>
      <c r="P213" s="71"/>
      <c r="Q213" s="71"/>
      <c r="R213" s="71"/>
      <c r="S213" s="89"/>
      <c r="T213" s="89"/>
      <c r="U213" s="89"/>
      <c r="V213" s="56" t="s">
        <v>2885</v>
      </c>
      <c r="W213" s="61" t="str">
        <f t="shared" si="52"/>
        <v>N</v>
      </c>
    </row>
    <row r="214" ht="18" customHeight="1" spans="1:23">
      <c r="A214" s="71"/>
      <c r="B214" s="73" t="s">
        <v>2899</v>
      </c>
      <c r="C214" s="71" t="s">
        <v>320</v>
      </c>
      <c r="D214" s="71" t="s">
        <v>147</v>
      </c>
      <c r="E214" s="71">
        <v>2</v>
      </c>
      <c r="F214" s="71">
        <v>2</v>
      </c>
      <c r="G214" s="71">
        <v>2</v>
      </c>
      <c r="H214" s="71">
        <v>2018</v>
      </c>
      <c r="I214" s="71">
        <v>2020</v>
      </c>
      <c r="J214" s="86">
        <f t="shared" si="47"/>
        <v>2.7972</v>
      </c>
      <c r="K214" s="86">
        <f t="shared" si="53"/>
        <v>0.3108</v>
      </c>
      <c r="L214" s="86">
        <f t="shared" si="54"/>
        <v>1.2432</v>
      </c>
      <c r="M214" s="86">
        <f t="shared" si="55"/>
        <v>1.2432</v>
      </c>
      <c r="N214" s="71"/>
      <c r="O214" s="71"/>
      <c r="P214" s="71"/>
      <c r="Q214" s="71"/>
      <c r="R214" s="71"/>
      <c r="S214" s="89"/>
      <c r="T214" s="89"/>
      <c r="U214" s="89"/>
      <c r="V214" s="56" t="s">
        <v>2885</v>
      </c>
      <c r="W214" s="61" t="str">
        <f t="shared" si="52"/>
        <v>N</v>
      </c>
    </row>
    <row r="215" ht="18" customHeight="1" spans="1:23">
      <c r="A215" s="71"/>
      <c r="B215" s="73" t="s">
        <v>2900</v>
      </c>
      <c r="C215" s="71" t="s">
        <v>320</v>
      </c>
      <c r="D215" s="71" t="s">
        <v>147</v>
      </c>
      <c r="E215" s="71">
        <v>2</v>
      </c>
      <c r="F215" s="71">
        <v>2</v>
      </c>
      <c r="G215" s="71">
        <v>2</v>
      </c>
      <c r="H215" s="71">
        <v>2018</v>
      </c>
      <c r="I215" s="71">
        <v>2020</v>
      </c>
      <c r="J215" s="86">
        <f t="shared" si="47"/>
        <v>2.7972</v>
      </c>
      <c r="K215" s="86">
        <f t="shared" si="53"/>
        <v>0.3108</v>
      </c>
      <c r="L215" s="86">
        <f t="shared" si="54"/>
        <v>1.2432</v>
      </c>
      <c r="M215" s="86">
        <f t="shared" si="55"/>
        <v>1.2432</v>
      </c>
      <c r="N215" s="71"/>
      <c r="O215" s="71"/>
      <c r="P215" s="71"/>
      <c r="Q215" s="71"/>
      <c r="R215" s="71"/>
      <c r="S215" s="89"/>
      <c r="T215" s="89"/>
      <c r="U215" s="89"/>
      <c r="V215" s="56" t="s">
        <v>2885</v>
      </c>
      <c r="W215" s="61" t="str">
        <f t="shared" si="52"/>
        <v>N</v>
      </c>
    </row>
    <row r="216" ht="27.95" customHeight="1" spans="1:23">
      <c r="A216" s="71"/>
      <c r="B216" s="73" t="s">
        <v>1105</v>
      </c>
      <c r="C216" s="71" t="s">
        <v>320</v>
      </c>
      <c r="D216" s="71" t="s">
        <v>147</v>
      </c>
      <c r="E216" s="71">
        <v>7</v>
      </c>
      <c r="F216" s="71">
        <v>7</v>
      </c>
      <c r="G216" s="71">
        <v>7</v>
      </c>
      <c r="H216" s="71">
        <v>2018</v>
      </c>
      <c r="I216" s="71">
        <v>2020</v>
      </c>
      <c r="J216" s="86">
        <f t="shared" si="47"/>
        <v>9.7902</v>
      </c>
      <c r="K216" s="86">
        <v>1.0878</v>
      </c>
      <c r="L216" s="86">
        <v>4.3512</v>
      </c>
      <c r="M216" s="86">
        <v>4.3512</v>
      </c>
      <c r="N216" s="71"/>
      <c r="O216" s="71"/>
      <c r="P216" s="71">
        <f>27*0.0018*7</f>
        <v>0.3402</v>
      </c>
      <c r="Q216" s="71">
        <f>0.05*3*7+0.6*7*2</f>
        <v>9.45</v>
      </c>
      <c r="R216" s="71"/>
      <c r="S216" s="86" t="s">
        <v>2901</v>
      </c>
      <c r="T216" s="86" t="s">
        <v>2906</v>
      </c>
      <c r="U216" s="89" t="s">
        <v>195</v>
      </c>
      <c r="V216" s="56" t="s">
        <v>2885</v>
      </c>
      <c r="W216" s="61" t="str">
        <f t="shared" si="52"/>
        <v>Y</v>
      </c>
    </row>
    <row r="217" ht="18" customHeight="1" spans="1:23">
      <c r="A217" s="71"/>
      <c r="B217" s="73" t="s">
        <v>2892</v>
      </c>
      <c r="C217" s="71" t="s">
        <v>320</v>
      </c>
      <c r="D217" s="71" t="s">
        <v>147</v>
      </c>
      <c r="E217" s="71">
        <v>1</v>
      </c>
      <c r="F217" s="71">
        <v>1</v>
      </c>
      <c r="G217" s="71">
        <v>1</v>
      </c>
      <c r="H217" s="71">
        <v>2018</v>
      </c>
      <c r="I217" s="71">
        <v>2020</v>
      </c>
      <c r="J217" s="86">
        <f t="shared" si="47"/>
        <v>1.3986</v>
      </c>
      <c r="K217" s="86">
        <f t="shared" ref="K217:K223" si="56">E217*0.15+E217*0.0018*3</f>
        <v>0.1554</v>
      </c>
      <c r="L217" s="86">
        <f t="shared" ref="L217:L223" si="57">E217*0.6216</f>
        <v>0.6216</v>
      </c>
      <c r="M217" s="86">
        <f t="shared" ref="M217:M223" si="58">L217</f>
        <v>0.6216</v>
      </c>
      <c r="N217" s="71"/>
      <c r="O217" s="71"/>
      <c r="P217" s="71"/>
      <c r="Q217" s="71"/>
      <c r="R217" s="71"/>
      <c r="S217" s="89"/>
      <c r="T217" s="89"/>
      <c r="U217" s="89"/>
      <c r="V217" s="56" t="s">
        <v>2885</v>
      </c>
      <c r="W217" s="61" t="str">
        <f t="shared" si="52"/>
        <v>N</v>
      </c>
    </row>
    <row r="218" ht="18" customHeight="1" spans="1:23">
      <c r="A218" s="71"/>
      <c r="B218" s="73" t="s">
        <v>2897</v>
      </c>
      <c r="C218" s="71" t="s">
        <v>320</v>
      </c>
      <c r="D218" s="71" t="s">
        <v>147</v>
      </c>
      <c r="E218" s="71">
        <v>1</v>
      </c>
      <c r="F218" s="71">
        <v>1</v>
      </c>
      <c r="G218" s="71">
        <v>1</v>
      </c>
      <c r="H218" s="71">
        <v>2018</v>
      </c>
      <c r="I218" s="71">
        <v>2020</v>
      </c>
      <c r="J218" s="86">
        <f t="shared" si="47"/>
        <v>1.3986</v>
      </c>
      <c r="K218" s="86">
        <f t="shared" si="56"/>
        <v>0.1554</v>
      </c>
      <c r="L218" s="86">
        <f t="shared" si="57"/>
        <v>0.6216</v>
      </c>
      <c r="M218" s="86">
        <f t="shared" si="58"/>
        <v>0.6216</v>
      </c>
      <c r="N218" s="71"/>
      <c r="O218" s="71"/>
      <c r="P218" s="71"/>
      <c r="Q218" s="71"/>
      <c r="R218" s="71"/>
      <c r="S218" s="89"/>
      <c r="T218" s="89"/>
      <c r="U218" s="89"/>
      <c r="V218" s="56" t="s">
        <v>2885</v>
      </c>
      <c r="W218" s="61" t="str">
        <f t="shared" si="52"/>
        <v>N</v>
      </c>
    </row>
    <row r="219" ht="18" customHeight="1" spans="1:23">
      <c r="A219" s="71"/>
      <c r="B219" s="73" t="s">
        <v>2893</v>
      </c>
      <c r="C219" s="71" t="s">
        <v>320</v>
      </c>
      <c r="D219" s="71" t="s">
        <v>147</v>
      </c>
      <c r="E219" s="71">
        <v>1</v>
      </c>
      <c r="F219" s="71">
        <v>1</v>
      </c>
      <c r="G219" s="71">
        <v>1</v>
      </c>
      <c r="H219" s="71">
        <v>2018</v>
      </c>
      <c r="I219" s="71">
        <v>2020</v>
      </c>
      <c r="J219" s="86">
        <f t="shared" si="47"/>
        <v>1.3986</v>
      </c>
      <c r="K219" s="86">
        <f t="shared" si="56"/>
        <v>0.1554</v>
      </c>
      <c r="L219" s="86">
        <f t="shared" si="57"/>
        <v>0.6216</v>
      </c>
      <c r="M219" s="86">
        <f t="shared" si="58"/>
        <v>0.6216</v>
      </c>
      <c r="N219" s="71"/>
      <c r="O219" s="71"/>
      <c r="P219" s="71"/>
      <c r="Q219" s="71"/>
      <c r="R219" s="71"/>
      <c r="S219" s="89"/>
      <c r="T219" s="89"/>
      <c r="U219" s="89"/>
      <c r="V219" s="56" t="s">
        <v>2885</v>
      </c>
      <c r="W219" s="61" t="str">
        <f t="shared" si="52"/>
        <v>N</v>
      </c>
    </row>
    <row r="220" ht="18" customHeight="1" spans="1:23">
      <c r="A220" s="71"/>
      <c r="B220" s="73" t="s">
        <v>2898</v>
      </c>
      <c r="C220" s="71" t="s">
        <v>320</v>
      </c>
      <c r="D220" s="71" t="s">
        <v>147</v>
      </c>
      <c r="E220" s="71">
        <v>1</v>
      </c>
      <c r="F220" s="71">
        <v>1</v>
      </c>
      <c r="G220" s="71">
        <v>1</v>
      </c>
      <c r="H220" s="71">
        <v>2018</v>
      </c>
      <c r="I220" s="71">
        <v>2020</v>
      </c>
      <c r="J220" s="86">
        <f t="shared" si="47"/>
        <v>1.3986</v>
      </c>
      <c r="K220" s="86">
        <f t="shared" si="56"/>
        <v>0.1554</v>
      </c>
      <c r="L220" s="86">
        <f t="shared" si="57"/>
        <v>0.6216</v>
      </c>
      <c r="M220" s="86">
        <f t="shared" si="58"/>
        <v>0.6216</v>
      </c>
      <c r="N220" s="71"/>
      <c r="O220" s="71"/>
      <c r="P220" s="71"/>
      <c r="Q220" s="71"/>
      <c r="R220" s="71"/>
      <c r="S220" s="89"/>
      <c r="T220" s="89"/>
      <c r="U220" s="89"/>
      <c r="V220" s="56" t="s">
        <v>2885</v>
      </c>
      <c r="W220" s="61" t="str">
        <f t="shared" si="52"/>
        <v>N</v>
      </c>
    </row>
    <row r="221" ht="18" customHeight="1" spans="1:23">
      <c r="A221" s="71"/>
      <c r="B221" s="73" t="s">
        <v>2894</v>
      </c>
      <c r="C221" s="71" t="s">
        <v>320</v>
      </c>
      <c r="D221" s="71" t="s">
        <v>147</v>
      </c>
      <c r="E221" s="71">
        <v>1</v>
      </c>
      <c r="F221" s="71">
        <v>1</v>
      </c>
      <c r="G221" s="71">
        <v>1</v>
      </c>
      <c r="H221" s="71">
        <v>2018</v>
      </c>
      <c r="I221" s="71">
        <v>2020</v>
      </c>
      <c r="J221" s="86">
        <f t="shared" si="47"/>
        <v>1.3986</v>
      </c>
      <c r="K221" s="86">
        <f t="shared" si="56"/>
        <v>0.1554</v>
      </c>
      <c r="L221" s="86">
        <f t="shared" si="57"/>
        <v>0.6216</v>
      </c>
      <c r="M221" s="86">
        <f t="shared" si="58"/>
        <v>0.6216</v>
      </c>
      <c r="N221" s="71"/>
      <c r="O221" s="71"/>
      <c r="P221" s="71"/>
      <c r="Q221" s="71"/>
      <c r="R221" s="71"/>
      <c r="S221" s="89"/>
      <c r="T221" s="89"/>
      <c r="U221" s="89"/>
      <c r="V221" s="56" t="s">
        <v>2885</v>
      </c>
      <c r="W221" s="61" t="str">
        <f t="shared" si="52"/>
        <v>N</v>
      </c>
    </row>
    <row r="222" ht="18" customHeight="1" spans="1:23">
      <c r="A222" s="71"/>
      <c r="B222" s="73" t="s">
        <v>2899</v>
      </c>
      <c r="C222" s="71" t="s">
        <v>320</v>
      </c>
      <c r="D222" s="71" t="s">
        <v>147</v>
      </c>
      <c r="E222" s="71">
        <v>1</v>
      </c>
      <c r="F222" s="71">
        <v>1</v>
      </c>
      <c r="G222" s="71">
        <v>1</v>
      </c>
      <c r="H222" s="71">
        <v>2018</v>
      </c>
      <c r="I222" s="71">
        <v>2020</v>
      </c>
      <c r="J222" s="86">
        <f t="shared" si="47"/>
        <v>1.3986</v>
      </c>
      <c r="K222" s="86">
        <f t="shared" si="56"/>
        <v>0.1554</v>
      </c>
      <c r="L222" s="86">
        <f t="shared" si="57"/>
        <v>0.6216</v>
      </c>
      <c r="M222" s="86">
        <f t="shared" si="58"/>
        <v>0.6216</v>
      </c>
      <c r="N222" s="71"/>
      <c r="O222" s="71"/>
      <c r="P222" s="71"/>
      <c r="Q222" s="71"/>
      <c r="R222" s="71"/>
      <c r="S222" s="89"/>
      <c r="T222" s="89"/>
      <c r="U222" s="89"/>
      <c r="V222" s="56" t="s">
        <v>2885</v>
      </c>
      <c r="W222" s="61" t="str">
        <f t="shared" si="52"/>
        <v>N</v>
      </c>
    </row>
    <row r="223" ht="18" customHeight="1" spans="1:23">
      <c r="A223" s="71"/>
      <c r="B223" s="73" t="s">
        <v>2900</v>
      </c>
      <c r="C223" s="71" t="s">
        <v>320</v>
      </c>
      <c r="D223" s="71" t="s">
        <v>147</v>
      </c>
      <c r="E223" s="71">
        <v>1</v>
      </c>
      <c r="F223" s="71">
        <v>1</v>
      </c>
      <c r="G223" s="71">
        <v>1</v>
      </c>
      <c r="H223" s="71">
        <v>2018</v>
      </c>
      <c r="I223" s="71">
        <v>2020</v>
      </c>
      <c r="J223" s="86">
        <f t="shared" si="47"/>
        <v>1.3986</v>
      </c>
      <c r="K223" s="86">
        <f t="shared" si="56"/>
        <v>0.1554</v>
      </c>
      <c r="L223" s="86">
        <f t="shared" si="57"/>
        <v>0.6216</v>
      </c>
      <c r="M223" s="86">
        <f t="shared" si="58"/>
        <v>0.6216</v>
      </c>
      <c r="N223" s="71"/>
      <c r="O223" s="71"/>
      <c r="P223" s="71"/>
      <c r="Q223" s="71"/>
      <c r="R223" s="71"/>
      <c r="S223" s="89"/>
      <c r="T223" s="89"/>
      <c r="U223" s="89"/>
      <c r="V223" s="56" t="s">
        <v>2885</v>
      </c>
      <c r="W223" s="61" t="str">
        <f t="shared" si="52"/>
        <v>N</v>
      </c>
    </row>
    <row r="224" ht="21" customHeight="1" spans="1:23">
      <c r="A224" s="71"/>
      <c r="B224" s="73" t="s">
        <v>1106</v>
      </c>
      <c r="C224" s="71" t="s">
        <v>320</v>
      </c>
      <c r="D224" s="71" t="s">
        <v>147</v>
      </c>
      <c r="E224" s="71">
        <v>4</v>
      </c>
      <c r="F224" s="71">
        <v>4</v>
      </c>
      <c r="G224" s="71">
        <v>4</v>
      </c>
      <c r="H224" s="71">
        <v>2018</v>
      </c>
      <c r="I224" s="71">
        <v>2020</v>
      </c>
      <c r="J224" s="86">
        <f t="shared" si="47"/>
        <v>5.5944</v>
      </c>
      <c r="K224" s="86">
        <v>0.6216</v>
      </c>
      <c r="L224" s="86">
        <v>2.4864</v>
      </c>
      <c r="M224" s="86">
        <v>2.4864</v>
      </c>
      <c r="N224" s="71"/>
      <c r="O224" s="71"/>
      <c r="P224" s="71">
        <f>4*0.0018*27</f>
        <v>0.1944</v>
      </c>
      <c r="Q224" s="71">
        <f>4*0.05*3+4*0.6*2</f>
        <v>5.4</v>
      </c>
      <c r="R224" s="71"/>
      <c r="S224" s="86" t="s">
        <v>2901</v>
      </c>
      <c r="T224" s="86" t="s">
        <v>2906</v>
      </c>
      <c r="U224" s="89" t="s">
        <v>195</v>
      </c>
      <c r="V224" s="56" t="s">
        <v>2885</v>
      </c>
      <c r="W224" s="61" t="str">
        <f t="shared" si="52"/>
        <v>Y</v>
      </c>
    </row>
    <row r="225" ht="18" customHeight="1" spans="1:23">
      <c r="A225" s="71"/>
      <c r="B225" s="73" t="s">
        <v>2892</v>
      </c>
      <c r="C225" s="71" t="s">
        <v>320</v>
      </c>
      <c r="D225" s="71" t="s">
        <v>147</v>
      </c>
      <c r="E225" s="71">
        <v>1</v>
      </c>
      <c r="F225" s="71">
        <v>1</v>
      </c>
      <c r="G225" s="71">
        <v>1</v>
      </c>
      <c r="H225" s="71">
        <v>2018</v>
      </c>
      <c r="I225" s="71">
        <v>2020</v>
      </c>
      <c r="J225" s="86">
        <f t="shared" si="47"/>
        <v>1.3986</v>
      </c>
      <c r="K225" s="86">
        <f t="shared" ref="K225:K228" si="59">E225*0.1554</f>
        <v>0.1554</v>
      </c>
      <c r="L225" s="86">
        <f t="shared" ref="L225:L228" si="60">E225*0.6216</f>
        <v>0.6216</v>
      </c>
      <c r="M225" s="86">
        <f t="shared" ref="M225:M228" si="61">L225</f>
        <v>0.6216</v>
      </c>
      <c r="N225" s="71"/>
      <c r="O225" s="71"/>
      <c r="P225" s="71"/>
      <c r="Q225" s="71"/>
      <c r="R225" s="71"/>
      <c r="S225" s="89"/>
      <c r="T225" s="89"/>
      <c r="U225" s="89"/>
      <c r="V225" s="56" t="s">
        <v>2885</v>
      </c>
      <c r="W225" s="61" t="str">
        <f t="shared" si="52"/>
        <v>N</v>
      </c>
    </row>
    <row r="226" ht="18" customHeight="1" spans="1:23">
      <c r="A226" s="71"/>
      <c r="B226" s="73" t="s">
        <v>2897</v>
      </c>
      <c r="C226" s="71" t="s">
        <v>320</v>
      </c>
      <c r="D226" s="71" t="s">
        <v>147</v>
      </c>
      <c r="E226" s="71">
        <v>1</v>
      </c>
      <c r="F226" s="71">
        <v>1</v>
      </c>
      <c r="G226" s="71">
        <v>1</v>
      </c>
      <c r="H226" s="71">
        <v>2018</v>
      </c>
      <c r="I226" s="71">
        <v>2020</v>
      </c>
      <c r="J226" s="86">
        <f t="shared" si="47"/>
        <v>1.3986</v>
      </c>
      <c r="K226" s="86">
        <f t="shared" si="59"/>
        <v>0.1554</v>
      </c>
      <c r="L226" s="86">
        <f t="shared" si="60"/>
        <v>0.6216</v>
      </c>
      <c r="M226" s="86">
        <f t="shared" si="61"/>
        <v>0.6216</v>
      </c>
      <c r="N226" s="71"/>
      <c r="O226" s="71"/>
      <c r="P226" s="71"/>
      <c r="Q226" s="71"/>
      <c r="R226" s="71"/>
      <c r="S226" s="89"/>
      <c r="T226" s="89"/>
      <c r="U226" s="89"/>
      <c r="V226" s="56" t="s">
        <v>2885</v>
      </c>
      <c r="W226" s="61" t="str">
        <f t="shared" si="52"/>
        <v>N</v>
      </c>
    </row>
    <row r="227" ht="18" customHeight="1" spans="1:23">
      <c r="A227" s="71"/>
      <c r="B227" s="73" t="s">
        <v>2898</v>
      </c>
      <c r="C227" s="71" t="s">
        <v>320</v>
      </c>
      <c r="D227" s="71" t="s">
        <v>147</v>
      </c>
      <c r="E227" s="71">
        <v>1</v>
      </c>
      <c r="F227" s="71">
        <v>1</v>
      </c>
      <c r="G227" s="71">
        <v>1</v>
      </c>
      <c r="H227" s="71">
        <v>2018</v>
      </c>
      <c r="I227" s="71">
        <v>2020</v>
      </c>
      <c r="J227" s="86">
        <f t="shared" si="47"/>
        <v>1.3986</v>
      </c>
      <c r="K227" s="86">
        <f t="shared" si="59"/>
        <v>0.1554</v>
      </c>
      <c r="L227" s="86">
        <f t="shared" si="60"/>
        <v>0.6216</v>
      </c>
      <c r="M227" s="86">
        <f t="shared" si="61"/>
        <v>0.6216</v>
      </c>
      <c r="N227" s="71"/>
      <c r="O227" s="71"/>
      <c r="P227" s="71"/>
      <c r="Q227" s="71"/>
      <c r="R227" s="71"/>
      <c r="S227" s="89"/>
      <c r="T227" s="89"/>
      <c r="U227" s="89"/>
      <c r="V227" s="56" t="s">
        <v>2885</v>
      </c>
      <c r="W227" s="61" t="str">
        <f t="shared" si="52"/>
        <v>N</v>
      </c>
    </row>
    <row r="228" ht="18" customHeight="1" spans="1:23">
      <c r="A228" s="71"/>
      <c r="B228" s="73" t="s">
        <v>2899</v>
      </c>
      <c r="C228" s="71" t="s">
        <v>320</v>
      </c>
      <c r="D228" s="71" t="s">
        <v>147</v>
      </c>
      <c r="E228" s="71">
        <v>1</v>
      </c>
      <c r="F228" s="71">
        <v>1</v>
      </c>
      <c r="G228" s="71">
        <v>1</v>
      </c>
      <c r="H228" s="71">
        <v>2018</v>
      </c>
      <c r="I228" s="71">
        <v>2020</v>
      </c>
      <c r="J228" s="86">
        <f t="shared" si="47"/>
        <v>1.3986</v>
      </c>
      <c r="K228" s="86">
        <f t="shared" si="59"/>
        <v>0.1554</v>
      </c>
      <c r="L228" s="86">
        <f t="shared" si="60"/>
        <v>0.6216</v>
      </c>
      <c r="M228" s="86">
        <f t="shared" si="61"/>
        <v>0.6216</v>
      </c>
      <c r="N228" s="71"/>
      <c r="O228" s="71"/>
      <c r="P228" s="71"/>
      <c r="Q228" s="71"/>
      <c r="R228" s="71"/>
      <c r="S228" s="89"/>
      <c r="T228" s="89"/>
      <c r="U228" s="89"/>
      <c r="V228" s="56" t="s">
        <v>2885</v>
      </c>
      <c r="W228" s="61" t="str">
        <f t="shared" si="52"/>
        <v>N</v>
      </c>
    </row>
    <row r="229" ht="24" customHeight="1" spans="1:23">
      <c r="A229" s="71"/>
      <c r="B229" s="73" t="s">
        <v>2908</v>
      </c>
      <c r="C229" s="71" t="s">
        <v>320</v>
      </c>
      <c r="D229" s="71" t="s">
        <v>147</v>
      </c>
      <c r="E229" s="71">
        <v>7</v>
      </c>
      <c r="F229" s="71">
        <v>7</v>
      </c>
      <c r="G229" s="71">
        <v>7</v>
      </c>
      <c r="H229" s="71">
        <v>2018</v>
      </c>
      <c r="I229" s="71">
        <v>2020</v>
      </c>
      <c r="J229" s="86">
        <f t="shared" si="47"/>
        <v>9.7902</v>
      </c>
      <c r="K229" s="86">
        <v>1.0878</v>
      </c>
      <c r="L229" s="86">
        <v>4.3512</v>
      </c>
      <c r="M229" s="86">
        <v>4.3512</v>
      </c>
      <c r="N229" s="71"/>
      <c r="O229" s="71"/>
      <c r="P229" s="71">
        <f>0.0018*27*7</f>
        <v>0.3402</v>
      </c>
      <c r="Q229" s="71">
        <v>9.45</v>
      </c>
      <c r="R229" s="71"/>
      <c r="S229" s="86" t="s">
        <v>2901</v>
      </c>
      <c r="T229" s="86" t="s">
        <v>2906</v>
      </c>
      <c r="U229" s="89" t="s">
        <v>195</v>
      </c>
      <c r="V229" s="56" t="s">
        <v>2885</v>
      </c>
      <c r="W229" s="61" t="str">
        <f t="shared" si="52"/>
        <v>Y</v>
      </c>
    </row>
    <row r="230" ht="17.1" customHeight="1" spans="1:23">
      <c r="A230" s="71"/>
      <c r="B230" s="73" t="s">
        <v>2892</v>
      </c>
      <c r="C230" s="71" t="s">
        <v>320</v>
      </c>
      <c r="D230" s="71" t="s">
        <v>147</v>
      </c>
      <c r="E230" s="71">
        <v>1</v>
      </c>
      <c r="F230" s="71">
        <v>1</v>
      </c>
      <c r="G230" s="71">
        <v>1</v>
      </c>
      <c r="H230" s="71">
        <v>2018</v>
      </c>
      <c r="I230" s="71">
        <v>2020</v>
      </c>
      <c r="J230" s="86">
        <f t="shared" si="47"/>
        <v>1.3986</v>
      </c>
      <c r="K230" s="86">
        <f t="shared" ref="K230:K236" si="62">0.15+0.0018*3*E230</f>
        <v>0.1554</v>
      </c>
      <c r="L230" s="86">
        <f t="shared" ref="L230:L236" si="63">0.6+0.0018*12*E230</f>
        <v>0.6216</v>
      </c>
      <c r="M230" s="86">
        <f t="shared" ref="M230:M236" si="64">0.6+0.0018*12*F230</f>
        <v>0.6216</v>
      </c>
      <c r="N230" s="71"/>
      <c r="O230" s="71"/>
      <c r="P230" s="71"/>
      <c r="Q230" s="71"/>
      <c r="R230" s="71"/>
      <c r="S230" s="86"/>
      <c r="T230" s="86"/>
      <c r="U230" s="89"/>
      <c r="V230" s="56" t="s">
        <v>2885</v>
      </c>
      <c r="W230" s="61" t="str">
        <f t="shared" si="52"/>
        <v>N</v>
      </c>
    </row>
    <row r="231" ht="17.1" customHeight="1" spans="1:23">
      <c r="A231" s="71"/>
      <c r="B231" s="73" t="s">
        <v>2897</v>
      </c>
      <c r="C231" s="71" t="s">
        <v>320</v>
      </c>
      <c r="D231" s="71" t="s">
        <v>147</v>
      </c>
      <c r="E231" s="71">
        <v>1</v>
      </c>
      <c r="F231" s="71">
        <v>1</v>
      </c>
      <c r="G231" s="71">
        <v>1</v>
      </c>
      <c r="H231" s="71">
        <v>2018</v>
      </c>
      <c r="I231" s="71">
        <v>2020</v>
      </c>
      <c r="J231" s="86">
        <f t="shared" si="47"/>
        <v>1.3986</v>
      </c>
      <c r="K231" s="86">
        <f t="shared" si="62"/>
        <v>0.1554</v>
      </c>
      <c r="L231" s="86">
        <f t="shared" si="63"/>
        <v>0.6216</v>
      </c>
      <c r="M231" s="86">
        <f t="shared" si="64"/>
        <v>0.6216</v>
      </c>
      <c r="N231" s="71"/>
      <c r="O231" s="71"/>
      <c r="P231" s="71"/>
      <c r="Q231" s="71"/>
      <c r="R231" s="71"/>
      <c r="S231" s="86"/>
      <c r="T231" s="86"/>
      <c r="U231" s="89"/>
      <c r="V231" s="56" t="s">
        <v>2885</v>
      </c>
      <c r="W231" s="61" t="str">
        <f t="shared" si="52"/>
        <v>N</v>
      </c>
    </row>
    <row r="232" ht="17.1" customHeight="1" spans="1:23">
      <c r="A232" s="71"/>
      <c r="B232" s="73" t="s">
        <v>2893</v>
      </c>
      <c r="C232" s="71" t="s">
        <v>320</v>
      </c>
      <c r="D232" s="71" t="s">
        <v>147</v>
      </c>
      <c r="E232" s="71">
        <v>1</v>
      </c>
      <c r="F232" s="71">
        <v>1</v>
      </c>
      <c r="G232" s="71">
        <v>1</v>
      </c>
      <c r="H232" s="71">
        <v>2018</v>
      </c>
      <c r="I232" s="71">
        <v>2020</v>
      </c>
      <c r="J232" s="86">
        <f t="shared" si="47"/>
        <v>1.3986</v>
      </c>
      <c r="K232" s="86">
        <f t="shared" si="62"/>
        <v>0.1554</v>
      </c>
      <c r="L232" s="86">
        <f t="shared" si="63"/>
        <v>0.6216</v>
      </c>
      <c r="M232" s="86">
        <f t="shared" si="64"/>
        <v>0.6216</v>
      </c>
      <c r="N232" s="71"/>
      <c r="O232" s="71"/>
      <c r="P232" s="71"/>
      <c r="Q232" s="71"/>
      <c r="R232" s="71"/>
      <c r="S232" s="86"/>
      <c r="T232" s="86"/>
      <c r="U232" s="89"/>
      <c r="V232" s="56" t="s">
        <v>2885</v>
      </c>
      <c r="W232" s="61" t="str">
        <f t="shared" si="52"/>
        <v>N</v>
      </c>
    </row>
    <row r="233" ht="17.1" customHeight="1" spans="1:23">
      <c r="A233" s="71"/>
      <c r="B233" s="73" t="s">
        <v>2898</v>
      </c>
      <c r="C233" s="71" t="s">
        <v>320</v>
      </c>
      <c r="D233" s="71" t="s">
        <v>147</v>
      </c>
      <c r="E233" s="71">
        <v>1</v>
      </c>
      <c r="F233" s="71">
        <v>1</v>
      </c>
      <c r="G233" s="71">
        <v>1</v>
      </c>
      <c r="H233" s="71">
        <v>2018</v>
      </c>
      <c r="I233" s="71">
        <v>2020</v>
      </c>
      <c r="J233" s="86">
        <f t="shared" si="47"/>
        <v>1.3986</v>
      </c>
      <c r="K233" s="86">
        <f t="shared" si="62"/>
        <v>0.1554</v>
      </c>
      <c r="L233" s="86">
        <f t="shared" si="63"/>
        <v>0.6216</v>
      </c>
      <c r="M233" s="86">
        <f t="shared" si="64"/>
        <v>0.6216</v>
      </c>
      <c r="N233" s="71"/>
      <c r="O233" s="71"/>
      <c r="P233" s="71"/>
      <c r="Q233" s="71"/>
      <c r="R233" s="71"/>
      <c r="S233" s="86"/>
      <c r="T233" s="86"/>
      <c r="U233" s="89"/>
      <c r="V233" s="56" t="s">
        <v>2885</v>
      </c>
      <c r="W233" s="61" t="str">
        <f t="shared" si="52"/>
        <v>N</v>
      </c>
    </row>
    <row r="234" ht="17.1" customHeight="1" spans="1:23">
      <c r="A234" s="71"/>
      <c r="B234" s="73" t="s">
        <v>2894</v>
      </c>
      <c r="C234" s="71" t="s">
        <v>320</v>
      </c>
      <c r="D234" s="71" t="s">
        <v>147</v>
      </c>
      <c r="E234" s="71">
        <v>1</v>
      </c>
      <c r="F234" s="71">
        <v>1</v>
      </c>
      <c r="G234" s="71">
        <v>1</v>
      </c>
      <c r="H234" s="71">
        <v>2018</v>
      </c>
      <c r="I234" s="71">
        <v>2020</v>
      </c>
      <c r="J234" s="86">
        <f t="shared" si="47"/>
        <v>1.3986</v>
      </c>
      <c r="K234" s="86">
        <f t="shared" si="62"/>
        <v>0.1554</v>
      </c>
      <c r="L234" s="86">
        <f t="shared" si="63"/>
        <v>0.6216</v>
      </c>
      <c r="M234" s="86">
        <f t="shared" si="64"/>
        <v>0.6216</v>
      </c>
      <c r="N234" s="71"/>
      <c r="O234" s="71"/>
      <c r="P234" s="71"/>
      <c r="Q234" s="71"/>
      <c r="R234" s="71"/>
      <c r="S234" s="86"/>
      <c r="T234" s="86"/>
      <c r="U234" s="89"/>
      <c r="V234" s="56" t="s">
        <v>2885</v>
      </c>
      <c r="W234" s="61" t="str">
        <f t="shared" si="52"/>
        <v>N</v>
      </c>
    </row>
    <row r="235" ht="17.1" customHeight="1" spans="1:23">
      <c r="A235" s="71"/>
      <c r="B235" s="73" t="s">
        <v>2899</v>
      </c>
      <c r="C235" s="71" t="s">
        <v>320</v>
      </c>
      <c r="D235" s="71" t="s">
        <v>147</v>
      </c>
      <c r="E235" s="71">
        <v>1</v>
      </c>
      <c r="F235" s="71">
        <v>1</v>
      </c>
      <c r="G235" s="71">
        <v>1</v>
      </c>
      <c r="H235" s="71">
        <v>2018</v>
      </c>
      <c r="I235" s="71">
        <v>2020</v>
      </c>
      <c r="J235" s="86">
        <f t="shared" si="47"/>
        <v>1.3986</v>
      </c>
      <c r="K235" s="86">
        <f t="shared" si="62"/>
        <v>0.1554</v>
      </c>
      <c r="L235" s="86">
        <f t="shared" si="63"/>
        <v>0.6216</v>
      </c>
      <c r="M235" s="86">
        <f t="shared" si="64"/>
        <v>0.6216</v>
      </c>
      <c r="N235" s="71"/>
      <c r="O235" s="71"/>
      <c r="P235" s="71"/>
      <c r="Q235" s="71"/>
      <c r="R235" s="71"/>
      <c r="S235" s="86"/>
      <c r="T235" s="86"/>
      <c r="U235" s="89"/>
      <c r="V235" s="56" t="s">
        <v>2885</v>
      </c>
      <c r="W235" s="61" t="str">
        <f t="shared" si="52"/>
        <v>N</v>
      </c>
    </row>
    <row r="236" ht="17.1" customHeight="1" spans="1:23">
      <c r="A236" s="71"/>
      <c r="B236" s="73" t="s">
        <v>2900</v>
      </c>
      <c r="C236" s="71" t="s">
        <v>320</v>
      </c>
      <c r="D236" s="71" t="s">
        <v>147</v>
      </c>
      <c r="E236" s="71">
        <v>1</v>
      </c>
      <c r="F236" s="71">
        <v>1</v>
      </c>
      <c r="G236" s="71">
        <v>1</v>
      </c>
      <c r="H236" s="71">
        <v>2018</v>
      </c>
      <c r="I236" s="71">
        <v>2020</v>
      </c>
      <c r="J236" s="86">
        <f t="shared" si="47"/>
        <v>1.3986</v>
      </c>
      <c r="K236" s="86">
        <f t="shared" si="62"/>
        <v>0.1554</v>
      </c>
      <c r="L236" s="86">
        <f t="shared" si="63"/>
        <v>0.6216</v>
      </c>
      <c r="M236" s="86">
        <f t="shared" si="64"/>
        <v>0.6216</v>
      </c>
      <c r="N236" s="71"/>
      <c r="O236" s="71"/>
      <c r="P236" s="71"/>
      <c r="Q236" s="71"/>
      <c r="R236" s="71"/>
      <c r="S236" s="86"/>
      <c r="T236" s="86"/>
      <c r="U236" s="89"/>
      <c r="V236" s="56" t="s">
        <v>2885</v>
      </c>
      <c r="W236" s="61" t="str">
        <f t="shared" si="52"/>
        <v>N</v>
      </c>
    </row>
    <row r="237" ht="30.95" customHeight="1" spans="1:23">
      <c r="A237" s="71"/>
      <c r="B237" s="73" t="s">
        <v>2909</v>
      </c>
      <c r="C237" s="71" t="s">
        <v>320</v>
      </c>
      <c r="D237" s="71" t="s">
        <v>147</v>
      </c>
      <c r="E237" s="71">
        <v>7</v>
      </c>
      <c r="F237" s="71">
        <v>7</v>
      </c>
      <c r="G237" s="71">
        <v>7</v>
      </c>
      <c r="H237" s="71">
        <v>2018</v>
      </c>
      <c r="I237" s="71">
        <v>2020</v>
      </c>
      <c r="J237" s="86">
        <f t="shared" si="47"/>
        <v>9.7902</v>
      </c>
      <c r="K237" s="86">
        <v>1.0878</v>
      </c>
      <c r="L237" s="86">
        <v>4.3512</v>
      </c>
      <c r="M237" s="86">
        <v>4.3512</v>
      </c>
      <c r="N237" s="71"/>
      <c r="O237" s="71"/>
      <c r="P237" s="71">
        <f>0.0018*27*7</f>
        <v>0.3402</v>
      </c>
      <c r="Q237" s="71">
        <v>9.45</v>
      </c>
      <c r="R237" s="71"/>
      <c r="S237" s="86" t="s">
        <v>2901</v>
      </c>
      <c r="T237" s="86" t="s">
        <v>2906</v>
      </c>
      <c r="U237" s="89" t="s">
        <v>195</v>
      </c>
      <c r="V237" s="56" t="s">
        <v>2885</v>
      </c>
      <c r="W237" s="61" t="str">
        <f t="shared" si="52"/>
        <v>Y</v>
      </c>
    </row>
    <row r="238" ht="17.1" customHeight="1" spans="1:23">
      <c r="A238" s="71"/>
      <c r="B238" s="73" t="s">
        <v>2892</v>
      </c>
      <c r="C238" s="71" t="s">
        <v>320</v>
      </c>
      <c r="D238" s="71" t="s">
        <v>147</v>
      </c>
      <c r="E238" s="71">
        <v>1</v>
      </c>
      <c r="F238" s="71">
        <v>1</v>
      </c>
      <c r="G238" s="71">
        <v>1</v>
      </c>
      <c r="H238" s="71">
        <v>2018</v>
      </c>
      <c r="I238" s="71">
        <v>2020</v>
      </c>
      <c r="J238" s="86">
        <f t="shared" si="47"/>
        <v>1.3986</v>
      </c>
      <c r="K238" s="86">
        <v>0.1554</v>
      </c>
      <c r="L238" s="86">
        <f t="shared" ref="L238:L243" si="65">E238*0.6216</f>
        <v>0.6216</v>
      </c>
      <c r="M238" s="86">
        <f t="shared" ref="M238:M243" si="66">F238*0.6216</f>
        <v>0.6216</v>
      </c>
      <c r="N238" s="71"/>
      <c r="O238" s="71"/>
      <c r="P238" s="71"/>
      <c r="Q238" s="71"/>
      <c r="R238" s="71"/>
      <c r="S238" s="86"/>
      <c r="T238" s="86"/>
      <c r="U238" s="89"/>
      <c r="V238" s="56" t="s">
        <v>2885</v>
      </c>
      <c r="W238" s="61" t="str">
        <f t="shared" si="52"/>
        <v>N</v>
      </c>
    </row>
    <row r="239" ht="17.1" customHeight="1" spans="1:23">
      <c r="A239" s="71"/>
      <c r="B239" s="73" t="s">
        <v>2897</v>
      </c>
      <c r="C239" s="71" t="s">
        <v>320</v>
      </c>
      <c r="D239" s="71" t="s">
        <v>147</v>
      </c>
      <c r="E239" s="71">
        <v>1</v>
      </c>
      <c r="F239" s="71">
        <v>1</v>
      </c>
      <c r="G239" s="71">
        <v>1</v>
      </c>
      <c r="H239" s="71">
        <v>2018</v>
      </c>
      <c r="I239" s="71">
        <v>2020</v>
      </c>
      <c r="J239" s="86">
        <f t="shared" si="47"/>
        <v>1.3986</v>
      </c>
      <c r="K239" s="86">
        <v>0.1554</v>
      </c>
      <c r="L239" s="86">
        <f t="shared" si="65"/>
        <v>0.6216</v>
      </c>
      <c r="M239" s="86">
        <f t="shared" si="66"/>
        <v>0.6216</v>
      </c>
      <c r="N239" s="71"/>
      <c r="O239" s="71"/>
      <c r="P239" s="71"/>
      <c r="Q239" s="71"/>
      <c r="R239" s="71"/>
      <c r="S239" s="86"/>
      <c r="T239" s="86"/>
      <c r="U239" s="89"/>
      <c r="V239" s="56" t="s">
        <v>2885</v>
      </c>
      <c r="W239" s="61" t="str">
        <f t="shared" si="52"/>
        <v>N</v>
      </c>
    </row>
    <row r="240" ht="17.1" customHeight="1" spans="1:23">
      <c r="A240" s="71"/>
      <c r="B240" s="73" t="s">
        <v>2893</v>
      </c>
      <c r="C240" s="71" t="s">
        <v>320</v>
      </c>
      <c r="D240" s="71" t="s">
        <v>147</v>
      </c>
      <c r="E240" s="71">
        <v>2</v>
      </c>
      <c r="F240" s="71">
        <v>2</v>
      </c>
      <c r="G240" s="71">
        <v>2</v>
      </c>
      <c r="H240" s="71">
        <v>2018</v>
      </c>
      <c r="I240" s="71">
        <v>2020</v>
      </c>
      <c r="J240" s="86">
        <f t="shared" si="47"/>
        <v>2.7972</v>
      </c>
      <c r="K240" s="86">
        <f>0.3+2*3*0.0018</f>
        <v>0.3108</v>
      </c>
      <c r="L240" s="86">
        <f t="shared" si="65"/>
        <v>1.2432</v>
      </c>
      <c r="M240" s="86">
        <f t="shared" si="66"/>
        <v>1.2432</v>
      </c>
      <c r="N240" s="71"/>
      <c r="O240" s="71"/>
      <c r="P240" s="71"/>
      <c r="Q240" s="71"/>
      <c r="R240" s="71"/>
      <c r="S240" s="86"/>
      <c r="T240" s="86"/>
      <c r="U240" s="89"/>
      <c r="V240" s="56" t="s">
        <v>2885</v>
      </c>
      <c r="W240" s="61" t="str">
        <f t="shared" si="52"/>
        <v>N</v>
      </c>
    </row>
    <row r="241" ht="17.1" customHeight="1" spans="1:23">
      <c r="A241" s="71"/>
      <c r="B241" s="73" t="s">
        <v>2898</v>
      </c>
      <c r="C241" s="71" t="s">
        <v>320</v>
      </c>
      <c r="D241" s="71" t="s">
        <v>147</v>
      </c>
      <c r="E241" s="71">
        <v>1</v>
      </c>
      <c r="F241" s="71">
        <v>1</v>
      </c>
      <c r="G241" s="71">
        <v>1</v>
      </c>
      <c r="H241" s="71">
        <v>2018</v>
      </c>
      <c r="I241" s="71">
        <v>2020</v>
      </c>
      <c r="J241" s="86">
        <f t="shared" si="47"/>
        <v>1.3986</v>
      </c>
      <c r="K241" s="86">
        <v>0.1554</v>
      </c>
      <c r="L241" s="86">
        <f t="shared" si="65"/>
        <v>0.6216</v>
      </c>
      <c r="M241" s="86">
        <f t="shared" si="66"/>
        <v>0.6216</v>
      </c>
      <c r="N241" s="71"/>
      <c r="O241" s="71"/>
      <c r="P241" s="71"/>
      <c r="Q241" s="71"/>
      <c r="R241" s="71"/>
      <c r="S241" s="86"/>
      <c r="T241" s="86"/>
      <c r="U241" s="89"/>
      <c r="V241" s="56" t="s">
        <v>2885</v>
      </c>
      <c r="W241" s="61" t="str">
        <f t="shared" si="52"/>
        <v>N</v>
      </c>
    </row>
    <row r="242" ht="17.1" customHeight="1" spans="1:23">
      <c r="A242" s="71"/>
      <c r="B242" s="73" t="s">
        <v>2894</v>
      </c>
      <c r="C242" s="71" t="s">
        <v>320</v>
      </c>
      <c r="D242" s="71" t="s">
        <v>147</v>
      </c>
      <c r="E242" s="71">
        <v>1</v>
      </c>
      <c r="F242" s="71">
        <v>1</v>
      </c>
      <c r="G242" s="71">
        <v>1</v>
      </c>
      <c r="H242" s="71">
        <v>2018</v>
      </c>
      <c r="I242" s="71">
        <v>2020</v>
      </c>
      <c r="J242" s="86">
        <f t="shared" si="47"/>
        <v>1.3986</v>
      </c>
      <c r="K242" s="86">
        <v>0.1554</v>
      </c>
      <c r="L242" s="86">
        <f t="shared" si="65"/>
        <v>0.6216</v>
      </c>
      <c r="M242" s="86">
        <f t="shared" si="66"/>
        <v>0.6216</v>
      </c>
      <c r="N242" s="71"/>
      <c r="O242" s="71"/>
      <c r="P242" s="71"/>
      <c r="Q242" s="71"/>
      <c r="R242" s="71"/>
      <c r="S242" s="86"/>
      <c r="T242" s="86"/>
      <c r="U242" s="89"/>
      <c r="V242" s="56" t="s">
        <v>2885</v>
      </c>
      <c r="W242" s="61" t="str">
        <f t="shared" si="52"/>
        <v>N</v>
      </c>
    </row>
    <row r="243" ht="17.1" customHeight="1" spans="1:23">
      <c r="A243" s="71"/>
      <c r="B243" s="73" t="s">
        <v>2899</v>
      </c>
      <c r="C243" s="71" t="s">
        <v>320</v>
      </c>
      <c r="D243" s="71" t="s">
        <v>147</v>
      </c>
      <c r="E243" s="71">
        <v>1</v>
      </c>
      <c r="F243" s="71">
        <v>1</v>
      </c>
      <c r="G243" s="71">
        <v>1</v>
      </c>
      <c r="H243" s="71">
        <v>2018</v>
      </c>
      <c r="I243" s="71">
        <v>2020</v>
      </c>
      <c r="J243" s="86">
        <f t="shared" ref="J243:J259" si="67">K243+L243+M243</f>
        <v>1.3986</v>
      </c>
      <c r="K243" s="86">
        <v>0.1554</v>
      </c>
      <c r="L243" s="86">
        <f t="shared" si="65"/>
        <v>0.6216</v>
      </c>
      <c r="M243" s="86">
        <f t="shared" si="66"/>
        <v>0.6216</v>
      </c>
      <c r="N243" s="71"/>
      <c r="O243" s="71"/>
      <c r="P243" s="71"/>
      <c r="Q243" s="71"/>
      <c r="R243" s="71"/>
      <c r="S243" s="86"/>
      <c r="T243" s="86"/>
      <c r="U243" s="89"/>
      <c r="V243" s="56" t="s">
        <v>2885</v>
      </c>
      <c r="W243" s="61" t="str">
        <f t="shared" si="52"/>
        <v>N</v>
      </c>
    </row>
    <row r="244" ht="21" customHeight="1" spans="1:23">
      <c r="A244" s="71"/>
      <c r="B244" s="73" t="s">
        <v>2259</v>
      </c>
      <c r="C244" s="71" t="s">
        <v>320</v>
      </c>
      <c r="D244" s="71" t="s">
        <v>147</v>
      </c>
      <c r="E244" s="71">
        <v>7</v>
      </c>
      <c r="F244" s="71">
        <v>7</v>
      </c>
      <c r="G244" s="71">
        <v>7</v>
      </c>
      <c r="H244" s="71">
        <v>2018</v>
      </c>
      <c r="I244" s="71">
        <v>2020</v>
      </c>
      <c r="J244" s="86">
        <f t="shared" si="67"/>
        <v>9.7902</v>
      </c>
      <c r="K244" s="86">
        <v>1.0878</v>
      </c>
      <c r="L244" s="86">
        <v>4.3512</v>
      </c>
      <c r="M244" s="86">
        <v>4.3512</v>
      </c>
      <c r="N244" s="71"/>
      <c r="O244" s="71"/>
      <c r="P244" s="71">
        <f>0.0018*27*7</f>
        <v>0.3402</v>
      </c>
      <c r="Q244" s="71">
        <v>9.45</v>
      </c>
      <c r="R244" s="71"/>
      <c r="S244" s="86" t="s">
        <v>2901</v>
      </c>
      <c r="T244" s="86" t="s">
        <v>2906</v>
      </c>
      <c r="U244" s="89" t="s">
        <v>195</v>
      </c>
      <c r="V244" s="56" t="s">
        <v>2885</v>
      </c>
      <c r="W244" s="61" t="str">
        <f t="shared" si="52"/>
        <v>Y</v>
      </c>
    </row>
    <row r="245" ht="17.1" customHeight="1" spans="1:23">
      <c r="A245" s="71"/>
      <c r="B245" s="73" t="s">
        <v>2892</v>
      </c>
      <c r="C245" s="71" t="s">
        <v>320</v>
      </c>
      <c r="D245" s="71" t="s">
        <v>147</v>
      </c>
      <c r="E245" s="71">
        <v>1</v>
      </c>
      <c r="F245" s="71">
        <v>1</v>
      </c>
      <c r="G245" s="71">
        <v>1</v>
      </c>
      <c r="H245" s="71">
        <v>2018</v>
      </c>
      <c r="I245" s="71">
        <v>2020</v>
      </c>
      <c r="J245" s="86">
        <f t="shared" si="67"/>
        <v>1.3986</v>
      </c>
      <c r="K245" s="86">
        <v>0.1554</v>
      </c>
      <c r="L245" s="86">
        <f t="shared" ref="L245:L251" si="68">E245*0.6216</f>
        <v>0.6216</v>
      </c>
      <c r="M245" s="86">
        <f t="shared" ref="M245:M251" si="69">F245*0.6216</f>
        <v>0.6216</v>
      </c>
      <c r="N245" s="71"/>
      <c r="O245" s="71"/>
      <c r="P245" s="71"/>
      <c r="Q245" s="71"/>
      <c r="R245" s="71"/>
      <c r="S245" s="86"/>
      <c r="T245" s="86"/>
      <c r="U245" s="89"/>
      <c r="V245" s="56" t="s">
        <v>2885</v>
      </c>
      <c r="W245" s="61" t="str">
        <f t="shared" si="52"/>
        <v>N</v>
      </c>
    </row>
    <row r="246" ht="17.1" customHeight="1" spans="1:23">
      <c r="A246" s="71"/>
      <c r="B246" s="73" t="s">
        <v>2897</v>
      </c>
      <c r="C246" s="71" t="s">
        <v>320</v>
      </c>
      <c r="D246" s="71" t="s">
        <v>147</v>
      </c>
      <c r="E246" s="71">
        <v>1</v>
      </c>
      <c r="F246" s="71">
        <v>1</v>
      </c>
      <c r="G246" s="71">
        <v>1</v>
      </c>
      <c r="H246" s="71">
        <v>2018</v>
      </c>
      <c r="I246" s="71">
        <v>2020</v>
      </c>
      <c r="J246" s="86">
        <f t="shared" si="67"/>
        <v>1.3986</v>
      </c>
      <c r="K246" s="86">
        <v>0.1554</v>
      </c>
      <c r="L246" s="86">
        <f t="shared" si="68"/>
        <v>0.6216</v>
      </c>
      <c r="M246" s="86">
        <f t="shared" si="69"/>
        <v>0.6216</v>
      </c>
      <c r="N246" s="71"/>
      <c r="O246" s="71"/>
      <c r="P246" s="71"/>
      <c r="Q246" s="71"/>
      <c r="R246" s="71"/>
      <c r="S246" s="86"/>
      <c r="T246" s="86"/>
      <c r="U246" s="89"/>
      <c r="V246" s="56" t="s">
        <v>2885</v>
      </c>
      <c r="W246" s="61" t="str">
        <f t="shared" si="52"/>
        <v>N</v>
      </c>
    </row>
    <row r="247" ht="17.1" customHeight="1" spans="1:23">
      <c r="A247" s="71"/>
      <c r="B247" s="73" t="s">
        <v>2893</v>
      </c>
      <c r="C247" s="71" t="s">
        <v>320</v>
      </c>
      <c r="D247" s="71" t="s">
        <v>147</v>
      </c>
      <c r="E247" s="71">
        <v>1</v>
      </c>
      <c r="F247" s="71">
        <v>1</v>
      </c>
      <c r="G247" s="71">
        <v>1</v>
      </c>
      <c r="H247" s="71">
        <v>2018</v>
      </c>
      <c r="I247" s="71">
        <v>2020</v>
      </c>
      <c r="J247" s="86">
        <f t="shared" si="67"/>
        <v>1.3986</v>
      </c>
      <c r="K247" s="86">
        <v>0.1554</v>
      </c>
      <c r="L247" s="86">
        <f t="shared" si="68"/>
        <v>0.6216</v>
      </c>
      <c r="M247" s="86">
        <f t="shared" si="69"/>
        <v>0.6216</v>
      </c>
      <c r="N247" s="71"/>
      <c r="O247" s="71"/>
      <c r="P247" s="71"/>
      <c r="Q247" s="71"/>
      <c r="R247" s="71"/>
      <c r="S247" s="86"/>
      <c r="T247" s="86"/>
      <c r="U247" s="89"/>
      <c r="V247" s="56" t="s">
        <v>2885</v>
      </c>
      <c r="W247" s="61" t="str">
        <f t="shared" si="52"/>
        <v>N</v>
      </c>
    </row>
    <row r="248" ht="17.1" customHeight="1" spans="1:23">
      <c r="A248" s="71"/>
      <c r="B248" s="73" t="s">
        <v>2898</v>
      </c>
      <c r="C248" s="71" t="s">
        <v>320</v>
      </c>
      <c r="D248" s="71" t="s">
        <v>147</v>
      </c>
      <c r="E248" s="71">
        <v>1</v>
      </c>
      <c r="F248" s="71">
        <v>1</v>
      </c>
      <c r="G248" s="71">
        <v>1</v>
      </c>
      <c r="H248" s="71">
        <v>2018</v>
      </c>
      <c r="I248" s="71">
        <v>2020</v>
      </c>
      <c r="J248" s="86">
        <f t="shared" si="67"/>
        <v>1.3986</v>
      </c>
      <c r="K248" s="86">
        <v>0.1554</v>
      </c>
      <c r="L248" s="86">
        <f t="shared" si="68"/>
        <v>0.6216</v>
      </c>
      <c r="M248" s="86">
        <f t="shared" si="69"/>
        <v>0.6216</v>
      </c>
      <c r="N248" s="71"/>
      <c r="O248" s="71"/>
      <c r="P248" s="71"/>
      <c r="Q248" s="71"/>
      <c r="R248" s="71"/>
      <c r="S248" s="86"/>
      <c r="T248" s="86"/>
      <c r="U248" s="89"/>
      <c r="V248" s="56" t="s">
        <v>2885</v>
      </c>
      <c r="W248" s="61" t="str">
        <f t="shared" si="52"/>
        <v>N</v>
      </c>
    </row>
    <row r="249" ht="17.1" customHeight="1" spans="1:23">
      <c r="A249" s="71"/>
      <c r="B249" s="73" t="s">
        <v>2894</v>
      </c>
      <c r="C249" s="71" t="s">
        <v>320</v>
      </c>
      <c r="D249" s="71" t="s">
        <v>147</v>
      </c>
      <c r="E249" s="71">
        <v>1</v>
      </c>
      <c r="F249" s="71">
        <v>1</v>
      </c>
      <c r="G249" s="71">
        <v>1</v>
      </c>
      <c r="H249" s="71">
        <v>2018</v>
      </c>
      <c r="I249" s="71">
        <v>2020</v>
      </c>
      <c r="J249" s="86">
        <f t="shared" si="67"/>
        <v>1.3986</v>
      </c>
      <c r="K249" s="86">
        <v>0.1554</v>
      </c>
      <c r="L249" s="86">
        <f t="shared" si="68"/>
        <v>0.6216</v>
      </c>
      <c r="M249" s="86">
        <f t="shared" si="69"/>
        <v>0.6216</v>
      </c>
      <c r="N249" s="71"/>
      <c r="O249" s="71"/>
      <c r="P249" s="71"/>
      <c r="Q249" s="71"/>
      <c r="R249" s="71"/>
      <c r="S249" s="86"/>
      <c r="T249" s="86"/>
      <c r="U249" s="89"/>
      <c r="V249" s="56" t="s">
        <v>2885</v>
      </c>
      <c r="W249" s="61" t="str">
        <f t="shared" si="52"/>
        <v>N</v>
      </c>
    </row>
    <row r="250" ht="17.1" customHeight="1" spans="1:23">
      <c r="A250" s="71"/>
      <c r="B250" s="73" t="s">
        <v>2899</v>
      </c>
      <c r="C250" s="71" t="s">
        <v>320</v>
      </c>
      <c r="D250" s="71" t="s">
        <v>147</v>
      </c>
      <c r="E250" s="71">
        <v>1</v>
      </c>
      <c r="F250" s="71">
        <v>1</v>
      </c>
      <c r="G250" s="71">
        <v>1</v>
      </c>
      <c r="H250" s="71">
        <v>2018</v>
      </c>
      <c r="I250" s="71">
        <v>2020</v>
      </c>
      <c r="J250" s="86">
        <f t="shared" si="67"/>
        <v>1.3986</v>
      </c>
      <c r="K250" s="86">
        <v>0.1554</v>
      </c>
      <c r="L250" s="86">
        <f t="shared" si="68"/>
        <v>0.6216</v>
      </c>
      <c r="M250" s="86">
        <f t="shared" si="69"/>
        <v>0.6216</v>
      </c>
      <c r="N250" s="71"/>
      <c r="O250" s="71"/>
      <c r="P250" s="71"/>
      <c r="Q250" s="71"/>
      <c r="R250" s="71"/>
      <c r="S250" s="86"/>
      <c r="T250" s="86"/>
      <c r="U250" s="89"/>
      <c r="V250" s="56" t="s">
        <v>2885</v>
      </c>
      <c r="W250" s="61" t="str">
        <f t="shared" si="52"/>
        <v>N</v>
      </c>
    </row>
    <row r="251" ht="17.1" customHeight="1" spans="1:23">
      <c r="A251" s="71"/>
      <c r="B251" s="73" t="s">
        <v>2900</v>
      </c>
      <c r="C251" s="71" t="s">
        <v>320</v>
      </c>
      <c r="D251" s="71" t="s">
        <v>147</v>
      </c>
      <c r="E251" s="71">
        <v>1</v>
      </c>
      <c r="F251" s="71">
        <v>1</v>
      </c>
      <c r="G251" s="71">
        <v>1</v>
      </c>
      <c r="H251" s="71">
        <v>2018</v>
      </c>
      <c r="I251" s="71">
        <v>2020</v>
      </c>
      <c r="J251" s="86">
        <f t="shared" si="67"/>
        <v>1.3986</v>
      </c>
      <c r="K251" s="86">
        <v>0.1554</v>
      </c>
      <c r="L251" s="86">
        <f t="shared" si="68"/>
        <v>0.6216</v>
      </c>
      <c r="M251" s="86">
        <f t="shared" si="69"/>
        <v>0.6216</v>
      </c>
      <c r="N251" s="71"/>
      <c r="O251" s="71"/>
      <c r="P251" s="71"/>
      <c r="Q251" s="71"/>
      <c r="R251" s="71"/>
      <c r="S251" s="86"/>
      <c r="T251" s="86"/>
      <c r="U251" s="89"/>
      <c r="V251" s="56" t="s">
        <v>2885</v>
      </c>
      <c r="W251" s="61" t="str">
        <f t="shared" si="52"/>
        <v>N</v>
      </c>
    </row>
    <row r="252" ht="24.95" customHeight="1" spans="1:23">
      <c r="A252" s="71"/>
      <c r="B252" s="73" t="s">
        <v>1111</v>
      </c>
      <c r="C252" s="71" t="s">
        <v>320</v>
      </c>
      <c r="D252" s="71" t="s">
        <v>147</v>
      </c>
      <c r="E252" s="71">
        <v>7</v>
      </c>
      <c r="F252" s="71">
        <v>7</v>
      </c>
      <c r="G252" s="71">
        <v>7</v>
      </c>
      <c r="H252" s="71">
        <v>2018</v>
      </c>
      <c r="I252" s="71">
        <v>2020</v>
      </c>
      <c r="J252" s="86">
        <f t="shared" si="67"/>
        <v>9.7902</v>
      </c>
      <c r="K252" s="86">
        <v>1.0878</v>
      </c>
      <c r="L252" s="86">
        <v>4.3512</v>
      </c>
      <c r="M252" s="86">
        <v>4.3512</v>
      </c>
      <c r="N252" s="71"/>
      <c r="O252" s="71"/>
      <c r="P252" s="71">
        <f>0.0018*27*7</f>
        <v>0.3402</v>
      </c>
      <c r="Q252" s="71">
        <v>9.45</v>
      </c>
      <c r="R252" s="71"/>
      <c r="S252" s="86" t="s">
        <v>2901</v>
      </c>
      <c r="T252" s="86" t="s">
        <v>2906</v>
      </c>
      <c r="U252" s="89" t="s">
        <v>195</v>
      </c>
      <c r="V252" s="56" t="s">
        <v>2885</v>
      </c>
      <c r="W252" s="61" t="str">
        <f t="shared" si="52"/>
        <v>Y</v>
      </c>
    </row>
    <row r="253" ht="15.95" customHeight="1" spans="1:23">
      <c r="A253" s="71"/>
      <c r="B253" s="73" t="s">
        <v>2892</v>
      </c>
      <c r="C253" s="71" t="s">
        <v>320</v>
      </c>
      <c r="D253" s="71" t="s">
        <v>147</v>
      </c>
      <c r="E253" s="71">
        <v>1</v>
      </c>
      <c r="F253" s="71">
        <v>1</v>
      </c>
      <c r="G253" s="71">
        <v>1</v>
      </c>
      <c r="H253" s="71">
        <v>2018</v>
      </c>
      <c r="I253" s="71">
        <v>2020</v>
      </c>
      <c r="J253" s="86">
        <f t="shared" si="67"/>
        <v>1.3986</v>
      </c>
      <c r="K253" s="86">
        <v>0.1554</v>
      </c>
      <c r="L253" s="86">
        <f t="shared" ref="L253:L259" si="70">E253*0.6216</f>
        <v>0.6216</v>
      </c>
      <c r="M253" s="86">
        <f t="shared" ref="M253:M259" si="71">F253*0.6216</f>
        <v>0.6216</v>
      </c>
      <c r="N253" s="71"/>
      <c r="O253" s="71"/>
      <c r="P253" s="71"/>
      <c r="Q253" s="71"/>
      <c r="R253" s="71"/>
      <c r="S253" s="86"/>
      <c r="T253" s="86"/>
      <c r="U253" s="89"/>
      <c r="V253" s="56" t="s">
        <v>2885</v>
      </c>
      <c r="W253" s="61" t="str">
        <f t="shared" si="52"/>
        <v>N</v>
      </c>
    </row>
    <row r="254" ht="15.95" customHeight="1" spans="1:23">
      <c r="A254" s="71"/>
      <c r="B254" s="73" t="s">
        <v>2897</v>
      </c>
      <c r="C254" s="71" t="s">
        <v>320</v>
      </c>
      <c r="D254" s="71" t="s">
        <v>147</v>
      </c>
      <c r="E254" s="71">
        <v>1</v>
      </c>
      <c r="F254" s="71">
        <v>1</v>
      </c>
      <c r="G254" s="71">
        <v>1</v>
      </c>
      <c r="H254" s="71">
        <v>2018</v>
      </c>
      <c r="I254" s="71">
        <v>2020</v>
      </c>
      <c r="J254" s="86">
        <f t="shared" si="67"/>
        <v>1.3986</v>
      </c>
      <c r="K254" s="86">
        <v>0.1554</v>
      </c>
      <c r="L254" s="86">
        <f t="shared" si="70"/>
        <v>0.6216</v>
      </c>
      <c r="M254" s="86">
        <f t="shared" si="71"/>
        <v>0.6216</v>
      </c>
      <c r="N254" s="71"/>
      <c r="O254" s="71"/>
      <c r="P254" s="71"/>
      <c r="Q254" s="71"/>
      <c r="R254" s="71"/>
      <c r="S254" s="86"/>
      <c r="T254" s="86"/>
      <c r="U254" s="89"/>
      <c r="V254" s="56" t="s">
        <v>2885</v>
      </c>
      <c r="W254" s="61" t="str">
        <f t="shared" si="52"/>
        <v>N</v>
      </c>
    </row>
    <row r="255" ht="15.95" customHeight="1" spans="1:23">
      <c r="A255" s="71"/>
      <c r="B255" s="73" t="s">
        <v>2893</v>
      </c>
      <c r="C255" s="71" t="s">
        <v>320</v>
      </c>
      <c r="D255" s="71" t="s">
        <v>147</v>
      </c>
      <c r="E255" s="71">
        <v>1</v>
      </c>
      <c r="F255" s="71">
        <v>1</v>
      </c>
      <c r="G255" s="71">
        <v>1</v>
      </c>
      <c r="H255" s="71">
        <v>2018</v>
      </c>
      <c r="I255" s="71">
        <v>2020</v>
      </c>
      <c r="J255" s="86">
        <f t="shared" si="67"/>
        <v>1.3986</v>
      </c>
      <c r="K255" s="86">
        <v>0.1554</v>
      </c>
      <c r="L255" s="86">
        <f t="shared" si="70"/>
        <v>0.6216</v>
      </c>
      <c r="M255" s="86">
        <f t="shared" si="71"/>
        <v>0.6216</v>
      </c>
      <c r="N255" s="71"/>
      <c r="O255" s="71"/>
      <c r="P255" s="71"/>
      <c r="Q255" s="71"/>
      <c r="R255" s="71"/>
      <c r="S255" s="86"/>
      <c r="T255" s="86"/>
      <c r="U255" s="89"/>
      <c r="V255" s="56" t="s">
        <v>2885</v>
      </c>
      <c r="W255" s="61" t="str">
        <f t="shared" si="52"/>
        <v>N</v>
      </c>
    </row>
    <row r="256" ht="15.95" customHeight="1" spans="1:23">
      <c r="A256" s="71"/>
      <c r="B256" s="73" t="s">
        <v>2898</v>
      </c>
      <c r="C256" s="71" t="s">
        <v>320</v>
      </c>
      <c r="D256" s="71" t="s">
        <v>147</v>
      </c>
      <c r="E256" s="71">
        <v>1</v>
      </c>
      <c r="F256" s="71">
        <v>1</v>
      </c>
      <c r="G256" s="71">
        <v>1</v>
      </c>
      <c r="H256" s="71">
        <v>2018</v>
      </c>
      <c r="I256" s="71">
        <v>2020</v>
      </c>
      <c r="J256" s="86">
        <f t="shared" si="67"/>
        <v>1.3986</v>
      </c>
      <c r="K256" s="86">
        <v>0.1554</v>
      </c>
      <c r="L256" s="86">
        <f t="shared" si="70"/>
        <v>0.6216</v>
      </c>
      <c r="M256" s="86">
        <f t="shared" si="71"/>
        <v>0.6216</v>
      </c>
      <c r="N256" s="71"/>
      <c r="O256" s="71"/>
      <c r="P256" s="71"/>
      <c r="Q256" s="71"/>
      <c r="R256" s="71"/>
      <c r="S256" s="86"/>
      <c r="T256" s="86"/>
      <c r="U256" s="89"/>
      <c r="V256" s="56" t="s">
        <v>2885</v>
      </c>
      <c r="W256" s="61" t="str">
        <f t="shared" si="52"/>
        <v>N</v>
      </c>
    </row>
    <row r="257" ht="15.95" customHeight="1" spans="1:23">
      <c r="A257" s="71"/>
      <c r="B257" s="73" t="s">
        <v>2894</v>
      </c>
      <c r="C257" s="71" t="s">
        <v>320</v>
      </c>
      <c r="D257" s="71" t="s">
        <v>147</v>
      </c>
      <c r="E257" s="71">
        <v>1</v>
      </c>
      <c r="F257" s="71">
        <v>1</v>
      </c>
      <c r="G257" s="71">
        <v>1</v>
      </c>
      <c r="H257" s="71">
        <v>2018</v>
      </c>
      <c r="I257" s="71">
        <v>2020</v>
      </c>
      <c r="J257" s="86">
        <f t="shared" si="67"/>
        <v>1.3986</v>
      </c>
      <c r="K257" s="86">
        <v>0.1554</v>
      </c>
      <c r="L257" s="86">
        <f t="shared" si="70"/>
        <v>0.6216</v>
      </c>
      <c r="M257" s="86">
        <f t="shared" si="71"/>
        <v>0.6216</v>
      </c>
      <c r="N257" s="71"/>
      <c r="O257" s="71"/>
      <c r="P257" s="71"/>
      <c r="Q257" s="71"/>
      <c r="R257" s="71"/>
      <c r="S257" s="86"/>
      <c r="T257" s="86"/>
      <c r="U257" s="89"/>
      <c r="V257" s="56" t="s">
        <v>2885</v>
      </c>
      <c r="W257" s="61" t="str">
        <f t="shared" si="52"/>
        <v>N</v>
      </c>
    </row>
    <row r="258" ht="15.95" customHeight="1" spans="1:23">
      <c r="A258" s="71"/>
      <c r="B258" s="73" t="s">
        <v>2899</v>
      </c>
      <c r="C258" s="71" t="s">
        <v>320</v>
      </c>
      <c r="D258" s="71" t="s">
        <v>147</v>
      </c>
      <c r="E258" s="71">
        <v>1</v>
      </c>
      <c r="F258" s="71">
        <v>1</v>
      </c>
      <c r="G258" s="71">
        <v>1</v>
      </c>
      <c r="H258" s="71">
        <v>2018</v>
      </c>
      <c r="I258" s="71">
        <v>2020</v>
      </c>
      <c r="J258" s="86">
        <f t="shared" si="67"/>
        <v>1.3986</v>
      </c>
      <c r="K258" s="86">
        <v>0.1554</v>
      </c>
      <c r="L258" s="86">
        <f t="shared" si="70"/>
        <v>0.6216</v>
      </c>
      <c r="M258" s="86">
        <f t="shared" si="71"/>
        <v>0.6216</v>
      </c>
      <c r="N258" s="71"/>
      <c r="O258" s="71"/>
      <c r="P258" s="71"/>
      <c r="Q258" s="71"/>
      <c r="R258" s="71"/>
      <c r="S258" s="86"/>
      <c r="T258" s="86"/>
      <c r="U258" s="89"/>
      <c r="V258" s="56" t="s">
        <v>2885</v>
      </c>
      <c r="W258" s="61" t="str">
        <f t="shared" si="52"/>
        <v>N</v>
      </c>
    </row>
    <row r="259" ht="15.95" customHeight="1" spans="1:23">
      <c r="A259" s="71"/>
      <c r="B259" s="73" t="s">
        <v>2900</v>
      </c>
      <c r="C259" s="71" t="s">
        <v>320</v>
      </c>
      <c r="D259" s="71" t="s">
        <v>147</v>
      </c>
      <c r="E259" s="71">
        <v>1</v>
      </c>
      <c r="F259" s="71">
        <v>1</v>
      </c>
      <c r="G259" s="71">
        <v>1</v>
      </c>
      <c r="H259" s="71">
        <v>2018</v>
      </c>
      <c r="I259" s="71">
        <v>2020</v>
      </c>
      <c r="J259" s="86">
        <f t="shared" si="67"/>
        <v>1.3986</v>
      </c>
      <c r="K259" s="86">
        <v>0.1554</v>
      </c>
      <c r="L259" s="86">
        <f t="shared" si="70"/>
        <v>0.6216</v>
      </c>
      <c r="M259" s="86">
        <f t="shared" si="71"/>
        <v>0.6216</v>
      </c>
      <c r="N259" s="71"/>
      <c r="O259" s="71"/>
      <c r="P259" s="71"/>
      <c r="Q259" s="71"/>
      <c r="R259" s="71"/>
      <c r="S259" s="133"/>
      <c r="T259" s="86"/>
      <c r="U259" s="89"/>
      <c r="V259" s="56" t="s">
        <v>2885</v>
      </c>
      <c r="W259" s="61" t="str">
        <f t="shared" si="52"/>
        <v>N</v>
      </c>
    </row>
    <row r="260" ht="23.25" customHeight="1" spans="1:23">
      <c r="A260" s="71">
        <v>34</v>
      </c>
      <c r="B260" s="73" t="s">
        <v>857</v>
      </c>
      <c r="C260" s="71" t="s">
        <v>320</v>
      </c>
      <c r="D260" s="71" t="s">
        <v>320</v>
      </c>
      <c r="E260" s="71"/>
      <c r="F260" s="71">
        <f t="shared" ref="F260:R260" si="72">F261+F288+F321+F329+F340+F348</f>
        <v>3410</v>
      </c>
      <c r="G260" s="71">
        <f t="shared" si="72"/>
        <v>13096</v>
      </c>
      <c r="H260" s="71">
        <v>2018</v>
      </c>
      <c r="I260" s="71">
        <v>2020</v>
      </c>
      <c r="J260" s="86">
        <f t="shared" si="72"/>
        <v>3122.748926</v>
      </c>
      <c r="K260" s="86">
        <f t="shared" si="72"/>
        <v>1055.58</v>
      </c>
      <c r="L260" s="86">
        <f t="shared" si="72"/>
        <v>2017.55438</v>
      </c>
      <c r="M260" s="86">
        <f t="shared" si="72"/>
        <v>49.614546</v>
      </c>
      <c r="N260" s="86">
        <f t="shared" si="72"/>
        <v>10</v>
      </c>
      <c r="O260" s="86">
        <f t="shared" si="72"/>
        <v>3112.748926</v>
      </c>
      <c r="P260" s="86">
        <f t="shared" si="72"/>
        <v>0</v>
      </c>
      <c r="Q260" s="86">
        <f t="shared" si="72"/>
        <v>0</v>
      </c>
      <c r="R260" s="86">
        <f t="shared" si="72"/>
        <v>0</v>
      </c>
      <c r="S260" s="133" t="s">
        <v>2890</v>
      </c>
      <c r="T260" s="138" t="s">
        <v>2910</v>
      </c>
      <c r="U260" s="71" t="s">
        <v>320</v>
      </c>
      <c r="V260" s="56"/>
      <c r="W260" s="61" t="str">
        <f t="shared" si="52"/>
        <v>Y</v>
      </c>
    </row>
    <row r="261" ht="23.25" customHeight="1" spans="1:23">
      <c r="A261" s="71">
        <v>35</v>
      </c>
      <c r="B261" s="73" t="s">
        <v>42</v>
      </c>
      <c r="C261" s="71"/>
      <c r="D261" s="71"/>
      <c r="E261" s="71"/>
      <c r="F261" s="71"/>
      <c r="G261" s="71"/>
      <c r="H261" s="71"/>
      <c r="I261" s="71"/>
      <c r="J261" s="71"/>
      <c r="K261" s="71"/>
      <c r="L261" s="71"/>
      <c r="M261" s="71"/>
      <c r="N261" s="71"/>
      <c r="O261" s="71"/>
      <c r="P261" s="71"/>
      <c r="Q261" s="71"/>
      <c r="R261" s="71"/>
      <c r="S261" s="133" t="s">
        <v>2890</v>
      </c>
      <c r="T261" s="138" t="s">
        <v>2911</v>
      </c>
      <c r="U261" s="71" t="s">
        <v>43</v>
      </c>
      <c r="V261" s="56"/>
      <c r="W261" s="61" t="str">
        <f t="shared" si="52"/>
        <v>Y</v>
      </c>
    </row>
    <row r="262" ht="23.25" customHeight="1" spans="1:23">
      <c r="A262" s="71">
        <v>36</v>
      </c>
      <c r="B262" s="73" t="s">
        <v>1114</v>
      </c>
      <c r="C262" s="71" t="s">
        <v>52</v>
      </c>
      <c r="D262" s="71" t="s">
        <v>45</v>
      </c>
      <c r="E262" s="71">
        <f>E263+E271+E279+E285</f>
        <v>22845</v>
      </c>
      <c r="F262" s="71">
        <f>F263+F271+F279+F285</f>
        <v>2081</v>
      </c>
      <c r="G262" s="71">
        <f t="shared" ref="G262" si="73">G263+G271+G279+G285</f>
        <v>8584</v>
      </c>
      <c r="H262" s="71">
        <v>2018</v>
      </c>
      <c r="I262" s="71">
        <v>2020</v>
      </c>
      <c r="J262" s="71"/>
      <c r="K262" s="71"/>
      <c r="L262" s="71"/>
      <c r="M262" s="71"/>
      <c r="N262" s="71"/>
      <c r="O262" s="71"/>
      <c r="P262" s="71"/>
      <c r="Q262" s="71"/>
      <c r="R262" s="71"/>
      <c r="S262" s="86"/>
      <c r="T262" s="86"/>
      <c r="U262" s="71"/>
      <c r="V262" s="56"/>
      <c r="W262" s="61" t="str">
        <f t="shared" si="52"/>
        <v>Y</v>
      </c>
    </row>
    <row r="263" ht="23.25" customHeight="1" spans="1:23">
      <c r="A263" s="71"/>
      <c r="B263" s="71" t="s">
        <v>860</v>
      </c>
      <c r="C263" s="71" t="s">
        <v>52</v>
      </c>
      <c r="D263" s="71" t="s">
        <v>45</v>
      </c>
      <c r="E263" s="71">
        <v>6612</v>
      </c>
      <c r="F263" s="71">
        <f>SUM(F264:F270)</f>
        <v>840</v>
      </c>
      <c r="G263" s="71">
        <f>SUM(G264:G270)</f>
        <v>3401</v>
      </c>
      <c r="H263" s="71">
        <v>2018</v>
      </c>
      <c r="I263" s="71">
        <v>2020</v>
      </c>
      <c r="J263" s="71"/>
      <c r="K263" s="71"/>
      <c r="L263" s="71"/>
      <c r="M263" s="71"/>
      <c r="N263" s="71"/>
      <c r="O263" s="71"/>
      <c r="P263" s="71"/>
      <c r="Q263" s="71"/>
      <c r="R263" s="71"/>
      <c r="S263" s="86"/>
      <c r="T263" s="86"/>
      <c r="U263" s="71"/>
      <c r="V263" s="56"/>
      <c r="W263" s="61" t="str">
        <f t="shared" si="52"/>
        <v>Y</v>
      </c>
    </row>
    <row r="264" ht="14.1" customHeight="1" spans="1:23">
      <c r="A264" s="71"/>
      <c r="B264" s="73" t="s">
        <v>2892</v>
      </c>
      <c r="C264" s="71" t="s">
        <v>52</v>
      </c>
      <c r="D264" s="71" t="s">
        <v>45</v>
      </c>
      <c r="E264" s="71">
        <v>2370</v>
      </c>
      <c r="F264" s="71">
        <v>286</v>
      </c>
      <c r="G264" s="71">
        <v>1144</v>
      </c>
      <c r="H264" s="71">
        <v>2018</v>
      </c>
      <c r="I264" s="71">
        <v>2020</v>
      </c>
      <c r="J264" s="71"/>
      <c r="K264" s="71"/>
      <c r="L264" s="71"/>
      <c r="M264" s="71"/>
      <c r="N264" s="71"/>
      <c r="O264" s="71"/>
      <c r="P264" s="71"/>
      <c r="Q264" s="71"/>
      <c r="R264" s="71"/>
      <c r="S264" s="86"/>
      <c r="T264" s="86"/>
      <c r="U264" s="71"/>
      <c r="V264" s="56"/>
      <c r="W264" s="61" t="str">
        <f t="shared" ref="W264:W327" si="74">IF(SUM(N264:R264)=J264,"Y","N")</f>
        <v>Y</v>
      </c>
    </row>
    <row r="265" ht="14.1" customHeight="1" spans="1:23">
      <c r="A265" s="71"/>
      <c r="B265" s="73" t="s">
        <v>2897</v>
      </c>
      <c r="C265" s="71" t="s">
        <v>52</v>
      </c>
      <c r="D265" s="71" t="s">
        <v>45</v>
      </c>
      <c r="E265" s="71">
        <v>1216</v>
      </c>
      <c r="F265" s="71">
        <v>156</v>
      </c>
      <c r="G265" s="71">
        <v>646</v>
      </c>
      <c r="H265" s="71">
        <v>2018</v>
      </c>
      <c r="I265" s="71">
        <v>2020</v>
      </c>
      <c r="J265" s="71"/>
      <c r="K265" s="71"/>
      <c r="L265" s="71"/>
      <c r="M265" s="71"/>
      <c r="N265" s="71"/>
      <c r="O265" s="71"/>
      <c r="P265" s="71"/>
      <c r="Q265" s="71"/>
      <c r="R265" s="71"/>
      <c r="S265" s="86"/>
      <c r="T265" s="86"/>
      <c r="U265" s="71"/>
      <c r="V265" s="56"/>
      <c r="W265" s="61" t="str">
        <f t="shared" si="74"/>
        <v>Y</v>
      </c>
    </row>
    <row r="266" ht="14.1" customHeight="1" spans="1:23">
      <c r="A266" s="71"/>
      <c r="B266" s="73" t="s">
        <v>2893</v>
      </c>
      <c r="C266" s="71" t="s">
        <v>52</v>
      </c>
      <c r="D266" s="71" t="s">
        <v>45</v>
      </c>
      <c r="E266" s="71">
        <v>864</v>
      </c>
      <c r="F266" s="71">
        <v>58</v>
      </c>
      <c r="G266" s="71">
        <v>256</v>
      </c>
      <c r="H266" s="71">
        <v>2018</v>
      </c>
      <c r="I266" s="71">
        <v>2020</v>
      </c>
      <c r="J266" s="71"/>
      <c r="K266" s="71"/>
      <c r="L266" s="71"/>
      <c r="M266" s="71"/>
      <c r="N266" s="71"/>
      <c r="O266" s="71"/>
      <c r="P266" s="71"/>
      <c r="Q266" s="71"/>
      <c r="R266" s="71"/>
      <c r="S266" s="86"/>
      <c r="T266" s="86"/>
      <c r="U266" s="71"/>
      <c r="V266" s="56"/>
      <c r="W266" s="61" t="str">
        <f t="shared" si="74"/>
        <v>Y</v>
      </c>
    </row>
    <row r="267" ht="14.1" customHeight="1" spans="1:23">
      <c r="A267" s="71"/>
      <c r="B267" s="73" t="s">
        <v>2898</v>
      </c>
      <c r="C267" s="71" t="s">
        <v>52</v>
      </c>
      <c r="D267" s="71" t="s">
        <v>45</v>
      </c>
      <c r="E267" s="71">
        <v>725</v>
      </c>
      <c r="F267" s="71">
        <v>70</v>
      </c>
      <c r="G267" s="71">
        <v>266</v>
      </c>
      <c r="H267" s="71">
        <v>2018</v>
      </c>
      <c r="I267" s="71">
        <v>2020</v>
      </c>
      <c r="J267" s="71"/>
      <c r="K267" s="71"/>
      <c r="L267" s="71"/>
      <c r="M267" s="71"/>
      <c r="N267" s="71"/>
      <c r="O267" s="71"/>
      <c r="P267" s="71"/>
      <c r="Q267" s="71"/>
      <c r="R267" s="71"/>
      <c r="S267" s="86"/>
      <c r="T267" s="86"/>
      <c r="U267" s="71"/>
      <c r="V267" s="56"/>
      <c r="W267" s="61" t="str">
        <f t="shared" si="74"/>
        <v>Y</v>
      </c>
    </row>
    <row r="268" ht="14.1" customHeight="1" spans="1:23">
      <c r="A268" s="71"/>
      <c r="B268" s="73" t="s">
        <v>2894</v>
      </c>
      <c r="C268" s="71" t="s">
        <v>52</v>
      </c>
      <c r="D268" s="71" t="s">
        <v>45</v>
      </c>
      <c r="E268" s="71">
        <v>400</v>
      </c>
      <c r="F268" s="71">
        <v>118</v>
      </c>
      <c r="G268" s="71">
        <v>448</v>
      </c>
      <c r="H268" s="71">
        <v>2018</v>
      </c>
      <c r="I268" s="71">
        <v>2020</v>
      </c>
      <c r="J268" s="71"/>
      <c r="K268" s="71"/>
      <c r="L268" s="71"/>
      <c r="M268" s="71"/>
      <c r="N268" s="71"/>
      <c r="O268" s="71"/>
      <c r="P268" s="71"/>
      <c r="Q268" s="71"/>
      <c r="R268" s="71"/>
      <c r="S268" s="86"/>
      <c r="T268" s="86"/>
      <c r="U268" s="71"/>
      <c r="V268" s="56"/>
      <c r="W268" s="61" t="str">
        <f t="shared" si="74"/>
        <v>Y</v>
      </c>
    </row>
    <row r="269" ht="14.1" customHeight="1" spans="1:23">
      <c r="A269" s="71"/>
      <c r="B269" s="73" t="s">
        <v>2899</v>
      </c>
      <c r="C269" s="71" t="s">
        <v>52</v>
      </c>
      <c r="D269" s="71" t="s">
        <v>45</v>
      </c>
      <c r="E269" s="71">
        <v>915</v>
      </c>
      <c r="F269" s="71">
        <v>141</v>
      </c>
      <c r="G269" s="71">
        <v>602</v>
      </c>
      <c r="H269" s="71">
        <v>2018</v>
      </c>
      <c r="I269" s="71">
        <v>2020</v>
      </c>
      <c r="J269" s="71"/>
      <c r="K269" s="71"/>
      <c r="L269" s="71"/>
      <c r="M269" s="71"/>
      <c r="N269" s="71"/>
      <c r="O269" s="71"/>
      <c r="P269" s="71"/>
      <c r="Q269" s="71"/>
      <c r="R269" s="71"/>
      <c r="S269" s="86"/>
      <c r="T269" s="86"/>
      <c r="U269" s="71"/>
      <c r="V269" s="56"/>
      <c r="W269" s="61" t="str">
        <f t="shared" si="74"/>
        <v>Y</v>
      </c>
    </row>
    <row r="270" ht="14.1" customHeight="1" spans="1:23">
      <c r="A270" s="71"/>
      <c r="B270" s="73" t="s">
        <v>2900</v>
      </c>
      <c r="C270" s="71" t="s">
        <v>52</v>
      </c>
      <c r="D270" s="71" t="s">
        <v>45</v>
      </c>
      <c r="E270" s="71">
        <v>122</v>
      </c>
      <c r="F270" s="71">
        <v>11</v>
      </c>
      <c r="G270" s="71">
        <v>39</v>
      </c>
      <c r="H270" s="71">
        <v>2018</v>
      </c>
      <c r="I270" s="71">
        <v>2020</v>
      </c>
      <c r="J270" s="71"/>
      <c r="K270" s="71"/>
      <c r="L270" s="71"/>
      <c r="M270" s="71"/>
      <c r="N270" s="71"/>
      <c r="O270" s="71"/>
      <c r="P270" s="71"/>
      <c r="Q270" s="71"/>
      <c r="R270" s="71"/>
      <c r="S270" s="86"/>
      <c r="T270" s="86"/>
      <c r="U270" s="71"/>
      <c r="V270" s="56"/>
      <c r="W270" s="61" t="str">
        <f t="shared" si="74"/>
        <v>Y</v>
      </c>
    </row>
    <row r="271" ht="23.25" customHeight="1" spans="1:23">
      <c r="A271" s="71"/>
      <c r="B271" s="71" t="s">
        <v>861</v>
      </c>
      <c r="C271" s="71" t="s">
        <v>52</v>
      </c>
      <c r="D271" s="71" t="s">
        <v>45</v>
      </c>
      <c r="E271" s="71">
        <v>10310</v>
      </c>
      <c r="F271" s="71">
        <f>SUM(F272:F278)</f>
        <v>1029</v>
      </c>
      <c r="G271" s="71">
        <f>SUM(G272:G278)</f>
        <v>4299</v>
      </c>
      <c r="H271" s="71">
        <v>2018</v>
      </c>
      <c r="I271" s="71">
        <v>2020</v>
      </c>
      <c r="J271" s="71"/>
      <c r="K271" s="71"/>
      <c r="L271" s="71"/>
      <c r="M271" s="71"/>
      <c r="N271" s="71"/>
      <c r="O271" s="71"/>
      <c r="P271" s="71"/>
      <c r="Q271" s="71"/>
      <c r="R271" s="71"/>
      <c r="S271" s="86"/>
      <c r="T271" s="86"/>
      <c r="U271" s="71"/>
      <c r="V271" s="56"/>
      <c r="W271" s="61" t="str">
        <f t="shared" si="74"/>
        <v>Y</v>
      </c>
    </row>
    <row r="272" ht="12" customHeight="1" spans="1:23">
      <c r="A272" s="71"/>
      <c r="B272" s="73" t="s">
        <v>2892</v>
      </c>
      <c r="C272" s="71" t="s">
        <v>52</v>
      </c>
      <c r="D272" s="71" t="s">
        <v>45</v>
      </c>
      <c r="E272" s="71">
        <v>1580</v>
      </c>
      <c r="F272" s="71">
        <v>202</v>
      </c>
      <c r="G272" s="71">
        <v>808</v>
      </c>
      <c r="H272" s="71">
        <v>2018</v>
      </c>
      <c r="I272" s="71">
        <v>2020</v>
      </c>
      <c r="J272" s="71"/>
      <c r="K272" s="71"/>
      <c r="L272" s="71"/>
      <c r="M272" s="71"/>
      <c r="N272" s="71"/>
      <c r="O272" s="71"/>
      <c r="P272" s="71"/>
      <c r="Q272" s="71"/>
      <c r="R272" s="71"/>
      <c r="S272" s="86"/>
      <c r="T272" s="86"/>
      <c r="U272" s="71"/>
      <c r="V272" s="56"/>
      <c r="W272" s="61" t="str">
        <f t="shared" si="74"/>
        <v>Y</v>
      </c>
    </row>
    <row r="273" ht="12" customHeight="1" spans="1:23">
      <c r="A273" s="71"/>
      <c r="B273" s="73" t="s">
        <v>2897</v>
      </c>
      <c r="C273" s="71" t="s">
        <v>52</v>
      </c>
      <c r="D273" s="71" t="s">
        <v>45</v>
      </c>
      <c r="E273" s="71">
        <v>2105</v>
      </c>
      <c r="F273" s="71">
        <v>156</v>
      </c>
      <c r="G273" s="71">
        <v>660</v>
      </c>
      <c r="H273" s="71">
        <v>2018</v>
      </c>
      <c r="I273" s="71">
        <v>2020</v>
      </c>
      <c r="J273" s="71"/>
      <c r="K273" s="71"/>
      <c r="L273" s="71"/>
      <c r="M273" s="71"/>
      <c r="N273" s="71"/>
      <c r="O273" s="71"/>
      <c r="P273" s="71"/>
      <c r="Q273" s="71"/>
      <c r="R273" s="71"/>
      <c r="S273" s="86"/>
      <c r="T273" s="86"/>
      <c r="U273" s="71"/>
      <c r="V273" s="56"/>
      <c r="W273" s="61" t="str">
        <f t="shared" si="74"/>
        <v>Y</v>
      </c>
    </row>
    <row r="274" ht="12" customHeight="1" spans="1:23">
      <c r="A274" s="71"/>
      <c r="B274" s="73" t="s">
        <v>2893</v>
      </c>
      <c r="C274" s="71" t="s">
        <v>52</v>
      </c>
      <c r="D274" s="71" t="s">
        <v>45</v>
      </c>
      <c r="E274" s="71">
        <v>1530</v>
      </c>
      <c r="F274" s="71">
        <v>166</v>
      </c>
      <c r="G274" s="71">
        <v>753</v>
      </c>
      <c r="H274" s="71">
        <v>2018</v>
      </c>
      <c r="I274" s="71">
        <v>2020</v>
      </c>
      <c r="J274" s="71"/>
      <c r="K274" s="71"/>
      <c r="L274" s="71"/>
      <c r="M274" s="71"/>
      <c r="N274" s="71"/>
      <c r="O274" s="71"/>
      <c r="P274" s="71"/>
      <c r="Q274" s="71"/>
      <c r="R274" s="71"/>
      <c r="S274" s="86"/>
      <c r="T274" s="86"/>
      <c r="U274" s="71"/>
      <c r="V274" s="56"/>
      <c r="W274" s="61" t="str">
        <f t="shared" si="74"/>
        <v>Y</v>
      </c>
    </row>
    <row r="275" ht="12" customHeight="1" spans="1:23">
      <c r="A275" s="71"/>
      <c r="B275" s="73" t="s">
        <v>2898</v>
      </c>
      <c r="C275" s="71" t="s">
        <v>52</v>
      </c>
      <c r="D275" s="71" t="s">
        <v>45</v>
      </c>
      <c r="E275" s="71">
        <v>2079</v>
      </c>
      <c r="F275" s="71">
        <v>114</v>
      </c>
      <c r="G275" s="71">
        <v>484</v>
      </c>
      <c r="H275" s="71">
        <v>2018</v>
      </c>
      <c r="I275" s="71">
        <v>2020</v>
      </c>
      <c r="J275" s="71"/>
      <c r="K275" s="71"/>
      <c r="L275" s="71"/>
      <c r="M275" s="71"/>
      <c r="N275" s="71"/>
      <c r="O275" s="71"/>
      <c r="P275" s="71"/>
      <c r="Q275" s="71"/>
      <c r="R275" s="71"/>
      <c r="S275" s="86"/>
      <c r="T275" s="86"/>
      <c r="U275" s="71"/>
      <c r="V275" s="56"/>
      <c r="W275" s="61" t="str">
        <f t="shared" si="74"/>
        <v>Y</v>
      </c>
    </row>
    <row r="276" ht="12" customHeight="1" spans="1:23">
      <c r="A276" s="71"/>
      <c r="B276" s="73" t="s">
        <v>2894</v>
      </c>
      <c r="C276" s="71" t="s">
        <v>52</v>
      </c>
      <c r="D276" s="71" t="s">
        <v>45</v>
      </c>
      <c r="E276" s="71">
        <v>1000</v>
      </c>
      <c r="F276" s="71">
        <v>200</v>
      </c>
      <c r="G276" s="71">
        <v>791</v>
      </c>
      <c r="H276" s="71">
        <v>2018</v>
      </c>
      <c r="I276" s="71">
        <v>2020</v>
      </c>
      <c r="J276" s="71"/>
      <c r="K276" s="71"/>
      <c r="L276" s="71"/>
      <c r="M276" s="71"/>
      <c r="N276" s="71"/>
      <c r="O276" s="71"/>
      <c r="P276" s="71"/>
      <c r="Q276" s="71"/>
      <c r="R276" s="71"/>
      <c r="S276" s="86"/>
      <c r="T276" s="86"/>
      <c r="U276" s="71"/>
      <c r="V276" s="56"/>
      <c r="W276" s="61" t="str">
        <f t="shared" si="74"/>
        <v>Y</v>
      </c>
    </row>
    <row r="277" ht="12" customHeight="1" spans="1:23">
      <c r="A277" s="71"/>
      <c r="B277" s="73" t="s">
        <v>2899</v>
      </c>
      <c r="C277" s="71" t="s">
        <v>52</v>
      </c>
      <c r="D277" s="71" t="s">
        <v>45</v>
      </c>
      <c r="E277" s="71">
        <v>1460</v>
      </c>
      <c r="F277" s="71">
        <v>158</v>
      </c>
      <c r="G277" s="71">
        <v>670</v>
      </c>
      <c r="H277" s="71">
        <v>2018</v>
      </c>
      <c r="I277" s="71">
        <v>2020</v>
      </c>
      <c r="J277" s="71"/>
      <c r="K277" s="71"/>
      <c r="L277" s="71"/>
      <c r="M277" s="71"/>
      <c r="N277" s="71"/>
      <c r="O277" s="71"/>
      <c r="P277" s="71"/>
      <c r="Q277" s="71"/>
      <c r="R277" s="71"/>
      <c r="S277" s="86"/>
      <c r="T277" s="86"/>
      <c r="U277" s="71"/>
      <c r="V277" s="56"/>
      <c r="W277" s="61" t="str">
        <f t="shared" si="74"/>
        <v>Y</v>
      </c>
    </row>
    <row r="278" ht="12" customHeight="1" spans="1:23">
      <c r="A278" s="71"/>
      <c r="B278" s="73" t="s">
        <v>2900</v>
      </c>
      <c r="C278" s="71" t="s">
        <v>52</v>
      </c>
      <c r="D278" s="71" t="s">
        <v>45</v>
      </c>
      <c r="E278" s="71">
        <v>556</v>
      </c>
      <c r="F278" s="71">
        <v>33</v>
      </c>
      <c r="G278" s="71">
        <v>133</v>
      </c>
      <c r="H278" s="71">
        <v>2018</v>
      </c>
      <c r="I278" s="71">
        <v>2020</v>
      </c>
      <c r="J278" s="71"/>
      <c r="K278" s="71"/>
      <c r="L278" s="71"/>
      <c r="M278" s="71"/>
      <c r="N278" s="71"/>
      <c r="O278" s="71"/>
      <c r="P278" s="71"/>
      <c r="Q278" s="71"/>
      <c r="R278" s="71"/>
      <c r="S278" s="86"/>
      <c r="T278" s="86"/>
      <c r="U278" s="71"/>
      <c r="V278" s="56"/>
      <c r="W278" s="61" t="str">
        <f t="shared" si="74"/>
        <v>Y</v>
      </c>
    </row>
    <row r="279" ht="23.25" customHeight="1" spans="1:23">
      <c r="A279" s="71"/>
      <c r="B279" s="71" t="s">
        <v>867</v>
      </c>
      <c r="C279" s="71" t="s">
        <v>52</v>
      </c>
      <c r="D279" s="71" t="s">
        <v>45</v>
      </c>
      <c r="E279" s="71">
        <f>SUM(E280:E284)</f>
        <v>5916</v>
      </c>
      <c r="F279" s="71">
        <f>SUM(F280:F284)</f>
        <v>211</v>
      </c>
      <c r="G279" s="71">
        <f>SUM(G280:G284)</f>
        <v>880</v>
      </c>
      <c r="H279" s="71">
        <v>2018</v>
      </c>
      <c r="I279" s="71">
        <v>2018</v>
      </c>
      <c r="J279" s="71"/>
      <c r="K279" s="71"/>
      <c r="L279" s="71"/>
      <c r="M279" s="71"/>
      <c r="N279" s="71"/>
      <c r="O279" s="71"/>
      <c r="P279" s="71"/>
      <c r="Q279" s="71"/>
      <c r="R279" s="71"/>
      <c r="S279" s="86"/>
      <c r="T279" s="86"/>
      <c r="U279" s="71"/>
      <c r="V279" s="56"/>
      <c r="W279" s="61" t="str">
        <f t="shared" si="74"/>
        <v>Y</v>
      </c>
    </row>
    <row r="280" ht="15" customHeight="1" spans="1:23">
      <c r="A280" s="71"/>
      <c r="B280" s="73" t="s">
        <v>2892</v>
      </c>
      <c r="C280" s="71" t="s">
        <v>52</v>
      </c>
      <c r="D280" s="71" t="s">
        <v>45</v>
      </c>
      <c r="E280" s="71">
        <v>3998</v>
      </c>
      <c r="F280" s="71">
        <v>158</v>
      </c>
      <c r="G280" s="71">
        <v>622</v>
      </c>
      <c r="H280" s="71">
        <v>2018</v>
      </c>
      <c r="I280" s="71">
        <v>2018</v>
      </c>
      <c r="J280" s="71"/>
      <c r="K280" s="71"/>
      <c r="L280" s="71"/>
      <c r="M280" s="71"/>
      <c r="N280" s="71"/>
      <c r="O280" s="71"/>
      <c r="P280" s="71"/>
      <c r="Q280" s="71"/>
      <c r="R280" s="71"/>
      <c r="S280" s="86"/>
      <c r="T280" s="86"/>
      <c r="U280" s="71"/>
      <c r="V280" s="56"/>
      <c r="W280" s="61" t="str">
        <f t="shared" si="74"/>
        <v>Y</v>
      </c>
    </row>
    <row r="281" ht="15" customHeight="1" spans="1:23">
      <c r="A281" s="71"/>
      <c r="B281" s="73" t="s">
        <v>2897</v>
      </c>
      <c r="C281" s="71" t="s">
        <v>52</v>
      </c>
      <c r="D281" s="71" t="s">
        <v>45</v>
      </c>
      <c r="E281" s="71">
        <v>1292</v>
      </c>
      <c r="F281" s="71">
        <v>50</v>
      </c>
      <c r="G281" s="71">
        <v>240</v>
      </c>
      <c r="H281" s="71">
        <v>2018</v>
      </c>
      <c r="I281" s="71">
        <v>2018</v>
      </c>
      <c r="J281" s="71"/>
      <c r="K281" s="71"/>
      <c r="L281" s="71"/>
      <c r="M281" s="71"/>
      <c r="N281" s="71"/>
      <c r="O281" s="71"/>
      <c r="P281" s="71"/>
      <c r="Q281" s="71"/>
      <c r="R281" s="71"/>
      <c r="S281" s="86"/>
      <c r="T281" s="86"/>
      <c r="U281" s="71"/>
      <c r="V281" s="56"/>
      <c r="W281" s="61" t="str">
        <f t="shared" si="74"/>
        <v>Y</v>
      </c>
    </row>
    <row r="282" ht="15" customHeight="1" spans="1:23">
      <c r="A282" s="71"/>
      <c r="B282" s="73" t="s">
        <v>2893</v>
      </c>
      <c r="C282" s="71" t="s">
        <v>52</v>
      </c>
      <c r="D282" s="71" t="s">
        <v>45</v>
      </c>
      <c r="E282" s="71">
        <v>446</v>
      </c>
      <c r="F282" s="71">
        <v>2</v>
      </c>
      <c r="G282" s="71">
        <v>12</v>
      </c>
      <c r="H282" s="71">
        <v>2018</v>
      </c>
      <c r="I282" s="71">
        <v>2018</v>
      </c>
      <c r="J282" s="71"/>
      <c r="K282" s="71"/>
      <c r="L282" s="71"/>
      <c r="M282" s="71"/>
      <c r="N282" s="71"/>
      <c r="O282" s="71"/>
      <c r="P282" s="71"/>
      <c r="Q282" s="71"/>
      <c r="R282" s="71"/>
      <c r="S282" s="86"/>
      <c r="T282" s="86"/>
      <c r="U282" s="71"/>
      <c r="V282" s="56"/>
      <c r="W282" s="61" t="str">
        <f t="shared" si="74"/>
        <v>Y</v>
      </c>
    </row>
    <row r="283" ht="15" customHeight="1" spans="1:23">
      <c r="A283" s="71"/>
      <c r="B283" s="73" t="s">
        <v>2894</v>
      </c>
      <c r="C283" s="71" t="s">
        <v>52</v>
      </c>
      <c r="D283" s="71" t="s">
        <v>45</v>
      </c>
      <c r="E283" s="71">
        <v>130</v>
      </c>
      <c r="F283" s="71">
        <v>0</v>
      </c>
      <c r="G283" s="71">
        <v>0</v>
      </c>
      <c r="H283" s="71">
        <v>2018</v>
      </c>
      <c r="I283" s="71">
        <v>2018</v>
      </c>
      <c r="J283" s="71"/>
      <c r="K283" s="71"/>
      <c r="L283" s="71"/>
      <c r="M283" s="71"/>
      <c r="N283" s="71"/>
      <c r="O283" s="71"/>
      <c r="P283" s="71"/>
      <c r="Q283" s="71"/>
      <c r="R283" s="71"/>
      <c r="S283" s="86"/>
      <c r="T283" s="86"/>
      <c r="U283" s="71"/>
      <c r="V283" s="56"/>
      <c r="W283" s="61" t="str">
        <f t="shared" si="74"/>
        <v>Y</v>
      </c>
    </row>
    <row r="284" ht="15" customHeight="1" spans="1:23">
      <c r="A284" s="71"/>
      <c r="B284" s="73" t="s">
        <v>2900</v>
      </c>
      <c r="C284" s="71" t="s">
        <v>52</v>
      </c>
      <c r="D284" s="71" t="s">
        <v>45</v>
      </c>
      <c r="E284" s="71">
        <v>50</v>
      </c>
      <c r="F284" s="71">
        <v>1</v>
      </c>
      <c r="G284" s="71">
        <v>6</v>
      </c>
      <c r="H284" s="71">
        <v>2018</v>
      </c>
      <c r="I284" s="71">
        <v>2018</v>
      </c>
      <c r="J284" s="71"/>
      <c r="K284" s="71"/>
      <c r="L284" s="71"/>
      <c r="M284" s="71"/>
      <c r="N284" s="71"/>
      <c r="O284" s="71"/>
      <c r="P284" s="71"/>
      <c r="Q284" s="71"/>
      <c r="R284" s="71"/>
      <c r="S284" s="86"/>
      <c r="T284" s="86"/>
      <c r="U284" s="71"/>
      <c r="V284" s="56"/>
      <c r="W284" s="61" t="str">
        <f t="shared" si="74"/>
        <v>Y</v>
      </c>
    </row>
    <row r="285" ht="15" customHeight="1" spans="1:23">
      <c r="A285" s="71"/>
      <c r="B285" s="71" t="s">
        <v>2912</v>
      </c>
      <c r="C285" s="71" t="s">
        <v>52</v>
      </c>
      <c r="D285" s="71" t="s">
        <v>45</v>
      </c>
      <c r="E285" s="71">
        <v>7</v>
      </c>
      <c r="F285" s="71">
        <v>1</v>
      </c>
      <c r="G285" s="71">
        <v>4</v>
      </c>
      <c r="H285" s="71">
        <v>2018</v>
      </c>
      <c r="I285" s="71">
        <v>2018</v>
      </c>
      <c r="J285" s="71"/>
      <c r="K285" s="71"/>
      <c r="L285" s="71"/>
      <c r="M285" s="71"/>
      <c r="N285" s="71"/>
      <c r="O285" s="71"/>
      <c r="P285" s="71"/>
      <c r="Q285" s="71"/>
      <c r="R285" s="71"/>
      <c r="S285" s="86"/>
      <c r="T285" s="86"/>
      <c r="U285" s="71"/>
      <c r="V285" s="56"/>
      <c r="W285" s="61" t="str">
        <f t="shared" si="74"/>
        <v>Y</v>
      </c>
    </row>
    <row r="286" ht="15" customHeight="1" spans="1:23">
      <c r="A286" s="71"/>
      <c r="B286" s="73" t="s">
        <v>2897</v>
      </c>
      <c r="C286" s="71" t="s">
        <v>52</v>
      </c>
      <c r="D286" s="71" t="s">
        <v>45</v>
      </c>
      <c r="E286" s="71">
        <v>7</v>
      </c>
      <c r="F286" s="71">
        <v>1</v>
      </c>
      <c r="G286" s="71">
        <v>4</v>
      </c>
      <c r="H286" s="71">
        <v>2018</v>
      </c>
      <c r="I286" s="71">
        <v>2018</v>
      </c>
      <c r="J286" s="71"/>
      <c r="K286" s="71"/>
      <c r="L286" s="71"/>
      <c r="M286" s="71"/>
      <c r="N286" s="71"/>
      <c r="O286" s="71"/>
      <c r="P286" s="71"/>
      <c r="Q286" s="71"/>
      <c r="R286" s="71"/>
      <c r="S286" s="86"/>
      <c r="T286" s="86"/>
      <c r="U286" s="71"/>
      <c r="V286" s="56"/>
      <c r="W286" s="61" t="str">
        <f t="shared" si="74"/>
        <v>Y</v>
      </c>
    </row>
    <row r="287" ht="23.25" customHeight="1" spans="1:23">
      <c r="A287" s="71">
        <v>37</v>
      </c>
      <c r="B287" s="71" t="s">
        <v>1123</v>
      </c>
      <c r="C287" s="71" t="s">
        <v>1124</v>
      </c>
      <c r="D287" s="71" t="s">
        <v>45</v>
      </c>
      <c r="E287" s="71"/>
      <c r="F287" s="71"/>
      <c r="G287" s="71"/>
      <c r="H287" s="71"/>
      <c r="I287" s="71"/>
      <c r="J287" s="71"/>
      <c r="K287" s="71"/>
      <c r="L287" s="71"/>
      <c r="M287" s="71"/>
      <c r="N287" s="71"/>
      <c r="O287" s="71"/>
      <c r="P287" s="71"/>
      <c r="Q287" s="71"/>
      <c r="R287" s="71"/>
      <c r="S287" s="133"/>
      <c r="T287" s="133"/>
      <c r="U287" s="71" t="s">
        <v>43</v>
      </c>
      <c r="V287" s="71"/>
      <c r="W287" s="61" t="str">
        <f t="shared" si="74"/>
        <v>Y</v>
      </c>
    </row>
    <row r="288" ht="23.25" customHeight="1" spans="1:23">
      <c r="A288" s="71">
        <v>38</v>
      </c>
      <c r="B288" s="73" t="s">
        <v>130</v>
      </c>
      <c r="C288" s="71"/>
      <c r="D288" s="71"/>
      <c r="E288" s="71"/>
      <c r="F288" s="71"/>
      <c r="G288" s="71"/>
      <c r="H288" s="71"/>
      <c r="I288" s="71"/>
      <c r="J288" s="71"/>
      <c r="K288" s="71"/>
      <c r="L288" s="71"/>
      <c r="M288" s="71"/>
      <c r="N288" s="71"/>
      <c r="O288" s="71"/>
      <c r="P288" s="71"/>
      <c r="Q288" s="71"/>
      <c r="R288" s="71"/>
      <c r="S288" s="133" t="s">
        <v>2890</v>
      </c>
      <c r="T288" s="133" t="s">
        <v>2913</v>
      </c>
      <c r="U288" s="86"/>
      <c r="V288" s="56"/>
      <c r="W288" s="61" t="str">
        <f t="shared" si="74"/>
        <v>Y</v>
      </c>
    </row>
    <row r="289" ht="26.1" customHeight="1" spans="1:23">
      <c r="A289" s="71">
        <v>39</v>
      </c>
      <c r="B289" s="73" t="s">
        <v>1125</v>
      </c>
      <c r="C289" s="71" t="s">
        <v>52</v>
      </c>
      <c r="D289" s="71" t="s">
        <v>131</v>
      </c>
      <c r="E289" s="71"/>
      <c r="F289" s="71">
        <f>F290+F298+F306+F310+F312+F314</f>
        <v>1352</v>
      </c>
      <c r="G289" s="71">
        <f>G290+G298+G306+G310+G312+G314</f>
        <v>5905</v>
      </c>
      <c r="H289" s="71">
        <v>2018</v>
      </c>
      <c r="I289" s="71">
        <v>2020</v>
      </c>
      <c r="J289" s="71" t="s">
        <v>320</v>
      </c>
      <c r="K289" s="71" t="s">
        <v>320</v>
      </c>
      <c r="L289" s="71" t="s">
        <v>320</v>
      </c>
      <c r="M289" s="71" t="s">
        <v>320</v>
      </c>
      <c r="N289" s="71"/>
      <c r="O289" s="71"/>
      <c r="P289" s="71"/>
      <c r="Q289" s="71"/>
      <c r="R289" s="71"/>
      <c r="S289" s="86"/>
      <c r="T289" s="86"/>
      <c r="U289" s="86"/>
      <c r="V289" s="56"/>
      <c r="W289" s="61" t="str">
        <f t="shared" si="74"/>
        <v>N</v>
      </c>
    </row>
    <row r="290" ht="26.1" customHeight="1" spans="1:23">
      <c r="A290" s="71"/>
      <c r="B290" s="139" t="s">
        <v>878</v>
      </c>
      <c r="C290" s="71" t="s">
        <v>52</v>
      </c>
      <c r="D290" s="71" t="s">
        <v>134</v>
      </c>
      <c r="E290" s="71">
        <v>12548</v>
      </c>
      <c r="F290" s="71">
        <f>SUM(F291:F297)</f>
        <v>690</v>
      </c>
      <c r="G290" s="71">
        <f>SUM(G291:G297)</f>
        <v>3051</v>
      </c>
      <c r="H290" s="71">
        <v>2018</v>
      </c>
      <c r="I290" s="71">
        <v>2020</v>
      </c>
      <c r="J290" s="71" t="s">
        <v>320</v>
      </c>
      <c r="K290" s="71" t="s">
        <v>320</v>
      </c>
      <c r="L290" s="71" t="s">
        <v>320</v>
      </c>
      <c r="M290" s="71" t="s">
        <v>320</v>
      </c>
      <c r="N290" s="71"/>
      <c r="O290" s="71"/>
      <c r="P290" s="71"/>
      <c r="Q290" s="71"/>
      <c r="R290" s="71"/>
      <c r="S290" s="86"/>
      <c r="T290" s="86"/>
      <c r="U290" s="86"/>
      <c r="V290" s="56"/>
      <c r="W290" s="61" t="str">
        <f t="shared" si="74"/>
        <v>N</v>
      </c>
    </row>
    <row r="291" ht="17.1" customHeight="1" spans="1:23">
      <c r="A291" s="71"/>
      <c r="B291" s="73" t="s">
        <v>2892</v>
      </c>
      <c r="C291" s="71" t="s">
        <v>52</v>
      </c>
      <c r="D291" s="71" t="s">
        <v>134</v>
      </c>
      <c r="E291" s="71">
        <v>1500</v>
      </c>
      <c r="F291" s="71">
        <v>106</v>
      </c>
      <c r="G291" s="71">
        <v>486</v>
      </c>
      <c r="H291" s="71">
        <v>2018</v>
      </c>
      <c r="I291" s="71">
        <v>2020</v>
      </c>
      <c r="J291" s="71" t="s">
        <v>320</v>
      </c>
      <c r="K291" s="71" t="s">
        <v>320</v>
      </c>
      <c r="L291" s="71" t="s">
        <v>320</v>
      </c>
      <c r="M291" s="71" t="s">
        <v>320</v>
      </c>
      <c r="N291" s="71"/>
      <c r="O291" s="71"/>
      <c r="P291" s="71"/>
      <c r="Q291" s="71"/>
      <c r="R291" s="71"/>
      <c r="S291" s="86"/>
      <c r="T291" s="86"/>
      <c r="U291" s="86"/>
      <c r="V291" s="56"/>
      <c r="W291" s="61" t="str">
        <f t="shared" si="74"/>
        <v>N</v>
      </c>
    </row>
    <row r="292" ht="17.1" customHeight="1" spans="1:23">
      <c r="A292" s="71"/>
      <c r="B292" s="73" t="s">
        <v>2897</v>
      </c>
      <c r="C292" s="71" t="s">
        <v>52</v>
      </c>
      <c r="D292" s="71" t="s">
        <v>134</v>
      </c>
      <c r="E292" s="71">
        <v>1415</v>
      </c>
      <c r="F292" s="71">
        <v>113</v>
      </c>
      <c r="G292" s="71">
        <v>544</v>
      </c>
      <c r="H292" s="71">
        <v>2018</v>
      </c>
      <c r="I292" s="71">
        <v>2020</v>
      </c>
      <c r="J292" s="71" t="s">
        <v>320</v>
      </c>
      <c r="K292" s="71" t="s">
        <v>320</v>
      </c>
      <c r="L292" s="71" t="s">
        <v>320</v>
      </c>
      <c r="M292" s="71" t="s">
        <v>320</v>
      </c>
      <c r="N292" s="71"/>
      <c r="O292" s="71"/>
      <c r="P292" s="71"/>
      <c r="Q292" s="71"/>
      <c r="R292" s="71"/>
      <c r="S292" s="86"/>
      <c r="T292" s="86"/>
      <c r="U292" s="86"/>
      <c r="V292" s="56"/>
      <c r="W292" s="61" t="str">
        <f t="shared" si="74"/>
        <v>N</v>
      </c>
    </row>
    <row r="293" ht="17.1" customHeight="1" spans="1:23">
      <c r="A293" s="71"/>
      <c r="B293" s="73" t="s">
        <v>2893</v>
      </c>
      <c r="C293" s="71" t="s">
        <v>52</v>
      </c>
      <c r="D293" s="71" t="s">
        <v>134</v>
      </c>
      <c r="E293" s="71">
        <v>4071</v>
      </c>
      <c r="F293" s="71">
        <v>128</v>
      </c>
      <c r="G293" s="71">
        <v>581</v>
      </c>
      <c r="H293" s="71">
        <v>2018</v>
      </c>
      <c r="I293" s="71">
        <v>2020</v>
      </c>
      <c r="J293" s="71" t="s">
        <v>320</v>
      </c>
      <c r="K293" s="71" t="s">
        <v>320</v>
      </c>
      <c r="L293" s="71" t="s">
        <v>320</v>
      </c>
      <c r="M293" s="71" t="s">
        <v>320</v>
      </c>
      <c r="N293" s="71"/>
      <c r="O293" s="71"/>
      <c r="P293" s="71"/>
      <c r="Q293" s="71"/>
      <c r="R293" s="71"/>
      <c r="S293" s="86"/>
      <c r="T293" s="86"/>
      <c r="U293" s="86"/>
      <c r="V293" s="56"/>
      <c r="W293" s="61" t="str">
        <f t="shared" si="74"/>
        <v>N</v>
      </c>
    </row>
    <row r="294" ht="17.1" customHeight="1" spans="1:23">
      <c r="A294" s="71"/>
      <c r="B294" s="73" t="s">
        <v>2898</v>
      </c>
      <c r="C294" s="71" t="s">
        <v>52</v>
      </c>
      <c r="D294" s="71" t="s">
        <v>134</v>
      </c>
      <c r="E294" s="71">
        <v>2810</v>
      </c>
      <c r="F294" s="71">
        <v>132</v>
      </c>
      <c r="G294" s="71">
        <v>539</v>
      </c>
      <c r="H294" s="71">
        <v>2019</v>
      </c>
      <c r="I294" s="71">
        <v>2020</v>
      </c>
      <c r="J294" s="71" t="s">
        <v>320</v>
      </c>
      <c r="K294" s="71" t="s">
        <v>320</v>
      </c>
      <c r="L294" s="71" t="s">
        <v>320</v>
      </c>
      <c r="M294" s="71" t="s">
        <v>320</v>
      </c>
      <c r="N294" s="71"/>
      <c r="O294" s="71"/>
      <c r="P294" s="71"/>
      <c r="Q294" s="71"/>
      <c r="R294" s="71"/>
      <c r="S294" s="86"/>
      <c r="T294" s="86"/>
      <c r="U294" s="86"/>
      <c r="V294" s="56"/>
      <c r="W294" s="61" t="str">
        <f t="shared" si="74"/>
        <v>N</v>
      </c>
    </row>
    <row r="295" ht="17.1" customHeight="1" spans="1:23">
      <c r="A295" s="71"/>
      <c r="B295" s="73" t="s">
        <v>2894</v>
      </c>
      <c r="C295" s="71" t="s">
        <v>52</v>
      </c>
      <c r="D295" s="71" t="s">
        <v>134</v>
      </c>
      <c r="E295" s="71">
        <v>1500</v>
      </c>
      <c r="F295" s="71">
        <v>37</v>
      </c>
      <c r="G295" s="71">
        <v>161</v>
      </c>
      <c r="H295" s="71">
        <v>2018</v>
      </c>
      <c r="I295" s="71">
        <v>2020</v>
      </c>
      <c r="J295" s="71" t="s">
        <v>320</v>
      </c>
      <c r="K295" s="71" t="s">
        <v>320</v>
      </c>
      <c r="L295" s="71" t="s">
        <v>320</v>
      </c>
      <c r="M295" s="71" t="s">
        <v>320</v>
      </c>
      <c r="N295" s="71"/>
      <c r="O295" s="71"/>
      <c r="P295" s="71"/>
      <c r="Q295" s="71"/>
      <c r="R295" s="71"/>
      <c r="S295" s="86"/>
      <c r="T295" s="86"/>
      <c r="U295" s="86"/>
      <c r="V295" s="56"/>
      <c r="W295" s="61" t="str">
        <f t="shared" si="74"/>
        <v>N</v>
      </c>
    </row>
    <row r="296" ht="17.1" customHeight="1" spans="1:23">
      <c r="A296" s="71"/>
      <c r="B296" s="73" t="s">
        <v>2914</v>
      </c>
      <c r="C296" s="71" t="s">
        <v>52</v>
      </c>
      <c r="D296" s="71" t="s">
        <v>134</v>
      </c>
      <c r="E296" s="71">
        <v>1000</v>
      </c>
      <c r="F296" s="71">
        <v>143</v>
      </c>
      <c r="G296" s="71">
        <v>613</v>
      </c>
      <c r="H296" s="71">
        <v>2018</v>
      </c>
      <c r="I296" s="71">
        <v>2020</v>
      </c>
      <c r="J296" s="71"/>
      <c r="K296" s="71"/>
      <c r="L296" s="71"/>
      <c r="M296" s="71"/>
      <c r="N296" s="71"/>
      <c r="O296" s="71"/>
      <c r="P296" s="71"/>
      <c r="Q296" s="71"/>
      <c r="R296" s="71"/>
      <c r="S296" s="86"/>
      <c r="T296" s="86"/>
      <c r="U296" s="86"/>
      <c r="V296" s="56"/>
      <c r="W296" s="61" t="str">
        <f t="shared" si="74"/>
        <v>Y</v>
      </c>
    </row>
    <row r="297" ht="17.1" customHeight="1" spans="1:23">
      <c r="A297" s="71"/>
      <c r="B297" s="73" t="s">
        <v>2900</v>
      </c>
      <c r="C297" s="71" t="s">
        <v>52</v>
      </c>
      <c r="D297" s="71" t="s">
        <v>134</v>
      </c>
      <c r="E297" s="71">
        <v>252</v>
      </c>
      <c r="F297" s="71">
        <v>31</v>
      </c>
      <c r="G297" s="71">
        <v>127</v>
      </c>
      <c r="H297" s="71">
        <v>2018</v>
      </c>
      <c r="I297" s="71">
        <v>2020</v>
      </c>
      <c r="J297" s="71" t="s">
        <v>320</v>
      </c>
      <c r="K297" s="71" t="s">
        <v>320</v>
      </c>
      <c r="L297" s="71" t="s">
        <v>320</v>
      </c>
      <c r="M297" s="71" t="s">
        <v>320</v>
      </c>
      <c r="N297" s="71"/>
      <c r="O297" s="71"/>
      <c r="P297" s="71"/>
      <c r="Q297" s="71"/>
      <c r="R297" s="71"/>
      <c r="S297" s="86"/>
      <c r="T297" s="86"/>
      <c r="U297" s="86"/>
      <c r="V297" s="56"/>
      <c r="W297" s="61" t="str">
        <f t="shared" si="74"/>
        <v>N</v>
      </c>
    </row>
    <row r="298" ht="18.95" customHeight="1" spans="1:23">
      <c r="A298" s="71"/>
      <c r="B298" s="139" t="s">
        <v>876</v>
      </c>
      <c r="C298" s="71" t="s">
        <v>52</v>
      </c>
      <c r="D298" s="71" t="s">
        <v>140</v>
      </c>
      <c r="E298" s="71">
        <v>57501</v>
      </c>
      <c r="F298" s="71">
        <f>SUM(F299:F305)</f>
        <v>562</v>
      </c>
      <c r="G298" s="71">
        <f>SUM(G299:G305)</f>
        <v>2448</v>
      </c>
      <c r="H298" s="71">
        <v>2018</v>
      </c>
      <c r="I298" s="71">
        <v>2020</v>
      </c>
      <c r="J298" s="71" t="s">
        <v>320</v>
      </c>
      <c r="K298" s="71" t="s">
        <v>320</v>
      </c>
      <c r="L298" s="71" t="s">
        <v>320</v>
      </c>
      <c r="M298" s="71" t="s">
        <v>320</v>
      </c>
      <c r="N298" s="71"/>
      <c r="O298" s="71"/>
      <c r="P298" s="71"/>
      <c r="Q298" s="71"/>
      <c r="R298" s="71"/>
      <c r="S298" s="86"/>
      <c r="T298" s="86"/>
      <c r="U298" s="86"/>
      <c r="V298" s="56"/>
      <c r="W298" s="61" t="str">
        <f t="shared" si="74"/>
        <v>N</v>
      </c>
    </row>
    <row r="299" ht="15" customHeight="1" spans="1:23">
      <c r="A299" s="71"/>
      <c r="B299" s="73" t="s">
        <v>2892</v>
      </c>
      <c r="C299" s="71" t="s">
        <v>52</v>
      </c>
      <c r="D299" s="71" t="s">
        <v>140</v>
      </c>
      <c r="E299" s="71">
        <v>12300</v>
      </c>
      <c r="F299" s="71">
        <v>103</v>
      </c>
      <c r="G299" s="71">
        <v>550</v>
      </c>
      <c r="H299" s="71">
        <v>2018</v>
      </c>
      <c r="I299" s="71">
        <v>2020</v>
      </c>
      <c r="J299" s="71" t="s">
        <v>320</v>
      </c>
      <c r="K299" s="71" t="s">
        <v>320</v>
      </c>
      <c r="L299" s="71" t="s">
        <v>320</v>
      </c>
      <c r="M299" s="71" t="s">
        <v>320</v>
      </c>
      <c r="N299" s="71"/>
      <c r="O299" s="71"/>
      <c r="P299" s="71"/>
      <c r="Q299" s="71"/>
      <c r="R299" s="71"/>
      <c r="S299" s="86"/>
      <c r="T299" s="86"/>
      <c r="U299" s="86"/>
      <c r="V299" s="56"/>
      <c r="W299" s="61" t="str">
        <f t="shared" si="74"/>
        <v>N</v>
      </c>
    </row>
    <row r="300" ht="15" customHeight="1" spans="1:23">
      <c r="A300" s="71"/>
      <c r="B300" s="73" t="s">
        <v>2897</v>
      </c>
      <c r="C300" s="71" t="s">
        <v>52</v>
      </c>
      <c r="D300" s="71" t="s">
        <v>140</v>
      </c>
      <c r="E300" s="71">
        <v>2283</v>
      </c>
      <c r="F300" s="71">
        <v>34</v>
      </c>
      <c r="G300" s="71">
        <v>143</v>
      </c>
      <c r="H300" s="71">
        <v>2018</v>
      </c>
      <c r="I300" s="71">
        <v>2020</v>
      </c>
      <c r="J300" s="71" t="s">
        <v>320</v>
      </c>
      <c r="K300" s="71" t="s">
        <v>320</v>
      </c>
      <c r="L300" s="71" t="s">
        <v>320</v>
      </c>
      <c r="M300" s="71" t="s">
        <v>320</v>
      </c>
      <c r="N300" s="71"/>
      <c r="O300" s="71"/>
      <c r="P300" s="71"/>
      <c r="Q300" s="71"/>
      <c r="R300" s="71"/>
      <c r="S300" s="86"/>
      <c r="T300" s="86"/>
      <c r="U300" s="86"/>
      <c r="V300" s="56"/>
      <c r="W300" s="61" t="str">
        <f t="shared" si="74"/>
        <v>N</v>
      </c>
    </row>
    <row r="301" ht="15" customHeight="1" spans="1:23">
      <c r="A301" s="71"/>
      <c r="B301" s="73" t="s">
        <v>2893</v>
      </c>
      <c r="C301" s="71" t="s">
        <v>52</v>
      </c>
      <c r="D301" s="71" t="s">
        <v>140</v>
      </c>
      <c r="E301" s="71">
        <v>10868</v>
      </c>
      <c r="F301" s="71">
        <v>64</v>
      </c>
      <c r="G301" s="71">
        <v>261</v>
      </c>
      <c r="H301" s="71">
        <v>2018</v>
      </c>
      <c r="I301" s="71">
        <v>2020</v>
      </c>
      <c r="J301" s="71" t="s">
        <v>320</v>
      </c>
      <c r="K301" s="71" t="s">
        <v>320</v>
      </c>
      <c r="L301" s="71" t="s">
        <v>320</v>
      </c>
      <c r="M301" s="71" t="s">
        <v>320</v>
      </c>
      <c r="N301" s="71"/>
      <c r="O301" s="71"/>
      <c r="P301" s="71"/>
      <c r="Q301" s="71"/>
      <c r="R301" s="71"/>
      <c r="S301" s="86"/>
      <c r="T301" s="86"/>
      <c r="U301" s="86"/>
      <c r="V301" s="56"/>
      <c r="W301" s="61" t="str">
        <f t="shared" si="74"/>
        <v>N</v>
      </c>
    </row>
    <row r="302" ht="15" customHeight="1" spans="1:23">
      <c r="A302" s="71"/>
      <c r="B302" s="73" t="s">
        <v>2898</v>
      </c>
      <c r="C302" s="71" t="s">
        <v>52</v>
      </c>
      <c r="D302" s="71" t="s">
        <v>140</v>
      </c>
      <c r="E302" s="71">
        <v>15800</v>
      </c>
      <c r="F302" s="71">
        <v>136</v>
      </c>
      <c r="G302" s="71">
        <v>539</v>
      </c>
      <c r="H302" s="71">
        <v>2019</v>
      </c>
      <c r="I302" s="71">
        <v>2020</v>
      </c>
      <c r="J302" s="71" t="s">
        <v>320</v>
      </c>
      <c r="K302" s="71" t="s">
        <v>320</v>
      </c>
      <c r="L302" s="71" t="s">
        <v>320</v>
      </c>
      <c r="M302" s="71" t="s">
        <v>320</v>
      </c>
      <c r="N302" s="71"/>
      <c r="O302" s="71"/>
      <c r="P302" s="71"/>
      <c r="Q302" s="71"/>
      <c r="R302" s="71"/>
      <c r="S302" s="86"/>
      <c r="T302" s="86"/>
      <c r="U302" s="86"/>
      <c r="V302" s="56"/>
      <c r="W302" s="61" t="str">
        <f t="shared" si="74"/>
        <v>N</v>
      </c>
    </row>
    <row r="303" ht="15" customHeight="1" spans="1:23">
      <c r="A303" s="71"/>
      <c r="B303" s="73" t="s">
        <v>2894</v>
      </c>
      <c r="C303" s="71" t="s">
        <v>52</v>
      </c>
      <c r="D303" s="71" t="s">
        <v>140</v>
      </c>
      <c r="E303" s="71">
        <v>7000</v>
      </c>
      <c r="F303" s="71">
        <v>38</v>
      </c>
      <c r="G303" s="71">
        <v>179</v>
      </c>
      <c r="H303" s="71">
        <v>2018</v>
      </c>
      <c r="I303" s="71">
        <v>2020</v>
      </c>
      <c r="J303" s="71" t="s">
        <v>320</v>
      </c>
      <c r="K303" s="71" t="s">
        <v>320</v>
      </c>
      <c r="L303" s="71" t="s">
        <v>320</v>
      </c>
      <c r="M303" s="71" t="s">
        <v>320</v>
      </c>
      <c r="N303" s="71"/>
      <c r="O303" s="71"/>
      <c r="P303" s="71"/>
      <c r="Q303" s="71"/>
      <c r="R303" s="71"/>
      <c r="S303" s="86"/>
      <c r="T303" s="86"/>
      <c r="U303" s="86"/>
      <c r="V303" s="56"/>
      <c r="W303" s="61" t="str">
        <f t="shared" si="74"/>
        <v>N</v>
      </c>
    </row>
    <row r="304" ht="15" customHeight="1" spans="1:23">
      <c r="A304" s="71"/>
      <c r="B304" s="73" t="s">
        <v>2914</v>
      </c>
      <c r="C304" s="71" t="s">
        <v>52</v>
      </c>
      <c r="D304" s="71" t="s">
        <v>140</v>
      </c>
      <c r="E304" s="71">
        <v>8000</v>
      </c>
      <c r="F304" s="71">
        <v>149</v>
      </c>
      <c r="G304" s="71">
        <v>630</v>
      </c>
      <c r="H304" s="71">
        <v>2018</v>
      </c>
      <c r="I304" s="71">
        <v>2020</v>
      </c>
      <c r="J304" s="71"/>
      <c r="K304" s="71"/>
      <c r="L304" s="71"/>
      <c r="M304" s="71"/>
      <c r="N304" s="71"/>
      <c r="O304" s="71"/>
      <c r="P304" s="71"/>
      <c r="Q304" s="71"/>
      <c r="R304" s="71"/>
      <c r="S304" s="86"/>
      <c r="T304" s="86"/>
      <c r="U304" s="86"/>
      <c r="V304" s="56"/>
      <c r="W304" s="61" t="str">
        <f t="shared" si="74"/>
        <v>Y</v>
      </c>
    </row>
    <row r="305" ht="15" customHeight="1" spans="1:23">
      <c r="A305" s="71"/>
      <c r="B305" s="73" t="s">
        <v>2900</v>
      </c>
      <c r="C305" s="71" t="s">
        <v>52</v>
      </c>
      <c r="D305" s="71" t="s">
        <v>140</v>
      </c>
      <c r="E305" s="71">
        <v>1250</v>
      </c>
      <c r="F305" s="71">
        <v>38</v>
      </c>
      <c r="G305" s="71">
        <v>146</v>
      </c>
      <c r="H305" s="71">
        <v>2018</v>
      </c>
      <c r="I305" s="71">
        <v>2020</v>
      </c>
      <c r="J305" s="71" t="s">
        <v>320</v>
      </c>
      <c r="K305" s="71" t="s">
        <v>320</v>
      </c>
      <c r="L305" s="71" t="s">
        <v>320</v>
      </c>
      <c r="M305" s="71" t="s">
        <v>320</v>
      </c>
      <c r="N305" s="71"/>
      <c r="O305" s="71"/>
      <c r="P305" s="71"/>
      <c r="Q305" s="71"/>
      <c r="R305" s="71"/>
      <c r="S305" s="86"/>
      <c r="T305" s="86"/>
      <c r="U305" s="86"/>
      <c r="V305" s="56"/>
      <c r="W305" s="61" t="str">
        <f t="shared" si="74"/>
        <v>N</v>
      </c>
    </row>
    <row r="306" ht="15" customHeight="1" spans="1:23">
      <c r="A306" s="71"/>
      <c r="B306" s="139" t="s">
        <v>2635</v>
      </c>
      <c r="C306" s="71" t="s">
        <v>52</v>
      </c>
      <c r="D306" s="71" t="s">
        <v>140</v>
      </c>
      <c r="E306" s="71">
        <v>275</v>
      </c>
      <c r="F306" s="71">
        <v>4</v>
      </c>
      <c r="G306" s="71">
        <v>15</v>
      </c>
      <c r="H306" s="71">
        <v>2018</v>
      </c>
      <c r="I306" s="71">
        <v>2020</v>
      </c>
      <c r="J306" s="71" t="s">
        <v>320</v>
      </c>
      <c r="K306" s="71" t="s">
        <v>320</v>
      </c>
      <c r="L306" s="71" t="s">
        <v>320</v>
      </c>
      <c r="M306" s="71" t="s">
        <v>320</v>
      </c>
      <c r="N306" s="71"/>
      <c r="O306" s="71"/>
      <c r="P306" s="71"/>
      <c r="Q306" s="71"/>
      <c r="R306" s="71"/>
      <c r="S306" s="86"/>
      <c r="T306" s="86"/>
      <c r="U306" s="86"/>
      <c r="V306" s="56"/>
      <c r="W306" s="61" t="str">
        <f t="shared" si="74"/>
        <v>N</v>
      </c>
    </row>
    <row r="307" ht="15" customHeight="1" spans="1:23">
      <c r="A307" s="71"/>
      <c r="B307" s="73" t="s">
        <v>2892</v>
      </c>
      <c r="C307" s="71" t="s">
        <v>52</v>
      </c>
      <c r="D307" s="71" t="s">
        <v>140</v>
      </c>
      <c r="E307" s="71">
        <v>50</v>
      </c>
      <c r="F307" s="71">
        <v>1</v>
      </c>
      <c r="G307" s="71">
        <v>6</v>
      </c>
      <c r="H307" s="71">
        <v>2018</v>
      </c>
      <c r="I307" s="71">
        <v>2020</v>
      </c>
      <c r="J307" s="71" t="s">
        <v>320</v>
      </c>
      <c r="K307" s="71" t="s">
        <v>320</v>
      </c>
      <c r="L307" s="71" t="s">
        <v>320</v>
      </c>
      <c r="M307" s="71" t="s">
        <v>320</v>
      </c>
      <c r="N307" s="71"/>
      <c r="O307" s="71"/>
      <c r="P307" s="71"/>
      <c r="Q307" s="71"/>
      <c r="R307" s="71"/>
      <c r="S307" s="86"/>
      <c r="T307" s="86"/>
      <c r="U307" s="86"/>
      <c r="V307" s="56"/>
      <c r="W307" s="61" t="str">
        <f t="shared" si="74"/>
        <v>N</v>
      </c>
    </row>
    <row r="308" ht="15" customHeight="1" spans="1:23">
      <c r="A308" s="71"/>
      <c r="B308" s="73" t="s">
        <v>2893</v>
      </c>
      <c r="C308" s="71" t="s">
        <v>52</v>
      </c>
      <c r="D308" s="71" t="s">
        <v>140</v>
      </c>
      <c r="E308" s="71">
        <v>75</v>
      </c>
      <c r="F308" s="71">
        <v>1</v>
      </c>
      <c r="G308" s="71">
        <v>1</v>
      </c>
      <c r="H308" s="71">
        <v>2018</v>
      </c>
      <c r="I308" s="71">
        <v>2020</v>
      </c>
      <c r="J308" s="71" t="s">
        <v>320</v>
      </c>
      <c r="K308" s="71" t="s">
        <v>320</v>
      </c>
      <c r="L308" s="71" t="s">
        <v>320</v>
      </c>
      <c r="M308" s="71" t="s">
        <v>320</v>
      </c>
      <c r="N308" s="71"/>
      <c r="O308" s="71"/>
      <c r="P308" s="71"/>
      <c r="Q308" s="71"/>
      <c r="R308" s="71"/>
      <c r="S308" s="86"/>
      <c r="T308" s="86"/>
      <c r="U308" s="86"/>
      <c r="V308" s="56"/>
      <c r="W308" s="61" t="str">
        <f t="shared" si="74"/>
        <v>N</v>
      </c>
    </row>
    <row r="309" ht="15" customHeight="1" spans="1:23">
      <c r="A309" s="71"/>
      <c r="B309" s="73" t="s">
        <v>2897</v>
      </c>
      <c r="C309" s="71" t="s">
        <v>52</v>
      </c>
      <c r="D309" s="71" t="s">
        <v>140</v>
      </c>
      <c r="E309" s="71">
        <v>150</v>
      </c>
      <c r="F309" s="71">
        <v>2</v>
      </c>
      <c r="G309" s="71">
        <v>8</v>
      </c>
      <c r="H309" s="71">
        <v>2018</v>
      </c>
      <c r="I309" s="71">
        <v>2020</v>
      </c>
      <c r="J309" s="71" t="s">
        <v>320</v>
      </c>
      <c r="K309" s="71" t="s">
        <v>320</v>
      </c>
      <c r="L309" s="71" t="s">
        <v>320</v>
      </c>
      <c r="M309" s="71" t="s">
        <v>320</v>
      </c>
      <c r="N309" s="71"/>
      <c r="O309" s="71"/>
      <c r="P309" s="71"/>
      <c r="Q309" s="71"/>
      <c r="R309" s="71"/>
      <c r="S309" s="86"/>
      <c r="T309" s="86"/>
      <c r="U309" s="86"/>
      <c r="V309" s="56"/>
      <c r="W309" s="61" t="str">
        <f t="shared" si="74"/>
        <v>N</v>
      </c>
    </row>
    <row r="310" ht="15" customHeight="1" spans="1:23">
      <c r="A310" s="71"/>
      <c r="B310" s="139" t="s">
        <v>2915</v>
      </c>
      <c r="C310" s="71" t="s">
        <v>52</v>
      </c>
      <c r="D310" s="71" t="s">
        <v>140</v>
      </c>
      <c r="E310" s="71">
        <v>1500</v>
      </c>
      <c r="F310" s="71">
        <v>1</v>
      </c>
      <c r="G310" s="71">
        <v>6</v>
      </c>
      <c r="H310" s="71">
        <v>2018</v>
      </c>
      <c r="I310" s="71">
        <v>2020</v>
      </c>
      <c r="J310" s="71" t="s">
        <v>320</v>
      </c>
      <c r="K310" s="71" t="s">
        <v>320</v>
      </c>
      <c r="L310" s="71" t="s">
        <v>320</v>
      </c>
      <c r="M310" s="71" t="s">
        <v>320</v>
      </c>
      <c r="N310" s="71"/>
      <c r="O310" s="71"/>
      <c r="P310" s="71"/>
      <c r="Q310" s="71"/>
      <c r="R310" s="71"/>
      <c r="S310" s="86"/>
      <c r="T310" s="86"/>
      <c r="U310" s="86"/>
      <c r="V310" s="56"/>
      <c r="W310" s="61" t="str">
        <f t="shared" si="74"/>
        <v>N</v>
      </c>
    </row>
    <row r="311" ht="15" customHeight="1" spans="1:23">
      <c r="A311" s="71"/>
      <c r="B311" s="73" t="s">
        <v>2897</v>
      </c>
      <c r="C311" s="71" t="s">
        <v>52</v>
      </c>
      <c r="D311" s="71" t="s">
        <v>140</v>
      </c>
      <c r="E311" s="71">
        <v>1500</v>
      </c>
      <c r="F311" s="71">
        <v>1</v>
      </c>
      <c r="G311" s="71">
        <v>6</v>
      </c>
      <c r="H311" s="71">
        <v>2018</v>
      </c>
      <c r="I311" s="71">
        <v>2020</v>
      </c>
      <c r="J311" s="71" t="s">
        <v>320</v>
      </c>
      <c r="K311" s="71" t="s">
        <v>320</v>
      </c>
      <c r="L311" s="71" t="s">
        <v>320</v>
      </c>
      <c r="M311" s="71" t="s">
        <v>320</v>
      </c>
      <c r="N311" s="71"/>
      <c r="O311" s="71"/>
      <c r="P311" s="71"/>
      <c r="Q311" s="71"/>
      <c r="R311" s="71"/>
      <c r="S311" s="86"/>
      <c r="T311" s="86"/>
      <c r="U311" s="86"/>
      <c r="V311" s="56"/>
      <c r="W311" s="61" t="str">
        <f t="shared" si="74"/>
        <v>N</v>
      </c>
    </row>
    <row r="312" ht="15" customHeight="1" spans="1:23">
      <c r="A312" s="71"/>
      <c r="B312" s="139" t="s">
        <v>2916</v>
      </c>
      <c r="C312" s="71" t="s">
        <v>52</v>
      </c>
      <c r="D312" s="71" t="s">
        <v>2917</v>
      </c>
      <c r="E312" s="71">
        <v>10000</v>
      </c>
      <c r="F312" s="71">
        <v>2</v>
      </c>
      <c r="G312" s="71">
        <v>9</v>
      </c>
      <c r="H312" s="71">
        <v>2018</v>
      </c>
      <c r="I312" s="71">
        <v>2020</v>
      </c>
      <c r="J312" s="71" t="s">
        <v>320</v>
      </c>
      <c r="K312" s="71" t="s">
        <v>320</v>
      </c>
      <c r="L312" s="71" t="s">
        <v>320</v>
      </c>
      <c r="M312" s="71" t="s">
        <v>320</v>
      </c>
      <c r="N312" s="71"/>
      <c r="O312" s="71"/>
      <c r="P312" s="71"/>
      <c r="Q312" s="71"/>
      <c r="R312" s="71"/>
      <c r="S312" s="86"/>
      <c r="T312" s="86"/>
      <c r="U312" s="86"/>
      <c r="V312" s="56"/>
      <c r="W312" s="61" t="str">
        <f t="shared" si="74"/>
        <v>N</v>
      </c>
    </row>
    <row r="313" ht="15" customHeight="1" spans="1:23">
      <c r="A313" s="71"/>
      <c r="B313" s="73" t="s">
        <v>2897</v>
      </c>
      <c r="C313" s="71" t="s">
        <v>52</v>
      </c>
      <c r="D313" s="71" t="s">
        <v>2917</v>
      </c>
      <c r="E313" s="71">
        <v>10000</v>
      </c>
      <c r="F313" s="71">
        <v>2</v>
      </c>
      <c r="G313" s="71">
        <v>9</v>
      </c>
      <c r="H313" s="71">
        <v>2018</v>
      </c>
      <c r="I313" s="71">
        <v>2020</v>
      </c>
      <c r="J313" s="71" t="s">
        <v>320</v>
      </c>
      <c r="K313" s="71" t="s">
        <v>320</v>
      </c>
      <c r="L313" s="71" t="s">
        <v>320</v>
      </c>
      <c r="M313" s="71" t="s">
        <v>320</v>
      </c>
      <c r="N313" s="71"/>
      <c r="O313" s="71"/>
      <c r="P313" s="71"/>
      <c r="Q313" s="71"/>
      <c r="R313" s="71"/>
      <c r="S313" s="86"/>
      <c r="T313" s="86"/>
      <c r="U313" s="86"/>
      <c r="V313" s="56"/>
      <c r="W313" s="61" t="str">
        <f t="shared" si="74"/>
        <v>N</v>
      </c>
    </row>
    <row r="314" ht="15" customHeight="1" spans="1:23">
      <c r="A314" s="71"/>
      <c r="B314" s="139" t="s">
        <v>879</v>
      </c>
      <c r="C314" s="71" t="s">
        <v>52</v>
      </c>
      <c r="D314" s="71" t="s">
        <v>134</v>
      </c>
      <c r="E314" s="71">
        <v>886</v>
      </c>
      <c r="F314" s="71">
        <f>SUM(F315:F319)</f>
        <v>93</v>
      </c>
      <c r="G314" s="71">
        <f>SUM(G315:G319)</f>
        <v>376</v>
      </c>
      <c r="H314" s="71">
        <v>2018</v>
      </c>
      <c r="I314" s="71">
        <v>2020</v>
      </c>
      <c r="J314" s="71" t="s">
        <v>320</v>
      </c>
      <c r="K314" s="71" t="s">
        <v>320</v>
      </c>
      <c r="L314" s="71" t="s">
        <v>320</v>
      </c>
      <c r="M314" s="71" t="s">
        <v>320</v>
      </c>
      <c r="N314" s="71"/>
      <c r="O314" s="71"/>
      <c r="P314" s="71"/>
      <c r="Q314" s="71"/>
      <c r="R314" s="71"/>
      <c r="S314" s="86"/>
      <c r="T314" s="86"/>
      <c r="U314" s="86"/>
      <c r="V314" s="56"/>
      <c r="W314" s="61" t="str">
        <f t="shared" si="74"/>
        <v>N</v>
      </c>
    </row>
    <row r="315" ht="15" customHeight="1" spans="1:23">
      <c r="A315" s="71"/>
      <c r="B315" s="73" t="s">
        <v>2897</v>
      </c>
      <c r="C315" s="71" t="s">
        <v>52</v>
      </c>
      <c r="D315" s="71" t="s">
        <v>134</v>
      </c>
      <c r="E315" s="71">
        <v>156</v>
      </c>
      <c r="F315" s="71">
        <v>15</v>
      </c>
      <c r="G315" s="71">
        <v>46</v>
      </c>
      <c r="H315" s="71">
        <v>2018</v>
      </c>
      <c r="I315" s="71">
        <v>2020</v>
      </c>
      <c r="J315" s="71" t="s">
        <v>320</v>
      </c>
      <c r="K315" s="71" t="s">
        <v>320</v>
      </c>
      <c r="L315" s="71" t="s">
        <v>320</v>
      </c>
      <c r="M315" s="71" t="s">
        <v>320</v>
      </c>
      <c r="N315" s="71"/>
      <c r="O315" s="71"/>
      <c r="P315" s="71"/>
      <c r="Q315" s="71"/>
      <c r="R315" s="71"/>
      <c r="S315" s="86"/>
      <c r="T315" s="86"/>
      <c r="U315" s="86"/>
      <c r="V315" s="56"/>
      <c r="W315" s="61" t="str">
        <f t="shared" si="74"/>
        <v>N</v>
      </c>
    </row>
    <row r="316" ht="15" customHeight="1" spans="1:23">
      <c r="A316" s="71"/>
      <c r="B316" s="73" t="s">
        <v>2893</v>
      </c>
      <c r="C316" s="71" t="s">
        <v>52</v>
      </c>
      <c r="D316" s="71" t="s">
        <v>134</v>
      </c>
      <c r="E316" s="71">
        <v>150</v>
      </c>
      <c r="F316" s="71">
        <v>21</v>
      </c>
      <c r="G316" s="71">
        <v>96</v>
      </c>
      <c r="H316" s="71">
        <v>2018</v>
      </c>
      <c r="I316" s="71">
        <v>2020</v>
      </c>
      <c r="J316" s="71" t="s">
        <v>320</v>
      </c>
      <c r="K316" s="71" t="s">
        <v>320</v>
      </c>
      <c r="L316" s="71" t="s">
        <v>320</v>
      </c>
      <c r="M316" s="71" t="s">
        <v>320</v>
      </c>
      <c r="N316" s="71"/>
      <c r="O316" s="71"/>
      <c r="P316" s="71"/>
      <c r="Q316" s="71"/>
      <c r="R316" s="71"/>
      <c r="S316" s="86"/>
      <c r="T316" s="86"/>
      <c r="U316" s="86"/>
      <c r="V316" s="56"/>
      <c r="W316" s="61" t="str">
        <f t="shared" si="74"/>
        <v>N</v>
      </c>
    </row>
    <row r="317" ht="15" customHeight="1" spans="1:23">
      <c r="A317" s="71"/>
      <c r="B317" s="73" t="s">
        <v>2898</v>
      </c>
      <c r="C317" s="71" t="s">
        <v>52</v>
      </c>
      <c r="D317" s="71" t="s">
        <v>134</v>
      </c>
      <c r="E317" s="71">
        <v>470</v>
      </c>
      <c r="F317" s="71">
        <v>46</v>
      </c>
      <c r="G317" s="71">
        <v>189</v>
      </c>
      <c r="H317" s="71">
        <v>2019</v>
      </c>
      <c r="I317" s="71">
        <v>2020</v>
      </c>
      <c r="J317" s="71" t="s">
        <v>320</v>
      </c>
      <c r="K317" s="71" t="s">
        <v>320</v>
      </c>
      <c r="L317" s="71" t="s">
        <v>320</v>
      </c>
      <c r="M317" s="71" t="s">
        <v>320</v>
      </c>
      <c r="N317" s="71"/>
      <c r="O317" s="71"/>
      <c r="P317" s="71"/>
      <c r="Q317" s="71"/>
      <c r="R317" s="71"/>
      <c r="S317" s="86"/>
      <c r="T317" s="86"/>
      <c r="U317" s="86"/>
      <c r="V317" s="56"/>
      <c r="W317" s="61" t="str">
        <f t="shared" si="74"/>
        <v>N</v>
      </c>
    </row>
    <row r="318" ht="15" customHeight="1" spans="1:23">
      <c r="A318" s="71"/>
      <c r="B318" s="73" t="s">
        <v>2894</v>
      </c>
      <c r="C318" s="71" t="s">
        <v>52</v>
      </c>
      <c r="D318" s="71" t="s">
        <v>134</v>
      </c>
      <c r="E318" s="71">
        <v>100</v>
      </c>
      <c r="F318" s="71">
        <v>10</v>
      </c>
      <c r="G318" s="71">
        <v>41</v>
      </c>
      <c r="H318" s="71">
        <v>2018</v>
      </c>
      <c r="I318" s="71">
        <v>2020</v>
      </c>
      <c r="J318" s="71" t="s">
        <v>320</v>
      </c>
      <c r="K318" s="71" t="s">
        <v>320</v>
      </c>
      <c r="L318" s="71" t="s">
        <v>320</v>
      </c>
      <c r="M318" s="71" t="s">
        <v>320</v>
      </c>
      <c r="N318" s="71"/>
      <c r="O318" s="71"/>
      <c r="P318" s="71"/>
      <c r="Q318" s="71"/>
      <c r="R318" s="71"/>
      <c r="S318" s="86"/>
      <c r="T318" s="86"/>
      <c r="U318" s="86"/>
      <c r="V318" s="56"/>
      <c r="W318" s="61" t="str">
        <f t="shared" si="74"/>
        <v>N</v>
      </c>
    </row>
    <row r="319" ht="18" customHeight="1" spans="1:23">
      <c r="A319" s="71"/>
      <c r="B319" s="73" t="s">
        <v>2900</v>
      </c>
      <c r="C319" s="71" t="s">
        <v>52</v>
      </c>
      <c r="D319" s="71" t="s">
        <v>134</v>
      </c>
      <c r="E319" s="71">
        <v>10</v>
      </c>
      <c r="F319" s="71">
        <v>1</v>
      </c>
      <c r="G319" s="71">
        <v>4</v>
      </c>
      <c r="H319" s="71">
        <v>2018</v>
      </c>
      <c r="I319" s="71">
        <v>2020</v>
      </c>
      <c r="J319" s="71" t="s">
        <v>320</v>
      </c>
      <c r="K319" s="71" t="s">
        <v>320</v>
      </c>
      <c r="L319" s="71" t="s">
        <v>320</v>
      </c>
      <c r="M319" s="71" t="s">
        <v>320</v>
      </c>
      <c r="N319" s="71"/>
      <c r="O319" s="71"/>
      <c r="P319" s="71"/>
      <c r="Q319" s="71"/>
      <c r="R319" s="71"/>
      <c r="S319" s="86"/>
      <c r="T319" s="86"/>
      <c r="U319" s="86"/>
      <c r="V319" s="56"/>
      <c r="W319" s="61" t="str">
        <f t="shared" si="74"/>
        <v>N</v>
      </c>
    </row>
    <row r="320" ht="41.25" customHeight="1" spans="1:23">
      <c r="A320" s="71">
        <v>40</v>
      </c>
      <c r="B320" s="73" t="s">
        <v>1129</v>
      </c>
      <c r="C320" s="73" t="s">
        <v>1124</v>
      </c>
      <c r="D320" s="73" t="s">
        <v>1130</v>
      </c>
      <c r="E320" s="73"/>
      <c r="F320" s="73"/>
      <c r="G320" s="73"/>
      <c r="H320" s="73"/>
      <c r="I320" s="73"/>
      <c r="J320" s="73" t="s">
        <v>320</v>
      </c>
      <c r="K320" s="73" t="s">
        <v>320</v>
      </c>
      <c r="L320" s="73" t="s">
        <v>320</v>
      </c>
      <c r="M320" s="73" t="s">
        <v>320</v>
      </c>
      <c r="N320" s="73"/>
      <c r="O320" s="73"/>
      <c r="P320" s="73"/>
      <c r="Q320" s="73"/>
      <c r="R320" s="73"/>
      <c r="S320" s="86"/>
      <c r="T320" s="86"/>
      <c r="U320" s="73" t="s">
        <v>43</v>
      </c>
      <c r="V320" s="71"/>
      <c r="W320" s="61" t="str">
        <f t="shared" si="74"/>
        <v>N</v>
      </c>
    </row>
    <row r="321" ht="49.5" customHeight="1" spans="1:23">
      <c r="A321" s="71">
        <v>41</v>
      </c>
      <c r="B321" s="73" t="s">
        <v>146</v>
      </c>
      <c r="C321" s="71" t="s">
        <v>52</v>
      </c>
      <c r="D321" s="71" t="s">
        <v>1130</v>
      </c>
      <c r="E321" s="71" t="s">
        <v>320</v>
      </c>
      <c r="F321" s="73">
        <f>F322+F328</f>
        <v>983</v>
      </c>
      <c r="G321" s="73">
        <f>G322+G328</f>
        <v>3829</v>
      </c>
      <c r="H321" s="73">
        <v>2019</v>
      </c>
      <c r="I321" s="73">
        <v>2020</v>
      </c>
      <c r="J321" s="71">
        <f>K321+L321+M321</f>
        <v>26</v>
      </c>
      <c r="K321" s="71">
        <f t="shared" ref="K321:R321" si="75">K322+K328</f>
        <v>6</v>
      </c>
      <c r="L321" s="71">
        <f t="shared" si="75"/>
        <v>20</v>
      </c>
      <c r="M321" s="71">
        <f t="shared" si="75"/>
        <v>0</v>
      </c>
      <c r="N321" s="71">
        <f t="shared" si="75"/>
        <v>10</v>
      </c>
      <c r="O321" s="71">
        <f t="shared" si="75"/>
        <v>16</v>
      </c>
      <c r="P321" s="71">
        <f t="shared" si="75"/>
        <v>0</v>
      </c>
      <c r="Q321" s="71">
        <f t="shared" si="75"/>
        <v>0</v>
      </c>
      <c r="R321" s="71">
        <f t="shared" si="75"/>
        <v>0</v>
      </c>
      <c r="S321" s="86"/>
      <c r="T321" s="86"/>
      <c r="U321" s="86" t="s">
        <v>1133</v>
      </c>
      <c r="V321" s="56"/>
      <c r="W321" s="61" t="str">
        <f t="shared" si="74"/>
        <v>Y</v>
      </c>
    </row>
    <row r="322" ht="27" customHeight="1" spans="1:23">
      <c r="A322" s="71"/>
      <c r="B322" s="71" t="s">
        <v>2918</v>
      </c>
      <c r="C322" s="139" t="s">
        <v>52</v>
      </c>
      <c r="D322" s="71" t="s">
        <v>150</v>
      </c>
      <c r="E322" s="71">
        <v>5</v>
      </c>
      <c r="F322" s="71">
        <f>SUM(F323:F327)</f>
        <v>955</v>
      </c>
      <c r="G322" s="71">
        <f>SUM(G323:G327)</f>
        <v>3731</v>
      </c>
      <c r="H322" s="71">
        <v>2018</v>
      </c>
      <c r="I322" s="71">
        <v>2019</v>
      </c>
      <c r="J322" s="71">
        <v>10</v>
      </c>
      <c r="K322" s="71">
        <v>6</v>
      </c>
      <c r="L322" s="71">
        <v>4</v>
      </c>
      <c r="M322" s="71">
        <v>0</v>
      </c>
      <c r="N322" s="71">
        <f>J322</f>
        <v>10</v>
      </c>
      <c r="O322" s="71"/>
      <c r="P322" s="71"/>
      <c r="Q322" s="71"/>
      <c r="R322" s="71"/>
      <c r="S322" s="86" t="s">
        <v>2901</v>
      </c>
      <c r="T322" s="86"/>
      <c r="U322" s="86"/>
      <c r="V322" s="56"/>
      <c r="W322" s="61" t="str">
        <f t="shared" si="74"/>
        <v>Y</v>
      </c>
    </row>
    <row r="323" ht="15" customHeight="1" spans="1:23">
      <c r="A323" s="71"/>
      <c r="B323" s="73" t="s">
        <v>2894</v>
      </c>
      <c r="C323" s="139" t="s">
        <v>52</v>
      </c>
      <c r="D323" s="71" t="s">
        <v>150</v>
      </c>
      <c r="E323" s="71">
        <v>1</v>
      </c>
      <c r="F323" s="71">
        <v>210</v>
      </c>
      <c r="G323" s="71">
        <v>809</v>
      </c>
      <c r="H323" s="71">
        <v>2018</v>
      </c>
      <c r="I323" s="71">
        <v>2018</v>
      </c>
      <c r="J323" s="71">
        <v>2</v>
      </c>
      <c r="K323" s="71">
        <v>2</v>
      </c>
      <c r="L323" s="71">
        <v>0</v>
      </c>
      <c r="M323" s="71">
        <v>0</v>
      </c>
      <c r="N323" s="71"/>
      <c r="O323" s="71"/>
      <c r="P323" s="71"/>
      <c r="Q323" s="71"/>
      <c r="R323" s="71"/>
      <c r="S323" s="86"/>
      <c r="T323" s="86"/>
      <c r="U323" s="86"/>
      <c r="V323" s="56"/>
      <c r="W323" s="61" t="str">
        <f t="shared" si="74"/>
        <v>N</v>
      </c>
    </row>
    <row r="324" ht="15" customHeight="1" spans="1:23">
      <c r="A324" s="71"/>
      <c r="B324" s="73" t="s">
        <v>2897</v>
      </c>
      <c r="C324" s="139" t="s">
        <v>52</v>
      </c>
      <c r="D324" s="71" t="s">
        <v>150</v>
      </c>
      <c r="E324" s="101">
        <v>1</v>
      </c>
      <c r="F324" s="71">
        <v>247</v>
      </c>
      <c r="G324" s="71">
        <v>974</v>
      </c>
      <c r="H324" s="71">
        <v>2019</v>
      </c>
      <c r="I324" s="71">
        <v>2019</v>
      </c>
      <c r="J324" s="71">
        <v>2</v>
      </c>
      <c r="K324" s="71">
        <v>0</v>
      </c>
      <c r="L324" s="71">
        <v>2</v>
      </c>
      <c r="M324" s="71">
        <v>0</v>
      </c>
      <c r="N324" s="71"/>
      <c r="O324" s="71"/>
      <c r="P324" s="71"/>
      <c r="Q324" s="71"/>
      <c r="R324" s="71"/>
      <c r="S324" s="86"/>
      <c r="T324" s="86"/>
      <c r="U324" s="86"/>
      <c r="V324" s="56"/>
      <c r="W324" s="61" t="str">
        <f t="shared" si="74"/>
        <v>N</v>
      </c>
    </row>
    <row r="325" ht="15" customHeight="1" spans="1:23">
      <c r="A325" s="71"/>
      <c r="B325" s="73" t="s">
        <v>2893</v>
      </c>
      <c r="C325" s="139" t="s">
        <v>52</v>
      </c>
      <c r="D325" s="71" t="s">
        <v>150</v>
      </c>
      <c r="E325" s="71">
        <v>1</v>
      </c>
      <c r="F325" s="71">
        <v>238</v>
      </c>
      <c r="G325" s="71">
        <v>965</v>
      </c>
      <c r="H325" s="71">
        <v>2018</v>
      </c>
      <c r="I325" s="71">
        <v>2018</v>
      </c>
      <c r="J325" s="71">
        <v>2</v>
      </c>
      <c r="K325" s="71">
        <v>2</v>
      </c>
      <c r="L325" s="71">
        <v>0</v>
      </c>
      <c r="M325" s="71">
        <v>0</v>
      </c>
      <c r="N325" s="71"/>
      <c r="O325" s="71"/>
      <c r="P325" s="71"/>
      <c r="Q325" s="71"/>
      <c r="R325" s="71"/>
      <c r="S325" s="86"/>
      <c r="T325" s="86"/>
      <c r="U325" s="86"/>
      <c r="V325" s="56"/>
      <c r="W325" s="61" t="str">
        <f t="shared" si="74"/>
        <v>N</v>
      </c>
    </row>
    <row r="326" ht="15" customHeight="1" spans="1:23">
      <c r="A326" s="71"/>
      <c r="B326" s="73" t="s">
        <v>2898</v>
      </c>
      <c r="C326" s="139" t="s">
        <v>52</v>
      </c>
      <c r="D326" s="71" t="s">
        <v>150</v>
      </c>
      <c r="E326" s="71">
        <v>1</v>
      </c>
      <c r="F326" s="71">
        <v>210</v>
      </c>
      <c r="G326" s="71">
        <v>804</v>
      </c>
      <c r="H326" s="71">
        <v>2018</v>
      </c>
      <c r="I326" s="71">
        <v>2018</v>
      </c>
      <c r="J326" s="71">
        <v>2</v>
      </c>
      <c r="K326" s="71">
        <v>2</v>
      </c>
      <c r="L326" s="67">
        <v>0</v>
      </c>
      <c r="M326" s="71">
        <v>0</v>
      </c>
      <c r="N326" s="71"/>
      <c r="O326" s="71"/>
      <c r="P326" s="71"/>
      <c r="Q326" s="71"/>
      <c r="R326" s="71"/>
      <c r="S326" s="86"/>
      <c r="T326" s="86"/>
      <c r="U326" s="86"/>
      <c r="V326" s="56"/>
      <c r="W326" s="61" t="str">
        <f t="shared" si="74"/>
        <v>N</v>
      </c>
    </row>
    <row r="327" ht="15" customHeight="1" spans="1:23">
      <c r="A327" s="71"/>
      <c r="B327" s="73" t="s">
        <v>2900</v>
      </c>
      <c r="C327" s="139" t="s">
        <v>52</v>
      </c>
      <c r="D327" s="71" t="s">
        <v>150</v>
      </c>
      <c r="E327" s="71">
        <v>1</v>
      </c>
      <c r="F327" s="71">
        <v>50</v>
      </c>
      <c r="G327" s="71">
        <v>179</v>
      </c>
      <c r="H327" s="71">
        <v>2019</v>
      </c>
      <c r="I327" s="71">
        <v>2019</v>
      </c>
      <c r="J327" s="71">
        <v>2</v>
      </c>
      <c r="K327" s="71">
        <v>0</v>
      </c>
      <c r="L327" s="71">
        <v>2</v>
      </c>
      <c r="M327" s="71">
        <v>0</v>
      </c>
      <c r="N327" s="71"/>
      <c r="O327" s="71"/>
      <c r="P327" s="71"/>
      <c r="Q327" s="71"/>
      <c r="R327" s="71"/>
      <c r="S327" s="86"/>
      <c r="T327" s="86"/>
      <c r="U327" s="86"/>
      <c r="V327" s="56"/>
      <c r="W327" s="61" t="str">
        <f t="shared" si="74"/>
        <v>N</v>
      </c>
    </row>
    <row r="328" s="68" customFormat="1" ht="30.95" customHeight="1" spans="1:22">
      <c r="A328" s="71"/>
      <c r="B328" s="73" t="s">
        <v>2919</v>
      </c>
      <c r="C328" s="139" t="s">
        <v>52</v>
      </c>
      <c r="D328" s="71" t="s">
        <v>150</v>
      </c>
      <c r="E328" s="71">
        <v>1</v>
      </c>
      <c r="F328" s="71">
        <v>28</v>
      </c>
      <c r="G328" s="71">
        <v>98</v>
      </c>
      <c r="H328" s="71">
        <v>2019</v>
      </c>
      <c r="I328" s="71">
        <v>2020</v>
      </c>
      <c r="J328" s="71">
        <v>16</v>
      </c>
      <c r="K328" s="71">
        <v>0</v>
      </c>
      <c r="L328" s="71">
        <v>16</v>
      </c>
      <c r="M328" s="71">
        <v>0</v>
      </c>
      <c r="N328" s="71"/>
      <c r="O328" s="71">
        <v>16</v>
      </c>
      <c r="P328" s="71"/>
      <c r="Q328" s="71"/>
      <c r="R328" s="71"/>
      <c r="S328" s="86" t="s">
        <v>2920</v>
      </c>
      <c r="T328" s="86" t="s">
        <v>2890</v>
      </c>
      <c r="U328" s="71" t="s">
        <v>43</v>
      </c>
      <c r="V328" s="56" t="s">
        <v>2885</v>
      </c>
    </row>
    <row r="329" ht="26.1" customHeight="1" spans="1:23">
      <c r="A329" s="71">
        <v>42</v>
      </c>
      <c r="B329" s="74" t="s">
        <v>893</v>
      </c>
      <c r="C329" s="71" t="s">
        <v>52</v>
      </c>
      <c r="D329" s="71" t="s">
        <v>150</v>
      </c>
      <c r="E329" s="71">
        <v>10</v>
      </c>
      <c r="F329" s="71">
        <f>SUM(F330:F339)</f>
        <v>1346</v>
      </c>
      <c r="G329" s="71">
        <f>SUM(G330:G339)</f>
        <v>5192</v>
      </c>
      <c r="H329" s="71">
        <v>2018</v>
      </c>
      <c r="I329" s="71">
        <v>2018</v>
      </c>
      <c r="J329" s="71">
        <f>SUM(J330:J339)</f>
        <v>403.8</v>
      </c>
      <c r="K329" s="71">
        <f t="shared" ref="K329:R329" si="76">SUM(K330:K339)</f>
        <v>110.7</v>
      </c>
      <c r="L329" s="71">
        <f t="shared" si="76"/>
        <v>293.1</v>
      </c>
      <c r="M329" s="71">
        <f t="shared" si="76"/>
        <v>0</v>
      </c>
      <c r="N329" s="71">
        <f t="shared" si="76"/>
        <v>0</v>
      </c>
      <c r="O329" s="71">
        <f>J329</f>
        <v>403.8</v>
      </c>
      <c r="P329" s="71">
        <f t="shared" si="76"/>
        <v>0</v>
      </c>
      <c r="Q329" s="71">
        <f t="shared" si="76"/>
        <v>0</v>
      </c>
      <c r="R329" s="71">
        <f t="shared" si="76"/>
        <v>0</v>
      </c>
      <c r="S329" s="86" t="s">
        <v>2890</v>
      </c>
      <c r="T329" s="86" t="s">
        <v>2921</v>
      </c>
      <c r="U329" s="71" t="s">
        <v>43</v>
      </c>
      <c r="V329" s="71"/>
      <c r="W329" s="61" t="str">
        <f>IF(SUM(N329:R329)=J329,"Y","N")</f>
        <v>Y</v>
      </c>
    </row>
    <row r="330" ht="26.1" customHeight="1" spans="1:23">
      <c r="A330" s="71"/>
      <c r="B330" s="73" t="s">
        <v>2922</v>
      </c>
      <c r="C330" s="71" t="s">
        <v>52</v>
      </c>
      <c r="D330" s="71" t="s">
        <v>384</v>
      </c>
      <c r="E330" s="71">
        <v>162</v>
      </c>
      <c r="F330" s="71">
        <v>162</v>
      </c>
      <c r="G330" s="71">
        <v>636</v>
      </c>
      <c r="H330" s="71">
        <v>2018</v>
      </c>
      <c r="I330" s="71">
        <v>2018</v>
      </c>
      <c r="J330" s="71">
        <v>48.6</v>
      </c>
      <c r="K330" s="71">
        <v>48.6</v>
      </c>
      <c r="L330" s="71">
        <v>0</v>
      </c>
      <c r="M330" s="71">
        <v>0</v>
      </c>
      <c r="N330" s="71"/>
      <c r="O330" s="71"/>
      <c r="P330" s="71"/>
      <c r="Q330" s="71"/>
      <c r="R330" s="71"/>
      <c r="S330" s="86"/>
      <c r="T330" s="86"/>
      <c r="U330" s="71"/>
      <c r="V330" s="56" t="s">
        <v>2923</v>
      </c>
      <c r="W330" s="61" t="str">
        <f>IF(SUM(N330:R330)=J330,"Y","N")</f>
        <v>N</v>
      </c>
    </row>
    <row r="331" ht="26.1" customHeight="1" spans="1:23">
      <c r="A331" s="71"/>
      <c r="B331" s="73" t="s">
        <v>2924</v>
      </c>
      <c r="C331" s="71" t="s">
        <v>52</v>
      </c>
      <c r="D331" s="71" t="s">
        <v>384</v>
      </c>
      <c r="E331" s="71">
        <v>103</v>
      </c>
      <c r="F331" s="71">
        <v>103</v>
      </c>
      <c r="G331" s="71">
        <v>392</v>
      </c>
      <c r="H331" s="71">
        <v>2018</v>
      </c>
      <c r="I331" s="71">
        <v>2018</v>
      </c>
      <c r="J331" s="71">
        <v>30.9</v>
      </c>
      <c r="K331" s="71">
        <v>30.9</v>
      </c>
      <c r="L331" s="71">
        <v>0</v>
      </c>
      <c r="M331" s="71">
        <v>0</v>
      </c>
      <c r="N331" s="71"/>
      <c r="O331" s="71"/>
      <c r="P331" s="71"/>
      <c r="Q331" s="71"/>
      <c r="R331" s="71"/>
      <c r="S331" s="86"/>
      <c r="T331" s="86"/>
      <c r="U331" s="71"/>
      <c r="V331" s="56" t="s">
        <v>2923</v>
      </c>
      <c r="W331" s="61" t="str">
        <f>IF(SUM(N331:R331)=J331,"Y","N")</f>
        <v>N</v>
      </c>
    </row>
    <row r="332" ht="26.1" customHeight="1" spans="1:23">
      <c r="A332" s="71"/>
      <c r="B332" s="73" t="s">
        <v>2925</v>
      </c>
      <c r="C332" s="71" t="s">
        <v>52</v>
      </c>
      <c r="D332" s="71" t="s">
        <v>384</v>
      </c>
      <c r="E332" s="71">
        <v>104</v>
      </c>
      <c r="F332" s="71">
        <v>104</v>
      </c>
      <c r="G332" s="71">
        <v>402</v>
      </c>
      <c r="H332" s="71">
        <v>2018</v>
      </c>
      <c r="I332" s="71">
        <v>2018</v>
      </c>
      <c r="J332" s="71">
        <v>31.2</v>
      </c>
      <c r="K332" s="71">
        <v>31.2</v>
      </c>
      <c r="L332" s="71">
        <v>0</v>
      </c>
      <c r="M332" s="71">
        <v>0</v>
      </c>
      <c r="N332" s="71"/>
      <c r="O332" s="71"/>
      <c r="P332" s="71"/>
      <c r="Q332" s="71"/>
      <c r="R332" s="71"/>
      <c r="S332" s="86"/>
      <c r="T332" s="86"/>
      <c r="U332" s="71"/>
      <c r="V332" s="56" t="s">
        <v>2923</v>
      </c>
      <c r="W332" s="61" t="str">
        <f>IF(SUM(N332:R332)=J332,"Y","N")</f>
        <v>N</v>
      </c>
    </row>
    <row r="333" s="68" customFormat="1" ht="26.1" customHeight="1" spans="1:22">
      <c r="A333" s="71"/>
      <c r="B333" s="73" t="s">
        <v>2926</v>
      </c>
      <c r="C333" s="71" t="s">
        <v>52</v>
      </c>
      <c r="D333" s="71" t="s">
        <v>384</v>
      </c>
      <c r="E333" s="140">
        <v>201</v>
      </c>
      <c r="F333" s="140">
        <v>201</v>
      </c>
      <c r="G333" s="140">
        <v>703</v>
      </c>
      <c r="H333" s="71">
        <v>2019</v>
      </c>
      <c r="I333" s="71">
        <v>2019</v>
      </c>
      <c r="J333" s="140">
        <v>60.3</v>
      </c>
      <c r="K333" s="71">
        <v>0</v>
      </c>
      <c r="L333" s="140">
        <v>60.3</v>
      </c>
      <c r="M333" s="71">
        <v>0</v>
      </c>
      <c r="N333" s="71"/>
      <c r="O333" s="71"/>
      <c r="P333" s="71"/>
      <c r="Q333" s="71"/>
      <c r="R333" s="71"/>
      <c r="S333" s="86"/>
      <c r="T333" s="86"/>
      <c r="U333" s="71"/>
      <c r="V333" s="56" t="s">
        <v>2927</v>
      </c>
    </row>
    <row r="334" s="68" customFormat="1" ht="26.1" customHeight="1" spans="1:22">
      <c r="A334" s="71"/>
      <c r="B334" s="73" t="s">
        <v>2928</v>
      </c>
      <c r="C334" s="71" t="s">
        <v>52</v>
      </c>
      <c r="D334" s="71" t="s">
        <v>384</v>
      </c>
      <c r="E334" s="140">
        <v>106</v>
      </c>
      <c r="F334" s="140">
        <v>106</v>
      </c>
      <c r="G334" s="140">
        <v>407</v>
      </c>
      <c r="H334" s="71">
        <v>2019</v>
      </c>
      <c r="I334" s="71">
        <v>2019</v>
      </c>
      <c r="J334" s="140">
        <v>31.8</v>
      </c>
      <c r="K334" s="71">
        <v>0</v>
      </c>
      <c r="L334" s="140">
        <v>31.8</v>
      </c>
      <c r="M334" s="71">
        <v>0</v>
      </c>
      <c r="N334" s="71"/>
      <c r="O334" s="71"/>
      <c r="P334" s="71"/>
      <c r="Q334" s="71"/>
      <c r="R334" s="71"/>
      <c r="S334" s="86"/>
      <c r="T334" s="86"/>
      <c r="U334" s="71"/>
      <c r="V334" s="56" t="s">
        <v>2927</v>
      </c>
    </row>
    <row r="335" s="68" customFormat="1" ht="26.1" customHeight="1" spans="1:22">
      <c r="A335" s="71"/>
      <c r="B335" s="73" t="s">
        <v>2929</v>
      </c>
      <c r="C335" s="71" t="s">
        <v>52</v>
      </c>
      <c r="D335" s="71" t="s">
        <v>384</v>
      </c>
      <c r="E335" s="140">
        <v>76</v>
      </c>
      <c r="F335" s="140">
        <v>76</v>
      </c>
      <c r="G335" s="140">
        <v>329</v>
      </c>
      <c r="H335" s="71">
        <v>2019</v>
      </c>
      <c r="I335" s="71">
        <v>2019</v>
      </c>
      <c r="J335" s="140">
        <v>22.8</v>
      </c>
      <c r="K335" s="71">
        <v>0</v>
      </c>
      <c r="L335" s="140">
        <v>22.8</v>
      </c>
      <c r="M335" s="71">
        <v>0</v>
      </c>
      <c r="N335" s="71"/>
      <c r="O335" s="71"/>
      <c r="P335" s="71"/>
      <c r="Q335" s="71"/>
      <c r="R335" s="71"/>
      <c r="S335" s="86"/>
      <c r="T335" s="86"/>
      <c r="U335" s="71"/>
      <c r="V335" s="56" t="s">
        <v>2927</v>
      </c>
    </row>
    <row r="336" s="68" customFormat="1" ht="26.1" customHeight="1" spans="1:22">
      <c r="A336" s="71"/>
      <c r="B336" s="73" t="s">
        <v>2930</v>
      </c>
      <c r="C336" s="71" t="s">
        <v>52</v>
      </c>
      <c r="D336" s="71" t="s">
        <v>384</v>
      </c>
      <c r="E336" s="140">
        <v>190</v>
      </c>
      <c r="F336" s="140">
        <v>190</v>
      </c>
      <c r="G336" s="140">
        <v>758</v>
      </c>
      <c r="H336" s="71">
        <v>2019</v>
      </c>
      <c r="I336" s="71">
        <v>2019</v>
      </c>
      <c r="J336" s="140">
        <v>57</v>
      </c>
      <c r="K336" s="71">
        <v>0</v>
      </c>
      <c r="L336" s="140">
        <v>57</v>
      </c>
      <c r="M336" s="71">
        <v>0</v>
      </c>
      <c r="N336" s="71"/>
      <c r="O336" s="71"/>
      <c r="P336" s="71"/>
      <c r="Q336" s="71"/>
      <c r="R336" s="71"/>
      <c r="S336" s="86"/>
      <c r="T336" s="86"/>
      <c r="U336" s="71"/>
      <c r="V336" s="56" t="s">
        <v>2927</v>
      </c>
    </row>
    <row r="337" s="68" customFormat="1" ht="26.1" customHeight="1" spans="1:22">
      <c r="A337" s="71"/>
      <c r="B337" s="73" t="s">
        <v>2931</v>
      </c>
      <c r="C337" s="71" t="s">
        <v>52</v>
      </c>
      <c r="D337" s="71" t="s">
        <v>384</v>
      </c>
      <c r="E337" s="140">
        <v>50</v>
      </c>
      <c r="F337" s="140">
        <v>50</v>
      </c>
      <c r="G337" s="140">
        <v>179</v>
      </c>
      <c r="H337" s="71">
        <v>2019</v>
      </c>
      <c r="I337" s="71">
        <v>2019</v>
      </c>
      <c r="J337" s="140">
        <v>15</v>
      </c>
      <c r="K337" s="71">
        <v>0</v>
      </c>
      <c r="L337" s="140">
        <v>15</v>
      </c>
      <c r="M337" s="71">
        <v>0</v>
      </c>
      <c r="N337" s="71"/>
      <c r="O337" s="71"/>
      <c r="P337" s="71"/>
      <c r="Q337" s="71"/>
      <c r="R337" s="71"/>
      <c r="S337" s="86"/>
      <c r="T337" s="86"/>
      <c r="U337" s="71"/>
      <c r="V337" s="56" t="s">
        <v>2927</v>
      </c>
    </row>
    <row r="338" s="68" customFormat="1" ht="26.1" customHeight="1" spans="1:22">
      <c r="A338" s="71"/>
      <c r="B338" s="73" t="s">
        <v>2932</v>
      </c>
      <c r="C338" s="71" t="s">
        <v>52</v>
      </c>
      <c r="D338" s="71" t="s">
        <v>384</v>
      </c>
      <c r="E338" s="140">
        <v>107</v>
      </c>
      <c r="F338" s="140">
        <v>107</v>
      </c>
      <c r="G338" s="140">
        <v>412</v>
      </c>
      <c r="H338" s="71">
        <v>2019</v>
      </c>
      <c r="I338" s="71">
        <v>2019</v>
      </c>
      <c r="J338" s="140">
        <v>32.1</v>
      </c>
      <c r="K338" s="71">
        <v>0</v>
      </c>
      <c r="L338" s="140">
        <v>32.1</v>
      </c>
      <c r="M338" s="71">
        <v>0</v>
      </c>
      <c r="N338" s="71"/>
      <c r="O338" s="71"/>
      <c r="P338" s="71"/>
      <c r="Q338" s="71"/>
      <c r="R338" s="71"/>
      <c r="S338" s="86"/>
      <c r="T338" s="86"/>
      <c r="U338" s="71"/>
      <c r="V338" s="56" t="s">
        <v>2927</v>
      </c>
    </row>
    <row r="339" s="68" customFormat="1" ht="26.1" customHeight="1" spans="1:22">
      <c r="A339" s="71"/>
      <c r="B339" s="73" t="s">
        <v>2933</v>
      </c>
      <c r="C339" s="71" t="s">
        <v>52</v>
      </c>
      <c r="D339" s="71" t="s">
        <v>384</v>
      </c>
      <c r="E339" s="140">
        <v>247</v>
      </c>
      <c r="F339" s="140">
        <v>247</v>
      </c>
      <c r="G339" s="140">
        <v>974</v>
      </c>
      <c r="H339" s="71">
        <v>2019</v>
      </c>
      <c r="I339" s="71">
        <v>2019</v>
      </c>
      <c r="J339" s="140">
        <v>74.1</v>
      </c>
      <c r="K339" s="71">
        <v>0</v>
      </c>
      <c r="L339" s="140">
        <v>74.1</v>
      </c>
      <c r="M339" s="71">
        <v>0</v>
      </c>
      <c r="N339" s="71"/>
      <c r="O339" s="71"/>
      <c r="P339" s="71"/>
      <c r="Q339" s="71"/>
      <c r="R339" s="71"/>
      <c r="S339" s="86"/>
      <c r="T339" s="86"/>
      <c r="U339" s="71"/>
      <c r="V339" s="56" t="s">
        <v>2927</v>
      </c>
    </row>
    <row r="340" ht="23.25" customHeight="1" spans="1:23">
      <c r="A340" s="71">
        <v>43</v>
      </c>
      <c r="B340" s="74" t="s">
        <v>158</v>
      </c>
      <c r="C340" s="71" t="s">
        <v>52</v>
      </c>
      <c r="D340" s="71" t="s">
        <v>163</v>
      </c>
      <c r="E340" s="141">
        <v>1720</v>
      </c>
      <c r="F340" s="141">
        <v>398</v>
      </c>
      <c r="G340" s="141">
        <v>1391</v>
      </c>
      <c r="H340" s="141">
        <v>2018</v>
      </c>
      <c r="I340" s="141">
        <v>2020</v>
      </c>
      <c r="J340" s="144">
        <f>SUM(K340:M340)</f>
        <v>119.008926</v>
      </c>
      <c r="K340" s="144">
        <v>28.94</v>
      </c>
      <c r="L340" s="144">
        <v>40.45438</v>
      </c>
      <c r="M340" s="144">
        <v>49.614546</v>
      </c>
      <c r="N340" s="145"/>
      <c r="O340" s="145">
        <f>J340</f>
        <v>119.008926</v>
      </c>
      <c r="P340" s="145"/>
      <c r="Q340" s="145"/>
      <c r="R340" s="147"/>
      <c r="S340" s="86" t="s">
        <v>2934</v>
      </c>
      <c r="T340" s="86" t="s">
        <v>2935</v>
      </c>
      <c r="U340" s="71" t="s">
        <v>160</v>
      </c>
      <c r="V340" s="56" t="s">
        <v>1819</v>
      </c>
      <c r="W340" s="61" t="str">
        <f t="shared" ref="W340:W360" si="77">IF(SUM(N340:R340)=J340,"Y","N")</f>
        <v>Y</v>
      </c>
    </row>
    <row r="341" ht="15" customHeight="1" spans="1:23">
      <c r="A341" s="71"/>
      <c r="B341" s="73" t="s">
        <v>2892</v>
      </c>
      <c r="C341" s="71" t="s">
        <v>52</v>
      </c>
      <c r="D341" s="71" t="s">
        <v>163</v>
      </c>
      <c r="E341" s="71">
        <v>434</v>
      </c>
      <c r="F341" s="71">
        <v>94</v>
      </c>
      <c r="G341" s="71">
        <v>327</v>
      </c>
      <c r="H341" s="141">
        <v>2018</v>
      </c>
      <c r="I341" s="141">
        <v>2020</v>
      </c>
      <c r="J341" s="146">
        <f t="shared" ref="J341:J347" si="78">SUM(K341:M341)</f>
        <v>30.028996444186</v>
      </c>
      <c r="K341" s="146">
        <f t="shared" ref="K341:K347" si="79">(E341*K340)/E340</f>
        <v>7.3023023255814</v>
      </c>
      <c r="L341" s="146">
        <f t="shared" ref="L341:L347" si="80">(E341/E340)*L340</f>
        <v>10.2076749534884</v>
      </c>
      <c r="M341" s="146">
        <f t="shared" ref="M341:M347" si="81">(E341/E340)*M340</f>
        <v>12.5190191651163</v>
      </c>
      <c r="N341" s="71"/>
      <c r="O341" s="71"/>
      <c r="P341" s="71"/>
      <c r="Q341" s="71"/>
      <c r="R341" s="71"/>
      <c r="S341" s="71"/>
      <c r="T341" s="71"/>
      <c r="U341" s="71"/>
      <c r="V341" s="56" t="s">
        <v>1819</v>
      </c>
      <c r="W341" s="61" t="str">
        <f t="shared" si="77"/>
        <v>N</v>
      </c>
    </row>
    <row r="342" ht="15" customHeight="1" spans="1:23">
      <c r="A342" s="71"/>
      <c r="B342" s="73" t="s">
        <v>2897</v>
      </c>
      <c r="C342" s="71" t="s">
        <v>52</v>
      </c>
      <c r="D342" s="71" t="s">
        <v>163</v>
      </c>
      <c r="E342" s="71">
        <v>245</v>
      </c>
      <c r="F342" s="71">
        <v>63</v>
      </c>
      <c r="G342" s="71">
        <v>220</v>
      </c>
      <c r="H342" s="141">
        <v>2018</v>
      </c>
      <c r="I342" s="141">
        <v>2020</v>
      </c>
      <c r="J342" s="146">
        <f t="shared" si="78"/>
        <v>16.9518528313953</v>
      </c>
      <c r="K342" s="146">
        <f t="shared" si="79"/>
        <v>4.12226744186047</v>
      </c>
      <c r="L342" s="146">
        <f t="shared" si="80"/>
        <v>5.76239715116279</v>
      </c>
      <c r="M342" s="146">
        <f t="shared" si="81"/>
        <v>7.06718823837209</v>
      </c>
      <c r="N342" s="71"/>
      <c r="O342" s="71"/>
      <c r="P342" s="71"/>
      <c r="Q342" s="71"/>
      <c r="R342" s="71"/>
      <c r="S342" s="71"/>
      <c r="T342" s="71"/>
      <c r="U342" s="71"/>
      <c r="V342" s="56" t="s">
        <v>1819</v>
      </c>
      <c r="W342" s="61" t="str">
        <f t="shared" si="77"/>
        <v>N</v>
      </c>
    </row>
    <row r="343" ht="15" customHeight="1" spans="1:23">
      <c r="A343" s="71"/>
      <c r="B343" s="73" t="s">
        <v>2893</v>
      </c>
      <c r="C343" s="71" t="s">
        <v>52</v>
      </c>
      <c r="D343" s="71" t="s">
        <v>163</v>
      </c>
      <c r="E343" s="71">
        <v>265</v>
      </c>
      <c r="F343" s="71">
        <v>60</v>
      </c>
      <c r="G343" s="71">
        <v>211</v>
      </c>
      <c r="H343" s="141">
        <v>2018</v>
      </c>
      <c r="I343" s="141">
        <v>2020</v>
      </c>
      <c r="J343" s="146">
        <f t="shared" si="78"/>
        <v>18.3356775523256</v>
      </c>
      <c r="K343" s="146">
        <f t="shared" si="79"/>
        <v>4.45877906976744</v>
      </c>
      <c r="L343" s="146">
        <f t="shared" si="80"/>
        <v>6.23279691860465</v>
      </c>
      <c r="M343" s="146">
        <f t="shared" si="81"/>
        <v>7.64410156395349</v>
      </c>
      <c r="N343" s="71"/>
      <c r="O343" s="71"/>
      <c r="P343" s="71"/>
      <c r="Q343" s="71"/>
      <c r="R343" s="71"/>
      <c r="S343" s="71"/>
      <c r="T343" s="71"/>
      <c r="U343" s="71"/>
      <c r="V343" s="56" t="s">
        <v>1819</v>
      </c>
      <c r="W343" s="61" t="str">
        <f t="shared" si="77"/>
        <v>N</v>
      </c>
    </row>
    <row r="344" ht="15" customHeight="1" spans="1:23">
      <c r="A344" s="71"/>
      <c r="B344" s="73" t="s">
        <v>2898</v>
      </c>
      <c r="C344" s="71" t="s">
        <v>52</v>
      </c>
      <c r="D344" s="71" t="s">
        <v>163</v>
      </c>
      <c r="E344" s="71">
        <v>302</v>
      </c>
      <c r="F344" s="71">
        <v>65</v>
      </c>
      <c r="G344" s="71">
        <v>228</v>
      </c>
      <c r="H344" s="141">
        <v>2018</v>
      </c>
      <c r="I344" s="141">
        <v>2020</v>
      </c>
      <c r="J344" s="146">
        <f t="shared" si="78"/>
        <v>20.8957532860465</v>
      </c>
      <c r="K344" s="146">
        <f t="shared" si="79"/>
        <v>5.08132558139535</v>
      </c>
      <c r="L344" s="146">
        <f t="shared" si="80"/>
        <v>7.10303648837209</v>
      </c>
      <c r="M344" s="146">
        <f t="shared" si="81"/>
        <v>8.71139121627907</v>
      </c>
      <c r="N344" s="71"/>
      <c r="O344" s="71"/>
      <c r="P344" s="71"/>
      <c r="Q344" s="71"/>
      <c r="R344" s="71"/>
      <c r="S344" s="71"/>
      <c r="T344" s="71"/>
      <c r="U344" s="71"/>
      <c r="V344" s="56" t="s">
        <v>1819</v>
      </c>
      <c r="W344" s="61" t="str">
        <f t="shared" si="77"/>
        <v>N</v>
      </c>
    </row>
    <row r="345" ht="15" customHeight="1" spans="1:23">
      <c r="A345" s="71"/>
      <c r="B345" s="73" t="s">
        <v>2894</v>
      </c>
      <c r="C345" s="71" t="s">
        <v>52</v>
      </c>
      <c r="D345" s="71" t="s">
        <v>163</v>
      </c>
      <c r="E345" s="71">
        <v>160</v>
      </c>
      <c r="F345" s="71">
        <v>40</v>
      </c>
      <c r="G345" s="71">
        <v>141</v>
      </c>
      <c r="H345" s="141">
        <v>2018</v>
      </c>
      <c r="I345" s="141">
        <v>2020</v>
      </c>
      <c r="J345" s="146">
        <f t="shared" si="78"/>
        <v>11.0705977674419</v>
      </c>
      <c r="K345" s="146">
        <f t="shared" si="79"/>
        <v>2.69209302325581</v>
      </c>
      <c r="L345" s="146">
        <f t="shared" si="80"/>
        <v>3.76319813953488</v>
      </c>
      <c r="M345" s="146">
        <f t="shared" si="81"/>
        <v>4.61530660465116</v>
      </c>
      <c r="N345" s="71"/>
      <c r="O345" s="71"/>
      <c r="P345" s="71"/>
      <c r="Q345" s="71"/>
      <c r="R345" s="71"/>
      <c r="S345" s="71"/>
      <c r="T345" s="71"/>
      <c r="U345" s="71"/>
      <c r="V345" s="56" t="s">
        <v>1819</v>
      </c>
      <c r="W345" s="61" t="str">
        <f t="shared" si="77"/>
        <v>N</v>
      </c>
    </row>
    <row r="346" ht="15" customHeight="1" spans="1:23">
      <c r="A346" s="71"/>
      <c r="B346" s="73" t="s">
        <v>2899</v>
      </c>
      <c r="C346" s="71" t="s">
        <v>52</v>
      </c>
      <c r="D346" s="71" t="s">
        <v>163</v>
      </c>
      <c r="E346" s="71">
        <v>239</v>
      </c>
      <c r="F346" s="71">
        <v>55</v>
      </c>
      <c r="G346" s="71">
        <v>191</v>
      </c>
      <c r="H346" s="141">
        <v>2018</v>
      </c>
      <c r="I346" s="141">
        <v>2020</v>
      </c>
      <c r="J346" s="146">
        <f t="shared" si="78"/>
        <v>16.5367054151163</v>
      </c>
      <c r="K346" s="146">
        <f t="shared" si="79"/>
        <v>4.02131395348837</v>
      </c>
      <c r="L346" s="146">
        <f t="shared" si="80"/>
        <v>5.62127722093023</v>
      </c>
      <c r="M346" s="146">
        <f t="shared" si="81"/>
        <v>6.89411424069767</v>
      </c>
      <c r="N346" s="71"/>
      <c r="O346" s="71"/>
      <c r="P346" s="71"/>
      <c r="Q346" s="71"/>
      <c r="R346" s="71"/>
      <c r="S346" s="71"/>
      <c r="T346" s="71"/>
      <c r="U346" s="71"/>
      <c r="V346" s="56" t="s">
        <v>1819</v>
      </c>
      <c r="W346" s="61" t="str">
        <f t="shared" si="77"/>
        <v>N</v>
      </c>
    </row>
    <row r="347" ht="15" customHeight="1" spans="1:23">
      <c r="A347" s="71"/>
      <c r="B347" s="73" t="s">
        <v>2900</v>
      </c>
      <c r="C347" s="71" t="s">
        <v>52</v>
      </c>
      <c r="D347" s="71" t="s">
        <v>163</v>
      </c>
      <c r="E347" s="71">
        <v>75</v>
      </c>
      <c r="F347" s="71">
        <v>21</v>
      </c>
      <c r="G347" s="71">
        <v>73</v>
      </c>
      <c r="H347" s="141">
        <v>2018</v>
      </c>
      <c r="I347" s="141">
        <v>2020</v>
      </c>
      <c r="J347" s="146">
        <f t="shared" si="78"/>
        <v>5.18934270348837</v>
      </c>
      <c r="K347" s="146">
        <f t="shared" si="79"/>
        <v>1.26191860465116</v>
      </c>
      <c r="L347" s="146">
        <f t="shared" si="80"/>
        <v>1.76399912790698</v>
      </c>
      <c r="M347" s="146">
        <f t="shared" si="81"/>
        <v>2.16342497093023</v>
      </c>
      <c r="N347" s="71"/>
      <c r="O347" s="71"/>
      <c r="P347" s="71"/>
      <c r="Q347" s="71"/>
      <c r="R347" s="71"/>
      <c r="S347" s="71"/>
      <c r="T347" s="71"/>
      <c r="U347" s="71"/>
      <c r="V347" s="56" t="s">
        <v>1819</v>
      </c>
      <c r="W347" s="61" t="str">
        <f t="shared" si="77"/>
        <v>N</v>
      </c>
    </row>
    <row r="348" s="63" customFormat="1" ht="23.25" customHeight="1" spans="1:23">
      <c r="A348" s="76"/>
      <c r="B348" s="74" t="s">
        <v>897</v>
      </c>
      <c r="C348" s="76"/>
      <c r="D348" s="76"/>
      <c r="E348" s="76"/>
      <c r="F348" s="76">
        <f>F349+F357</f>
        <v>683</v>
      </c>
      <c r="G348" s="76">
        <f>G349+G357</f>
        <v>2684</v>
      </c>
      <c r="H348" s="76"/>
      <c r="I348" s="76"/>
      <c r="J348" s="76">
        <f>K348+L348+M348</f>
        <v>2573.94</v>
      </c>
      <c r="K348" s="76">
        <f>K349+K357+K361</f>
        <v>909.94</v>
      </c>
      <c r="L348" s="76">
        <f t="shared" ref="L348:R348" si="82">L349+L357+L361</f>
        <v>1664</v>
      </c>
      <c r="M348" s="76">
        <f t="shared" si="82"/>
        <v>0</v>
      </c>
      <c r="N348" s="76">
        <f t="shared" si="82"/>
        <v>0</v>
      </c>
      <c r="O348" s="76">
        <f t="shared" si="82"/>
        <v>2573.94</v>
      </c>
      <c r="P348" s="76">
        <f t="shared" si="82"/>
        <v>0</v>
      </c>
      <c r="Q348" s="76">
        <f t="shared" si="82"/>
        <v>0</v>
      </c>
      <c r="R348" s="76">
        <f t="shared" si="82"/>
        <v>0</v>
      </c>
      <c r="S348" s="76"/>
      <c r="T348" s="76"/>
      <c r="U348" s="76"/>
      <c r="V348" s="136"/>
      <c r="W348" s="61" t="str">
        <f t="shared" si="77"/>
        <v>Y</v>
      </c>
    </row>
    <row r="349" ht="51" customHeight="1" spans="1:23">
      <c r="A349" s="71">
        <v>63</v>
      </c>
      <c r="B349" s="90" t="s">
        <v>1151</v>
      </c>
      <c r="C349" s="71" t="s">
        <v>1124</v>
      </c>
      <c r="D349" s="71" t="s">
        <v>560</v>
      </c>
      <c r="E349" s="71">
        <f>SUM(E350:E356)</f>
        <v>152317</v>
      </c>
      <c r="F349" s="71">
        <v>612</v>
      </c>
      <c r="G349" s="71">
        <v>2412</v>
      </c>
      <c r="H349" s="71">
        <v>2018</v>
      </c>
      <c r="I349" s="71">
        <v>2019</v>
      </c>
      <c r="J349" s="71">
        <f t="shared" ref="J349:J356" si="83">K349+L349+M349</f>
        <v>1522</v>
      </c>
      <c r="K349" s="71">
        <f t="shared" ref="K349:M349" si="84">SUM(K350:K356)</f>
        <v>356</v>
      </c>
      <c r="L349" s="71">
        <f t="shared" si="84"/>
        <v>1166</v>
      </c>
      <c r="M349" s="71">
        <f t="shared" si="84"/>
        <v>0</v>
      </c>
      <c r="N349" s="71"/>
      <c r="O349" s="71">
        <f t="shared" ref="O349:O356" si="85">J349</f>
        <v>1522</v>
      </c>
      <c r="P349" s="71"/>
      <c r="Q349" s="71"/>
      <c r="R349" s="71"/>
      <c r="S349" s="133" t="s">
        <v>2890</v>
      </c>
      <c r="T349" s="133" t="s">
        <v>2891</v>
      </c>
      <c r="U349" s="86" t="s">
        <v>1153</v>
      </c>
      <c r="V349" s="56" t="s">
        <v>1819</v>
      </c>
      <c r="W349" s="61" t="str">
        <f t="shared" si="77"/>
        <v>Y</v>
      </c>
    </row>
    <row r="350" ht="15.95" customHeight="1" spans="1:23">
      <c r="A350" s="71"/>
      <c r="B350" s="73" t="s">
        <v>2892</v>
      </c>
      <c r="C350" s="71" t="s">
        <v>1124</v>
      </c>
      <c r="D350" s="71" t="s">
        <v>560</v>
      </c>
      <c r="E350" s="71">
        <v>23172</v>
      </c>
      <c r="F350" s="71">
        <v>195</v>
      </c>
      <c r="G350" s="71">
        <v>742</v>
      </c>
      <c r="H350" s="71">
        <v>2018</v>
      </c>
      <c r="I350" s="71">
        <v>2019</v>
      </c>
      <c r="J350" s="71">
        <f t="shared" si="83"/>
        <v>232</v>
      </c>
      <c r="K350" s="71">
        <v>124</v>
      </c>
      <c r="L350" s="71">
        <v>108</v>
      </c>
      <c r="M350" s="71">
        <v>0</v>
      </c>
      <c r="N350" s="71"/>
      <c r="O350" s="71">
        <f t="shared" si="85"/>
        <v>232</v>
      </c>
      <c r="P350" s="71"/>
      <c r="Q350" s="71"/>
      <c r="R350" s="71"/>
      <c r="S350" s="86"/>
      <c r="T350" s="86"/>
      <c r="U350" s="86"/>
      <c r="V350" s="56" t="s">
        <v>1819</v>
      </c>
      <c r="W350" s="61" t="str">
        <f t="shared" si="77"/>
        <v>Y</v>
      </c>
    </row>
    <row r="351" ht="15.95" customHeight="1" spans="1:23">
      <c r="A351" s="71"/>
      <c r="B351" s="73" t="s">
        <v>2897</v>
      </c>
      <c r="C351" s="71" t="s">
        <v>1124</v>
      </c>
      <c r="D351" s="71" t="s">
        <v>560</v>
      </c>
      <c r="E351" s="71">
        <v>23700</v>
      </c>
      <c r="F351" s="71">
        <v>77</v>
      </c>
      <c r="G351" s="71">
        <v>338</v>
      </c>
      <c r="H351" s="71">
        <v>2019</v>
      </c>
      <c r="I351" s="71">
        <v>2019</v>
      </c>
      <c r="J351" s="71">
        <f t="shared" si="83"/>
        <v>237</v>
      </c>
      <c r="K351" s="71">
        <v>0</v>
      </c>
      <c r="L351" s="71">
        <v>237</v>
      </c>
      <c r="M351" s="71">
        <v>0</v>
      </c>
      <c r="N351" s="56"/>
      <c r="O351" s="71">
        <f t="shared" si="85"/>
        <v>237</v>
      </c>
      <c r="P351" s="71"/>
      <c r="Q351" s="56"/>
      <c r="R351" s="56"/>
      <c r="S351" s="86"/>
      <c r="T351" s="86"/>
      <c r="U351" s="86"/>
      <c r="V351" s="56" t="s">
        <v>1819</v>
      </c>
      <c r="W351" s="61" t="str">
        <f t="shared" si="77"/>
        <v>Y</v>
      </c>
    </row>
    <row r="352" ht="15.95" customHeight="1" spans="1:23">
      <c r="A352" s="71"/>
      <c r="B352" s="73" t="s">
        <v>2893</v>
      </c>
      <c r="C352" s="71" t="s">
        <v>1124</v>
      </c>
      <c r="D352" s="71" t="s">
        <v>560</v>
      </c>
      <c r="E352" s="71">
        <v>15636</v>
      </c>
      <c r="F352" s="141">
        <v>39</v>
      </c>
      <c r="G352" s="141">
        <v>167</v>
      </c>
      <c r="H352" s="71">
        <v>2018</v>
      </c>
      <c r="I352" s="71">
        <v>2019</v>
      </c>
      <c r="J352" s="71">
        <f t="shared" si="83"/>
        <v>156</v>
      </c>
      <c r="K352" s="71">
        <v>56</v>
      </c>
      <c r="L352" s="71">
        <v>100</v>
      </c>
      <c r="M352" s="71">
        <v>0</v>
      </c>
      <c r="N352" s="56"/>
      <c r="O352" s="71">
        <f t="shared" si="85"/>
        <v>156</v>
      </c>
      <c r="P352" s="71"/>
      <c r="Q352" s="56"/>
      <c r="R352" s="56"/>
      <c r="S352" s="86"/>
      <c r="T352" s="86"/>
      <c r="U352" s="86"/>
      <c r="V352" s="56" t="s">
        <v>1819</v>
      </c>
      <c r="W352" s="61" t="str">
        <f t="shared" si="77"/>
        <v>Y</v>
      </c>
    </row>
    <row r="353" ht="15.95" customHeight="1" spans="1:23">
      <c r="A353" s="71"/>
      <c r="B353" s="73" t="s">
        <v>2898</v>
      </c>
      <c r="C353" s="71" t="s">
        <v>1124</v>
      </c>
      <c r="D353" s="71" t="s">
        <v>560</v>
      </c>
      <c r="E353" s="71">
        <v>13003</v>
      </c>
      <c r="F353" s="71">
        <v>56</v>
      </c>
      <c r="G353" s="71">
        <v>220</v>
      </c>
      <c r="H353" s="71">
        <v>2018</v>
      </c>
      <c r="I353" s="71">
        <v>2019</v>
      </c>
      <c r="J353" s="71">
        <f t="shared" si="83"/>
        <v>130</v>
      </c>
      <c r="K353" s="71">
        <v>70</v>
      </c>
      <c r="L353" s="71">
        <v>60</v>
      </c>
      <c r="M353" s="71">
        <v>0</v>
      </c>
      <c r="N353" s="56"/>
      <c r="O353" s="71">
        <f t="shared" si="85"/>
        <v>130</v>
      </c>
      <c r="P353" s="71"/>
      <c r="Q353" s="56"/>
      <c r="R353" s="56"/>
      <c r="S353" s="86"/>
      <c r="T353" s="86"/>
      <c r="U353" s="86"/>
      <c r="V353" s="56" t="s">
        <v>1819</v>
      </c>
      <c r="W353" s="61" t="str">
        <f t="shared" si="77"/>
        <v>Y</v>
      </c>
    </row>
    <row r="354" ht="15.95" customHeight="1" spans="1:23">
      <c r="A354" s="71"/>
      <c r="B354" s="73" t="s">
        <v>2894</v>
      </c>
      <c r="C354" s="71" t="s">
        <v>1124</v>
      </c>
      <c r="D354" s="71" t="s">
        <v>560</v>
      </c>
      <c r="E354" s="71">
        <v>17933</v>
      </c>
      <c r="F354" s="71">
        <v>87</v>
      </c>
      <c r="G354" s="71">
        <v>312</v>
      </c>
      <c r="H354" s="71">
        <v>2018</v>
      </c>
      <c r="I354" s="71">
        <v>2019</v>
      </c>
      <c r="J354" s="71">
        <f t="shared" si="83"/>
        <v>179</v>
      </c>
      <c r="K354" s="71">
        <v>106</v>
      </c>
      <c r="L354" s="71">
        <v>73</v>
      </c>
      <c r="M354" s="71">
        <v>0</v>
      </c>
      <c r="N354" s="56"/>
      <c r="O354" s="71">
        <f t="shared" si="85"/>
        <v>179</v>
      </c>
      <c r="P354" s="71"/>
      <c r="Q354" s="56"/>
      <c r="R354" s="56"/>
      <c r="S354" s="86"/>
      <c r="T354" s="86"/>
      <c r="U354" s="86"/>
      <c r="V354" s="56" t="s">
        <v>1819</v>
      </c>
      <c r="W354" s="61" t="str">
        <f t="shared" si="77"/>
        <v>Y</v>
      </c>
    </row>
    <row r="355" ht="15.95" customHeight="1" spans="1:23">
      <c r="A355" s="71"/>
      <c r="B355" s="73" t="s">
        <v>2899</v>
      </c>
      <c r="C355" s="71" t="s">
        <v>1124</v>
      </c>
      <c r="D355" s="71" t="s">
        <v>560</v>
      </c>
      <c r="E355" s="71">
        <v>53665</v>
      </c>
      <c r="F355" s="101">
        <v>143</v>
      </c>
      <c r="G355" s="101">
        <v>576</v>
      </c>
      <c r="H355" s="71">
        <v>2019</v>
      </c>
      <c r="I355" s="71">
        <v>2019</v>
      </c>
      <c r="J355" s="71">
        <f t="shared" si="83"/>
        <v>536</v>
      </c>
      <c r="K355" s="71">
        <v>0</v>
      </c>
      <c r="L355" s="71">
        <v>536</v>
      </c>
      <c r="M355" s="71">
        <v>0</v>
      </c>
      <c r="N355" s="56"/>
      <c r="O355" s="71">
        <f t="shared" si="85"/>
        <v>536</v>
      </c>
      <c r="P355" s="71"/>
      <c r="Q355" s="56"/>
      <c r="R355" s="56"/>
      <c r="S355" s="86"/>
      <c r="T355" s="86"/>
      <c r="U355" s="86"/>
      <c r="V355" s="56" t="s">
        <v>1819</v>
      </c>
      <c r="W355" s="61" t="str">
        <f t="shared" si="77"/>
        <v>Y</v>
      </c>
    </row>
    <row r="356" ht="15.95" customHeight="1" spans="1:23">
      <c r="A356" s="71"/>
      <c r="B356" s="73" t="s">
        <v>2900</v>
      </c>
      <c r="C356" s="71" t="s">
        <v>1124</v>
      </c>
      <c r="D356" s="71" t="s">
        <v>560</v>
      </c>
      <c r="E356" s="71">
        <v>5208</v>
      </c>
      <c r="F356" s="71">
        <v>15</v>
      </c>
      <c r="G356" s="71">
        <v>57</v>
      </c>
      <c r="H356" s="71">
        <v>2019</v>
      </c>
      <c r="I356" s="71">
        <v>2019</v>
      </c>
      <c r="J356" s="71">
        <f t="shared" si="83"/>
        <v>52</v>
      </c>
      <c r="K356" s="71">
        <v>0</v>
      </c>
      <c r="L356" s="71">
        <v>52</v>
      </c>
      <c r="M356" s="71">
        <v>0</v>
      </c>
      <c r="N356" s="56"/>
      <c r="O356" s="71">
        <f t="shared" si="85"/>
        <v>52</v>
      </c>
      <c r="P356" s="71"/>
      <c r="Q356" s="56"/>
      <c r="R356" s="56"/>
      <c r="S356" s="86"/>
      <c r="T356" s="86"/>
      <c r="U356" s="86"/>
      <c r="V356" s="56" t="s">
        <v>1819</v>
      </c>
      <c r="W356" s="61" t="str">
        <f t="shared" si="77"/>
        <v>Y</v>
      </c>
    </row>
    <row r="357" ht="15.95" customHeight="1" spans="1:23">
      <c r="A357" s="71"/>
      <c r="B357" s="142" t="s">
        <v>1162</v>
      </c>
      <c r="C357" s="71" t="s">
        <v>1124</v>
      </c>
      <c r="D357" s="71" t="s">
        <v>560</v>
      </c>
      <c r="E357" s="71">
        <v>16372</v>
      </c>
      <c r="F357" s="71">
        <f t="shared" ref="F357:R357" si="86">SUM(F358:F360)</f>
        <v>71</v>
      </c>
      <c r="G357" s="71">
        <f t="shared" si="86"/>
        <v>272</v>
      </c>
      <c r="H357" s="71">
        <v>2018</v>
      </c>
      <c r="I357" s="71">
        <v>2018</v>
      </c>
      <c r="J357" s="71">
        <f t="shared" si="86"/>
        <v>253.94</v>
      </c>
      <c r="K357" s="71">
        <f t="shared" si="86"/>
        <v>253.94</v>
      </c>
      <c r="L357" s="71">
        <f t="shared" si="86"/>
        <v>0</v>
      </c>
      <c r="M357" s="71">
        <f t="shared" si="86"/>
        <v>0</v>
      </c>
      <c r="N357" s="71">
        <f t="shared" si="86"/>
        <v>0</v>
      </c>
      <c r="O357" s="71">
        <f t="shared" si="86"/>
        <v>253.94</v>
      </c>
      <c r="P357" s="71">
        <f t="shared" si="86"/>
        <v>0</v>
      </c>
      <c r="Q357" s="71">
        <f t="shared" si="86"/>
        <v>0</v>
      </c>
      <c r="R357" s="71">
        <f t="shared" si="86"/>
        <v>0</v>
      </c>
      <c r="S357" s="86"/>
      <c r="T357" s="86"/>
      <c r="U357" s="86"/>
      <c r="V357" s="56"/>
      <c r="W357" s="61" t="str">
        <f t="shared" si="77"/>
        <v>Y</v>
      </c>
    </row>
    <row r="358" ht="30.95" customHeight="1" spans="1:23">
      <c r="A358" s="71"/>
      <c r="B358" s="95" t="s">
        <v>2936</v>
      </c>
      <c r="C358" s="71" t="s">
        <v>1124</v>
      </c>
      <c r="D358" s="71" t="s">
        <v>560</v>
      </c>
      <c r="E358" s="71">
        <v>8000</v>
      </c>
      <c r="F358" s="141">
        <v>29</v>
      </c>
      <c r="G358" s="141">
        <v>107</v>
      </c>
      <c r="H358" s="71">
        <v>2018</v>
      </c>
      <c r="I358" s="71">
        <v>2018</v>
      </c>
      <c r="J358" s="71">
        <v>96</v>
      </c>
      <c r="K358" s="71">
        <v>96</v>
      </c>
      <c r="L358" s="71">
        <v>0</v>
      </c>
      <c r="M358" s="71">
        <v>0</v>
      </c>
      <c r="N358" s="76"/>
      <c r="O358" s="76">
        <f t="shared" ref="O358:O364" si="87">J358</f>
        <v>96</v>
      </c>
      <c r="P358" s="76"/>
      <c r="Q358" s="76"/>
      <c r="R358" s="76"/>
      <c r="S358" s="86" t="s">
        <v>2890</v>
      </c>
      <c r="T358" s="86" t="s">
        <v>2891</v>
      </c>
      <c r="U358" s="86"/>
      <c r="V358" s="56" t="s">
        <v>2923</v>
      </c>
      <c r="W358" s="61" t="str">
        <f t="shared" si="77"/>
        <v>Y</v>
      </c>
    </row>
    <row r="359" ht="30.95" customHeight="1" spans="1:23">
      <c r="A359" s="71"/>
      <c r="B359" s="95" t="s">
        <v>2937</v>
      </c>
      <c r="C359" s="71" t="s">
        <v>1124</v>
      </c>
      <c r="D359" s="71" t="s">
        <v>560</v>
      </c>
      <c r="E359" s="71">
        <v>4872</v>
      </c>
      <c r="F359" s="141">
        <v>17</v>
      </c>
      <c r="G359" s="141">
        <v>63</v>
      </c>
      <c r="H359" s="71">
        <v>2018</v>
      </c>
      <c r="I359" s="71">
        <v>2018</v>
      </c>
      <c r="J359" s="71">
        <v>58.44</v>
      </c>
      <c r="K359" s="71">
        <v>58.44</v>
      </c>
      <c r="L359" s="71">
        <v>0</v>
      </c>
      <c r="M359" s="71">
        <v>0</v>
      </c>
      <c r="N359" s="76"/>
      <c r="O359" s="76">
        <f t="shared" si="87"/>
        <v>58.44</v>
      </c>
      <c r="P359" s="76"/>
      <c r="Q359" s="76"/>
      <c r="R359" s="76"/>
      <c r="S359" s="86" t="s">
        <v>2890</v>
      </c>
      <c r="T359" s="86" t="s">
        <v>2891</v>
      </c>
      <c r="U359" s="86"/>
      <c r="V359" s="56" t="s">
        <v>2923</v>
      </c>
      <c r="W359" s="61" t="str">
        <f t="shared" si="77"/>
        <v>Y</v>
      </c>
    </row>
    <row r="360" ht="30.95" customHeight="1" spans="1:23">
      <c r="A360" s="71"/>
      <c r="B360" s="95" t="s">
        <v>2938</v>
      </c>
      <c r="C360" s="71" t="s">
        <v>1124</v>
      </c>
      <c r="D360" s="71" t="s">
        <v>560</v>
      </c>
      <c r="E360" s="71">
        <v>3500</v>
      </c>
      <c r="F360" s="141">
        <v>25</v>
      </c>
      <c r="G360" s="141">
        <v>102</v>
      </c>
      <c r="H360" s="71">
        <v>2018</v>
      </c>
      <c r="I360" s="71">
        <v>2018</v>
      </c>
      <c r="J360" s="71">
        <v>99.5</v>
      </c>
      <c r="K360" s="71">
        <v>99.5</v>
      </c>
      <c r="L360" s="71">
        <v>0</v>
      </c>
      <c r="M360" s="71">
        <v>0</v>
      </c>
      <c r="N360" s="76"/>
      <c r="O360" s="76">
        <f t="shared" si="87"/>
        <v>99.5</v>
      </c>
      <c r="P360" s="76"/>
      <c r="Q360" s="76"/>
      <c r="R360" s="76"/>
      <c r="S360" s="86" t="s">
        <v>2890</v>
      </c>
      <c r="T360" s="86" t="s">
        <v>2891</v>
      </c>
      <c r="U360" s="86"/>
      <c r="V360" s="56" t="s">
        <v>2923</v>
      </c>
      <c r="W360" s="61" t="str">
        <f t="shared" si="77"/>
        <v>Y</v>
      </c>
    </row>
    <row r="361" s="68" customFormat="1" ht="30.95" customHeight="1" spans="1:22">
      <c r="A361" s="71"/>
      <c r="B361" s="95" t="s">
        <v>2939</v>
      </c>
      <c r="C361" s="71" t="s">
        <v>1124</v>
      </c>
      <c r="D361" s="71" t="s">
        <v>192</v>
      </c>
      <c r="E361" s="71">
        <v>11.407</v>
      </c>
      <c r="F361" s="141">
        <v>78</v>
      </c>
      <c r="G361" s="141">
        <v>290</v>
      </c>
      <c r="H361" s="71">
        <v>2018</v>
      </c>
      <c r="I361" s="71">
        <v>2019</v>
      </c>
      <c r="J361" s="71">
        <f t="shared" ref="J361:J364" si="88">K361+L361+M361</f>
        <v>798</v>
      </c>
      <c r="K361" s="71">
        <f t="shared" ref="K361:M361" si="89">K362+K363+K364</f>
        <v>300</v>
      </c>
      <c r="L361" s="71">
        <f t="shared" si="89"/>
        <v>498</v>
      </c>
      <c r="M361" s="71">
        <f t="shared" si="89"/>
        <v>0</v>
      </c>
      <c r="N361" s="76"/>
      <c r="O361" s="76">
        <f t="shared" si="87"/>
        <v>798</v>
      </c>
      <c r="P361" s="76"/>
      <c r="Q361" s="76"/>
      <c r="R361" s="76"/>
      <c r="S361" s="86" t="s">
        <v>2890</v>
      </c>
      <c r="T361" s="86" t="s">
        <v>2891</v>
      </c>
      <c r="U361" s="86"/>
      <c r="V361" s="56" t="s">
        <v>2885</v>
      </c>
    </row>
    <row r="362" s="68" customFormat="1" ht="30.95" customHeight="1" spans="1:22">
      <c r="A362" s="71"/>
      <c r="B362" s="95" t="s">
        <v>2940</v>
      </c>
      <c r="C362" s="71" t="s">
        <v>1124</v>
      </c>
      <c r="D362" s="71" t="s">
        <v>192</v>
      </c>
      <c r="E362" s="71">
        <v>6.439</v>
      </c>
      <c r="F362" s="141">
        <v>31</v>
      </c>
      <c r="G362" s="141">
        <v>123</v>
      </c>
      <c r="H362" s="71">
        <v>2018</v>
      </c>
      <c r="I362" s="71">
        <v>2019</v>
      </c>
      <c r="J362" s="71">
        <f t="shared" si="88"/>
        <v>461</v>
      </c>
      <c r="K362" s="71">
        <v>180</v>
      </c>
      <c r="L362" s="71">
        <v>281</v>
      </c>
      <c r="M362" s="71">
        <v>0</v>
      </c>
      <c r="N362" s="76"/>
      <c r="O362" s="76">
        <f t="shared" si="87"/>
        <v>461</v>
      </c>
      <c r="P362" s="76"/>
      <c r="Q362" s="76"/>
      <c r="R362" s="76"/>
      <c r="S362" s="86" t="s">
        <v>2890</v>
      </c>
      <c r="T362" s="86" t="s">
        <v>2891</v>
      </c>
      <c r="U362" s="86"/>
      <c r="V362" s="56" t="s">
        <v>2885</v>
      </c>
    </row>
    <row r="363" s="68" customFormat="1" ht="30.95" customHeight="1" spans="1:22">
      <c r="A363" s="71"/>
      <c r="B363" s="95" t="s">
        <v>2941</v>
      </c>
      <c r="C363" s="71" t="s">
        <v>1124</v>
      </c>
      <c r="D363" s="71" t="s">
        <v>192</v>
      </c>
      <c r="E363" s="71">
        <v>4.302</v>
      </c>
      <c r="F363" s="141">
        <v>38</v>
      </c>
      <c r="G363" s="141">
        <v>139</v>
      </c>
      <c r="H363" s="71">
        <v>2018</v>
      </c>
      <c r="I363" s="71">
        <v>2019</v>
      </c>
      <c r="J363" s="71">
        <f t="shared" si="88"/>
        <v>258</v>
      </c>
      <c r="K363" s="71">
        <v>70</v>
      </c>
      <c r="L363" s="71">
        <v>188</v>
      </c>
      <c r="M363" s="71">
        <v>0</v>
      </c>
      <c r="N363" s="76"/>
      <c r="O363" s="76">
        <f t="shared" si="87"/>
        <v>258</v>
      </c>
      <c r="P363" s="76"/>
      <c r="Q363" s="76"/>
      <c r="R363" s="76"/>
      <c r="S363" s="86" t="s">
        <v>2890</v>
      </c>
      <c r="T363" s="86" t="s">
        <v>2891</v>
      </c>
      <c r="U363" s="86"/>
      <c r="V363" s="56" t="s">
        <v>2885</v>
      </c>
    </row>
    <row r="364" s="68" customFormat="1" ht="30.95" customHeight="1" spans="1:22">
      <c r="A364" s="71"/>
      <c r="B364" s="95" t="s">
        <v>2942</v>
      </c>
      <c r="C364" s="71" t="s">
        <v>1124</v>
      </c>
      <c r="D364" s="71" t="s">
        <v>192</v>
      </c>
      <c r="E364" s="71">
        <v>0.666</v>
      </c>
      <c r="F364" s="141">
        <v>9</v>
      </c>
      <c r="G364" s="141">
        <v>28</v>
      </c>
      <c r="H364" s="71">
        <v>2018</v>
      </c>
      <c r="I364" s="71">
        <v>2019</v>
      </c>
      <c r="J364" s="71">
        <f t="shared" si="88"/>
        <v>79</v>
      </c>
      <c r="K364" s="71">
        <v>50</v>
      </c>
      <c r="L364" s="71">
        <v>29</v>
      </c>
      <c r="M364" s="71">
        <v>0</v>
      </c>
      <c r="N364" s="76"/>
      <c r="O364" s="76">
        <f t="shared" si="87"/>
        <v>79</v>
      </c>
      <c r="P364" s="76"/>
      <c r="Q364" s="76"/>
      <c r="R364" s="76"/>
      <c r="S364" s="86" t="s">
        <v>2890</v>
      </c>
      <c r="T364" s="86" t="s">
        <v>2891</v>
      </c>
      <c r="U364" s="86"/>
      <c r="V364" s="56" t="s">
        <v>2885</v>
      </c>
    </row>
    <row r="365" ht="23.25" customHeight="1" spans="1:23">
      <c r="A365" s="71">
        <v>44</v>
      </c>
      <c r="B365" s="73" t="s">
        <v>916</v>
      </c>
      <c r="C365" s="71" t="s">
        <v>320</v>
      </c>
      <c r="D365" s="71" t="s">
        <v>320</v>
      </c>
      <c r="E365" s="71" t="s">
        <v>320</v>
      </c>
      <c r="F365" s="71" t="s">
        <v>320</v>
      </c>
      <c r="G365" s="71" t="s">
        <v>320</v>
      </c>
      <c r="H365" s="71">
        <v>2018</v>
      </c>
      <c r="I365" s="71">
        <v>2020</v>
      </c>
      <c r="J365" s="71">
        <f t="shared" ref="J365:J373" si="90">K365+L365+M365</f>
        <v>3308.8</v>
      </c>
      <c r="K365" s="71">
        <v>1049.6</v>
      </c>
      <c r="L365" s="71">
        <v>889.6</v>
      </c>
      <c r="M365" s="71">
        <v>1369.6</v>
      </c>
      <c r="N365" s="71">
        <v>3308.8</v>
      </c>
      <c r="O365" s="71"/>
      <c r="P365" s="71"/>
      <c r="Q365" s="71"/>
      <c r="R365" s="71"/>
      <c r="S365" s="86" t="s">
        <v>2890</v>
      </c>
      <c r="T365" s="86" t="s">
        <v>2943</v>
      </c>
      <c r="U365" s="71" t="s">
        <v>320</v>
      </c>
      <c r="V365" s="56"/>
      <c r="W365" s="61" t="str">
        <f t="shared" ref="W365:W394" si="91">IF(SUM(N365:R365)=J365,"Y","N")</f>
        <v>Y</v>
      </c>
    </row>
    <row r="366" ht="23.25" customHeight="1" spans="1:23">
      <c r="A366" s="71">
        <v>45</v>
      </c>
      <c r="B366" s="73" t="s">
        <v>413</v>
      </c>
      <c r="C366" s="71" t="s">
        <v>320</v>
      </c>
      <c r="D366" s="71" t="s">
        <v>45</v>
      </c>
      <c r="E366" s="141">
        <v>19000</v>
      </c>
      <c r="F366" s="71" t="s">
        <v>320</v>
      </c>
      <c r="G366" s="71" t="s">
        <v>320</v>
      </c>
      <c r="H366" s="71">
        <v>2018</v>
      </c>
      <c r="I366" s="71">
        <v>2020</v>
      </c>
      <c r="J366" s="71">
        <f t="shared" si="90"/>
        <v>3040</v>
      </c>
      <c r="K366" s="86">
        <v>960</v>
      </c>
      <c r="L366" s="86">
        <v>800</v>
      </c>
      <c r="M366" s="86">
        <v>1280</v>
      </c>
      <c r="N366" s="135">
        <v>3040</v>
      </c>
      <c r="O366" s="135"/>
      <c r="P366" s="135"/>
      <c r="Q366" s="135"/>
      <c r="R366" s="137"/>
      <c r="S366" s="89"/>
      <c r="T366" s="89"/>
      <c r="U366" s="86" t="s">
        <v>417</v>
      </c>
      <c r="V366" s="56" t="s">
        <v>1819</v>
      </c>
      <c r="W366" s="61" t="str">
        <f t="shared" si="91"/>
        <v>Y</v>
      </c>
    </row>
    <row r="367" ht="12" customHeight="1" spans="1:23">
      <c r="A367" s="71"/>
      <c r="B367" s="73" t="s">
        <v>2892</v>
      </c>
      <c r="C367" s="71" t="s">
        <v>320</v>
      </c>
      <c r="D367" s="71" t="s">
        <v>45</v>
      </c>
      <c r="E367" s="141">
        <v>3256</v>
      </c>
      <c r="F367" s="71" t="s">
        <v>320</v>
      </c>
      <c r="G367" s="71" t="s">
        <v>320</v>
      </c>
      <c r="H367" s="71">
        <v>2018</v>
      </c>
      <c r="I367" s="71">
        <v>2020</v>
      </c>
      <c r="J367" s="71">
        <f t="shared" si="90"/>
        <v>520.96</v>
      </c>
      <c r="K367" s="71">
        <f>256*0.16</f>
        <v>40.96</v>
      </c>
      <c r="L367" s="71">
        <f>1200*0.16</f>
        <v>192</v>
      </c>
      <c r="M367" s="71">
        <f>1800*0.16</f>
        <v>288</v>
      </c>
      <c r="N367" s="71"/>
      <c r="O367" s="71"/>
      <c r="P367" s="71"/>
      <c r="Q367" s="71"/>
      <c r="R367" s="71"/>
      <c r="S367" s="89"/>
      <c r="T367" s="89"/>
      <c r="U367" s="86"/>
      <c r="V367" s="56" t="s">
        <v>1819</v>
      </c>
      <c r="W367" s="61" t="str">
        <f t="shared" si="91"/>
        <v>N</v>
      </c>
    </row>
    <row r="368" ht="12" customHeight="1" spans="1:23">
      <c r="A368" s="71"/>
      <c r="B368" s="73" t="s">
        <v>2897</v>
      </c>
      <c r="C368" s="71" t="s">
        <v>320</v>
      </c>
      <c r="D368" s="71" t="s">
        <v>45</v>
      </c>
      <c r="E368" s="141">
        <v>3164</v>
      </c>
      <c r="F368" s="71" t="s">
        <v>320</v>
      </c>
      <c r="G368" s="71" t="s">
        <v>320</v>
      </c>
      <c r="H368" s="71">
        <v>2018</v>
      </c>
      <c r="I368" s="71">
        <v>2020</v>
      </c>
      <c r="J368" s="71">
        <f t="shared" si="90"/>
        <v>506.24</v>
      </c>
      <c r="K368" s="71">
        <f>764*0.16</f>
        <v>122.24</v>
      </c>
      <c r="L368" s="71">
        <f>900*0.16</f>
        <v>144</v>
      </c>
      <c r="M368" s="71">
        <f>1500*0.16</f>
        <v>240</v>
      </c>
      <c r="N368" s="71"/>
      <c r="O368" s="71"/>
      <c r="P368" s="71"/>
      <c r="Q368" s="71"/>
      <c r="R368" s="71"/>
      <c r="S368" s="89"/>
      <c r="T368" s="89"/>
      <c r="U368" s="86"/>
      <c r="V368" s="56" t="s">
        <v>1819</v>
      </c>
      <c r="W368" s="61" t="str">
        <f t="shared" si="91"/>
        <v>N</v>
      </c>
    </row>
    <row r="369" ht="12" customHeight="1" spans="1:23">
      <c r="A369" s="71"/>
      <c r="B369" s="73" t="s">
        <v>2893</v>
      </c>
      <c r="C369" s="71" t="s">
        <v>320</v>
      </c>
      <c r="D369" s="71" t="s">
        <v>45</v>
      </c>
      <c r="E369" s="141">
        <v>1971</v>
      </c>
      <c r="F369" s="71" t="s">
        <v>320</v>
      </c>
      <c r="G369" s="71" t="s">
        <v>320</v>
      </c>
      <c r="H369" s="71">
        <v>2018</v>
      </c>
      <c r="I369" s="71">
        <v>2020</v>
      </c>
      <c r="J369" s="71">
        <f t="shared" si="90"/>
        <v>315.36</v>
      </c>
      <c r="K369" s="71">
        <f>271*0.16</f>
        <v>43.36</v>
      </c>
      <c r="L369" s="71">
        <f>600*0.16</f>
        <v>96</v>
      </c>
      <c r="M369" s="71">
        <f>1100*0.16</f>
        <v>176</v>
      </c>
      <c r="N369" s="71"/>
      <c r="O369" s="71"/>
      <c r="P369" s="71"/>
      <c r="Q369" s="71"/>
      <c r="R369" s="71"/>
      <c r="S369" s="89"/>
      <c r="T369" s="89"/>
      <c r="U369" s="86"/>
      <c r="V369" s="56" t="s">
        <v>1819</v>
      </c>
      <c r="W369" s="61" t="str">
        <f t="shared" si="91"/>
        <v>N</v>
      </c>
    </row>
    <row r="370" ht="12" customHeight="1" spans="1:23">
      <c r="A370" s="71"/>
      <c r="B370" s="73" t="s">
        <v>2898</v>
      </c>
      <c r="C370" s="71" t="s">
        <v>320</v>
      </c>
      <c r="D370" s="71" t="s">
        <v>45</v>
      </c>
      <c r="E370" s="141">
        <v>1965</v>
      </c>
      <c r="F370" s="71" t="s">
        <v>320</v>
      </c>
      <c r="G370" s="71" t="s">
        <v>320</v>
      </c>
      <c r="H370" s="71">
        <v>2018</v>
      </c>
      <c r="I370" s="71">
        <v>2020</v>
      </c>
      <c r="J370" s="71">
        <f t="shared" si="90"/>
        <v>314.4</v>
      </c>
      <c r="K370" s="71">
        <f>565*0.16</f>
        <v>90.4</v>
      </c>
      <c r="L370" s="71">
        <f>500*0.16</f>
        <v>80</v>
      </c>
      <c r="M370" s="71">
        <f>900*0.16</f>
        <v>144</v>
      </c>
      <c r="N370" s="71"/>
      <c r="O370" s="71"/>
      <c r="P370" s="71"/>
      <c r="Q370" s="71"/>
      <c r="R370" s="71"/>
      <c r="S370" s="89"/>
      <c r="T370" s="89"/>
      <c r="U370" s="86"/>
      <c r="V370" s="56" t="s">
        <v>1819</v>
      </c>
      <c r="W370" s="61" t="str">
        <f t="shared" si="91"/>
        <v>N</v>
      </c>
    </row>
    <row r="371" ht="12" customHeight="1" spans="1:23">
      <c r="A371" s="71"/>
      <c r="B371" s="73" t="s">
        <v>2894</v>
      </c>
      <c r="C371" s="71" t="s">
        <v>320</v>
      </c>
      <c r="D371" s="71" t="s">
        <v>45</v>
      </c>
      <c r="E371" s="141">
        <v>4997</v>
      </c>
      <c r="F371" s="71" t="s">
        <v>320</v>
      </c>
      <c r="G371" s="71" t="s">
        <v>320</v>
      </c>
      <c r="H371" s="71">
        <v>2018</v>
      </c>
      <c r="I371" s="71">
        <v>2018</v>
      </c>
      <c r="J371" s="71">
        <f t="shared" si="90"/>
        <v>799.52</v>
      </c>
      <c r="K371" s="71">
        <f>2797*0.16</f>
        <v>447.52</v>
      </c>
      <c r="L371" s="71">
        <f>900*0.16</f>
        <v>144</v>
      </c>
      <c r="M371" s="71">
        <f>1300*0.16</f>
        <v>208</v>
      </c>
      <c r="N371" s="71"/>
      <c r="O371" s="71"/>
      <c r="P371" s="71"/>
      <c r="Q371" s="71"/>
      <c r="R371" s="71"/>
      <c r="S371" s="89"/>
      <c r="T371" s="89"/>
      <c r="U371" s="86"/>
      <c r="V371" s="56" t="s">
        <v>1819</v>
      </c>
      <c r="W371" s="61" t="str">
        <f t="shared" si="91"/>
        <v>N</v>
      </c>
    </row>
    <row r="372" ht="12" customHeight="1" spans="1:23">
      <c r="A372" s="71"/>
      <c r="B372" s="73" t="s">
        <v>2914</v>
      </c>
      <c r="C372" s="71" t="s">
        <v>320</v>
      </c>
      <c r="D372" s="71" t="s">
        <v>45</v>
      </c>
      <c r="E372" s="141">
        <v>2561</v>
      </c>
      <c r="F372" s="71" t="s">
        <v>320</v>
      </c>
      <c r="G372" s="71" t="s">
        <v>320</v>
      </c>
      <c r="H372" s="71">
        <v>2018</v>
      </c>
      <c r="I372" s="71">
        <v>2020</v>
      </c>
      <c r="J372" s="71">
        <f t="shared" si="90"/>
        <v>409.76</v>
      </c>
      <c r="K372" s="71">
        <f>761*0.16</f>
        <v>121.76</v>
      </c>
      <c r="L372" s="71">
        <f>700*0.16</f>
        <v>112</v>
      </c>
      <c r="M372" s="71">
        <f>1100*0.16</f>
        <v>176</v>
      </c>
      <c r="N372" s="71"/>
      <c r="O372" s="71"/>
      <c r="P372" s="71"/>
      <c r="Q372" s="71"/>
      <c r="R372" s="71"/>
      <c r="S372" s="89"/>
      <c r="T372" s="89"/>
      <c r="U372" s="86"/>
      <c r="V372" s="56" t="s">
        <v>1819</v>
      </c>
      <c r="W372" s="61" t="str">
        <f t="shared" si="91"/>
        <v>N</v>
      </c>
    </row>
    <row r="373" ht="12" customHeight="1" spans="1:23">
      <c r="A373" s="71"/>
      <c r="B373" s="73" t="s">
        <v>2900</v>
      </c>
      <c r="C373" s="71" t="s">
        <v>320</v>
      </c>
      <c r="D373" s="71" t="s">
        <v>45</v>
      </c>
      <c r="E373" s="143">
        <v>1086</v>
      </c>
      <c r="F373" s="71" t="s">
        <v>320</v>
      </c>
      <c r="G373" s="71" t="s">
        <v>320</v>
      </c>
      <c r="H373" s="71">
        <v>2018</v>
      </c>
      <c r="I373" s="71">
        <v>2020</v>
      </c>
      <c r="J373" s="71">
        <f t="shared" si="90"/>
        <v>173.76</v>
      </c>
      <c r="K373" s="71">
        <f>586*0.16</f>
        <v>93.76</v>
      </c>
      <c r="L373" s="71">
        <f>200*0.16</f>
        <v>32</v>
      </c>
      <c r="M373" s="71">
        <f>300*0.16</f>
        <v>48</v>
      </c>
      <c r="N373" s="71"/>
      <c r="O373" s="71"/>
      <c r="P373" s="71"/>
      <c r="Q373" s="71"/>
      <c r="R373" s="71"/>
      <c r="S373" s="89"/>
      <c r="T373" s="89"/>
      <c r="U373" s="86"/>
      <c r="V373" s="56" t="s">
        <v>1819</v>
      </c>
      <c r="W373" s="61" t="str">
        <f t="shared" si="91"/>
        <v>N</v>
      </c>
    </row>
    <row r="374" ht="23.25" customHeight="1" spans="1:23">
      <c r="A374" s="71">
        <v>46</v>
      </c>
      <c r="B374" s="73" t="s">
        <v>919</v>
      </c>
      <c r="C374" s="71" t="s">
        <v>320</v>
      </c>
      <c r="D374" s="71" t="s">
        <v>45</v>
      </c>
      <c r="E374" s="71" t="s">
        <v>320</v>
      </c>
      <c r="F374" s="71" t="s">
        <v>320</v>
      </c>
      <c r="G374" s="71" t="s">
        <v>320</v>
      </c>
      <c r="H374" s="71" t="s">
        <v>320</v>
      </c>
      <c r="I374" s="71" t="s">
        <v>320</v>
      </c>
      <c r="J374" s="71" t="s">
        <v>320</v>
      </c>
      <c r="K374" s="71" t="s">
        <v>320</v>
      </c>
      <c r="L374" s="71" t="s">
        <v>320</v>
      </c>
      <c r="M374" s="71" t="s">
        <v>320</v>
      </c>
      <c r="N374" s="71"/>
      <c r="O374" s="71"/>
      <c r="P374" s="71"/>
      <c r="Q374" s="71"/>
      <c r="R374" s="71"/>
      <c r="S374" s="86"/>
      <c r="T374" s="86"/>
      <c r="U374" s="86" t="s">
        <v>435</v>
      </c>
      <c r="V374" s="56"/>
      <c r="W374" s="61" t="str">
        <f t="shared" si="91"/>
        <v>N</v>
      </c>
    </row>
    <row r="375" ht="23.25" customHeight="1" spans="1:23">
      <c r="A375" s="71">
        <v>47</v>
      </c>
      <c r="B375" s="90" t="s">
        <v>423</v>
      </c>
      <c r="C375" s="71" t="s">
        <v>320</v>
      </c>
      <c r="D375" s="71" t="s">
        <v>147</v>
      </c>
      <c r="E375" s="71">
        <v>112</v>
      </c>
      <c r="F375" s="71">
        <v>112</v>
      </c>
      <c r="G375" s="71">
        <v>112</v>
      </c>
      <c r="H375" s="71">
        <v>2018</v>
      </c>
      <c r="I375" s="71">
        <v>2020</v>
      </c>
      <c r="J375" s="71">
        <f t="shared" ref="J375:J382" si="92">K375+L375+M375</f>
        <v>268.8</v>
      </c>
      <c r="K375" s="137">
        <v>89.6</v>
      </c>
      <c r="L375" s="137">
        <v>89.6</v>
      </c>
      <c r="M375" s="137">
        <v>89.6</v>
      </c>
      <c r="N375" s="135">
        <v>268.8</v>
      </c>
      <c r="O375" s="135"/>
      <c r="P375" s="135"/>
      <c r="Q375" s="135"/>
      <c r="R375" s="137"/>
      <c r="S375" s="89"/>
      <c r="T375" s="89"/>
      <c r="U375" s="86" t="s">
        <v>417</v>
      </c>
      <c r="V375" s="56"/>
      <c r="W375" s="61" t="str">
        <f t="shared" si="91"/>
        <v>Y</v>
      </c>
    </row>
    <row r="376" ht="12.95" customHeight="1" spans="1:23">
      <c r="A376" s="71"/>
      <c r="B376" s="73" t="s">
        <v>2892</v>
      </c>
      <c r="C376" s="71" t="s">
        <v>320</v>
      </c>
      <c r="D376" s="71" t="s">
        <v>147</v>
      </c>
      <c r="E376" s="71">
        <v>21</v>
      </c>
      <c r="F376" s="71">
        <v>21</v>
      </c>
      <c r="G376" s="71">
        <v>21</v>
      </c>
      <c r="H376" s="71">
        <v>2018</v>
      </c>
      <c r="I376" s="71">
        <v>2020</v>
      </c>
      <c r="J376" s="71">
        <f t="shared" si="92"/>
        <v>50.4</v>
      </c>
      <c r="K376" s="137">
        <f t="shared" ref="K376:M376" si="93">E376*0.8</f>
        <v>16.8</v>
      </c>
      <c r="L376" s="137">
        <f t="shared" si="93"/>
        <v>16.8</v>
      </c>
      <c r="M376" s="137">
        <f t="shared" si="93"/>
        <v>16.8</v>
      </c>
      <c r="N376" s="135"/>
      <c r="O376" s="135"/>
      <c r="P376" s="135"/>
      <c r="Q376" s="135"/>
      <c r="R376" s="137"/>
      <c r="S376" s="89"/>
      <c r="T376" s="89"/>
      <c r="U376" s="86"/>
      <c r="V376" s="56"/>
      <c r="W376" s="61" t="str">
        <f t="shared" si="91"/>
        <v>N</v>
      </c>
    </row>
    <row r="377" ht="12.95" customHeight="1" spans="1:23">
      <c r="A377" s="71"/>
      <c r="B377" s="73" t="s">
        <v>2897</v>
      </c>
      <c r="C377" s="71" t="s">
        <v>320</v>
      </c>
      <c r="D377" s="71" t="s">
        <v>147</v>
      </c>
      <c r="E377" s="71">
        <v>17</v>
      </c>
      <c r="F377" s="71">
        <v>17</v>
      </c>
      <c r="G377" s="71">
        <v>17</v>
      </c>
      <c r="H377" s="71">
        <v>2018</v>
      </c>
      <c r="I377" s="71">
        <v>2020</v>
      </c>
      <c r="J377" s="71">
        <f t="shared" si="92"/>
        <v>40.8</v>
      </c>
      <c r="K377" s="137">
        <f t="shared" ref="K377:M377" si="94">E377*0.8</f>
        <v>13.6</v>
      </c>
      <c r="L377" s="137">
        <f t="shared" si="94"/>
        <v>13.6</v>
      </c>
      <c r="M377" s="137">
        <f t="shared" si="94"/>
        <v>13.6</v>
      </c>
      <c r="N377" s="135"/>
      <c r="O377" s="135"/>
      <c r="P377" s="135"/>
      <c r="Q377" s="135"/>
      <c r="R377" s="137"/>
      <c r="S377" s="89"/>
      <c r="T377" s="89"/>
      <c r="U377" s="86"/>
      <c r="V377" s="56"/>
      <c r="W377" s="61" t="str">
        <f t="shared" si="91"/>
        <v>N</v>
      </c>
    </row>
    <row r="378" ht="12.95" customHeight="1" spans="1:23">
      <c r="A378" s="71"/>
      <c r="B378" s="73" t="s">
        <v>2893</v>
      </c>
      <c r="C378" s="71" t="s">
        <v>320</v>
      </c>
      <c r="D378" s="71" t="s">
        <v>147</v>
      </c>
      <c r="E378" s="71">
        <v>14</v>
      </c>
      <c r="F378" s="71">
        <v>14</v>
      </c>
      <c r="G378" s="71">
        <v>14</v>
      </c>
      <c r="H378" s="71">
        <v>2018</v>
      </c>
      <c r="I378" s="71">
        <v>2020</v>
      </c>
      <c r="J378" s="71">
        <f t="shared" si="92"/>
        <v>33.6</v>
      </c>
      <c r="K378" s="137">
        <f t="shared" ref="K378:M378" si="95">E378*0.8</f>
        <v>11.2</v>
      </c>
      <c r="L378" s="137">
        <f t="shared" si="95"/>
        <v>11.2</v>
      </c>
      <c r="M378" s="137">
        <f t="shared" si="95"/>
        <v>11.2</v>
      </c>
      <c r="N378" s="135"/>
      <c r="O378" s="135"/>
      <c r="P378" s="135"/>
      <c r="Q378" s="135"/>
      <c r="R378" s="137"/>
      <c r="S378" s="89"/>
      <c r="T378" s="89"/>
      <c r="U378" s="86"/>
      <c r="V378" s="56"/>
      <c r="W378" s="61" t="str">
        <f t="shared" si="91"/>
        <v>N</v>
      </c>
    </row>
    <row r="379" ht="12.95" customHeight="1" spans="1:23">
      <c r="A379" s="71"/>
      <c r="B379" s="73" t="s">
        <v>2898</v>
      </c>
      <c r="C379" s="71" t="s">
        <v>320</v>
      </c>
      <c r="D379" s="71" t="s">
        <v>147</v>
      </c>
      <c r="E379" s="71">
        <v>11</v>
      </c>
      <c r="F379" s="71">
        <v>11</v>
      </c>
      <c r="G379" s="71">
        <v>11</v>
      </c>
      <c r="H379" s="71">
        <v>2018</v>
      </c>
      <c r="I379" s="71">
        <v>2020</v>
      </c>
      <c r="J379" s="71">
        <f t="shared" si="92"/>
        <v>26.4</v>
      </c>
      <c r="K379" s="137">
        <f t="shared" ref="K379:M379" si="96">E379*0.8</f>
        <v>8.8</v>
      </c>
      <c r="L379" s="137">
        <f t="shared" si="96"/>
        <v>8.8</v>
      </c>
      <c r="M379" s="137">
        <f t="shared" si="96"/>
        <v>8.8</v>
      </c>
      <c r="N379" s="135"/>
      <c r="O379" s="135"/>
      <c r="P379" s="135"/>
      <c r="Q379" s="135"/>
      <c r="R379" s="137"/>
      <c r="S379" s="89"/>
      <c r="T379" s="89"/>
      <c r="U379" s="86"/>
      <c r="V379" s="56"/>
      <c r="W379" s="61" t="str">
        <f t="shared" si="91"/>
        <v>N</v>
      </c>
    </row>
    <row r="380" ht="12.95" customHeight="1" spans="1:23">
      <c r="A380" s="71"/>
      <c r="B380" s="73" t="s">
        <v>2894</v>
      </c>
      <c r="C380" s="71" t="s">
        <v>320</v>
      </c>
      <c r="D380" s="71" t="s">
        <v>147</v>
      </c>
      <c r="E380" s="71">
        <v>19</v>
      </c>
      <c r="F380" s="71">
        <v>19</v>
      </c>
      <c r="G380" s="71">
        <v>19</v>
      </c>
      <c r="H380" s="71">
        <v>2018</v>
      </c>
      <c r="I380" s="71">
        <v>2020</v>
      </c>
      <c r="J380" s="71">
        <f t="shared" si="92"/>
        <v>45.6</v>
      </c>
      <c r="K380" s="137">
        <f t="shared" ref="K380:M380" si="97">E380*0.8</f>
        <v>15.2</v>
      </c>
      <c r="L380" s="137">
        <f t="shared" si="97"/>
        <v>15.2</v>
      </c>
      <c r="M380" s="137">
        <f t="shared" si="97"/>
        <v>15.2</v>
      </c>
      <c r="N380" s="135"/>
      <c r="O380" s="135"/>
      <c r="P380" s="135"/>
      <c r="Q380" s="135"/>
      <c r="R380" s="137"/>
      <c r="S380" s="89"/>
      <c r="T380" s="89"/>
      <c r="U380" s="86"/>
      <c r="V380" s="56"/>
      <c r="W380" s="61" t="str">
        <f t="shared" si="91"/>
        <v>N</v>
      </c>
    </row>
    <row r="381" ht="12.95" customHeight="1" spans="1:23">
      <c r="A381" s="71"/>
      <c r="B381" s="73" t="s">
        <v>2914</v>
      </c>
      <c r="C381" s="71" t="s">
        <v>320</v>
      </c>
      <c r="D381" s="71" t="s">
        <v>147</v>
      </c>
      <c r="E381" s="71">
        <v>15</v>
      </c>
      <c r="F381" s="71">
        <v>15</v>
      </c>
      <c r="G381" s="71">
        <v>15</v>
      </c>
      <c r="H381" s="71">
        <v>2018</v>
      </c>
      <c r="I381" s="71">
        <v>2020</v>
      </c>
      <c r="J381" s="71">
        <f t="shared" si="92"/>
        <v>36</v>
      </c>
      <c r="K381" s="137">
        <f t="shared" ref="K381:M381" si="98">E381*0.8</f>
        <v>12</v>
      </c>
      <c r="L381" s="137">
        <f t="shared" si="98"/>
        <v>12</v>
      </c>
      <c r="M381" s="137">
        <f t="shared" si="98"/>
        <v>12</v>
      </c>
      <c r="N381" s="135"/>
      <c r="O381" s="135"/>
      <c r="P381" s="135"/>
      <c r="Q381" s="135"/>
      <c r="R381" s="137"/>
      <c r="S381" s="89"/>
      <c r="T381" s="89"/>
      <c r="U381" s="86"/>
      <c r="V381" s="56"/>
      <c r="W381" s="61" t="str">
        <f t="shared" si="91"/>
        <v>N</v>
      </c>
    </row>
    <row r="382" ht="12.95" customHeight="1" spans="1:23">
      <c r="A382" s="71"/>
      <c r="B382" s="73" t="s">
        <v>2900</v>
      </c>
      <c r="C382" s="71" t="s">
        <v>320</v>
      </c>
      <c r="D382" s="71" t="s">
        <v>147</v>
      </c>
      <c r="E382" s="71">
        <v>15</v>
      </c>
      <c r="F382" s="71">
        <v>15</v>
      </c>
      <c r="G382" s="71">
        <v>15</v>
      </c>
      <c r="H382" s="71">
        <v>2018</v>
      </c>
      <c r="I382" s="71">
        <v>2020</v>
      </c>
      <c r="J382" s="71">
        <f t="shared" si="92"/>
        <v>36</v>
      </c>
      <c r="K382" s="137">
        <f t="shared" ref="K382:M382" si="99">E382*0.8</f>
        <v>12</v>
      </c>
      <c r="L382" s="137">
        <f t="shared" si="99"/>
        <v>12</v>
      </c>
      <c r="M382" s="137">
        <f t="shared" si="99"/>
        <v>12</v>
      </c>
      <c r="N382" s="135"/>
      <c r="O382" s="135"/>
      <c r="P382" s="135"/>
      <c r="Q382" s="135"/>
      <c r="R382" s="137"/>
      <c r="S382" s="89"/>
      <c r="T382" s="89"/>
      <c r="U382" s="86"/>
      <c r="V382" s="56"/>
      <c r="W382" s="61" t="str">
        <f t="shared" si="91"/>
        <v>N</v>
      </c>
    </row>
    <row r="383" ht="23.25" customHeight="1" spans="1:23">
      <c r="A383" s="71">
        <v>48</v>
      </c>
      <c r="B383" s="90" t="s">
        <v>434</v>
      </c>
      <c r="C383" s="71" t="s">
        <v>320</v>
      </c>
      <c r="D383" s="71" t="s">
        <v>147</v>
      </c>
      <c r="E383" s="71"/>
      <c r="F383" s="71"/>
      <c r="G383" s="71"/>
      <c r="H383" s="71"/>
      <c r="I383" s="71"/>
      <c r="J383" s="71" t="s">
        <v>320</v>
      </c>
      <c r="K383" s="71" t="s">
        <v>320</v>
      </c>
      <c r="L383" s="71" t="s">
        <v>320</v>
      </c>
      <c r="M383" s="71" t="s">
        <v>320</v>
      </c>
      <c r="N383" s="71"/>
      <c r="O383" s="71"/>
      <c r="P383" s="71"/>
      <c r="Q383" s="71"/>
      <c r="R383" s="71"/>
      <c r="S383" s="86"/>
      <c r="T383" s="86"/>
      <c r="U383" s="86" t="s">
        <v>435</v>
      </c>
      <c r="V383" s="56"/>
      <c r="W383" s="61" t="str">
        <f t="shared" si="91"/>
        <v>N</v>
      </c>
    </row>
    <row r="384" ht="23.25" customHeight="1" spans="1:23">
      <c r="A384" s="71">
        <v>49</v>
      </c>
      <c r="B384" s="73" t="s">
        <v>436</v>
      </c>
      <c r="C384" s="71" t="s">
        <v>52</v>
      </c>
      <c r="D384" s="71" t="s">
        <v>150</v>
      </c>
      <c r="E384" s="71"/>
      <c r="F384" s="71"/>
      <c r="G384" s="71"/>
      <c r="H384" s="71"/>
      <c r="I384" s="71"/>
      <c r="J384" s="71" t="s">
        <v>320</v>
      </c>
      <c r="K384" s="71" t="s">
        <v>320</v>
      </c>
      <c r="L384" s="71" t="s">
        <v>320</v>
      </c>
      <c r="M384" s="71" t="s">
        <v>320</v>
      </c>
      <c r="N384" s="71"/>
      <c r="O384" s="71"/>
      <c r="P384" s="71"/>
      <c r="Q384" s="71"/>
      <c r="R384" s="71"/>
      <c r="S384" s="86"/>
      <c r="T384" s="86"/>
      <c r="U384" s="86" t="s">
        <v>417</v>
      </c>
      <c r="V384" s="56"/>
      <c r="W384" s="61" t="str">
        <f t="shared" si="91"/>
        <v>N</v>
      </c>
    </row>
    <row r="385" s="65" customFormat="1" ht="23.25" customHeight="1" spans="1:23">
      <c r="A385" s="71">
        <v>50</v>
      </c>
      <c r="B385" s="73" t="s">
        <v>924</v>
      </c>
      <c r="C385" s="71" t="s">
        <v>320</v>
      </c>
      <c r="D385" s="71" t="s">
        <v>320</v>
      </c>
      <c r="E385" s="71"/>
      <c r="F385" s="71"/>
      <c r="G385" s="71"/>
      <c r="H385" s="71">
        <v>2018</v>
      </c>
      <c r="I385" s="71">
        <v>2020</v>
      </c>
      <c r="J385" s="86">
        <f>K385+L385+M385</f>
        <v>303.0738</v>
      </c>
      <c r="K385" s="137">
        <f>K386+K394+K408</f>
        <v>98.7706</v>
      </c>
      <c r="L385" s="137">
        <f t="shared" ref="L385:R385" si="100">L386+L394+L408</f>
        <v>102.1516</v>
      </c>
      <c r="M385" s="137">
        <f t="shared" si="100"/>
        <v>102.1516</v>
      </c>
      <c r="N385" s="137">
        <f t="shared" si="100"/>
        <v>303.0738</v>
      </c>
      <c r="O385" s="137">
        <f t="shared" si="100"/>
        <v>0</v>
      </c>
      <c r="P385" s="137">
        <f t="shared" si="100"/>
        <v>0</v>
      </c>
      <c r="Q385" s="137">
        <f t="shared" si="100"/>
        <v>0</v>
      </c>
      <c r="R385" s="137">
        <f t="shared" si="100"/>
        <v>0</v>
      </c>
      <c r="S385" s="86" t="s">
        <v>2901</v>
      </c>
      <c r="T385" s="86" t="s">
        <v>2944</v>
      </c>
      <c r="U385" s="71" t="s">
        <v>320</v>
      </c>
      <c r="V385" s="56"/>
      <c r="W385" s="61" t="str">
        <f t="shared" si="91"/>
        <v>Y</v>
      </c>
    </row>
    <row r="386" s="65" customFormat="1" ht="23.25" customHeight="1" spans="1:23">
      <c r="A386" s="71">
        <v>51</v>
      </c>
      <c r="B386" s="73" t="s">
        <v>443</v>
      </c>
      <c r="C386" s="71" t="s">
        <v>320</v>
      </c>
      <c r="D386" s="71" t="s">
        <v>384</v>
      </c>
      <c r="E386" s="71">
        <f>SUM(E387:E393)</f>
        <v>69</v>
      </c>
      <c r="F386" s="71">
        <f t="shared" ref="F386:R386" si="101">SUM(F387:F393)</f>
        <v>69</v>
      </c>
      <c r="G386" s="71">
        <f t="shared" si="101"/>
        <v>161</v>
      </c>
      <c r="H386" s="71">
        <v>2018</v>
      </c>
      <c r="I386" s="71">
        <v>2020</v>
      </c>
      <c r="J386" s="71">
        <f>K386+L386+M386</f>
        <v>149.0538</v>
      </c>
      <c r="K386" s="71">
        <f t="shared" si="101"/>
        <v>47.4306</v>
      </c>
      <c r="L386" s="71">
        <f t="shared" si="101"/>
        <v>50.8116</v>
      </c>
      <c r="M386" s="71">
        <f t="shared" si="101"/>
        <v>50.8116</v>
      </c>
      <c r="N386" s="71">
        <f>J386</f>
        <v>149.0538</v>
      </c>
      <c r="O386" s="71">
        <f t="shared" si="101"/>
        <v>0</v>
      </c>
      <c r="P386" s="71">
        <f t="shared" si="101"/>
        <v>0</v>
      </c>
      <c r="Q386" s="71">
        <f t="shared" si="101"/>
        <v>0</v>
      </c>
      <c r="R386" s="71">
        <f t="shared" si="101"/>
        <v>0</v>
      </c>
      <c r="S386" s="86" t="s">
        <v>2901</v>
      </c>
      <c r="T386" s="86" t="s">
        <v>2944</v>
      </c>
      <c r="U386" s="86" t="s">
        <v>338</v>
      </c>
      <c r="V386" s="56" t="s">
        <v>1819</v>
      </c>
      <c r="W386" s="61" t="str">
        <f t="shared" si="91"/>
        <v>Y</v>
      </c>
    </row>
    <row r="387" s="65" customFormat="1" ht="15" customHeight="1" spans="1:23">
      <c r="A387" s="71"/>
      <c r="B387" s="73" t="s">
        <v>2892</v>
      </c>
      <c r="C387" s="71" t="s">
        <v>320</v>
      </c>
      <c r="D387" s="71" t="s">
        <v>384</v>
      </c>
      <c r="E387" s="71">
        <v>21</v>
      </c>
      <c r="F387" s="71">
        <v>21</v>
      </c>
      <c r="G387" s="71">
        <v>47</v>
      </c>
      <c r="H387" s="71">
        <v>2018</v>
      </c>
      <c r="I387" s="71">
        <v>2020</v>
      </c>
      <c r="J387" s="86">
        <f t="shared" ref="J387:J393" si="102">K387+L387+M387</f>
        <v>43.5126</v>
      </c>
      <c r="K387" s="86">
        <f t="shared" ref="K387:K393" si="103">G387*0.2946</f>
        <v>13.8462</v>
      </c>
      <c r="L387" s="153">
        <f t="shared" ref="L387:L393" si="104">G387*0.3156</f>
        <v>14.8332</v>
      </c>
      <c r="M387" s="153">
        <f t="shared" ref="M387:M393" si="105">G387*0.3156</f>
        <v>14.8332</v>
      </c>
      <c r="N387" s="153"/>
      <c r="O387" s="153"/>
      <c r="P387" s="153"/>
      <c r="Q387" s="153"/>
      <c r="R387" s="154"/>
      <c r="S387" s="86"/>
      <c r="T387" s="86"/>
      <c r="U387" s="86"/>
      <c r="V387" s="56" t="s">
        <v>1819</v>
      </c>
      <c r="W387" s="61" t="str">
        <f t="shared" si="91"/>
        <v>N</v>
      </c>
    </row>
    <row r="388" s="65" customFormat="1" ht="15" customHeight="1" spans="1:23">
      <c r="A388" s="71"/>
      <c r="B388" s="73" t="s">
        <v>2897</v>
      </c>
      <c r="C388" s="71" t="s">
        <v>320</v>
      </c>
      <c r="D388" s="71" t="s">
        <v>384</v>
      </c>
      <c r="E388" s="71">
        <v>13</v>
      </c>
      <c r="F388" s="71">
        <v>13</v>
      </c>
      <c r="G388" s="71">
        <v>37</v>
      </c>
      <c r="H388" s="71">
        <v>2018</v>
      </c>
      <c r="I388" s="71">
        <v>2020</v>
      </c>
      <c r="J388" s="86">
        <f t="shared" si="102"/>
        <v>34.2546</v>
      </c>
      <c r="K388" s="86">
        <f t="shared" si="103"/>
        <v>10.9002</v>
      </c>
      <c r="L388" s="153">
        <f t="shared" si="104"/>
        <v>11.6772</v>
      </c>
      <c r="M388" s="153">
        <f t="shared" si="105"/>
        <v>11.6772</v>
      </c>
      <c r="N388" s="153"/>
      <c r="O388" s="153"/>
      <c r="P388" s="153"/>
      <c r="Q388" s="153"/>
      <c r="R388" s="154"/>
      <c r="S388" s="86"/>
      <c r="T388" s="86"/>
      <c r="U388" s="86"/>
      <c r="V388" s="56" t="s">
        <v>1819</v>
      </c>
      <c r="W388" s="61" t="str">
        <f t="shared" si="91"/>
        <v>N</v>
      </c>
    </row>
    <row r="389" s="65" customFormat="1" ht="15" customHeight="1" spans="1:23">
      <c r="A389" s="71"/>
      <c r="B389" s="73" t="s">
        <v>2893</v>
      </c>
      <c r="C389" s="71" t="s">
        <v>320</v>
      </c>
      <c r="D389" s="71" t="s">
        <v>384</v>
      </c>
      <c r="E389" s="71">
        <v>11</v>
      </c>
      <c r="F389" s="71">
        <v>11</v>
      </c>
      <c r="G389" s="71">
        <v>30</v>
      </c>
      <c r="H389" s="71">
        <v>2018</v>
      </c>
      <c r="I389" s="71">
        <v>2020</v>
      </c>
      <c r="J389" s="86">
        <f t="shared" si="102"/>
        <v>27.774</v>
      </c>
      <c r="K389" s="86">
        <f t="shared" si="103"/>
        <v>8.838</v>
      </c>
      <c r="L389" s="153">
        <f t="shared" si="104"/>
        <v>9.468</v>
      </c>
      <c r="M389" s="153">
        <f t="shared" si="105"/>
        <v>9.468</v>
      </c>
      <c r="N389" s="153"/>
      <c r="O389" s="153"/>
      <c r="P389" s="153"/>
      <c r="Q389" s="153"/>
      <c r="R389" s="154"/>
      <c r="S389" s="86"/>
      <c r="T389" s="86"/>
      <c r="U389" s="86"/>
      <c r="V389" s="56" t="s">
        <v>1819</v>
      </c>
      <c r="W389" s="61" t="str">
        <f t="shared" si="91"/>
        <v>N</v>
      </c>
    </row>
    <row r="390" s="65" customFormat="1" ht="15" customHeight="1" spans="1:23">
      <c r="A390" s="71"/>
      <c r="B390" s="73" t="s">
        <v>2898</v>
      </c>
      <c r="C390" s="71" t="s">
        <v>320</v>
      </c>
      <c r="D390" s="71" t="s">
        <v>384</v>
      </c>
      <c r="E390" s="71">
        <v>10</v>
      </c>
      <c r="F390" s="71">
        <v>10</v>
      </c>
      <c r="G390" s="71">
        <v>21</v>
      </c>
      <c r="H390" s="71">
        <v>2018</v>
      </c>
      <c r="I390" s="71">
        <v>2020</v>
      </c>
      <c r="J390" s="86">
        <f t="shared" si="102"/>
        <v>19.4418</v>
      </c>
      <c r="K390" s="86">
        <f t="shared" si="103"/>
        <v>6.1866</v>
      </c>
      <c r="L390" s="153">
        <f t="shared" si="104"/>
        <v>6.6276</v>
      </c>
      <c r="M390" s="153">
        <f t="shared" si="105"/>
        <v>6.6276</v>
      </c>
      <c r="N390" s="153"/>
      <c r="O390" s="153"/>
      <c r="P390" s="153"/>
      <c r="Q390" s="153"/>
      <c r="R390" s="154"/>
      <c r="S390" s="86"/>
      <c r="T390" s="86"/>
      <c r="U390" s="86"/>
      <c r="V390" s="56" t="s">
        <v>1819</v>
      </c>
      <c r="W390" s="61" t="str">
        <f t="shared" si="91"/>
        <v>N</v>
      </c>
    </row>
    <row r="391" s="65" customFormat="1" ht="15" customHeight="1" spans="1:23">
      <c r="A391" s="71"/>
      <c r="B391" s="73" t="s">
        <v>2894</v>
      </c>
      <c r="C391" s="71" t="s">
        <v>320</v>
      </c>
      <c r="D391" s="71" t="s">
        <v>384</v>
      </c>
      <c r="E391" s="71">
        <v>4</v>
      </c>
      <c r="F391" s="71">
        <v>4</v>
      </c>
      <c r="G391" s="71">
        <v>7</v>
      </c>
      <c r="H391" s="71">
        <v>2018</v>
      </c>
      <c r="I391" s="71">
        <v>2020</v>
      </c>
      <c r="J391" s="86">
        <f t="shared" si="102"/>
        <v>6.4806</v>
      </c>
      <c r="K391" s="86">
        <f t="shared" si="103"/>
        <v>2.0622</v>
      </c>
      <c r="L391" s="153">
        <f t="shared" si="104"/>
        <v>2.2092</v>
      </c>
      <c r="M391" s="153">
        <f t="shared" si="105"/>
        <v>2.2092</v>
      </c>
      <c r="N391" s="153"/>
      <c r="O391" s="153"/>
      <c r="P391" s="153"/>
      <c r="Q391" s="153"/>
      <c r="R391" s="154"/>
      <c r="S391" s="86"/>
      <c r="T391" s="86"/>
      <c r="U391" s="86"/>
      <c r="V391" s="56" t="s">
        <v>1819</v>
      </c>
      <c r="W391" s="61" t="str">
        <f t="shared" si="91"/>
        <v>N</v>
      </c>
    </row>
    <row r="392" s="65" customFormat="1" ht="15" customHeight="1" spans="1:23">
      <c r="A392" s="71"/>
      <c r="B392" s="73" t="s">
        <v>2899</v>
      </c>
      <c r="C392" s="71" t="s">
        <v>320</v>
      </c>
      <c r="D392" s="71" t="s">
        <v>384</v>
      </c>
      <c r="E392" s="71">
        <v>9</v>
      </c>
      <c r="F392" s="71">
        <v>9</v>
      </c>
      <c r="G392" s="71">
        <v>16</v>
      </c>
      <c r="H392" s="71">
        <v>2018</v>
      </c>
      <c r="I392" s="71">
        <v>2020</v>
      </c>
      <c r="J392" s="86">
        <f t="shared" si="102"/>
        <v>14.8128</v>
      </c>
      <c r="K392" s="86">
        <f t="shared" si="103"/>
        <v>4.7136</v>
      </c>
      <c r="L392" s="153">
        <f t="shared" si="104"/>
        <v>5.0496</v>
      </c>
      <c r="M392" s="153">
        <f t="shared" si="105"/>
        <v>5.0496</v>
      </c>
      <c r="N392" s="153"/>
      <c r="O392" s="153"/>
      <c r="P392" s="153"/>
      <c r="Q392" s="153"/>
      <c r="R392" s="154"/>
      <c r="S392" s="86"/>
      <c r="T392" s="86"/>
      <c r="U392" s="86"/>
      <c r="V392" s="56" t="s">
        <v>1819</v>
      </c>
      <c r="W392" s="61" t="str">
        <f t="shared" si="91"/>
        <v>N</v>
      </c>
    </row>
    <row r="393" s="65" customFormat="1" ht="15" customHeight="1" spans="1:23">
      <c r="A393" s="71"/>
      <c r="B393" s="73" t="s">
        <v>2900</v>
      </c>
      <c r="C393" s="71" t="s">
        <v>320</v>
      </c>
      <c r="D393" s="71" t="s">
        <v>384</v>
      </c>
      <c r="E393" s="71">
        <v>1</v>
      </c>
      <c r="F393" s="71">
        <v>1</v>
      </c>
      <c r="G393" s="71">
        <v>3</v>
      </c>
      <c r="H393" s="71">
        <v>2018</v>
      </c>
      <c r="I393" s="71">
        <v>2020</v>
      </c>
      <c r="J393" s="86">
        <f t="shared" si="102"/>
        <v>2.7774</v>
      </c>
      <c r="K393" s="86">
        <f t="shared" si="103"/>
        <v>0.8838</v>
      </c>
      <c r="L393" s="153">
        <f t="shared" si="104"/>
        <v>0.9468</v>
      </c>
      <c r="M393" s="153">
        <f t="shared" si="105"/>
        <v>0.9468</v>
      </c>
      <c r="N393" s="153"/>
      <c r="O393" s="153"/>
      <c r="P393" s="153"/>
      <c r="Q393" s="153"/>
      <c r="R393" s="154"/>
      <c r="S393" s="86"/>
      <c r="T393" s="86"/>
      <c r="U393" s="86"/>
      <c r="V393" s="56" t="s">
        <v>1819</v>
      </c>
      <c r="W393" s="61" t="str">
        <f t="shared" si="91"/>
        <v>N</v>
      </c>
    </row>
    <row r="394" s="65" customFormat="1" ht="23.25" customHeight="1" spans="1:23">
      <c r="A394" s="71">
        <v>52</v>
      </c>
      <c r="B394" s="73" t="s">
        <v>446</v>
      </c>
      <c r="C394" s="71" t="s">
        <v>320</v>
      </c>
      <c r="D394" s="71" t="s">
        <v>147</v>
      </c>
      <c r="E394" s="71">
        <v>63</v>
      </c>
      <c r="F394" s="71">
        <v>18</v>
      </c>
      <c r="G394" s="71">
        <v>19</v>
      </c>
      <c r="H394" s="71">
        <v>2018</v>
      </c>
      <c r="I394" s="71">
        <v>2020</v>
      </c>
      <c r="J394" s="86">
        <v>108.396</v>
      </c>
      <c r="K394" s="86">
        <v>36.132</v>
      </c>
      <c r="L394" s="86">
        <v>36.132</v>
      </c>
      <c r="M394" s="86">
        <v>36.132</v>
      </c>
      <c r="N394" s="138">
        <f>J394</f>
        <v>108.396</v>
      </c>
      <c r="O394" s="135"/>
      <c r="P394" s="135"/>
      <c r="Q394" s="135"/>
      <c r="R394" s="137"/>
      <c r="S394" s="86" t="s">
        <v>2901</v>
      </c>
      <c r="T394" s="86" t="s">
        <v>2944</v>
      </c>
      <c r="U394" s="71" t="s">
        <v>320</v>
      </c>
      <c r="V394" s="56"/>
      <c r="W394" s="61" t="str">
        <f t="shared" si="91"/>
        <v>Y</v>
      </c>
    </row>
    <row r="395" s="65" customFormat="1" ht="23.25" customHeight="1" spans="1:23">
      <c r="A395" s="71">
        <v>53</v>
      </c>
      <c r="B395" s="73" t="s">
        <v>447</v>
      </c>
      <c r="C395" s="71" t="s">
        <v>320</v>
      </c>
      <c r="D395" s="71" t="s">
        <v>147</v>
      </c>
      <c r="E395" s="71">
        <v>46</v>
      </c>
      <c r="F395" s="71">
        <v>15</v>
      </c>
      <c r="G395" s="71">
        <v>16</v>
      </c>
      <c r="H395" s="71">
        <v>2018</v>
      </c>
      <c r="I395" s="71">
        <v>2020</v>
      </c>
      <c r="J395" s="86">
        <f t="shared" ref="J395:J415" si="106">K395+L395+M395</f>
        <v>75.348</v>
      </c>
      <c r="K395" s="86">
        <v>25.116</v>
      </c>
      <c r="L395" s="86">
        <v>25.116</v>
      </c>
      <c r="M395" s="86">
        <v>25.116</v>
      </c>
      <c r="N395" s="138">
        <f>J395</f>
        <v>75.348</v>
      </c>
      <c r="O395" s="135"/>
      <c r="P395" s="135"/>
      <c r="Q395" s="135"/>
      <c r="R395" s="137"/>
      <c r="S395" s="71"/>
      <c r="T395" s="71"/>
      <c r="U395" s="86" t="s">
        <v>338</v>
      </c>
      <c r="V395" s="56"/>
      <c r="W395" s="61" t="str">
        <f t="shared" ref="W395:W452" si="107">IF(SUM(N395:R395)=J395,"Y","N")</f>
        <v>Y</v>
      </c>
    </row>
    <row r="396" s="65" customFormat="1" ht="14.1" customHeight="1" spans="1:23">
      <c r="A396" s="71"/>
      <c r="B396" s="73" t="s">
        <v>2892</v>
      </c>
      <c r="C396" s="71" t="s">
        <v>320</v>
      </c>
      <c r="D396" s="71" t="s">
        <v>147</v>
      </c>
      <c r="E396" s="71">
        <v>7</v>
      </c>
      <c r="F396" s="71">
        <v>1</v>
      </c>
      <c r="G396" s="71">
        <v>1</v>
      </c>
      <c r="H396" s="71">
        <v>2018</v>
      </c>
      <c r="I396" s="71">
        <v>2020</v>
      </c>
      <c r="J396" s="86">
        <f t="shared" si="106"/>
        <v>11.466</v>
      </c>
      <c r="K396" s="86">
        <f t="shared" ref="K396:K401" si="108">E396*0.546</f>
        <v>3.822</v>
      </c>
      <c r="L396" s="86">
        <f t="shared" ref="L396:L401" si="109">E396*0.546</f>
        <v>3.822</v>
      </c>
      <c r="M396" s="86">
        <f t="shared" ref="M396:M401" si="110">E396*0.546</f>
        <v>3.822</v>
      </c>
      <c r="N396" s="86"/>
      <c r="O396" s="71"/>
      <c r="P396" s="71"/>
      <c r="Q396" s="71"/>
      <c r="R396" s="71"/>
      <c r="S396" s="71"/>
      <c r="T396" s="71"/>
      <c r="U396" s="86"/>
      <c r="V396" s="56"/>
      <c r="W396" s="61" t="str">
        <f t="shared" si="107"/>
        <v>N</v>
      </c>
    </row>
    <row r="397" s="65" customFormat="1" ht="14.1" customHeight="1" spans="1:23">
      <c r="A397" s="71"/>
      <c r="B397" s="73" t="s">
        <v>2897</v>
      </c>
      <c r="C397" s="71" t="s">
        <v>320</v>
      </c>
      <c r="D397" s="71" t="s">
        <v>147</v>
      </c>
      <c r="E397" s="71">
        <v>6</v>
      </c>
      <c r="F397" s="71">
        <v>1</v>
      </c>
      <c r="G397" s="71">
        <v>1</v>
      </c>
      <c r="H397" s="71">
        <v>2018</v>
      </c>
      <c r="I397" s="71">
        <v>2020</v>
      </c>
      <c r="J397" s="86">
        <f t="shared" si="106"/>
        <v>9.828</v>
      </c>
      <c r="K397" s="86">
        <f t="shared" si="108"/>
        <v>3.276</v>
      </c>
      <c r="L397" s="86">
        <f t="shared" si="109"/>
        <v>3.276</v>
      </c>
      <c r="M397" s="86">
        <f t="shared" si="110"/>
        <v>3.276</v>
      </c>
      <c r="N397" s="86"/>
      <c r="O397" s="71"/>
      <c r="P397" s="71"/>
      <c r="Q397" s="71"/>
      <c r="R397" s="71"/>
      <c r="S397" s="71"/>
      <c r="T397" s="71"/>
      <c r="U397" s="86"/>
      <c r="V397" s="56"/>
      <c r="W397" s="61" t="str">
        <f t="shared" si="107"/>
        <v>N</v>
      </c>
    </row>
    <row r="398" s="65" customFormat="1" ht="14.1" customHeight="1" spans="1:23">
      <c r="A398" s="71"/>
      <c r="B398" s="73" t="s">
        <v>2893</v>
      </c>
      <c r="C398" s="71" t="s">
        <v>320</v>
      </c>
      <c r="D398" s="71" t="s">
        <v>147</v>
      </c>
      <c r="E398" s="71">
        <v>11</v>
      </c>
      <c r="F398" s="71">
        <v>5</v>
      </c>
      <c r="G398" s="71">
        <v>6</v>
      </c>
      <c r="H398" s="71">
        <v>2018</v>
      </c>
      <c r="I398" s="71">
        <v>2020</v>
      </c>
      <c r="J398" s="86">
        <f t="shared" si="106"/>
        <v>18.018</v>
      </c>
      <c r="K398" s="86">
        <f t="shared" si="108"/>
        <v>6.006</v>
      </c>
      <c r="L398" s="86">
        <f t="shared" si="109"/>
        <v>6.006</v>
      </c>
      <c r="M398" s="86">
        <f t="shared" si="110"/>
        <v>6.006</v>
      </c>
      <c r="N398" s="86"/>
      <c r="O398" s="71"/>
      <c r="P398" s="71"/>
      <c r="Q398" s="71"/>
      <c r="R398" s="71"/>
      <c r="S398" s="71"/>
      <c r="T398" s="71"/>
      <c r="U398" s="86"/>
      <c r="V398" s="56"/>
      <c r="W398" s="61" t="str">
        <f t="shared" si="107"/>
        <v>N</v>
      </c>
    </row>
    <row r="399" s="65" customFormat="1" ht="14.1" customHeight="1" spans="1:23">
      <c r="A399" s="71"/>
      <c r="B399" s="73" t="s">
        <v>2898</v>
      </c>
      <c r="C399" s="71" t="s">
        <v>320</v>
      </c>
      <c r="D399" s="71" t="s">
        <v>147</v>
      </c>
      <c r="E399" s="71">
        <v>6</v>
      </c>
      <c r="F399" s="71">
        <v>2</v>
      </c>
      <c r="G399" s="71">
        <v>2</v>
      </c>
      <c r="H399" s="71">
        <v>2018</v>
      </c>
      <c r="I399" s="71">
        <v>2020</v>
      </c>
      <c r="J399" s="86">
        <f t="shared" si="106"/>
        <v>9.828</v>
      </c>
      <c r="K399" s="86">
        <f t="shared" si="108"/>
        <v>3.276</v>
      </c>
      <c r="L399" s="86">
        <f t="shared" si="109"/>
        <v>3.276</v>
      </c>
      <c r="M399" s="86">
        <f t="shared" si="110"/>
        <v>3.276</v>
      </c>
      <c r="N399" s="86"/>
      <c r="O399" s="71"/>
      <c r="P399" s="71"/>
      <c r="Q399" s="71"/>
      <c r="R399" s="71"/>
      <c r="S399" s="71"/>
      <c r="T399" s="71"/>
      <c r="U399" s="86"/>
      <c r="V399" s="56"/>
      <c r="W399" s="61" t="str">
        <f t="shared" si="107"/>
        <v>N</v>
      </c>
    </row>
    <row r="400" s="65" customFormat="1" ht="14.1" customHeight="1" spans="1:23">
      <c r="A400" s="71"/>
      <c r="B400" s="73" t="s">
        <v>2894</v>
      </c>
      <c r="C400" s="71" t="s">
        <v>320</v>
      </c>
      <c r="D400" s="71" t="s">
        <v>147</v>
      </c>
      <c r="E400" s="71">
        <v>12</v>
      </c>
      <c r="F400" s="71">
        <v>4</v>
      </c>
      <c r="G400" s="71">
        <v>4</v>
      </c>
      <c r="H400" s="71">
        <v>2018</v>
      </c>
      <c r="I400" s="71">
        <v>2020</v>
      </c>
      <c r="J400" s="86">
        <f t="shared" si="106"/>
        <v>19.656</v>
      </c>
      <c r="K400" s="86">
        <f t="shared" si="108"/>
        <v>6.552</v>
      </c>
      <c r="L400" s="86">
        <f t="shared" si="109"/>
        <v>6.552</v>
      </c>
      <c r="M400" s="86">
        <f t="shared" si="110"/>
        <v>6.552</v>
      </c>
      <c r="N400" s="86"/>
      <c r="O400" s="71"/>
      <c r="P400" s="71"/>
      <c r="Q400" s="71"/>
      <c r="R400" s="71"/>
      <c r="S400" s="71"/>
      <c r="T400" s="71"/>
      <c r="U400" s="86"/>
      <c r="V400" s="56"/>
      <c r="W400" s="61" t="str">
        <f t="shared" si="107"/>
        <v>N</v>
      </c>
    </row>
    <row r="401" s="65" customFormat="1" ht="14.1" customHeight="1" spans="1:23">
      <c r="A401" s="71"/>
      <c r="B401" s="73" t="s">
        <v>2899</v>
      </c>
      <c r="C401" s="71" t="s">
        <v>320</v>
      </c>
      <c r="D401" s="71" t="s">
        <v>147</v>
      </c>
      <c r="E401" s="71">
        <v>4</v>
      </c>
      <c r="F401" s="71">
        <v>2</v>
      </c>
      <c r="G401" s="71">
        <v>2</v>
      </c>
      <c r="H401" s="71">
        <v>2018</v>
      </c>
      <c r="I401" s="71">
        <v>2020</v>
      </c>
      <c r="J401" s="86">
        <f t="shared" si="106"/>
        <v>6.552</v>
      </c>
      <c r="K401" s="86">
        <f t="shared" si="108"/>
        <v>2.184</v>
      </c>
      <c r="L401" s="86">
        <f t="shared" si="109"/>
        <v>2.184</v>
      </c>
      <c r="M401" s="86">
        <f t="shared" si="110"/>
        <v>2.184</v>
      </c>
      <c r="N401" s="86"/>
      <c r="O401" s="71"/>
      <c r="P401" s="71"/>
      <c r="Q401" s="71"/>
      <c r="R401" s="71"/>
      <c r="S401" s="71"/>
      <c r="T401" s="71"/>
      <c r="U401" s="86"/>
      <c r="V401" s="56"/>
      <c r="W401" s="61" t="str">
        <f t="shared" si="107"/>
        <v>N</v>
      </c>
    </row>
    <row r="402" s="65" customFormat="1" ht="23.25" customHeight="1" spans="1:23">
      <c r="A402" s="71">
        <v>54</v>
      </c>
      <c r="B402" s="73" t="s">
        <v>448</v>
      </c>
      <c r="C402" s="71" t="s">
        <v>320</v>
      </c>
      <c r="D402" s="71" t="s">
        <v>147</v>
      </c>
      <c r="E402" s="71">
        <v>17</v>
      </c>
      <c r="F402" s="71">
        <v>5</v>
      </c>
      <c r="G402" s="71">
        <v>5</v>
      </c>
      <c r="H402" s="71">
        <v>2018</v>
      </c>
      <c r="I402" s="71">
        <v>2020</v>
      </c>
      <c r="J402" s="86">
        <f t="shared" si="106"/>
        <v>33.048</v>
      </c>
      <c r="K402" s="86">
        <v>11.016</v>
      </c>
      <c r="L402" s="86">
        <v>11.016</v>
      </c>
      <c r="M402" s="86">
        <v>11.016</v>
      </c>
      <c r="N402" s="138">
        <f>J402</f>
        <v>33.048</v>
      </c>
      <c r="O402" s="135"/>
      <c r="P402" s="135"/>
      <c r="Q402" s="135"/>
      <c r="R402" s="137"/>
      <c r="S402" s="86"/>
      <c r="T402" s="86"/>
      <c r="U402" s="86" t="s">
        <v>338</v>
      </c>
      <c r="V402" s="56"/>
      <c r="W402" s="61" t="str">
        <f t="shared" si="107"/>
        <v>Y</v>
      </c>
    </row>
    <row r="403" s="65" customFormat="1" ht="15" customHeight="1" spans="1:23">
      <c r="A403" s="71"/>
      <c r="B403" s="73" t="s">
        <v>2892</v>
      </c>
      <c r="C403" s="71" t="s">
        <v>320</v>
      </c>
      <c r="D403" s="71" t="s">
        <v>147</v>
      </c>
      <c r="E403" s="71">
        <v>5</v>
      </c>
      <c r="F403" s="71">
        <v>4</v>
      </c>
      <c r="G403" s="71">
        <v>4</v>
      </c>
      <c r="H403" s="71">
        <v>2018</v>
      </c>
      <c r="I403" s="71">
        <v>2020</v>
      </c>
      <c r="J403" s="86">
        <f t="shared" si="106"/>
        <v>9.72</v>
      </c>
      <c r="K403" s="86">
        <f t="shared" ref="K403:K407" si="111">E403*0.648</f>
        <v>3.24</v>
      </c>
      <c r="L403" s="86">
        <v>3.24</v>
      </c>
      <c r="M403" s="86">
        <v>3.24</v>
      </c>
      <c r="N403" s="138"/>
      <c r="O403" s="135"/>
      <c r="P403" s="135"/>
      <c r="Q403" s="135"/>
      <c r="R403" s="137"/>
      <c r="S403" s="86"/>
      <c r="T403" s="86"/>
      <c r="U403" s="86"/>
      <c r="V403" s="56"/>
      <c r="W403" s="61" t="str">
        <f t="shared" si="107"/>
        <v>N</v>
      </c>
    </row>
    <row r="404" s="65" customFormat="1" ht="15" customHeight="1" spans="1:23">
      <c r="A404" s="71"/>
      <c r="B404" s="73" t="s">
        <v>2897</v>
      </c>
      <c r="C404" s="71" t="s">
        <v>320</v>
      </c>
      <c r="D404" s="71" t="s">
        <v>147</v>
      </c>
      <c r="E404" s="71">
        <v>4</v>
      </c>
      <c r="F404" s="71">
        <v>0</v>
      </c>
      <c r="G404" s="71">
        <v>0</v>
      </c>
      <c r="H404" s="71">
        <v>2018</v>
      </c>
      <c r="I404" s="71">
        <v>2020</v>
      </c>
      <c r="J404" s="86">
        <f t="shared" si="106"/>
        <v>7.776</v>
      </c>
      <c r="K404" s="86">
        <f t="shared" si="111"/>
        <v>2.592</v>
      </c>
      <c r="L404" s="86">
        <v>2.592</v>
      </c>
      <c r="M404" s="86">
        <v>2.592</v>
      </c>
      <c r="N404" s="138"/>
      <c r="O404" s="135"/>
      <c r="P404" s="135"/>
      <c r="Q404" s="135"/>
      <c r="R404" s="137"/>
      <c r="S404" s="86"/>
      <c r="T404" s="86"/>
      <c r="U404" s="86"/>
      <c r="V404" s="56"/>
      <c r="W404" s="61" t="str">
        <f t="shared" si="107"/>
        <v>N</v>
      </c>
    </row>
    <row r="405" s="65" customFormat="1" ht="15" customHeight="1" spans="1:23">
      <c r="A405" s="71"/>
      <c r="B405" s="73" t="s">
        <v>2893</v>
      </c>
      <c r="C405" s="71" t="s">
        <v>320</v>
      </c>
      <c r="D405" s="71" t="s">
        <v>147</v>
      </c>
      <c r="E405" s="71">
        <v>2</v>
      </c>
      <c r="F405" s="71">
        <v>1</v>
      </c>
      <c r="G405" s="71">
        <v>1</v>
      </c>
      <c r="H405" s="71">
        <v>2018</v>
      </c>
      <c r="I405" s="71">
        <v>2020</v>
      </c>
      <c r="J405" s="86">
        <f t="shared" si="106"/>
        <v>3.888</v>
      </c>
      <c r="K405" s="86">
        <f t="shared" si="111"/>
        <v>1.296</v>
      </c>
      <c r="L405" s="86">
        <v>1.296</v>
      </c>
      <c r="M405" s="86">
        <v>1.296</v>
      </c>
      <c r="N405" s="138"/>
      <c r="O405" s="135"/>
      <c r="P405" s="135"/>
      <c r="Q405" s="135"/>
      <c r="R405" s="137"/>
      <c r="S405" s="86"/>
      <c r="T405" s="86"/>
      <c r="U405" s="86"/>
      <c r="V405" s="56"/>
      <c r="W405" s="61" t="str">
        <f t="shared" si="107"/>
        <v>N</v>
      </c>
    </row>
    <row r="406" s="65" customFormat="1" ht="15" customHeight="1" spans="1:23">
      <c r="A406" s="71"/>
      <c r="B406" s="73" t="s">
        <v>2898</v>
      </c>
      <c r="C406" s="71" t="s">
        <v>320</v>
      </c>
      <c r="D406" s="71" t="s">
        <v>147</v>
      </c>
      <c r="E406" s="71">
        <v>3</v>
      </c>
      <c r="F406" s="71">
        <v>0</v>
      </c>
      <c r="G406" s="71">
        <v>0</v>
      </c>
      <c r="H406" s="71">
        <v>2018</v>
      </c>
      <c r="I406" s="71">
        <v>2020</v>
      </c>
      <c r="J406" s="86">
        <f t="shared" si="106"/>
        <v>5.832</v>
      </c>
      <c r="K406" s="86">
        <f t="shared" si="111"/>
        <v>1.944</v>
      </c>
      <c r="L406" s="86">
        <v>1.944</v>
      </c>
      <c r="M406" s="86">
        <v>1.944</v>
      </c>
      <c r="N406" s="138"/>
      <c r="O406" s="135"/>
      <c r="P406" s="135"/>
      <c r="Q406" s="135"/>
      <c r="R406" s="137"/>
      <c r="S406" s="86"/>
      <c r="T406" s="86"/>
      <c r="U406" s="86"/>
      <c r="V406" s="56"/>
      <c r="W406" s="61" t="str">
        <f t="shared" si="107"/>
        <v>N</v>
      </c>
    </row>
    <row r="407" s="65" customFormat="1" ht="15" customHeight="1" spans="1:23">
      <c r="A407" s="71"/>
      <c r="B407" s="73" t="s">
        <v>2894</v>
      </c>
      <c r="C407" s="71" t="s">
        <v>320</v>
      </c>
      <c r="D407" s="71" t="s">
        <v>147</v>
      </c>
      <c r="E407" s="71">
        <v>3</v>
      </c>
      <c r="F407" s="71">
        <v>0</v>
      </c>
      <c r="G407" s="71">
        <v>0</v>
      </c>
      <c r="H407" s="71">
        <v>2018</v>
      </c>
      <c r="I407" s="71">
        <v>2020</v>
      </c>
      <c r="J407" s="86">
        <f t="shared" si="106"/>
        <v>5.832</v>
      </c>
      <c r="K407" s="86">
        <f t="shared" si="111"/>
        <v>1.944</v>
      </c>
      <c r="L407" s="86">
        <v>1.944</v>
      </c>
      <c r="M407" s="86">
        <v>1.944</v>
      </c>
      <c r="N407" s="138"/>
      <c r="O407" s="135"/>
      <c r="P407" s="135"/>
      <c r="Q407" s="135"/>
      <c r="R407" s="137"/>
      <c r="S407" s="86"/>
      <c r="T407" s="86"/>
      <c r="U407" s="86"/>
      <c r="V407" s="56"/>
      <c r="W407" s="61" t="str">
        <f t="shared" si="107"/>
        <v>N</v>
      </c>
    </row>
    <row r="408" s="65" customFormat="1" ht="23.25" customHeight="1" spans="1:23">
      <c r="A408" s="71">
        <v>55</v>
      </c>
      <c r="B408" s="73" t="s">
        <v>449</v>
      </c>
      <c r="C408" s="71" t="s">
        <v>320</v>
      </c>
      <c r="D408" s="71" t="s">
        <v>147</v>
      </c>
      <c r="E408" s="71">
        <v>151</v>
      </c>
      <c r="F408" s="71">
        <v>86</v>
      </c>
      <c r="G408" s="71">
        <v>88</v>
      </c>
      <c r="H408" s="71">
        <v>2018</v>
      </c>
      <c r="I408" s="71">
        <v>2020</v>
      </c>
      <c r="J408" s="71">
        <f t="shared" si="106"/>
        <v>45.624</v>
      </c>
      <c r="K408" s="86">
        <v>15.208</v>
      </c>
      <c r="L408" s="86">
        <v>15.208</v>
      </c>
      <c r="M408" s="86">
        <v>15.208</v>
      </c>
      <c r="N408" s="86">
        <v>45.624</v>
      </c>
      <c r="O408" s="86"/>
      <c r="P408" s="86"/>
      <c r="Q408" s="86"/>
      <c r="R408" s="86"/>
      <c r="S408" s="86" t="s">
        <v>2901</v>
      </c>
      <c r="T408" s="86" t="s">
        <v>2945</v>
      </c>
      <c r="U408" s="86" t="s">
        <v>452</v>
      </c>
      <c r="V408" s="56" t="s">
        <v>1819</v>
      </c>
      <c r="W408" s="61" t="str">
        <f t="shared" si="107"/>
        <v>Y</v>
      </c>
    </row>
    <row r="409" s="65" customFormat="1" ht="15" customHeight="1" spans="1:23">
      <c r="A409" s="71"/>
      <c r="B409" s="73" t="s">
        <v>2892</v>
      </c>
      <c r="C409" s="71" t="s">
        <v>320</v>
      </c>
      <c r="D409" s="71" t="s">
        <v>147</v>
      </c>
      <c r="E409" s="71">
        <v>44</v>
      </c>
      <c r="F409" s="71">
        <v>29</v>
      </c>
      <c r="G409" s="71">
        <v>29</v>
      </c>
      <c r="H409" s="71">
        <v>2018</v>
      </c>
      <c r="I409" s="71">
        <v>2020</v>
      </c>
      <c r="J409" s="71">
        <f t="shared" si="106"/>
        <v>14.076</v>
      </c>
      <c r="K409" s="153">
        <v>4.692</v>
      </c>
      <c r="L409" s="153">
        <v>4.692</v>
      </c>
      <c r="M409" s="153">
        <v>4.692</v>
      </c>
      <c r="N409" s="153"/>
      <c r="O409" s="153"/>
      <c r="P409" s="153"/>
      <c r="Q409" s="153"/>
      <c r="R409" s="154"/>
      <c r="S409" s="86"/>
      <c r="T409" s="86"/>
      <c r="U409" s="86"/>
      <c r="V409" s="56" t="s">
        <v>1819</v>
      </c>
      <c r="W409" s="61" t="str">
        <f t="shared" si="107"/>
        <v>N</v>
      </c>
    </row>
    <row r="410" s="65" customFormat="1" ht="15" customHeight="1" spans="1:23">
      <c r="A410" s="71"/>
      <c r="B410" s="73" t="s">
        <v>2897</v>
      </c>
      <c r="C410" s="71" t="s">
        <v>320</v>
      </c>
      <c r="D410" s="71" t="s">
        <v>147</v>
      </c>
      <c r="E410" s="71">
        <v>21</v>
      </c>
      <c r="F410" s="71">
        <v>8</v>
      </c>
      <c r="G410" s="71">
        <v>8</v>
      </c>
      <c r="H410" s="71">
        <v>2018</v>
      </c>
      <c r="I410" s="71">
        <v>2020</v>
      </c>
      <c r="J410" s="71">
        <f t="shared" si="106"/>
        <v>5.832</v>
      </c>
      <c r="K410" s="153">
        <v>1.944</v>
      </c>
      <c r="L410" s="153">
        <v>1.944</v>
      </c>
      <c r="M410" s="153">
        <v>1.944</v>
      </c>
      <c r="N410" s="153"/>
      <c r="O410" s="153"/>
      <c r="P410" s="153"/>
      <c r="Q410" s="153"/>
      <c r="R410" s="154"/>
      <c r="S410" s="86"/>
      <c r="T410" s="86"/>
      <c r="U410" s="86"/>
      <c r="V410" s="56" t="s">
        <v>1819</v>
      </c>
      <c r="W410" s="61" t="str">
        <f t="shared" si="107"/>
        <v>N</v>
      </c>
    </row>
    <row r="411" s="65" customFormat="1" ht="15" customHeight="1" spans="1:23">
      <c r="A411" s="71"/>
      <c r="B411" s="73" t="s">
        <v>2893</v>
      </c>
      <c r="C411" s="71" t="s">
        <v>320</v>
      </c>
      <c r="D411" s="71" t="s">
        <v>147</v>
      </c>
      <c r="E411" s="71">
        <v>33</v>
      </c>
      <c r="F411" s="71">
        <v>21</v>
      </c>
      <c r="G411" s="71">
        <v>22</v>
      </c>
      <c r="H411" s="71">
        <v>2018</v>
      </c>
      <c r="I411" s="71">
        <v>2020</v>
      </c>
      <c r="J411" s="71">
        <f t="shared" si="106"/>
        <v>8.904</v>
      </c>
      <c r="K411" s="153">
        <v>2.968</v>
      </c>
      <c r="L411" s="153">
        <v>2.968</v>
      </c>
      <c r="M411" s="153">
        <v>2.968</v>
      </c>
      <c r="N411" s="153"/>
      <c r="O411" s="153"/>
      <c r="P411" s="153"/>
      <c r="Q411" s="153"/>
      <c r="R411" s="154"/>
      <c r="S411" s="86"/>
      <c r="T411" s="86"/>
      <c r="U411" s="86"/>
      <c r="V411" s="56" t="s">
        <v>1819</v>
      </c>
      <c r="W411" s="61" t="str">
        <f t="shared" si="107"/>
        <v>N</v>
      </c>
    </row>
    <row r="412" s="65" customFormat="1" ht="15" customHeight="1" spans="1:23">
      <c r="A412" s="71"/>
      <c r="B412" s="73" t="s">
        <v>2898</v>
      </c>
      <c r="C412" s="71" t="s">
        <v>320</v>
      </c>
      <c r="D412" s="71" t="s">
        <v>147</v>
      </c>
      <c r="E412" s="71">
        <v>7</v>
      </c>
      <c r="F412" s="71">
        <v>4</v>
      </c>
      <c r="G412" s="71">
        <v>4</v>
      </c>
      <c r="H412" s="71">
        <v>2018</v>
      </c>
      <c r="I412" s="71">
        <v>2020</v>
      </c>
      <c r="J412" s="71">
        <f t="shared" si="106"/>
        <v>2.16</v>
      </c>
      <c r="K412" s="153">
        <v>0.72</v>
      </c>
      <c r="L412" s="153">
        <v>0.72</v>
      </c>
      <c r="M412" s="153">
        <v>0.72</v>
      </c>
      <c r="N412" s="153"/>
      <c r="O412" s="153"/>
      <c r="P412" s="153"/>
      <c r="Q412" s="153"/>
      <c r="R412" s="154"/>
      <c r="S412" s="86"/>
      <c r="T412" s="86"/>
      <c r="U412" s="86"/>
      <c r="V412" s="56" t="s">
        <v>1819</v>
      </c>
      <c r="W412" s="61" t="str">
        <f t="shared" si="107"/>
        <v>N</v>
      </c>
    </row>
    <row r="413" s="65" customFormat="1" ht="15" customHeight="1" spans="1:23">
      <c r="A413" s="71"/>
      <c r="B413" s="73" t="s">
        <v>2894</v>
      </c>
      <c r="C413" s="71" t="s">
        <v>320</v>
      </c>
      <c r="D413" s="71" t="s">
        <v>147</v>
      </c>
      <c r="E413" s="71">
        <v>28</v>
      </c>
      <c r="F413" s="71">
        <v>12</v>
      </c>
      <c r="G413" s="71">
        <v>13</v>
      </c>
      <c r="H413" s="71">
        <v>2018</v>
      </c>
      <c r="I413" s="71">
        <v>2020</v>
      </c>
      <c r="J413" s="71">
        <f t="shared" si="106"/>
        <v>8.568</v>
      </c>
      <c r="K413" s="153">
        <v>2.856</v>
      </c>
      <c r="L413" s="153">
        <v>2.856</v>
      </c>
      <c r="M413" s="153">
        <v>2.856</v>
      </c>
      <c r="N413" s="153"/>
      <c r="O413" s="153"/>
      <c r="P413" s="153"/>
      <c r="Q413" s="153"/>
      <c r="R413" s="154"/>
      <c r="S413" s="86"/>
      <c r="T413" s="86"/>
      <c r="U413" s="86"/>
      <c r="V413" s="56" t="s">
        <v>1819</v>
      </c>
      <c r="W413" s="61" t="str">
        <f t="shared" si="107"/>
        <v>N</v>
      </c>
    </row>
    <row r="414" s="65" customFormat="1" ht="15" customHeight="1" spans="1:23">
      <c r="A414" s="71"/>
      <c r="B414" s="73" t="s">
        <v>2899</v>
      </c>
      <c r="C414" s="71" t="s">
        <v>320</v>
      </c>
      <c r="D414" s="71" t="s">
        <v>147</v>
      </c>
      <c r="E414" s="71">
        <v>15</v>
      </c>
      <c r="F414" s="71">
        <v>10</v>
      </c>
      <c r="G414" s="71">
        <v>10</v>
      </c>
      <c r="H414" s="71">
        <v>2018</v>
      </c>
      <c r="I414" s="71">
        <v>2020</v>
      </c>
      <c r="J414" s="71">
        <f t="shared" si="106"/>
        <v>4.968</v>
      </c>
      <c r="K414" s="153">
        <v>1.656</v>
      </c>
      <c r="L414" s="153">
        <v>1.656</v>
      </c>
      <c r="M414" s="153">
        <v>1.656</v>
      </c>
      <c r="N414" s="153"/>
      <c r="O414" s="153"/>
      <c r="P414" s="153"/>
      <c r="Q414" s="153"/>
      <c r="R414" s="154"/>
      <c r="S414" s="86"/>
      <c r="T414" s="86"/>
      <c r="U414" s="86"/>
      <c r="V414" s="56" t="s">
        <v>1819</v>
      </c>
      <c r="W414" s="61" t="str">
        <f t="shared" si="107"/>
        <v>N</v>
      </c>
    </row>
    <row r="415" s="65" customFormat="1" ht="15" customHeight="1" spans="1:23">
      <c r="A415" s="71"/>
      <c r="B415" s="73" t="s">
        <v>2900</v>
      </c>
      <c r="C415" s="71" t="s">
        <v>320</v>
      </c>
      <c r="D415" s="71" t="s">
        <v>147</v>
      </c>
      <c r="E415" s="71">
        <v>3</v>
      </c>
      <c r="F415" s="71">
        <v>2</v>
      </c>
      <c r="G415" s="71">
        <v>2</v>
      </c>
      <c r="H415" s="71">
        <v>2018</v>
      </c>
      <c r="I415" s="71">
        <v>2020</v>
      </c>
      <c r="J415" s="71">
        <f t="shared" si="106"/>
        <v>1.116</v>
      </c>
      <c r="K415" s="153">
        <v>0.372</v>
      </c>
      <c r="L415" s="153">
        <v>0.372</v>
      </c>
      <c r="M415" s="153">
        <v>0.372</v>
      </c>
      <c r="N415" s="153"/>
      <c r="O415" s="153"/>
      <c r="P415" s="153"/>
      <c r="Q415" s="153"/>
      <c r="R415" s="154"/>
      <c r="S415" s="86"/>
      <c r="T415" s="86"/>
      <c r="U415" s="86"/>
      <c r="V415" s="56" t="s">
        <v>1819</v>
      </c>
      <c r="W415" s="61" t="str">
        <f t="shared" si="107"/>
        <v>N</v>
      </c>
    </row>
    <row r="416" s="65" customFormat="1" ht="23.25" customHeight="1" spans="1:23">
      <c r="A416" s="71">
        <v>56</v>
      </c>
      <c r="B416" s="73" t="s">
        <v>457</v>
      </c>
      <c r="C416" s="71" t="s">
        <v>320</v>
      </c>
      <c r="D416" s="71"/>
      <c r="E416" s="71"/>
      <c r="F416" s="71"/>
      <c r="G416" s="71"/>
      <c r="H416" s="71"/>
      <c r="I416" s="71"/>
      <c r="J416" s="71" t="s">
        <v>320</v>
      </c>
      <c r="K416" s="71" t="s">
        <v>320</v>
      </c>
      <c r="L416" s="71" t="s">
        <v>320</v>
      </c>
      <c r="M416" s="71" t="s">
        <v>320</v>
      </c>
      <c r="N416" s="86"/>
      <c r="O416" s="71"/>
      <c r="P416" s="71"/>
      <c r="Q416" s="71"/>
      <c r="R416" s="71"/>
      <c r="S416" s="86"/>
      <c r="T416" s="86"/>
      <c r="U416" s="71" t="s">
        <v>320</v>
      </c>
      <c r="V416" s="56"/>
      <c r="W416" s="61" t="str">
        <f t="shared" si="107"/>
        <v>N</v>
      </c>
    </row>
    <row r="417" s="65" customFormat="1" ht="23.25" customHeight="1" spans="1:23">
      <c r="A417" s="71">
        <v>57</v>
      </c>
      <c r="B417" s="73" t="s">
        <v>458</v>
      </c>
      <c r="C417" s="71" t="s">
        <v>320</v>
      </c>
      <c r="D417" s="71" t="s">
        <v>147</v>
      </c>
      <c r="E417" s="71"/>
      <c r="F417" s="71"/>
      <c r="G417" s="71"/>
      <c r="H417" s="71"/>
      <c r="I417" s="71"/>
      <c r="J417" s="71" t="s">
        <v>320</v>
      </c>
      <c r="K417" s="71" t="s">
        <v>320</v>
      </c>
      <c r="L417" s="71" t="s">
        <v>320</v>
      </c>
      <c r="M417" s="71" t="s">
        <v>320</v>
      </c>
      <c r="N417" s="86"/>
      <c r="O417" s="71"/>
      <c r="P417" s="71"/>
      <c r="Q417" s="71"/>
      <c r="R417" s="71"/>
      <c r="S417" s="86"/>
      <c r="T417" s="86"/>
      <c r="U417" s="86" t="s">
        <v>338</v>
      </c>
      <c r="V417" s="56"/>
      <c r="W417" s="61" t="str">
        <f t="shared" si="107"/>
        <v>N</v>
      </c>
    </row>
    <row r="418" s="65" customFormat="1" ht="23.25" customHeight="1" spans="1:23">
      <c r="A418" s="71">
        <v>58</v>
      </c>
      <c r="B418" s="73" t="s">
        <v>459</v>
      </c>
      <c r="C418" s="71" t="s">
        <v>320</v>
      </c>
      <c r="D418" s="71" t="s">
        <v>147</v>
      </c>
      <c r="E418" s="71"/>
      <c r="F418" s="71"/>
      <c r="G418" s="71"/>
      <c r="H418" s="71"/>
      <c r="I418" s="71"/>
      <c r="J418" s="71" t="s">
        <v>320</v>
      </c>
      <c r="K418" s="71" t="s">
        <v>320</v>
      </c>
      <c r="L418" s="71" t="s">
        <v>320</v>
      </c>
      <c r="M418" s="71" t="s">
        <v>320</v>
      </c>
      <c r="N418" s="86"/>
      <c r="O418" s="71"/>
      <c r="P418" s="71"/>
      <c r="Q418" s="71"/>
      <c r="R418" s="71"/>
      <c r="S418" s="86"/>
      <c r="T418" s="86"/>
      <c r="U418" s="86" t="s">
        <v>338</v>
      </c>
      <c r="V418" s="56"/>
      <c r="W418" s="61" t="str">
        <f t="shared" si="107"/>
        <v>N</v>
      </c>
    </row>
    <row r="419" ht="23.25" customHeight="1" spans="1:23">
      <c r="A419" s="71">
        <v>59</v>
      </c>
      <c r="B419" s="90" t="s">
        <v>951</v>
      </c>
      <c r="C419" s="71" t="s">
        <v>320</v>
      </c>
      <c r="D419" s="71" t="s">
        <v>320</v>
      </c>
      <c r="E419" s="71" t="s">
        <v>320</v>
      </c>
      <c r="F419" s="71">
        <f t="shared" ref="F419:R419" si="112">F420+F421+F426+F427+F436+F440+F460+F469+F475+F484</f>
        <v>3986</v>
      </c>
      <c r="G419" s="71">
        <f t="shared" si="112"/>
        <v>13521</v>
      </c>
      <c r="H419" s="71">
        <v>2018</v>
      </c>
      <c r="I419" s="71">
        <v>2019</v>
      </c>
      <c r="J419" s="71">
        <f>K419+L419+M419</f>
        <v>1282.57</v>
      </c>
      <c r="K419" s="71">
        <f t="shared" si="112"/>
        <v>694.11</v>
      </c>
      <c r="L419" s="71">
        <f t="shared" si="112"/>
        <v>588.46</v>
      </c>
      <c r="M419" s="71">
        <f t="shared" si="112"/>
        <v>0</v>
      </c>
      <c r="N419" s="71">
        <f t="shared" si="112"/>
        <v>119.09</v>
      </c>
      <c r="O419" s="71">
        <f t="shared" si="112"/>
        <v>955.86</v>
      </c>
      <c r="P419" s="71">
        <f t="shared" si="112"/>
        <v>207.62</v>
      </c>
      <c r="Q419" s="71">
        <f t="shared" si="112"/>
        <v>0</v>
      </c>
      <c r="R419" s="71">
        <f t="shared" si="112"/>
        <v>0</v>
      </c>
      <c r="S419" s="102"/>
      <c r="T419" s="102"/>
      <c r="U419" s="86"/>
      <c r="V419" s="56"/>
      <c r="W419" s="61" t="str">
        <f t="shared" si="107"/>
        <v>Y</v>
      </c>
    </row>
    <row r="420" ht="29.1" customHeight="1" spans="1:23">
      <c r="A420" s="71">
        <v>60</v>
      </c>
      <c r="B420" s="90" t="s">
        <v>1488</v>
      </c>
      <c r="C420" s="71" t="s">
        <v>320</v>
      </c>
      <c r="D420" s="71" t="s">
        <v>320</v>
      </c>
      <c r="E420" s="71" t="s">
        <v>320</v>
      </c>
      <c r="F420" s="71">
        <v>786</v>
      </c>
      <c r="G420" s="71">
        <v>2700</v>
      </c>
      <c r="H420" s="71">
        <v>2018</v>
      </c>
      <c r="I420" s="71">
        <v>2019</v>
      </c>
      <c r="J420" s="71"/>
      <c r="K420" s="71"/>
      <c r="L420" s="71"/>
      <c r="M420" s="71"/>
      <c r="N420" s="71"/>
      <c r="O420" s="71"/>
      <c r="P420" s="71"/>
      <c r="Q420" s="71"/>
      <c r="R420" s="71"/>
      <c r="S420" s="71"/>
      <c r="T420" s="71"/>
      <c r="U420" s="71" t="s">
        <v>320</v>
      </c>
      <c r="V420" s="56"/>
      <c r="W420" s="61" t="str">
        <f t="shared" si="107"/>
        <v>Y</v>
      </c>
    </row>
    <row r="421" ht="23.25" customHeight="1" spans="1:23">
      <c r="A421" s="71">
        <v>61</v>
      </c>
      <c r="B421" s="90" t="s">
        <v>462</v>
      </c>
      <c r="C421" s="71" t="s">
        <v>320</v>
      </c>
      <c r="D421" s="71" t="s">
        <v>192</v>
      </c>
      <c r="E421" s="71">
        <f t="shared" ref="E421:R421" si="113">E422</f>
        <v>41.04</v>
      </c>
      <c r="F421" s="71">
        <f t="shared" si="113"/>
        <v>635</v>
      </c>
      <c r="G421" s="71">
        <f t="shared" si="113"/>
        <v>2503</v>
      </c>
      <c r="H421" s="71">
        <f t="shared" si="113"/>
        <v>2018</v>
      </c>
      <c r="I421" s="71">
        <f t="shared" si="113"/>
        <v>2019</v>
      </c>
      <c r="J421" s="71">
        <f t="shared" si="113"/>
        <v>265</v>
      </c>
      <c r="K421" s="71">
        <f t="shared" si="113"/>
        <v>205</v>
      </c>
      <c r="L421" s="71">
        <f t="shared" si="113"/>
        <v>60</v>
      </c>
      <c r="M421" s="71">
        <f t="shared" si="113"/>
        <v>0</v>
      </c>
      <c r="N421" s="71">
        <f t="shared" si="113"/>
        <v>84</v>
      </c>
      <c r="O421" s="71">
        <f t="shared" si="113"/>
        <v>60</v>
      </c>
      <c r="P421" s="71">
        <f t="shared" si="113"/>
        <v>121</v>
      </c>
      <c r="Q421" s="71">
        <f t="shared" si="113"/>
        <v>0</v>
      </c>
      <c r="R421" s="71">
        <f t="shared" si="113"/>
        <v>0</v>
      </c>
      <c r="S421" s="133" t="s">
        <v>2890</v>
      </c>
      <c r="T421" s="133" t="s">
        <v>2891</v>
      </c>
      <c r="U421" s="71" t="s">
        <v>320</v>
      </c>
      <c r="V421" s="56"/>
      <c r="W421" s="61" t="str">
        <f t="shared" si="107"/>
        <v>Y</v>
      </c>
    </row>
    <row r="422" ht="39" customHeight="1" spans="1:23">
      <c r="A422" s="71">
        <v>62</v>
      </c>
      <c r="B422" s="90" t="s">
        <v>464</v>
      </c>
      <c r="C422" s="71" t="s">
        <v>1124</v>
      </c>
      <c r="D422" s="71" t="s">
        <v>192</v>
      </c>
      <c r="E422" s="71">
        <v>41.04</v>
      </c>
      <c r="F422" s="71">
        <v>635</v>
      </c>
      <c r="G422" s="71">
        <v>2503</v>
      </c>
      <c r="H422" s="71">
        <v>2018</v>
      </c>
      <c r="I422" s="71">
        <v>2019</v>
      </c>
      <c r="J422" s="71">
        <f>K422+L422+M422</f>
        <v>265</v>
      </c>
      <c r="K422" s="71">
        <f>SUM(K423:K425)</f>
        <v>205</v>
      </c>
      <c r="L422" s="71">
        <f t="shared" ref="L422:R422" si="114">SUM(L423:L425)</f>
        <v>60</v>
      </c>
      <c r="M422" s="71">
        <f t="shared" si="114"/>
        <v>0</v>
      </c>
      <c r="N422" s="71">
        <f t="shared" si="114"/>
        <v>84</v>
      </c>
      <c r="O422" s="71">
        <f t="shared" si="114"/>
        <v>60</v>
      </c>
      <c r="P422" s="71">
        <f t="shared" si="114"/>
        <v>121</v>
      </c>
      <c r="Q422" s="71">
        <f t="shared" si="114"/>
        <v>0</v>
      </c>
      <c r="R422" s="71">
        <f t="shared" si="114"/>
        <v>0</v>
      </c>
      <c r="S422" s="86"/>
      <c r="T422" s="86"/>
      <c r="U422" s="86" t="s">
        <v>271</v>
      </c>
      <c r="V422" s="56" t="s">
        <v>1819</v>
      </c>
      <c r="W422" s="61" t="str">
        <f t="shared" si="107"/>
        <v>Y</v>
      </c>
    </row>
    <row r="423" ht="15" customHeight="1" spans="1:23">
      <c r="A423" s="71"/>
      <c r="B423" s="148" t="s">
        <v>2946</v>
      </c>
      <c r="C423" s="71" t="s">
        <v>1124</v>
      </c>
      <c r="D423" s="71" t="s">
        <v>192</v>
      </c>
      <c r="E423" s="149">
        <v>9.04</v>
      </c>
      <c r="F423" s="101">
        <v>195</v>
      </c>
      <c r="G423" s="101">
        <v>757</v>
      </c>
      <c r="H423" s="150">
        <v>2018</v>
      </c>
      <c r="I423" s="150">
        <v>2018</v>
      </c>
      <c r="J423" s="71">
        <f t="shared" ref="J423:J425" si="115">K423+L423+M423</f>
        <v>112</v>
      </c>
      <c r="K423" s="71">
        <v>112</v>
      </c>
      <c r="L423" s="71">
        <v>0</v>
      </c>
      <c r="M423" s="71">
        <v>0</v>
      </c>
      <c r="N423" s="56">
        <v>84</v>
      </c>
      <c r="O423" s="56"/>
      <c r="P423" s="68">
        <v>28</v>
      </c>
      <c r="Q423" s="56"/>
      <c r="R423" s="56"/>
      <c r="S423" s="71"/>
      <c r="T423" s="71"/>
      <c r="U423" s="71"/>
      <c r="V423" s="56" t="s">
        <v>1819</v>
      </c>
      <c r="W423" s="61" t="str">
        <f t="shared" si="107"/>
        <v>Y</v>
      </c>
    </row>
    <row r="424" ht="15" customHeight="1" spans="1:23">
      <c r="A424" s="71"/>
      <c r="B424" s="148" t="s">
        <v>2947</v>
      </c>
      <c r="C424" s="71" t="s">
        <v>1124</v>
      </c>
      <c r="D424" s="71" t="s">
        <v>192</v>
      </c>
      <c r="E424" s="149">
        <v>23.7</v>
      </c>
      <c r="F424" s="101">
        <v>215</v>
      </c>
      <c r="G424" s="101">
        <v>849</v>
      </c>
      <c r="H424" s="150">
        <v>2018</v>
      </c>
      <c r="I424" s="150">
        <v>2018</v>
      </c>
      <c r="J424" s="71">
        <f t="shared" si="115"/>
        <v>93</v>
      </c>
      <c r="K424" s="71">
        <v>93</v>
      </c>
      <c r="L424" s="71">
        <v>0</v>
      </c>
      <c r="M424" s="71">
        <v>0</v>
      </c>
      <c r="N424" s="56"/>
      <c r="O424" s="56"/>
      <c r="P424" s="56">
        <f>J424</f>
        <v>93</v>
      </c>
      <c r="Q424" s="56"/>
      <c r="R424" s="56"/>
      <c r="S424" s="71"/>
      <c r="T424" s="71"/>
      <c r="U424" s="71"/>
      <c r="V424" s="56" t="s">
        <v>1819</v>
      </c>
      <c r="W424" s="61" t="str">
        <f t="shared" si="107"/>
        <v>Y</v>
      </c>
    </row>
    <row r="425" ht="15" customHeight="1" spans="1:23">
      <c r="A425" s="71"/>
      <c r="B425" s="148" t="s">
        <v>2948</v>
      </c>
      <c r="C425" s="71" t="s">
        <v>1124</v>
      </c>
      <c r="D425" s="71" t="s">
        <v>192</v>
      </c>
      <c r="E425" s="149">
        <v>8.3</v>
      </c>
      <c r="F425" s="101">
        <v>225</v>
      </c>
      <c r="G425" s="101">
        <v>897</v>
      </c>
      <c r="H425" s="149">
        <v>2019</v>
      </c>
      <c r="I425" s="149">
        <v>2019</v>
      </c>
      <c r="J425" s="71">
        <f t="shared" si="115"/>
        <v>60</v>
      </c>
      <c r="K425" s="71">
        <v>0</v>
      </c>
      <c r="L425" s="71">
        <v>60</v>
      </c>
      <c r="M425" s="71">
        <v>0</v>
      </c>
      <c r="N425" s="56"/>
      <c r="O425" s="56">
        <f>J425</f>
        <v>60</v>
      </c>
      <c r="P425" s="56"/>
      <c r="Q425" s="56"/>
      <c r="R425" s="56"/>
      <c r="S425" s="71"/>
      <c r="T425" s="71"/>
      <c r="U425" s="71"/>
      <c r="V425" s="56" t="s">
        <v>1819</v>
      </c>
      <c r="W425" s="61" t="str">
        <f t="shared" si="107"/>
        <v>Y</v>
      </c>
    </row>
    <row r="426" ht="30" customHeight="1" spans="1:23">
      <c r="A426" s="71">
        <v>64</v>
      </c>
      <c r="B426" s="90" t="s">
        <v>495</v>
      </c>
      <c r="C426" s="71" t="s">
        <v>1124</v>
      </c>
      <c r="D426" s="71" t="s">
        <v>496</v>
      </c>
      <c r="E426" s="71">
        <v>1</v>
      </c>
      <c r="F426" s="71">
        <v>4</v>
      </c>
      <c r="G426" s="71">
        <v>17</v>
      </c>
      <c r="H426" s="71">
        <v>2018</v>
      </c>
      <c r="I426" s="71">
        <v>2018</v>
      </c>
      <c r="J426" s="71">
        <f>SUM(K426:M426)</f>
        <v>62.62</v>
      </c>
      <c r="K426" s="71">
        <v>62.62</v>
      </c>
      <c r="L426" s="56">
        <v>0</v>
      </c>
      <c r="M426" s="56">
        <v>0</v>
      </c>
      <c r="N426" s="56"/>
      <c r="O426" s="56"/>
      <c r="P426" s="56">
        <v>62.62</v>
      </c>
      <c r="Q426" s="56"/>
      <c r="R426" s="56"/>
      <c r="S426" s="133" t="s">
        <v>2949</v>
      </c>
      <c r="T426" s="133" t="s">
        <v>2950</v>
      </c>
      <c r="U426" s="86" t="s">
        <v>497</v>
      </c>
      <c r="V426" s="56"/>
      <c r="W426" s="61" t="str">
        <f t="shared" si="107"/>
        <v>Y</v>
      </c>
    </row>
    <row r="427" ht="30" customHeight="1" spans="1:23">
      <c r="A427" s="71">
        <v>65</v>
      </c>
      <c r="B427" s="90" t="s">
        <v>499</v>
      </c>
      <c r="C427" s="71" t="s">
        <v>1124</v>
      </c>
      <c r="D427" s="71" t="s">
        <v>384</v>
      </c>
      <c r="E427" s="101">
        <f t="shared" ref="E427:R427" si="116">E428</f>
        <v>138</v>
      </c>
      <c r="F427" s="101">
        <f t="shared" si="116"/>
        <v>138</v>
      </c>
      <c r="G427" s="101">
        <v>463</v>
      </c>
      <c r="H427" s="101">
        <f t="shared" si="116"/>
        <v>2018</v>
      </c>
      <c r="I427" s="101">
        <f t="shared" si="116"/>
        <v>2018</v>
      </c>
      <c r="J427" s="101">
        <f t="shared" si="116"/>
        <v>4.83</v>
      </c>
      <c r="K427" s="101">
        <f t="shared" si="116"/>
        <v>4.83</v>
      </c>
      <c r="L427" s="101">
        <f t="shared" si="116"/>
        <v>0</v>
      </c>
      <c r="M427" s="101">
        <f t="shared" si="116"/>
        <v>0</v>
      </c>
      <c r="N427" s="101">
        <f t="shared" si="116"/>
        <v>4.83</v>
      </c>
      <c r="O427" s="102">
        <f t="shared" si="116"/>
        <v>0</v>
      </c>
      <c r="P427" s="102">
        <f t="shared" si="116"/>
        <v>0</v>
      </c>
      <c r="Q427" s="102">
        <f t="shared" si="116"/>
        <v>0</v>
      </c>
      <c r="R427" s="102">
        <f t="shared" si="116"/>
        <v>0</v>
      </c>
      <c r="S427" s="133" t="s">
        <v>2901</v>
      </c>
      <c r="T427" s="133" t="s">
        <v>2951</v>
      </c>
      <c r="U427" s="86" t="s">
        <v>500</v>
      </c>
      <c r="V427" s="56"/>
      <c r="W427" s="61" t="str">
        <f t="shared" si="107"/>
        <v>Y</v>
      </c>
    </row>
    <row r="428" ht="23.25" customHeight="1" spans="1:23">
      <c r="A428" s="71"/>
      <c r="B428" s="90" t="s">
        <v>2952</v>
      </c>
      <c r="C428" s="71" t="s">
        <v>1124</v>
      </c>
      <c r="D428" s="71" t="s">
        <v>384</v>
      </c>
      <c r="E428" s="71">
        <v>138</v>
      </c>
      <c r="F428" s="71">
        <v>138</v>
      </c>
      <c r="G428" s="71">
        <v>463</v>
      </c>
      <c r="H428" s="71">
        <v>2018</v>
      </c>
      <c r="I428" s="71">
        <v>2018</v>
      </c>
      <c r="J428" s="56">
        <v>4.83</v>
      </c>
      <c r="K428" s="56">
        <v>4.83</v>
      </c>
      <c r="L428" s="56">
        <v>0</v>
      </c>
      <c r="M428" s="56">
        <v>0</v>
      </c>
      <c r="N428" s="56">
        <v>4.83</v>
      </c>
      <c r="O428" s="56"/>
      <c r="P428" s="56"/>
      <c r="Q428" s="56"/>
      <c r="R428" s="56"/>
      <c r="S428" s="133"/>
      <c r="T428" s="133"/>
      <c r="U428" s="86"/>
      <c r="V428" s="56"/>
      <c r="W428" s="61" t="str">
        <f t="shared" si="107"/>
        <v>Y</v>
      </c>
    </row>
    <row r="429" ht="15" customHeight="1" spans="1:23">
      <c r="A429" s="71"/>
      <c r="B429" s="73" t="s">
        <v>2892</v>
      </c>
      <c r="C429" s="71" t="s">
        <v>1124</v>
      </c>
      <c r="D429" s="71" t="s">
        <v>384</v>
      </c>
      <c r="E429" s="71">
        <v>26</v>
      </c>
      <c r="F429" s="71">
        <v>26</v>
      </c>
      <c r="G429" s="71">
        <v>91</v>
      </c>
      <c r="H429" s="71">
        <v>2018</v>
      </c>
      <c r="I429" s="71">
        <v>2018</v>
      </c>
      <c r="J429" s="56">
        <f t="shared" ref="J429:J435" si="117">K429+L429+M429</f>
        <v>0.91</v>
      </c>
      <c r="K429" s="56">
        <f t="shared" ref="K429:K435" si="118">E429*0.035</f>
        <v>0.91</v>
      </c>
      <c r="L429" s="56">
        <v>0</v>
      </c>
      <c r="M429" s="56">
        <v>0</v>
      </c>
      <c r="N429" s="56"/>
      <c r="O429" s="56"/>
      <c r="P429" s="56"/>
      <c r="Q429" s="56"/>
      <c r="R429" s="56"/>
      <c r="S429" s="86"/>
      <c r="T429" s="86"/>
      <c r="U429" s="86"/>
      <c r="V429" s="56"/>
      <c r="W429" s="61" t="str">
        <f t="shared" si="107"/>
        <v>N</v>
      </c>
    </row>
    <row r="430" ht="15" customHeight="1" spans="1:23">
      <c r="A430" s="71"/>
      <c r="B430" s="73" t="s">
        <v>2897</v>
      </c>
      <c r="C430" s="71" t="s">
        <v>1124</v>
      </c>
      <c r="D430" s="71" t="s">
        <v>384</v>
      </c>
      <c r="E430" s="71">
        <v>31</v>
      </c>
      <c r="F430" s="71">
        <v>31</v>
      </c>
      <c r="G430" s="71">
        <v>107</v>
      </c>
      <c r="H430" s="71">
        <v>2018</v>
      </c>
      <c r="I430" s="71">
        <v>2018</v>
      </c>
      <c r="J430" s="56">
        <f t="shared" si="117"/>
        <v>1.085</v>
      </c>
      <c r="K430" s="56">
        <f t="shared" si="118"/>
        <v>1.085</v>
      </c>
      <c r="L430" s="56">
        <v>0</v>
      </c>
      <c r="M430" s="56">
        <v>0</v>
      </c>
      <c r="N430" s="56"/>
      <c r="O430" s="56"/>
      <c r="P430" s="56"/>
      <c r="Q430" s="56"/>
      <c r="R430" s="56"/>
      <c r="S430" s="86"/>
      <c r="T430" s="86"/>
      <c r="U430" s="86"/>
      <c r="V430" s="56"/>
      <c r="W430" s="61" t="str">
        <f t="shared" si="107"/>
        <v>N</v>
      </c>
    </row>
    <row r="431" ht="15" customHeight="1" spans="1:23">
      <c r="A431" s="71"/>
      <c r="B431" s="73" t="s">
        <v>2893</v>
      </c>
      <c r="C431" s="71" t="s">
        <v>1124</v>
      </c>
      <c r="D431" s="71" t="s">
        <v>384</v>
      </c>
      <c r="E431" s="71">
        <v>25</v>
      </c>
      <c r="F431" s="71">
        <v>25</v>
      </c>
      <c r="G431" s="71">
        <v>87</v>
      </c>
      <c r="H431" s="71">
        <v>2018</v>
      </c>
      <c r="I431" s="71">
        <v>2018</v>
      </c>
      <c r="J431" s="56">
        <f t="shared" si="117"/>
        <v>0.875</v>
      </c>
      <c r="K431" s="56">
        <f t="shared" si="118"/>
        <v>0.875</v>
      </c>
      <c r="L431" s="56">
        <v>0</v>
      </c>
      <c r="M431" s="56">
        <v>0</v>
      </c>
      <c r="N431" s="56"/>
      <c r="O431" s="56"/>
      <c r="P431" s="56"/>
      <c r="Q431" s="56"/>
      <c r="R431" s="56"/>
      <c r="S431" s="86"/>
      <c r="T431" s="86"/>
      <c r="U431" s="86"/>
      <c r="V431" s="56"/>
      <c r="W431" s="61" t="str">
        <f t="shared" si="107"/>
        <v>N</v>
      </c>
    </row>
    <row r="432" ht="15" customHeight="1" spans="1:23">
      <c r="A432" s="71"/>
      <c r="B432" s="73" t="s">
        <v>2898</v>
      </c>
      <c r="C432" s="71" t="s">
        <v>1124</v>
      </c>
      <c r="D432" s="71" t="s">
        <v>384</v>
      </c>
      <c r="E432" s="71">
        <v>22</v>
      </c>
      <c r="F432" s="71">
        <v>22</v>
      </c>
      <c r="G432" s="71">
        <v>57</v>
      </c>
      <c r="H432" s="71">
        <v>2018</v>
      </c>
      <c r="I432" s="71">
        <v>2018</v>
      </c>
      <c r="J432" s="56">
        <f t="shared" si="117"/>
        <v>0.77</v>
      </c>
      <c r="K432" s="56">
        <f t="shared" si="118"/>
        <v>0.77</v>
      </c>
      <c r="L432" s="56">
        <v>0</v>
      </c>
      <c r="M432" s="56">
        <v>0</v>
      </c>
      <c r="N432" s="56"/>
      <c r="O432" s="56"/>
      <c r="P432" s="56"/>
      <c r="Q432" s="56"/>
      <c r="R432" s="56"/>
      <c r="S432" s="86"/>
      <c r="T432" s="86"/>
      <c r="U432" s="86"/>
      <c r="V432" s="56"/>
      <c r="W432" s="61" t="str">
        <f t="shared" si="107"/>
        <v>N</v>
      </c>
    </row>
    <row r="433" ht="15" customHeight="1" spans="1:23">
      <c r="A433" s="71"/>
      <c r="B433" s="73" t="s">
        <v>2894</v>
      </c>
      <c r="C433" s="71" t="s">
        <v>1124</v>
      </c>
      <c r="D433" s="71" t="s">
        <v>384</v>
      </c>
      <c r="E433" s="71">
        <v>15</v>
      </c>
      <c r="F433" s="71">
        <v>15</v>
      </c>
      <c r="G433" s="71">
        <v>51</v>
      </c>
      <c r="H433" s="71">
        <v>2018</v>
      </c>
      <c r="I433" s="71">
        <v>2018</v>
      </c>
      <c r="J433" s="56">
        <f t="shared" si="117"/>
        <v>0.525</v>
      </c>
      <c r="K433" s="56">
        <f t="shared" si="118"/>
        <v>0.525</v>
      </c>
      <c r="L433" s="56">
        <v>0</v>
      </c>
      <c r="M433" s="56">
        <v>0</v>
      </c>
      <c r="N433" s="56"/>
      <c r="O433" s="56"/>
      <c r="P433" s="56"/>
      <c r="Q433" s="56"/>
      <c r="R433" s="56"/>
      <c r="S433" s="86"/>
      <c r="T433" s="86"/>
      <c r="U433" s="86"/>
      <c r="V433" s="56"/>
      <c r="W433" s="61" t="str">
        <f t="shared" si="107"/>
        <v>N</v>
      </c>
    </row>
    <row r="434" ht="15" customHeight="1" spans="1:23">
      <c r="A434" s="71"/>
      <c r="B434" s="73" t="s">
        <v>2899</v>
      </c>
      <c r="C434" s="71" t="s">
        <v>1124</v>
      </c>
      <c r="D434" s="71" t="s">
        <v>384</v>
      </c>
      <c r="E434" s="71">
        <v>11</v>
      </c>
      <c r="F434" s="71">
        <v>11</v>
      </c>
      <c r="G434" s="71">
        <v>39</v>
      </c>
      <c r="H434" s="71">
        <v>2018</v>
      </c>
      <c r="I434" s="71">
        <v>2018</v>
      </c>
      <c r="J434" s="56">
        <f t="shared" si="117"/>
        <v>0.385</v>
      </c>
      <c r="K434" s="56">
        <f t="shared" si="118"/>
        <v>0.385</v>
      </c>
      <c r="L434" s="56">
        <v>0</v>
      </c>
      <c r="M434" s="56">
        <v>0</v>
      </c>
      <c r="N434" s="56"/>
      <c r="O434" s="56"/>
      <c r="P434" s="56"/>
      <c r="Q434" s="56"/>
      <c r="R434" s="56"/>
      <c r="S434" s="86"/>
      <c r="T434" s="86"/>
      <c r="U434" s="86"/>
      <c r="V434" s="56"/>
      <c r="W434" s="61" t="str">
        <f t="shared" si="107"/>
        <v>N</v>
      </c>
    </row>
    <row r="435" ht="15" customHeight="1" spans="1:23">
      <c r="A435" s="71"/>
      <c r="B435" s="73" t="s">
        <v>2900</v>
      </c>
      <c r="C435" s="71" t="s">
        <v>1124</v>
      </c>
      <c r="D435" s="71" t="s">
        <v>384</v>
      </c>
      <c r="E435" s="71">
        <v>8</v>
      </c>
      <c r="F435" s="71">
        <v>8</v>
      </c>
      <c r="G435" s="71">
        <v>31</v>
      </c>
      <c r="H435" s="71">
        <v>2018</v>
      </c>
      <c r="I435" s="71">
        <v>2018</v>
      </c>
      <c r="J435" s="56">
        <f t="shared" si="117"/>
        <v>0.28</v>
      </c>
      <c r="K435" s="56">
        <f t="shared" si="118"/>
        <v>0.28</v>
      </c>
      <c r="L435" s="56">
        <v>0</v>
      </c>
      <c r="M435" s="56">
        <v>0</v>
      </c>
      <c r="N435" s="56"/>
      <c r="O435" s="56"/>
      <c r="P435" s="56"/>
      <c r="Q435" s="56"/>
      <c r="R435" s="56"/>
      <c r="S435" s="86"/>
      <c r="T435" s="86"/>
      <c r="U435" s="86"/>
      <c r="V435" s="56"/>
      <c r="W435" s="61" t="str">
        <f t="shared" si="107"/>
        <v>N</v>
      </c>
    </row>
    <row r="436" ht="23.25" customHeight="1" spans="1:23">
      <c r="A436" s="71">
        <v>66</v>
      </c>
      <c r="B436" s="90" t="s">
        <v>501</v>
      </c>
      <c r="C436" s="71" t="s">
        <v>320</v>
      </c>
      <c r="D436" s="71" t="s">
        <v>320</v>
      </c>
      <c r="E436" s="71"/>
      <c r="F436" s="71"/>
      <c r="G436" s="71"/>
      <c r="H436" s="71"/>
      <c r="I436" s="71"/>
      <c r="J436" s="71"/>
      <c r="K436" s="71"/>
      <c r="L436" s="71"/>
      <c r="M436" s="71"/>
      <c r="N436" s="71"/>
      <c r="O436" s="71"/>
      <c r="P436" s="71"/>
      <c r="Q436" s="71"/>
      <c r="R436" s="71"/>
      <c r="S436" s="86"/>
      <c r="T436" s="86"/>
      <c r="U436" s="71" t="s">
        <v>320</v>
      </c>
      <c r="V436" s="56"/>
      <c r="W436" s="61" t="str">
        <f t="shared" si="107"/>
        <v>Y</v>
      </c>
    </row>
    <row r="437" ht="23.25" customHeight="1" spans="1:23">
      <c r="A437" s="71">
        <v>67</v>
      </c>
      <c r="B437" s="90" t="s">
        <v>502</v>
      </c>
      <c r="C437" s="71" t="s">
        <v>1124</v>
      </c>
      <c r="D437" s="71" t="s">
        <v>496</v>
      </c>
      <c r="E437" s="71"/>
      <c r="F437" s="71"/>
      <c r="G437" s="71"/>
      <c r="H437" s="71"/>
      <c r="I437" s="71"/>
      <c r="J437" s="71" t="s">
        <v>320</v>
      </c>
      <c r="K437" s="71" t="s">
        <v>320</v>
      </c>
      <c r="L437" s="71" t="s">
        <v>320</v>
      </c>
      <c r="M437" s="71" t="s">
        <v>320</v>
      </c>
      <c r="N437" s="71"/>
      <c r="O437" s="71"/>
      <c r="P437" s="71"/>
      <c r="Q437" s="71"/>
      <c r="R437" s="71"/>
      <c r="S437" s="86"/>
      <c r="T437" s="86"/>
      <c r="U437" s="86" t="s">
        <v>497</v>
      </c>
      <c r="V437" s="56"/>
      <c r="W437" s="61" t="str">
        <f t="shared" si="107"/>
        <v>N</v>
      </c>
    </row>
    <row r="438" ht="23.25" customHeight="1" spans="1:23">
      <c r="A438" s="71">
        <v>68</v>
      </c>
      <c r="B438" s="90" t="s">
        <v>503</v>
      </c>
      <c r="C438" s="71" t="s">
        <v>1124</v>
      </c>
      <c r="D438" s="71" t="s">
        <v>496</v>
      </c>
      <c r="E438" s="71"/>
      <c r="F438" s="71"/>
      <c r="G438" s="71"/>
      <c r="H438" s="71"/>
      <c r="I438" s="71"/>
      <c r="J438" s="71" t="s">
        <v>320</v>
      </c>
      <c r="K438" s="71" t="s">
        <v>320</v>
      </c>
      <c r="L438" s="71" t="s">
        <v>320</v>
      </c>
      <c r="M438" s="71" t="s">
        <v>320</v>
      </c>
      <c r="N438" s="71"/>
      <c r="O438" s="71"/>
      <c r="P438" s="71"/>
      <c r="Q438" s="71"/>
      <c r="R438" s="71"/>
      <c r="S438" s="86"/>
      <c r="T438" s="86"/>
      <c r="U438" s="86" t="s">
        <v>497</v>
      </c>
      <c r="V438" s="56"/>
      <c r="W438" s="61" t="str">
        <f t="shared" si="107"/>
        <v>N</v>
      </c>
    </row>
    <row r="439" ht="23.25" customHeight="1" spans="1:23">
      <c r="A439" s="71">
        <v>69</v>
      </c>
      <c r="B439" s="90" t="s">
        <v>504</v>
      </c>
      <c r="C439" s="71" t="s">
        <v>1124</v>
      </c>
      <c r="D439" s="71" t="s">
        <v>496</v>
      </c>
      <c r="E439" s="71"/>
      <c r="F439" s="71"/>
      <c r="G439" s="71"/>
      <c r="H439" s="71"/>
      <c r="I439" s="71"/>
      <c r="J439" s="71" t="s">
        <v>320</v>
      </c>
      <c r="K439" s="71" t="s">
        <v>320</v>
      </c>
      <c r="L439" s="71" t="s">
        <v>320</v>
      </c>
      <c r="M439" s="71" t="s">
        <v>320</v>
      </c>
      <c r="N439" s="71"/>
      <c r="O439" s="71"/>
      <c r="P439" s="71"/>
      <c r="Q439" s="71"/>
      <c r="R439" s="71"/>
      <c r="S439" s="86"/>
      <c r="T439" s="86"/>
      <c r="U439" s="86" t="s">
        <v>497</v>
      </c>
      <c r="V439" s="56"/>
      <c r="W439" s="61" t="str">
        <f t="shared" si="107"/>
        <v>N</v>
      </c>
    </row>
    <row r="440" ht="23.25" customHeight="1" spans="1:23">
      <c r="A440" s="71">
        <v>70</v>
      </c>
      <c r="B440" s="73" t="s">
        <v>505</v>
      </c>
      <c r="C440" s="71" t="s">
        <v>1124</v>
      </c>
      <c r="D440" s="71" t="s">
        <v>147</v>
      </c>
      <c r="E440" s="71">
        <f>SUM(E441:E459)</f>
        <v>11006</v>
      </c>
      <c r="F440" s="71">
        <f>SUM(F441:F459)</f>
        <v>422</v>
      </c>
      <c r="G440" s="71">
        <f>SUM(G441:G459)</f>
        <v>1611</v>
      </c>
      <c r="H440" s="71"/>
      <c r="I440" s="71"/>
      <c r="J440" s="71">
        <f t="shared" ref="J440:R440" si="119">SUM(J441:J459)</f>
        <v>608.32</v>
      </c>
      <c r="K440" s="71">
        <f t="shared" si="119"/>
        <v>79.86</v>
      </c>
      <c r="L440" s="71">
        <f t="shared" si="119"/>
        <v>528.46</v>
      </c>
      <c r="M440" s="71">
        <f t="shared" si="119"/>
        <v>0</v>
      </c>
      <c r="N440" s="71">
        <f t="shared" si="119"/>
        <v>30.26</v>
      </c>
      <c r="O440" s="71">
        <f t="shared" si="119"/>
        <v>578.06</v>
      </c>
      <c r="P440" s="71">
        <f t="shared" si="119"/>
        <v>0</v>
      </c>
      <c r="Q440" s="71">
        <f t="shared" si="119"/>
        <v>0</v>
      </c>
      <c r="R440" s="71">
        <f t="shared" si="119"/>
        <v>0</v>
      </c>
      <c r="S440" s="86" t="s">
        <v>2890</v>
      </c>
      <c r="T440" s="86" t="s">
        <v>2953</v>
      </c>
      <c r="U440" s="86" t="s">
        <v>275</v>
      </c>
      <c r="V440" s="56" t="s">
        <v>1819</v>
      </c>
      <c r="W440" s="61" t="str">
        <f t="shared" si="107"/>
        <v>Y</v>
      </c>
    </row>
    <row r="441" ht="35.1" customHeight="1" spans="1:23">
      <c r="A441" s="71"/>
      <c r="B441" s="90" t="s">
        <v>2954</v>
      </c>
      <c r="C441" s="151" t="s">
        <v>52</v>
      </c>
      <c r="D441" s="71" t="s">
        <v>147</v>
      </c>
      <c r="E441" s="152">
        <v>153</v>
      </c>
      <c r="F441" s="141">
        <v>6</v>
      </c>
      <c r="G441" s="141">
        <v>35</v>
      </c>
      <c r="H441" s="141">
        <v>2018</v>
      </c>
      <c r="I441" s="141">
        <v>2019</v>
      </c>
      <c r="J441" s="141">
        <f t="shared" ref="J441:J458" si="120">K441+L441+M441</f>
        <v>15.77</v>
      </c>
      <c r="K441" s="146">
        <v>0.26</v>
      </c>
      <c r="L441" s="146">
        <v>15.51</v>
      </c>
      <c r="M441" s="141"/>
      <c r="N441" s="141">
        <v>0.26</v>
      </c>
      <c r="O441" s="141">
        <v>15.51</v>
      </c>
      <c r="P441" s="71"/>
      <c r="Q441" s="71"/>
      <c r="R441" s="71"/>
      <c r="S441" s="86" t="s">
        <v>2890</v>
      </c>
      <c r="T441" s="86" t="s">
        <v>2953</v>
      </c>
      <c r="U441" s="86"/>
      <c r="V441" s="56" t="s">
        <v>1819</v>
      </c>
      <c r="W441" s="61" t="str">
        <f t="shared" si="107"/>
        <v>Y</v>
      </c>
    </row>
    <row r="442" ht="35.1" customHeight="1" spans="1:23">
      <c r="A442" s="71"/>
      <c r="B442" s="90" t="s">
        <v>2955</v>
      </c>
      <c r="C442" s="151" t="s">
        <v>52</v>
      </c>
      <c r="D442" s="71" t="s">
        <v>147</v>
      </c>
      <c r="E442" s="152">
        <v>257</v>
      </c>
      <c r="F442" s="141">
        <v>10</v>
      </c>
      <c r="G442" s="141">
        <v>40</v>
      </c>
      <c r="H442" s="141">
        <v>2018</v>
      </c>
      <c r="I442" s="141">
        <v>2019</v>
      </c>
      <c r="J442" s="141">
        <f t="shared" si="120"/>
        <v>38.25</v>
      </c>
      <c r="K442" s="146">
        <v>30</v>
      </c>
      <c r="L442" s="146">
        <v>8.25</v>
      </c>
      <c r="M442" s="141">
        <v>0</v>
      </c>
      <c r="N442" s="147">
        <v>30</v>
      </c>
      <c r="O442" s="147">
        <v>8.25</v>
      </c>
      <c r="P442" s="71"/>
      <c r="Q442" s="71"/>
      <c r="R442" s="71"/>
      <c r="S442" s="86" t="s">
        <v>2890</v>
      </c>
      <c r="T442" s="86" t="s">
        <v>2953</v>
      </c>
      <c r="U442" s="86"/>
      <c r="V442" s="56" t="s">
        <v>1819</v>
      </c>
      <c r="W442" s="61" t="str">
        <f t="shared" si="107"/>
        <v>Y</v>
      </c>
    </row>
    <row r="443" ht="35.1" customHeight="1" spans="1:23">
      <c r="A443" s="71"/>
      <c r="B443" s="90" t="s">
        <v>2956</v>
      </c>
      <c r="C443" s="151" t="s">
        <v>52</v>
      </c>
      <c r="D443" s="71" t="s">
        <v>147</v>
      </c>
      <c r="E443" s="152">
        <v>95</v>
      </c>
      <c r="F443" s="141">
        <v>3</v>
      </c>
      <c r="G443" s="141">
        <v>15</v>
      </c>
      <c r="H443" s="141">
        <v>2019</v>
      </c>
      <c r="I443" s="141">
        <v>2019</v>
      </c>
      <c r="J443" s="141">
        <f t="shared" si="120"/>
        <v>17.59</v>
      </c>
      <c r="K443" s="146">
        <v>0</v>
      </c>
      <c r="L443" s="146">
        <v>17.59</v>
      </c>
      <c r="M443" s="141">
        <v>0</v>
      </c>
      <c r="N443" s="141"/>
      <c r="O443" s="146">
        <v>17.59</v>
      </c>
      <c r="P443" s="71"/>
      <c r="Q443" s="71"/>
      <c r="R443" s="71"/>
      <c r="S443" s="86" t="s">
        <v>2890</v>
      </c>
      <c r="T443" s="86" t="s">
        <v>2953</v>
      </c>
      <c r="U443" s="86"/>
      <c r="V443" s="56" t="s">
        <v>1819</v>
      </c>
      <c r="W443" s="61" t="str">
        <f t="shared" si="107"/>
        <v>Y</v>
      </c>
    </row>
    <row r="444" ht="35.1" customHeight="1" spans="1:23">
      <c r="A444" s="71"/>
      <c r="B444" s="90" t="s">
        <v>2957</v>
      </c>
      <c r="C444" s="151" t="s">
        <v>52</v>
      </c>
      <c r="D444" s="71" t="s">
        <v>147</v>
      </c>
      <c r="E444" s="152">
        <v>289</v>
      </c>
      <c r="F444" s="141">
        <v>7</v>
      </c>
      <c r="G444" s="141">
        <v>18</v>
      </c>
      <c r="H444" s="141">
        <v>2019</v>
      </c>
      <c r="I444" s="141">
        <v>2019</v>
      </c>
      <c r="J444" s="141">
        <f t="shared" si="120"/>
        <v>25.25</v>
      </c>
      <c r="K444" s="146">
        <v>0</v>
      </c>
      <c r="L444" s="146">
        <v>25.25</v>
      </c>
      <c r="M444" s="141">
        <v>0</v>
      </c>
      <c r="N444" s="141"/>
      <c r="O444" s="146">
        <v>25.25</v>
      </c>
      <c r="P444" s="71"/>
      <c r="Q444" s="71"/>
      <c r="R444" s="71"/>
      <c r="S444" s="86" t="s">
        <v>2890</v>
      </c>
      <c r="T444" s="86" t="s">
        <v>2953</v>
      </c>
      <c r="U444" s="86"/>
      <c r="V444" s="56" t="s">
        <v>1819</v>
      </c>
      <c r="W444" s="61" t="str">
        <f t="shared" si="107"/>
        <v>Y</v>
      </c>
    </row>
    <row r="445" ht="35.1" customHeight="1" spans="1:23">
      <c r="A445" s="71"/>
      <c r="B445" s="90" t="s">
        <v>2958</v>
      </c>
      <c r="C445" s="151" t="s">
        <v>52</v>
      </c>
      <c r="D445" s="71" t="s">
        <v>147</v>
      </c>
      <c r="E445" s="152">
        <v>131</v>
      </c>
      <c r="F445" s="141">
        <v>5</v>
      </c>
      <c r="G445" s="141">
        <v>31</v>
      </c>
      <c r="H445" s="141">
        <v>2019</v>
      </c>
      <c r="I445" s="141">
        <v>2019</v>
      </c>
      <c r="J445" s="141">
        <f t="shared" si="120"/>
        <v>18.97</v>
      </c>
      <c r="K445" s="146">
        <v>0</v>
      </c>
      <c r="L445" s="146">
        <v>18.97</v>
      </c>
      <c r="M445" s="141">
        <v>0</v>
      </c>
      <c r="N445" s="141"/>
      <c r="O445" s="146">
        <v>18.97</v>
      </c>
      <c r="P445" s="71"/>
      <c r="Q445" s="71"/>
      <c r="R445" s="71"/>
      <c r="S445" s="86" t="s">
        <v>2890</v>
      </c>
      <c r="T445" s="86" t="s">
        <v>2953</v>
      </c>
      <c r="U445" s="86"/>
      <c r="V445" s="56" t="s">
        <v>1819</v>
      </c>
      <c r="W445" s="61" t="str">
        <f t="shared" si="107"/>
        <v>Y</v>
      </c>
    </row>
    <row r="446" ht="35.1" customHeight="1" spans="1:23">
      <c r="A446" s="71"/>
      <c r="B446" s="90" t="s">
        <v>2959</v>
      </c>
      <c r="C446" s="151" t="s">
        <v>52</v>
      </c>
      <c r="D446" s="71" t="s">
        <v>147</v>
      </c>
      <c r="E446" s="152">
        <v>360</v>
      </c>
      <c r="F446" s="141">
        <v>15</v>
      </c>
      <c r="G446" s="141">
        <v>46</v>
      </c>
      <c r="H446" s="141">
        <v>2019</v>
      </c>
      <c r="I446" s="141">
        <v>2019</v>
      </c>
      <c r="J446" s="141">
        <f t="shared" si="120"/>
        <v>8.88</v>
      </c>
      <c r="K446" s="146">
        <v>0</v>
      </c>
      <c r="L446" s="146">
        <v>8.88</v>
      </c>
      <c r="M446" s="141">
        <v>0</v>
      </c>
      <c r="N446" s="141"/>
      <c r="O446" s="146">
        <v>8.88</v>
      </c>
      <c r="P446" s="71"/>
      <c r="Q446" s="71"/>
      <c r="R446" s="71"/>
      <c r="S446" s="86" t="s">
        <v>2890</v>
      </c>
      <c r="T446" s="86" t="s">
        <v>2953</v>
      </c>
      <c r="U446" s="86"/>
      <c r="V446" s="56" t="s">
        <v>1819</v>
      </c>
      <c r="W446" s="61" t="str">
        <f t="shared" si="107"/>
        <v>Y</v>
      </c>
    </row>
    <row r="447" ht="35.1" customHeight="1" spans="1:23">
      <c r="A447" s="71"/>
      <c r="B447" s="90" t="s">
        <v>2960</v>
      </c>
      <c r="C447" s="151" t="s">
        <v>52</v>
      </c>
      <c r="D447" s="71" t="s">
        <v>147</v>
      </c>
      <c r="E447" s="152">
        <v>77</v>
      </c>
      <c r="F447" s="141">
        <v>2</v>
      </c>
      <c r="G447" s="141">
        <v>9</v>
      </c>
      <c r="H447" s="141">
        <v>2019</v>
      </c>
      <c r="I447" s="141">
        <v>2019</v>
      </c>
      <c r="J447" s="141">
        <f t="shared" si="120"/>
        <v>6.46</v>
      </c>
      <c r="K447" s="146">
        <v>0</v>
      </c>
      <c r="L447" s="146">
        <v>6.46</v>
      </c>
      <c r="M447" s="141">
        <v>0</v>
      </c>
      <c r="N447" s="141"/>
      <c r="O447" s="146">
        <v>6.46</v>
      </c>
      <c r="P447" s="71"/>
      <c r="Q447" s="71"/>
      <c r="R447" s="71"/>
      <c r="S447" s="86" t="s">
        <v>2890</v>
      </c>
      <c r="T447" s="86" t="s">
        <v>2953</v>
      </c>
      <c r="U447" s="86"/>
      <c r="V447" s="56" t="s">
        <v>1819</v>
      </c>
      <c r="W447" s="61" t="str">
        <f t="shared" si="107"/>
        <v>Y</v>
      </c>
    </row>
    <row r="448" ht="32.1" customHeight="1" spans="1:23">
      <c r="A448" s="71"/>
      <c r="B448" s="90" t="s">
        <v>2961</v>
      </c>
      <c r="C448" s="151" t="s">
        <v>52</v>
      </c>
      <c r="D448" s="71" t="s">
        <v>147</v>
      </c>
      <c r="E448" s="152">
        <v>279</v>
      </c>
      <c r="F448" s="141">
        <v>13</v>
      </c>
      <c r="G448" s="141">
        <v>45</v>
      </c>
      <c r="H448" s="141">
        <v>2019</v>
      </c>
      <c r="I448" s="141">
        <v>2019</v>
      </c>
      <c r="J448" s="141">
        <f t="shared" si="120"/>
        <v>10.1</v>
      </c>
      <c r="K448" s="146">
        <v>0</v>
      </c>
      <c r="L448" s="146">
        <v>10.1</v>
      </c>
      <c r="M448" s="141">
        <v>0</v>
      </c>
      <c r="N448" s="141"/>
      <c r="O448" s="146">
        <v>10.1</v>
      </c>
      <c r="P448" s="71"/>
      <c r="Q448" s="71"/>
      <c r="R448" s="71"/>
      <c r="S448" s="86" t="s">
        <v>2890</v>
      </c>
      <c r="T448" s="86" t="s">
        <v>2953</v>
      </c>
      <c r="U448" s="86"/>
      <c r="V448" s="56" t="s">
        <v>1819</v>
      </c>
      <c r="W448" s="61" t="str">
        <f t="shared" si="107"/>
        <v>Y</v>
      </c>
    </row>
    <row r="449" ht="30" customHeight="1" spans="1:23">
      <c r="A449" s="71"/>
      <c r="B449" s="90" t="s">
        <v>2962</v>
      </c>
      <c r="C449" s="151" t="s">
        <v>162</v>
      </c>
      <c r="D449" s="155" t="s">
        <v>147</v>
      </c>
      <c r="E449" s="152">
        <v>242</v>
      </c>
      <c r="F449" s="152">
        <v>17</v>
      </c>
      <c r="G449" s="152">
        <v>70</v>
      </c>
      <c r="H449" s="141">
        <v>2019</v>
      </c>
      <c r="I449" s="141">
        <v>2019</v>
      </c>
      <c r="J449" s="141">
        <f t="shared" si="120"/>
        <v>33.88</v>
      </c>
      <c r="K449" s="146">
        <v>0</v>
      </c>
      <c r="L449" s="146">
        <v>33.88</v>
      </c>
      <c r="M449" s="141">
        <v>0</v>
      </c>
      <c r="N449" s="141"/>
      <c r="O449" s="146">
        <f>J449</f>
        <v>33.88</v>
      </c>
      <c r="P449" s="71"/>
      <c r="Q449" s="71"/>
      <c r="R449" s="71"/>
      <c r="S449" s="86" t="s">
        <v>2890</v>
      </c>
      <c r="T449" s="86" t="s">
        <v>2953</v>
      </c>
      <c r="U449" s="86"/>
      <c r="V449" s="56" t="s">
        <v>1819</v>
      </c>
      <c r="W449" s="61" t="str">
        <f t="shared" si="107"/>
        <v>Y</v>
      </c>
    </row>
    <row r="450" ht="48" customHeight="1" spans="1:23">
      <c r="A450" s="71"/>
      <c r="B450" s="90" t="s">
        <v>2963</v>
      </c>
      <c r="C450" s="151" t="s">
        <v>52</v>
      </c>
      <c r="D450" s="71" t="s">
        <v>147</v>
      </c>
      <c r="E450" s="152">
        <v>1710</v>
      </c>
      <c r="F450" s="141">
        <v>49</v>
      </c>
      <c r="G450" s="141">
        <v>173</v>
      </c>
      <c r="H450" s="141">
        <v>2019</v>
      </c>
      <c r="I450" s="141">
        <v>2019</v>
      </c>
      <c r="J450" s="141">
        <f t="shared" si="120"/>
        <v>45.75</v>
      </c>
      <c r="K450" s="146">
        <v>0</v>
      </c>
      <c r="L450" s="146">
        <v>45.75</v>
      </c>
      <c r="M450" s="141">
        <v>0</v>
      </c>
      <c r="N450" s="141"/>
      <c r="O450" s="146">
        <v>45.75</v>
      </c>
      <c r="P450" s="71"/>
      <c r="Q450" s="71"/>
      <c r="R450" s="71"/>
      <c r="S450" s="86" t="s">
        <v>2890</v>
      </c>
      <c r="T450" s="86" t="s">
        <v>2953</v>
      </c>
      <c r="U450" s="86"/>
      <c r="V450" s="56" t="s">
        <v>1819</v>
      </c>
      <c r="W450" s="61" t="str">
        <f t="shared" si="107"/>
        <v>Y</v>
      </c>
    </row>
    <row r="451" ht="30.95" customHeight="1" spans="1:23">
      <c r="A451" s="71"/>
      <c r="B451" s="90" t="s">
        <v>2964</v>
      </c>
      <c r="C451" s="151" t="s">
        <v>52</v>
      </c>
      <c r="D451" s="155" t="s">
        <v>147</v>
      </c>
      <c r="E451" s="152">
        <v>54</v>
      </c>
      <c r="F451" s="152">
        <v>15</v>
      </c>
      <c r="G451" s="152">
        <v>50</v>
      </c>
      <c r="H451" s="141">
        <v>2019</v>
      </c>
      <c r="I451" s="141">
        <v>2019</v>
      </c>
      <c r="J451" s="141">
        <f t="shared" si="120"/>
        <v>7.56</v>
      </c>
      <c r="K451" s="141">
        <v>0</v>
      </c>
      <c r="L451" s="146">
        <v>7.56</v>
      </c>
      <c r="M451" s="141">
        <v>0</v>
      </c>
      <c r="N451" s="141"/>
      <c r="O451" s="146">
        <f t="shared" ref="O451:O459" si="121">J451</f>
        <v>7.56</v>
      </c>
      <c r="P451" s="71"/>
      <c r="Q451" s="71"/>
      <c r="R451" s="71"/>
      <c r="S451" s="86" t="s">
        <v>2890</v>
      </c>
      <c r="T451" s="86" t="s">
        <v>2953</v>
      </c>
      <c r="U451" s="86"/>
      <c r="V451" s="56" t="s">
        <v>1819</v>
      </c>
      <c r="W451" s="61" t="str">
        <f t="shared" si="107"/>
        <v>Y</v>
      </c>
    </row>
    <row r="452" ht="30.95" customHeight="1" spans="1:23">
      <c r="A452" s="71"/>
      <c r="B452" s="90" t="s">
        <v>2965</v>
      </c>
      <c r="C452" s="155" t="s">
        <v>162</v>
      </c>
      <c r="D452" s="155" t="s">
        <v>147</v>
      </c>
      <c r="E452" s="152">
        <v>294</v>
      </c>
      <c r="F452" s="152">
        <v>22</v>
      </c>
      <c r="G452" s="152">
        <v>78</v>
      </c>
      <c r="H452" s="141">
        <v>2019</v>
      </c>
      <c r="I452" s="141">
        <v>2019</v>
      </c>
      <c r="J452" s="141">
        <f t="shared" si="120"/>
        <v>41.16</v>
      </c>
      <c r="K452" s="141">
        <v>0</v>
      </c>
      <c r="L452" s="146">
        <v>41.16</v>
      </c>
      <c r="M452" s="141">
        <v>0</v>
      </c>
      <c r="N452" s="141"/>
      <c r="O452" s="146">
        <f t="shared" si="121"/>
        <v>41.16</v>
      </c>
      <c r="P452" s="71"/>
      <c r="Q452" s="71"/>
      <c r="R452" s="71"/>
      <c r="S452" s="86" t="s">
        <v>2890</v>
      </c>
      <c r="T452" s="86" t="s">
        <v>2953</v>
      </c>
      <c r="U452" s="86"/>
      <c r="V452" s="56" t="s">
        <v>1819</v>
      </c>
      <c r="W452" s="61" t="str">
        <f t="shared" si="107"/>
        <v>Y</v>
      </c>
    </row>
    <row r="453" s="68" customFormat="1" ht="30.95" customHeight="1" spans="1:22">
      <c r="A453" s="71"/>
      <c r="B453" s="90" t="s">
        <v>2966</v>
      </c>
      <c r="C453" s="155" t="s">
        <v>162</v>
      </c>
      <c r="D453" s="155" t="s">
        <v>147</v>
      </c>
      <c r="E453" s="152">
        <v>174</v>
      </c>
      <c r="F453" s="152">
        <v>16</v>
      </c>
      <c r="G453" s="152">
        <v>54</v>
      </c>
      <c r="H453" s="141">
        <v>2019</v>
      </c>
      <c r="I453" s="141">
        <v>2019</v>
      </c>
      <c r="J453" s="141">
        <f t="shared" si="120"/>
        <v>24.36</v>
      </c>
      <c r="K453" s="141">
        <v>0</v>
      </c>
      <c r="L453" s="146">
        <f>E453*0.14</f>
        <v>24.36</v>
      </c>
      <c r="M453" s="141">
        <v>0</v>
      </c>
      <c r="N453" s="141"/>
      <c r="O453" s="146">
        <f t="shared" si="121"/>
        <v>24.36</v>
      </c>
      <c r="P453" s="71"/>
      <c r="Q453" s="71"/>
      <c r="R453" s="71"/>
      <c r="S453" s="86" t="s">
        <v>2890</v>
      </c>
      <c r="T453" s="86" t="s">
        <v>2953</v>
      </c>
      <c r="U453" s="86"/>
      <c r="V453" s="56" t="s">
        <v>2967</v>
      </c>
    </row>
    <row r="454" ht="30.95" customHeight="1" spans="1:23">
      <c r="A454" s="71"/>
      <c r="B454" s="90" t="s">
        <v>2968</v>
      </c>
      <c r="C454" s="151" t="s">
        <v>52</v>
      </c>
      <c r="D454" s="155" t="s">
        <v>147</v>
      </c>
      <c r="E454" s="152">
        <v>122</v>
      </c>
      <c r="F454" s="152">
        <v>17</v>
      </c>
      <c r="G454" s="152">
        <v>67</v>
      </c>
      <c r="H454" s="141">
        <v>2019</v>
      </c>
      <c r="I454" s="141">
        <v>2019</v>
      </c>
      <c r="J454" s="141">
        <f t="shared" si="120"/>
        <v>17.08</v>
      </c>
      <c r="K454" s="141">
        <v>0</v>
      </c>
      <c r="L454" s="146">
        <v>17.08</v>
      </c>
      <c r="M454" s="141">
        <v>0</v>
      </c>
      <c r="N454" s="141"/>
      <c r="O454" s="146">
        <f t="shared" si="121"/>
        <v>17.08</v>
      </c>
      <c r="P454" s="71"/>
      <c r="Q454" s="71"/>
      <c r="R454" s="71"/>
      <c r="S454" s="86" t="s">
        <v>2890</v>
      </c>
      <c r="T454" s="86" t="s">
        <v>2953</v>
      </c>
      <c r="U454" s="86"/>
      <c r="V454" s="56" t="s">
        <v>1819</v>
      </c>
      <c r="W454" s="61" t="str">
        <f t="shared" ref="W454:W459" si="122">IF(SUM(N454:R454)=J454,"Y","N")</f>
        <v>Y</v>
      </c>
    </row>
    <row r="455" ht="30.95" customHeight="1" spans="1:23">
      <c r="A455" s="71"/>
      <c r="B455" s="90" t="s">
        <v>2969</v>
      </c>
      <c r="C455" s="151" t="s">
        <v>52</v>
      </c>
      <c r="D455" s="155" t="s">
        <v>147</v>
      </c>
      <c r="E455" s="152">
        <v>197</v>
      </c>
      <c r="F455" s="152">
        <v>17</v>
      </c>
      <c r="G455" s="152">
        <v>71</v>
      </c>
      <c r="H455" s="141">
        <v>2019</v>
      </c>
      <c r="I455" s="141">
        <v>2019</v>
      </c>
      <c r="J455" s="141">
        <f t="shared" si="120"/>
        <v>27.58</v>
      </c>
      <c r="K455" s="141">
        <v>0</v>
      </c>
      <c r="L455" s="160">
        <v>27.58</v>
      </c>
      <c r="M455" s="141">
        <v>0</v>
      </c>
      <c r="N455" s="141"/>
      <c r="O455" s="160">
        <f t="shared" si="121"/>
        <v>27.58</v>
      </c>
      <c r="P455" s="71"/>
      <c r="Q455" s="71"/>
      <c r="R455" s="71"/>
      <c r="S455" s="86" t="s">
        <v>2890</v>
      </c>
      <c r="T455" s="86" t="s">
        <v>2953</v>
      </c>
      <c r="U455" s="86"/>
      <c r="V455" s="56" t="s">
        <v>1819</v>
      </c>
      <c r="W455" s="61" t="str">
        <f t="shared" si="122"/>
        <v>Y</v>
      </c>
    </row>
    <row r="456" ht="45.95" customHeight="1" spans="1:23">
      <c r="A456" s="71"/>
      <c r="B456" s="90" t="s">
        <v>2970</v>
      </c>
      <c r="C456" s="151" t="s">
        <v>52</v>
      </c>
      <c r="D456" s="155" t="s">
        <v>147</v>
      </c>
      <c r="E456" s="152">
        <v>741</v>
      </c>
      <c r="F456" s="152">
        <v>99</v>
      </c>
      <c r="G456" s="152">
        <v>405</v>
      </c>
      <c r="H456" s="141">
        <v>2019</v>
      </c>
      <c r="I456" s="141">
        <v>2019</v>
      </c>
      <c r="J456" s="141">
        <f t="shared" si="120"/>
        <v>103.74</v>
      </c>
      <c r="K456" s="141">
        <v>0</v>
      </c>
      <c r="L456" s="160">
        <v>103.74</v>
      </c>
      <c r="M456" s="141">
        <v>0</v>
      </c>
      <c r="N456" s="141"/>
      <c r="O456" s="160">
        <f t="shared" si="121"/>
        <v>103.74</v>
      </c>
      <c r="P456" s="71"/>
      <c r="Q456" s="71"/>
      <c r="R456" s="71"/>
      <c r="S456" s="86" t="s">
        <v>2890</v>
      </c>
      <c r="T456" s="86" t="s">
        <v>2953</v>
      </c>
      <c r="U456" s="86"/>
      <c r="V456" s="56" t="s">
        <v>1819</v>
      </c>
      <c r="W456" s="61" t="str">
        <f t="shared" si="122"/>
        <v>Y</v>
      </c>
    </row>
    <row r="457" ht="30.95" customHeight="1" spans="1:23">
      <c r="A457" s="71"/>
      <c r="B457" s="90" t="s">
        <v>2971</v>
      </c>
      <c r="C457" s="155" t="s">
        <v>162</v>
      </c>
      <c r="D457" s="155" t="s">
        <v>147</v>
      </c>
      <c r="E457" s="152">
        <v>115</v>
      </c>
      <c r="F457" s="152">
        <v>7</v>
      </c>
      <c r="G457" s="152">
        <v>24</v>
      </c>
      <c r="H457" s="141">
        <v>2019</v>
      </c>
      <c r="I457" s="141">
        <v>2019</v>
      </c>
      <c r="J457" s="141">
        <f t="shared" si="120"/>
        <v>16.1</v>
      </c>
      <c r="K457" s="141">
        <v>0</v>
      </c>
      <c r="L457" s="160">
        <v>16.1</v>
      </c>
      <c r="M457" s="141">
        <v>0</v>
      </c>
      <c r="N457" s="141"/>
      <c r="O457" s="160">
        <f t="shared" si="121"/>
        <v>16.1</v>
      </c>
      <c r="P457" s="71"/>
      <c r="Q457" s="71"/>
      <c r="R457" s="71"/>
      <c r="S457" s="86" t="s">
        <v>2890</v>
      </c>
      <c r="T457" s="86" t="s">
        <v>2953</v>
      </c>
      <c r="U457" s="86"/>
      <c r="V457" s="56" t="s">
        <v>1819</v>
      </c>
      <c r="W457" s="61" t="str">
        <f t="shared" si="122"/>
        <v>Y</v>
      </c>
    </row>
    <row r="458" ht="32.1" customHeight="1" spans="1:23">
      <c r="A458" s="71"/>
      <c r="B458" s="90" t="s">
        <v>2972</v>
      </c>
      <c r="C458" s="155" t="s">
        <v>162</v>
      </c>
      <c r="D458" s="155" t="s">
        <v>147</v>
      </c>
      <c r="E458" s="152">
        <v>716</v>
      </c>
      <c r="F458" s="152">
        <v>85</v>
      </c>
      <c r="G458" s="152">
        <v>317</v>
      </c>
      <c r="H458" s="141">
        <v>2019</v>
      </c>
      <c r="I458" s="141">
        <v>2019</v>
      </c>
      <c r="J458" s="141">
        <f t="shared" si="120"/>
        <v>100.24</v>
      </c>
      <c r="K458" s="141">
        <v>0</v>
      </c>
      <c r="L458" s="146">
        <v>100.24</v>
      </c>
      <c r="M458" s="141">
        <v>0</v>
      </c>
      <c r="N458" s="141"/>
      <c r="O458" s="146">
        <f t="shared" si="121"/>
        <v>100.24</v>
      </c>
      <c r="P458" s="71"/>
      <c r="Q458" s="71"/>
      <c r="R458" s="71"/>
      <c r="S458" s="86" t="s">
        <v>2890</v>
      </c>
      <c r="T458" s="86" t="s">
        <v>2953</v>
      </c>
      <c r="U458" s="86"/>
      <c r="V458" s="56" t="s">
        <v>2885</v>
      </c>
      <c r="W458" s="61" t="str">
        <f t="shared" si="122"/>
        <v>Y</v>
      </c>
    </row>
    <row r="459" ht="30.95" customHeight="1" spans="1:23">
      <c r="A459" s="71"/>
      <c r="B459" s="156" t="s">
        <v>2973</v>
      </c>
      <c r="C459" s="151" t="s">
        <v>52</v>
      </c>
      <c r="D459" s="155" t="s">
        <v>1504</v>
      </c>
      <c r="E459" s="141">
        <v>5000</v>
      </c>
      <c r="F459" s="141">
        <v>17</v>
      </c>
      <c r="G459" s="141">
        <v>63</v>
      </c>
      <c r="H459" s="141">
        <v>2018</v>
      </c>
      <c r="I459" s="141">
        <v>2018</v>
      </c>
      <c r="J459" s="141">
        <v>49.6</v>
      </c>
      <c r="K459" s="141">
        <v>49.6</v>
      </c>
      <c r="L459" s="141">
        <v>0</v>
      </c>
      <c r="M459" s="141">
        <v>0</v>
      </c>
      <c r="N459" s="141"/>
      <c r="O459" s="71">
        <f t="shared" si="121"/>
        <v>49.6</v>
      </c>
      <c r="P459" s="76"/>
      <c r="Q459" s="76"/>
      <c r="R459" s="76"/>
      <c r="S459" s="86" t="s">
        <v>2890</v>
      </c>
      <c r="T459" s="86" t="s">
        <v>2891</v>
      </c>
      <c r="U459" s="86"/>
      <c r="V459" s="56" t="s">
        <v>2923</v>
      </c>
      <c r="W459" s="61" t="str">
        <f t="shared" si="122"/>
        <v>Y</v>
      </c>
    </row>
    <row r="460" ht="23.25" customHeight="1" spans="1:23">
      <c r="A460" s="71">
        <v>71</v>
      </c>
      <c r="B460" s="90" t="s">
        <v>537</v>
      </c>
      <c r="C460" s="71" t="s">
        <v>320</v>
      </c>
      <c r="D460" s="71" t="s">
        <v>320</v>
      </c>
      <c r="E460" s="71" t="s">
        <v>320</v>
      </c>
      <c r="F460" s="71">
        <v>1147</v>
      </c>
      <c r="G460" s="71">
        <v>4513</v>
      </c>
      <c r="H460" s="71">
        <v>2018</v>
      </c>
      <c r="I460" s="71">
        <v>2018</v>
      </c>
      <c r="J460" s="71">
        <f t="shared" ref="J460:R460" si="123">J461+J462</f>
        <v>24</v>
      </c>
      <c r="K460" s="71">
        <f t="shared" si="123"/>
        <v>24</v>
      </c>
      <c r="L460" s="71">
        <f t="shared" si="123"/>
        <v>0</v>
      </c>
      <c r="M460" s="71">
        <f t="shared" si="123"/>
        <v>0</v>
      </c>
      <c r="N460" s="71">
        <f t="shared" si="123"/>
        <v>0</v>
      </c>
      <c r="O460" s="71">
        <f t="shared" si="123"/>
        <v>0</v>
      </c>
      <c r="P460" s="71">
        <f t="shared" si="123"/>
        <v>24</v>
      </c>
      <c r="Q460" s="71">
        <f t="shared" si="123"/>
        <v>0</v>
      </c>
      <c r="R460" s="71">
        <f t="shared" si="123"/>
        <v>0</v>
      </c>
      <c r="S460" s="133" t="s">
        <v>2901</v>
      </c>
      <c r="T460" s="133" t="s">
        <v>2904</v>
      </c>
      <c r="U460" s="71" t="s">
        <v>320</v>
      </c>
      <c r="V460" s="56"/>
      <c r="W460" s="61" t="str">
        <f t="shared" ref="W460:W503" si="124">IF(SUM(N460:R460)=J460,"Y","N")</f>
        <v>Y</v>
      </c>
    </row>
    <row r="461" ht="23.25" customHeight="1" spans="1:23">
      <c r="A461" s="71"/>
      <c r="B461" s="90" t="s">
        <v>1019</v>
      </c>
      <c r="C461" s="71" t="s">
        <v>52</v>
      </c>
      <c r="D461" s="71" t="s">
        <v>150</v>
      </c>
      <c r="E461" s="71" t="s">
        <v>320</v>
      </c>
      <c r="F461" s="71"/>
      <c r="G461" s="71"/>
      <c r="H461" s="71"/>
      <c r="I461" s="71"/>
      <c r="J461" s="71"/>
      <c r="K461" s="71"/>
      <c r="L461" s="71"/>
      <c r="M461" s="71"/>
      <c r="N461" s="71"/>
      <c r="O461" s="71"/>
      <c r="P461" s="71"/>
      <c r="Q461" s="56"/>
      <c r="R461" s="56"/>
      <c r="S461" s="86"/>
      <c r="T461" s="86"/>
      <c r="U461" s="86" t="s">
        <v>358</v>
      </c>
      <c r="V461" s="56"/>
      <c r="W461" s="61" t="str">
        <f t="shared" si="124"/>
        <v>Y</v>
      </c>
    </row>
    <row r="462" ht="23.25" customHeight="1" spans="1:23">
      <c r="A462" s="71"/>
      <c r="B462" s="90" t="s">
        <v>2974</v>
      </c>
      <c r="C462" s="71" t="s">
        <v>1124</v>
      </c>
      <c r="D462" s="71" t="s">
        <v>1023</v>
      </c>
      <c r="E462" s="71" t="s">
        <v>2975</v>
      </c>
      <c r="F462" s="71">
        <v>1147</v>
      </c>
      <c r="G462" s="71">
        <v>4513</v>
      </c>
      <c r="H462" s="71">
        <v>2018</v>
      </c>
      <c r="I462" s="71">
        <v>2018</v>
      </c>
      <c r="J462" s="71">
        <v>24</v>
      </c>
      <c r="K462" s="71">
        <v>24</v>
      </c>
      <c r="L462" s="71">
        <v>0</v>
      </c>
      <c r="M462" s="71">
        <v>0</v>
      </c>
      <c r="N462" s="71"/>
      <c r="O462" s="71"/>
      <c r="P462" s="71">
        <f t="shared" ref="P462:P468" si="125">J462</f>
        <v>24</v>
      </c>
      <c r="Q462" s="56"/>
      <c r="R462" s="56"/>
      <c r="S462" s="86"/>
      <c r="T462" s="86"/>
      <c r="U462" s="86"/>
      <c r="V462" s="56"/>
      <c r="W462" s="61" t="str">
        <f t="shared" si="124"/>
        <v>Y</v>
      </c>
    </row>
    <row r="463" ht="18" customHeight="1" spans="1:23">
      <c r="A463" s="71"/>
      <c r="B463" s="73" t="s">
        <v>2897</v>
      </c>
      <c r="C463" s="71" t="s">
        <v>1124</v>
      </c>
      <c r="D463" s="71" t="s">
        <v>1023</v>
      </c>
      <c r="E463" s="71" t="s">
        <v>2976</v>
      </c>
      <c r="F463" s="71">
        <v>249</v>
      </c>
      <c r="G463" s="71">
        <v>983</v>
      </c>
      <c r="H463" s="71">
        <v>2018</v>
      </c>
      <c r="I463" s="71">
        <v>2018</v>
      </c>
      <c r="J463" s="71">
        <v>4</v>
      </c>
      <c r="K463" s="71">
        <v>4</v>
      </c>
      <c r="L463" s="71">
        <v>0</v>
      </c>
      <c r="M463" s="71">
        <v>0</v>
      </c>
      <c r="N463" s="71"/>
      <c r="O463" s="71"/>
      <c r="P463" s="71">
        <f t="shared" si="125"/>
        <v>4</v>
      </c>
      <c r="Q463" s="56"/>
      <c r="R463" s="56"/>
      <c r="S463" s="86"/>
      <c r="T463" s="86"/>
      <c r="U463" s="86"/>
      <c r="V463" s="56"/>
      <c r="W463" s="61" t="str">
        <f t="shared" si="124"/>
        <v>Y</v>
      </c>
    </row>
    <row r="464" ht="18" customHeight="1" spans="1:23">
      <c r="A464" s="71"/>
      <c r="B464" s="73" t="s">
        <v>2893</v>
      </c>
      <c r="C464" s="71" t="s">
        <v>1124</v>
      </c>
      <c r="D464" s="71" t="s">
        <v>1023</v>
      </c>
      <c r="E464" s="71" t="s">
        <v>2976</v>
      </c>
      <c r="F464" s="71">
        <v>238</v>
      </c>
      <c r="G464" s="71">
        <v>980</v>
      </c>
      <c r="H464" s="71">
        <v>2018</v>
      </c>
      <c r="I464" s="71">
        <v>2018</v>
      </c>
      <c r="J464" s="71">
        <v>4</v>
      </c>
      <c r="K464" s="71">
        <v>4</v>
      </c>
      <c r="L464" s="71">
        <v>0</v>
      </c>
      <c r="M464" s="71">
        <v>0</v>
      </c>
      <c r="N464" s="71"/>
      <c r="O464" s="71"/>
      <c r="P464" s="71">
        <f t="shared" si="125"/>
        <v>4</v>
      </c>
      <c r="Q464" s="56"/>
      <c r="R464" s="56"/>
      <c r="S464" s="86"/>
      <c r="T464" s="86"/>
      <c r="U464" s="86"/>
      <c r="V464" s="56"/>
      <c r="W464" s="61" t="str">
        <f t="shared" si="124"/>
        <v>Y</v>
      </c>
    </row>
    <row r="465" ht="18" customHeight="1" spans="1:23">
      <c r="A465" s="71"/>
      <c r="B465" s="73" t="s">
        <v>2898</v>
      </c>
      <c r="C465" s="71" t="s">
        <v>1124</v>
      </c>
      <c r="D465" s="71" t="s">
        <v>1023</v>
      </c>
      <c r="E465" s="71" t="s">
        <v>2976</v>
      </c>
      <c r="F465" s="71">
        <v>209</v>
      </c>
      <c r="G465" s="71">
        <v>799</v>
      </c>
      <c r="H465" s="71">
        <v>2018</v>
      </c>
      <c r="I465" s="71">
        <v>2018</v>
      </c>
      <c r="J465" s="71">
        <v>4</v>
      </c>
      <c r="K465" s="71">
        <v>4</v>
      </c>
      <c r="L465" s="71">
        <v>0</v>
      </c>
      <c r="M465" s="71">
        <v>0</v>
      </c>
      <c r="N465" s="71"/>
      <c r="O465" s="71"/>
      <c r="P465" s="71">
        <f t="shared" si="125"/>
        <v>4</v>
      </c>
      <c r="Q465" s="56"/>
      <c r="R465" s="56"/>
      <c r="S465" s="86"/>
      <c r="T465" s="86"/>
      <c r="U465" s="86"/>
      <c r="V465" s="56"/>
      <c r="W465" s="61" t="str">
        <f t="shared" si="124"/>
        <v>Y</v>
      </c>
    </row>
    <row r="466" ht="18" customHeight="1" spans="1:23">
      <c r="A466" s="71"/>
      <c r="B466" s="73" t="s">
        <v>2894</v>
      </c>
      <c r="C466" s="71" t="s">
        <v>1124</v>
      </c>
      <c r="D466" s="71" t="s">
        <v>1023</v>
      </c>
      <c r="E466" s="71" t="s">
        <v>2976</v>
      </c>
      <c r="F466" s="71">
        <v>210</v>
      </c>
      <c r="G466" s="71">
        <v>817</v>
      </c>
      <c r="H466" s="71">
        <v>2018</v>
      </c>
      <c r="I466" s="71">
        <v>2018</v>
      </c>
      <c r="J466" s="71">
        <v>4</v>
      </c>
      <c r="K466" s="71">
        <v>4</v>
      </c>
      <c r="L466" s="71">
        <v>0</v>
      </c>
      <c r="M466" s="71">
        <v>0</v>
      </c>
      <c r="N466" s="71"/>
      <c r="O466" s="71"/>
      <c r="P466" s="71">
        <f t="shared" si="125"/>
        <v>4</v>
      </c>
      <c r="Q466" s="56"/>
      <c r="R466" s="56"/>
      <c r="S466" s="86"/>
      <c r="T466" s="86"/>
      <c r="U466" s="86"/>
      <c r="V466" s="56"/>
      <c r="W466" s="61" t="str">
        <f t="shared" si="124"/>
        <v>Y</v>
      </c>
    </row>
    <row r="467" ht="18" customHeight="1" spans="1:23">
      <c r="A467" s="71"/>
      <c r="B467" s="73" t="s">
        <v>2899</v>
      </c>
      <c r="C467" s="71" t="s">
        <v>1124</v>
      </c>
      <c r="D467" s="71" t="s">
        <v>1023</v>
      </c>
      <c r="E467" s="71" t="s">
        <v>2976</v>
      </c>
      <c r="F467" s="71">
        <v>191</v>
      </c>
      <c r="G467" s="71">
        <v>753</v>
      </c>
      <c r="H467" s="71">
        <v>2018</v>
      </c>
      <c r="I467" s="71">
        <v>2018</v>
      </c>
      <c r="J467" s="71">
        <v>4</v>
      </c>
      <c r="K467" s="71">
        <v>4</v>
      </c>
      <c r="L467" s="71">
        <v>0</v>
      </c>
      <c r="M467" s="71">
        <v>0</v>
      </c>
      <c r="N467" s="71"/>
      <c r="O467" s="71"/>
      <c r="P467" s="71">
        <f t="shared" si="125"/>
        <v>4</v>
      </c>
      <c r="Q467" s="56"/>
      <c r="R467" s="56"/>
      <c r="S467" s="86"/>
      <c r="T467" s="86"/>
      <c r="U467" s="86"/>
      <c r="V467" s="56"/>
      <c r="W467" s="61" t="str">
        <f t="shared" si="124"/>
        <v>Y</v>
      </c>
    </row>
    <row r="468" ht="18" customHeight="1" spans="1:23">
      <c r="A468" s="71"/>
      <c r="B468" s="73" t="s">
        <v>2900</v>
      </c>
      <c r="C468" s="71" t="s">
        <v>1124</v>
      </c>
      <c r="D468" s="71" t="s">
        <v>1023</v>
      </c>
      <c r="E468" s="71" t="s">
        <v>2976</v>
      </c>
      <c r="F468" s="71">
        <v>50</v>
      </c>
      <c r="G468" s="71">
        <v>181</v>
      </c>
      <c r="H468" s="71">
        <v>2018</v>
      </c>
      <c r="I468" s="71">
        <v>2018</v>
      </c>
      <c r="J468" s="71">
        <v>4</v>
      </c>
      <c r="K468" s="71">
        <v>4</v>
      </c>
      <c r="L468" s="71">
        <v>0</v>
      </c>
      <c r="M468" s="71">
        <v>0</v>
      </c>
      <c r="N468" s="71"/>
      <c r="O468" s="71"/>
      <c r="P468" s="71">
        <f t="shared" si="125"/>
        <v>4</v>
      </c>
      <c r="Q468" s="56"/>
      <c r="R468" s="56"/>
      <c r="S468" s="86"/>
      <c r="T468" s="86"/>
      <c r="U468" s="86"/>
      <c r="V468" s="56"/>
      <c r="W468" s="61" t="str">
        <f t="shared" si="124"/>
        <v>Y</v>
      </c>
    </row>
    <row r="469" ht="23.25" customHeight="1" spans="1:23">
      <c r="A469" s="71">
        <v>72</v>
      </c>
      <c r="B469" s="90" t="s">
        <v>552</v>
      </c>
      <c r="C469" s="71" t="s">
        <v>320</v>
      </c>
      <c r="D469" s="71" t="s">
        <v>320</v>
      </c>
      <c r="E469" s="71">
        <v>3</v>
      </c>
      <c r="F469" s="71">
        <f>F471+F472+F473+F474</f>
        <v>142</v>
      </c>
      <c r="G469" s="71">
        <f>G471+G472+G473+G474</f>
        <v>544</v>
      </c>
      <c r="H469" s="71">
        <v>2018</v>
      </c>
      <c r="I469" s="71">
        <v>2018</v>
      </c>
      <c r="J469" s="71">
        <f t="shared" ref="J469:R469" si="126">J470</f>
        <v>79.8</v>
      </c>
      <c r="K469" s="71">
        <f t="shared" si="126"/>
        <v>79.8</v>
      </c>
      <c r="L469" s="71">
        <f t="shared" si="126"/>
        <v>0</v>
      </c>
      <c r="M469" s="71">
        <f t="shared" si="126"/>
        <v>0</v>
      </c>
      <c r="N469" s="71">
        <f t="shared" si="126"/>
        <v>0</v>
      </c>
      <c r="O469" s="71">
        <f t="shared" si="126"/>
        <v>79.8</v>
      </c>
      <c r="P469" s="71">
        <f t="shared" si="126"/>
        <v>0</v>
      </c>
      <c r="Q469" s="71">
        <f t="shared" si="126"/>
        <v>0</v>
      </c>
      <c r="R469" s="71">
        <f t="shared" si="126"/>
        <v>0</v>
      </c>
      <c r="S469" s="86"/>
      <c r="T469" s="86"/>
      <c r="U469" s="71" t="s">
        <v>320</v>
      </c>
      <c r="V469" s="56"/>
      <c r="W469" s="61" t="str">
        <f t="shared" si="124"/>
        <v>Y</v>
      </c>
    </row>
    <row r="470" ht="30.75" customHeight="1" spans="1:23">
      <c r="A470" s="71"/>
      <c r="B470" s="90" t="s">
        <v>554</v>
      </c>
      <c r="C470" s="71" t="s">
        <v>52</v>
      </c>
      <c r="D470" s="71" t="s">
        <v>150</v>
      </c>
      <c r="E470" s="71"/>
      <c r="F470" s="71"/>
      <c r="G470" s="71"/>
      <c r="H470" s="71"/>
      <c r="I470" s="71"/>
      <c r="J470" s="71">
        <f t="shared" ref="J470:R470" si="127">J471</f>
        <v>79.8</v>
      </c>
      <c r="K470" s="71">
        <f t="shared" si="127"/>
        <v>79.8</v>
      </c>
      <c r="L470" s="71">
        <f t="shared" si="127"/>
        <v>0</v>
      </c>
      <c r="M470" s="71">
        <f t="shared" si="127"/>
        <v>0</v>
      </c>
      <c r="N470" s="71">
        <f t="shared" si="127"/>
        <v>0</v>
      </c>
      <c r="O470" s="71">
        <f t="shared" si="127"/>
        <v>79.8</v>
      </c>
      <c r="P470" s="71">
        <f t="shared" si="127"/>
        <v>0</v>
      </c>
      <c r="Q470" s="71">
        <f t="shared" si="127"/>
        <v>0</v>
      </c>
      <c r="R470" s="71">
        <f t="shared" si="127"/>
        <v>0</v>
      </c>
      <c r="S470" s="86"/>
      <c r="T470" s="86"/>
      <c r="U470" s="86" t="s">
        <v>553</v>
      </c>
      <c r="V470" s="56"/>
      <c r="W470" s="61" t="str">
        <f t="shared" si="124"/>
        <v>Y</v>
      </c>
    </row>
    <row r="471" ht="30.75" customHeight="1" spans="1:23">
      <c r="A471" s="71"/>
      <c r="B471" s="90" t="s">
        <v>2977</v>
      </c>
      <c r="C471" s="71" t="s">
        <v>52</v>
      </c>
      <c r="D471" s="71" t="s">
        <v>150</v>
      </c>
      <c r="E471" s="71">
        <v>3</v>
      </c>
      <c r="F471" s="71">
        <v>71</v>
      </c>
      <c r="G471" s="71">
        <v>272</v>
      </c>
      <c r="H471" s="71">
        <v>2018</v>
      </c>
      <c r="I471" s="71">
        <v>2018</v>
      </c>
      <c r="J471" s="71">
        <v>79.8</v>
      </c>
      <c r="K471" s="71">
        <v>79.8</v>
      </c>
      <c r="L471" s="71">
        <v>0</v>
      </c>
      <c r="M471" s="71">
        <v>0</v>
      </c>
      <c r="N471" s="71"/>
      <c r="O471" s="71">
        <v>79.8</v>
      </c>
      <c r="P471" s="71"/>
      <c r="Q471" s="71"/>
      <c r="R471" s="71"/>
      <c r="S471" s="86"/>
      <c r="T471" s="86"/>
      <c r="U471" s="86"/>
      <c r="V471" s="56" t="s">
        <v>2923</v>
      </c>
      <c r="W471" s="61" t="str">
        <f t="shared" si="124"/>
        <v>Y</v>
      </c>
    </row>
    <row r="472" ht="24" customHeight="1" spans="1:23">
      <c r="A472" s="71"/>
      <c r="B472" s="90" t="s">
        <v>2978</v>
      </c>
      <c r="C472" s="71" t="s">
        <v>52</v>
      </c>
      <c r="D472" s="71" t="s">
        <v>150</v>
      </c>
      <c r="E472" s="71">
        <v>1</v>
      </c>
      <c r="F472" s="71">
        <v>29</v>
      </c>
      <c r="G472" s="71">
        <v>107</v>
      </c>
      <c r="H472" s="71">
        <v>2018</v>
      </c>
      <c r="I472" s="71">
        <v>2018</v>
      </c>
      <c r="J472" s="71">
        <v>31.8</v>
      </c>
      <c r="K472" s="71">
        <v>31.8</v>
      </c>
      <c r="L472" s="71">
        <v>0</v>
      </c>
      <c r="M472" s="71">
        <v>0</v>
      </c>
      <c r="N472" s="71"/>
      <c r="O472" s="71"/>
      <c r="P472" s="71"/>
      <c r="Q472" s="71"/>
      <c r="R472" s="71"/>
      <c r="S472" s="86" t="s">
        <v>2890</v>
      </c>
      <c r="T472" s="86" t="s">
        <v>2891</v>
      </c>
      <c r="U472" s="86"/>
      <c r="V472" s="56" t="s">
        <v>2923</v>
      </c>
      <c r="W472" s="61" t="str">
        <f t="shared" si="124"/>
        <v>N</v>
      </c>
    </row>
    <row r="473" ht="24" customHeight="1" spans="1:23">
      <c r="A473" s="71"/>
      <c r="B473" s="90" t="s">
        <v>2979</v>
      </c>
      <c r="C473" s="71" t="s">
        <v>52</v>
      </c>
      <c r="D473" s="71" t="s">
        <v>150</v>
      </c>
      <c r="E473" s="71">
        <v>1</v>
      </c>
      <c r="F473" s="71">
        <v>17</v>
      </c>
      <c r="G473" s="71">
        <v>63</v>
      </c>
      <c r="H473" s="71">
        <v>2018</v>
      </c>
      <c r="I473" s="71">
        <v>2018</v>
      </c>
      <c r="J473" s="71">
        <v>24</v>
      </c>
      <c r="K473" s="71">
        <v>24</v>
      </c>
      <c r="L473" s="71">
        <v>0</v>
      </c>
      <c r="M473" s="71">
        <v>0</v>
      </c>
      <c r="N473" s="71"/>
      <c r="O473" s="71"/>
      <c r="P473" s="71"/>
      <c r="Q473" s="71"/>
      <c r="R473" s="71"/>
      <c r="S473" s="86" t="s">
        <v>2890</v>
      </c>
      <c r="T473" s="86" t="s">
        <v>2891</v>
      </c>
      <c r="U473" s="86"/>
      <c r="V473" s="56" t="s">
        <v>2923</v>
      </c>
      <c r="W473" s="61" t="str">
        <f t="shared" si="124"/>
        <v>N</v>
      </c>
    </row>
    <row r="474" ht="24" customHeight="1" spans="1:23">
      <c r="A474" s="71"/>
      <c r="B474" s="90" t="s">
        <v>2980</v>
      </c>
      <c r="C474" s="71" t="s">
        <v>52</v>
      </c>
      <c r="D474" s="71" t="s">
        <v>150</v>
      </c>
      <c r="E474" s="71">
        <v>1</v>
      </c>
      <c r="F474" s="71">
        <v>25</v>
      </c>
      <c r="G474" s="71">
        <v>102</v>
      </c>
      <c r="H474" s="71">
        <v>2018</v>
      </c>
      <c r="I474" s="71">
        <v>2018</v>
      </c>
      <c r="J474" s="71">
        <v>24</v>
      </c>
      <c r="K474" s="71">
        <v>24</v>
      </c>
      <c r="L474" s="71">
        <v>0</v>
      </c>
      <c r="M474" s="71">
        <v>0</v>
      </c>
      <c r="N474" s="71"/>
      <c r="O474" s="71"/>
      <c r="P474" s="71"/>
      <c r="Q474" s="71"/>
      <c r="R474" s="71"/>
      <c r="S474" s="86" t="s">
        <v>2890</v>
      </c>
      <c r="T474" s="86" t="s">
        <v>2891</v>
      </c>
      <c r="U474" s="86"/>
      <c r="V474" s="56" t="s">
        <v>2923</v>
      </c>
      <c r="W474" s="61" t="str">
        <f t="shared" si="124"/>
        <v>N</v>
      </c>
    </row>
    <row r="475" ht="23.25" customHeight="1" spans="1:23">
      <c r="A475" s="71">
        <v>73</v>
      </c>
      <c r="B475" s="90" t="s">
        <v>555</v>
      </c>
      <c r="C475" s="71" t="s">
        <v>320</v>
      </c>
      <c r="D475" s="71" t="s">
        <v>320</v>
      </c>
      <c r="E475" s="71">
        <f t="shared" ref="E475:I475" si="128">E476</f>
        <v>2303</v>
      </c>
      <c r="F475" s="71">
        <f t="shared" si="128"/>
        <v>630</v>
      </c>
      <c r="G475" s="71">
        <v>826</v>
      </c>
      <c r="H475" s="71">
        <f t="shared" si="128"/>
        <v>2018</v>
      </c>
      <c r="I475" s="71">
        <f t="shared" si="128"/>
        <v>2020</v>
      </c>
      <c r="J475" s="71"/>
      <c r="K475" s="71"/>
      <c r="L475" s="71"/>
      <c r="M475" s="71"/>
      <c r="N475" s="71"/>
      <c r="O475" s="71"/>
      <c r="P475" s="71"/>
      <c r="Q475" s="71"/>
      <c r="R475" s="71"/>
      <c r="S475" s="86" t="s">
        <v>2901</v>
      </c>
      <c r="T475" s="86" t="s">
        <v>2902</v>
      </c>
      <c r="U475" s="71" t="s">
        <v>320</v>
      </c>
      <c r="V475" s="56"/>
      <c r="W475" s="61" t="str">
        <f t="shared" si="124"/>
        <v>Y</v>
      </c>
    </row>
    <row r="476" ht="53.25" customHeight="1" spans="1:23">
      <c r="A476" s="71"/>
      <c r="B476" s="90" t="s">
        <v>1225</v>
      </c>
      <c r="C476" s="71" t="s">
        <v>320</v>
      </c>
      <c r="D476" s="71" t="s">
        <v>147</v>
      </c>
      <c r="E476" s="71">
        <v>2303</v>
      </c>
      <c r="F476" s="71">
        <v>630</v>
      </c>
      <c r="G476" s="71">
        <v>826</v>
      </c>
      <c r="H476" s="71">
        <v>2018</v>
      </c>
      <c r="I476" s="71">
        <v>2020</v>
      </c>
      <c r="J476" s="71" t="s">
        <v>320</v>
      </c>
      <c r="K476" s="71" t="s">
        <v>320</v>
      </c>
      <c r="L476" s="71" t="s">
        <v>320</v>
      </c>
      <c r="M476" s="71" t="s">
        <v>320</v>
      </c>
      <c r="N476" s="71"/>
      <c r="O476" s="71"/>
      <c r="P476" s="71"/>
      <c r="Q476" s="71"/>
      <c r="R476" s="71"/>
      <c r="S476" s="86"/>
      <c r="T476" s="86"/>
      <c r="U476" s="86" t="s">
        <v>294</v>
      </c>
      <c r="V476" s="56"/>
      <c r="W476" s="61" t="str">
        <f t="shared" si="124"/>
        <v>N</v>
      </c>
    </row>
    <row r="477" ht="17.1" customHeight="1" spans="1:23">
      <c r="A477" s="71"/>
      <c r="B477" s="73" t="s">
        <v>2892</v>
      </c>
      <c r="C477" s="71" t="s">
        <v>320</v>
      </c>
      <c r="D477" s="71" t="s">
        <v>147</v>
      </c>
      <c r="E477" s="71">
        <v>627</v>
      </c>
      <c r="F477" s="71">
        <v>188</v>
      </c>
      <c r="G477" s="71">
        <v>242</v>
      </c>
      <c r="H477" s="71">
        <v>2018</v>
      </c>
      <c r="I477" s="71">
        <v>2020</v>
      </c>
      <c r="J477" s="71" t="s">
        <v>320</v>
      </c>
      <c r="K477" s="71" t="s">
        <v>320</v>
      </c>
      <c r="L477" s="71" t="s">
        <v>320</v>
      </c>
      <c r="M477" s="71" t="s">
        <v>320</v>
      </c>
      <c r="N477" s="71"/>
      <c r="O477" s="71"/>
      <c r="P477" s="71"/>
      <c r="Q477" s="71"/>
      <c r="R477" s="71"/>
      <c r="S477" s="86"/>
      <c r="T477" s="86"/>
      <c r="U477" s="86"/>
      <c r="V477" s="56"/>
      <c r="W477" s="61" t="str">
        <f t="shared" si="124"/>
        <v>N</v>
      </c>
    </row>
    <row r="478" ht="17.1" customHeight="1" spans="1:23">
      <c r="A478" s="71"/>
      <c r="B478" s="73" t="s">
        <v>2897</v>
      </c>
      <c r="C478" s="71" t="s">
        <v>320</v>
      </c>
      <c r="D478" s="71" t="s">
        <v>147</v>
      </c>
      <c r="E478" s="71">
        <v>359</v>
      </c>
      <c r="F478" s="71">
        <v>96</v>
      </c>
      <c r="G478" s="71">
        <v>128</v>
      </c>
      <c r="H478" s="71">
        <v>2018</v>
      </c>
      <c r="I478" s="71">
        <v>2020</v>
      </c>
      <c r="J478" s="71" t="s">
        <v>320</v>
      </c>
      <c r="K478" s="71" t="s">
        <v>320</v>
      </c>
      <c r="L478" s="71" t="s">
        <v>320</v>
      </c>
      <c r="M478" s="71" t="s">
        <v>320</v>
      </c>
      <c r="N478" s="71"/>
      <c r="O478" s="71"/>
      <c r="P478" s="71"/>
      <c r="Q478" s="71"/>
      <c r="R478" s="71"/>
      <c r="S478" s="86"/>
      <c r="T478" s="86"/>
      <c r="U478" s="86"/>
      <c r="V478" s="56"/>
      <c r="W478" s="61" t="str">
        <f t="shared" si="124"/>
        <v>N</v>
      </c>
    </row>
    <row r="479" ht="17.1" customHeight="1" spans="1:23">
      <c r="A479" s="71"/>
      <c r="B479" s="73" t="s">
        <v>2893</v>
      </c>
      <c r="C479" s="71" t="s">
        <v>320</v>
      </c>
      <c r="D479" s="71" t="s">
        <v>147</v>
      </c>
      <c r="E479" s="71">
        <v>377</v>
      </c>
      <c r="F479" s="71">
        <v>86</v>
      </c>
      <c r="G479" s="71">
        <v>109</v>
      </c>
      <c r="H479" s="71">
        <v>2018</v>
      </c>
      <c r="I479" s="71">
        <v>2020</v>
      </c>
      <c r="J479" s="71" t="s">
        <v>320</v>
      </c>
      <c r="K479" s="71" t="s">
        <v>320</v>
      </c>
      <c r="L479" s="71" t="s">
        <v>320</v>
      </c>
      <c r="M479" s="71" t="s">
        <v>320</v>
      </c>
      <c r="N479" s="71"/>
      <c r="O479" s="71"/>
      <c r="P479" s="71"/>
      <c r="Q479" s="71"/>
      <c r="R479" s="71"/>
      <c r="S479" s="86"/>
      <c r="T479" s="86"/>
      <c r="U479" s="86"/>
      <c r="V479" s="56"/>
      <c r="W479" s="61" t="str">
        <f t="shared" si="124"/>
        <v>N</v>
      </c>
    </row>
    <row r="480" ht="17.1" customHeight="1" spans="1:23">
      <c r="A480" s="71"/>
      <c r="B480" s="73" t="s">
        <v>2898</v>
      </c>
      <c r="C480" s="71" t="s">
        <v>320</v>
      </c>
      <c r="D480" s="71" t="s">
        <v>147</v>
      </c>
      <c r="E480" s="71">
        <v>327</v>
      </c>
      <c r="F480" s="71">
        <v>86</v>
      </c>
      <c r="G480" s="71">
        <v>119</v>
      </c>
      <c r="H480" s="71">
        <v>2018</v>
      </c>
      <c r="I480" s="71">
        <v>2020</v>
      </c>
      <c r="J480" s="71" t="s">
        <v>320</v>
      </c>
      <c r="K480" s="71" t="s">
        <v>320</v>
      </c>
      <c r="L480" s="71" t="s">
        <v>320</v>
      </c>
      <c r="M480" s="71" t="s">
        <v>320</v>
      </c>
      <c r="N480" s="71"/>
      <c r="O480" s="71"/>
      <c r="P480" s="71"/>
      <c r="Q480" s="71"/>
      <c r="R480" s="71"/>
      <c r="S480" s="86"/>
      <c r="T480" s="86"/>
      <c r="U480" s="86"/>
      <c r="V480" s="56"/>
      <c r="W480" s="61" t="str">
        <f t="shared" si="124"/>
        <v>N</v>
      </c>
    </row>
    <row r="481" ht="17.1" customHeight="1" spans="1:23">
      <c r="A481" s="71"/>
      <c r="B481" s="73" t="s">
        <v>2894</v>
      </c>
      <c r="C481" s="71" t="s">
        <v>320</v>
      </c>
      <c r="D481" s="71" t="s">
        <v>147</v>
      </c>
      <c r="E481" s="71">
        <v>316</v>
      </c>
      <c r="F481" s="71">
        <v>86</v>
      </c>
      <c r="G481" s="71">
        <v>116</v>
      </c>
      <c r="H481" s="71">
        <v>2018</v>
      </c>
      <c r="I481" s="71">
        <v>2020</v>
      </c>
      <c r="J481" s="71" t="s">
        <v>320</v>
      </c>
      <c r="K481" s="71" t="s">
        <v>320</v>
      </c>
      <c r="L481" s="71" t="s">
        <v>320</v>
      </c>
      <c r="M481" s="71" t="s">
        <v>320</v>
      </c>
      <c r="N481" s="71"/>
      <c r="O481" s="71"/>
      <c r="P481" s="71"/>
      <c r="Q481" s="71"/>
      <c r="R481" s="71"/>
      <c r="S481" s="86"/>
      <c r="T481" s="86"/>
      <c r="U481" s="86"/>
      <c r="V481" s="56"/>
      <c r="W481" s="61" t="str">
        <f t="shared" si="124"/>
        <v>N</v>
      </c>
    </row>
    <row r="482" ht="17.1" customHeight="1" spans="1:23">
      <c r="A482" s="71"/>
      <c r="B482" s="73" t="s">
        <v>2899</v>
      </c>
      <c r="C482" s="71" t="s">
        <v>320</v>
      </c>
      <c r="D482" s="71" t="s">
        <v>147</v>
      </c>
      <c r="E482" s="71">
        <v>236</v>
      </c>
      <c r="F482" s="71">
        <v>67</v>
      </c>
      <c r="G482" s="71">
        <v>87</v>
      </c>
      <c r="H482" s="71">
        <v>2018</v>
      </c>
      <c r="I482" s="71">
        <v>2020</v>
      </c>
      <c r="J482" s="71" t="s">
        <v>320</v>
      </c>
      <c r="K482" s="71" t="s">
        <v>320</v>
      </c>
      <c r="L482" s="71" t="s">
        <v>320</v>
      </c>
      <c r="M482" s="71" t="s">
        <v>320</v>
      </c>
      <c r="N482" s="71"/>
      <c r="O482" s="71"/>
      <c r="P482" s="71"/>
      <c r="Q482" s="71"/>
      <c r="R482" s="71"/>
      <c r="S482" s="86"/>
      <c r="T482" s="86"/>
      <c r="U482" s="86"/>
      <c r="V482" s="56"/>
      <c r="W482" s="61" t="str">
        <f t="shared" si="124"/>
        <v>N</v>
      </c>
    </row>
    <row r="483" ht="17.1" customHeight="1" spans="1:23">
      <c r="A483" s="71"/>
      <c r="B483" s="73" t="s">
        <v>2900</v>
      </c>
      <c r="C483" s="71" t="s">
        <v>320</v>
      </c>
      <c r="D483" s="71" t="s">
        <v>147</v>
      </c>
      <c r="E483" s="71">
        <v>61</v>
      </c>
      <c r="F483" s="71">
        <v>21</v>
      </c>
      <c r="G483" s="71">
        <v>25</v>
      </c>
      <c r="H483" s="71">
        <v>2018</v>
      </c>
      <c r="I483" s="71">
        <v>2020</v>
      </c>
      <c r="J483" s="71" t="s">
        <v>320</v>
      </c>
      <c r="K483" s="71" t="s">
        <v>320</v>
      </c>
      <c r="L483" s="71" t="s">
        <v>320</v>
      </c>
      <c r="M483" s="71" t="s">
        <v>320</v>
      </c>
      <c r="N483" s="71"/>
      <c r="O483" s="71"/>
      <c r="P483" s="71"/>
      <c r="Q483" s="71"/>
      <c r="R483" s="71"/>
      <c r="S483" s="86"/>
      <c r="T483" s="86"/>
      <c r="U483" s="86"/>
      <c r="V483" s="56"/>
      <c r="W483" s="61" t="str">
        <f t="shared" si="124"/>
        <v>N</v>
      </c>
    </row>
    <row r="484" ht="26.1" customHeight="1" spans="1:23">
      <c r="A484" s="71"/>
      <c r="B484" s="95" t="s">
        <v>570</v>
      </c>
      <c r="C484" s="76" t="s">
        <v>52</v>
      </c>
      <c r="D484" s="76" t="s">
        <v>150</v>
      </c>
      <c r="E484" s="71" t="s">
        <v>320</v>
      </c>
      <c r="F484" s="76">
        <f>F488+F489</f>
        <v>82</v>
      </c>
      <c r="G484" s="76">
        <v>344</v>
      </c>
      <c r="H484" s="76">
        <v>2018</v>
      </c>
      <c r="I484" s="76">
        <v>2018</v>
      </c>
      <c r="J484" s="71">
        <v>238</v>
      </c>
      <c r="K484" s="76">
        <v>238</v>
      </c>
      <c r="L484" s="76">
        <f t="shared" ref="L484:N484" si="129">L488+L489</f>
        <v>0</v>
      </c>
      <c r="M484" s="76">
        <f t="shared" si="129"/>
        <v>0</v>
      </c>
      <c r="N484" s="76">
        <f t="shared" si="129"/>
        <v>0</v>
      </c>
      <c r="O484" s="76">
        <f t="shared" ref="O484:O489" si="130">J484</f>
        <v>238</v>
      </c>
      <c r="P484" s="76">
        <f t="shared" ref="P484:R484" si="131">P488+P489</f>
        <v>0</v>
      </c>
      <c r="Q484" s="76">
        <f t="shared" si="131"/>
        <v>0</v>
      </c>
      <c r="R484" s="76">
        <f t="shared" si="131"/>
        <v>0</v>
      </c>
      <c r="S484" s="86" t="s">
        <v>2890</v>
      </c>
      <c r="T484" s="86" t="s">
        <v>2891</v>
      </c>
      <c r="U484" s="86"/>
      <c r="V484" s="56"/>
      <c r="W484" s="61" t="str">
        <f t="shared" si="124"/>
        <v>Y</v>
      </c>
    </row>
    <row r="485" ht="26.1" customHeight="1" spans="1:23">
      <c r="A485" s="71"/>
      <c r="B485" s="95" t="s">
        <v>2981</v>
      </c>
      <c r="C485" s="76" t="s">
        <v>52</v>
      </c>
      <c r="D485" s="76" t="s">
        <v>1504</v>
      </c>
      <c r="E485" s="71">
        <v>1538</v>
      </c>
      <c r="F485" s="76">
        <v>17</v>
      </c>
      <c r="G485" s="76">
        <v>57</v>
      </c>
      <c r="H485" s="76">
        <v>2018</v>
      </c>
      <c r="I485" s="76">
        <v>2018</v>
      </c>
      <c r="J485" s="76">
        <v>20</v>
      </c>
      <c r="K485" s="76">
        <v>20</v>
      </c>
      <c r="L485" s="76">
        <v>0</v>
      </c>
      <c r="M485" s="76">
        <v>0</v>
      </c>
      <c r="N485" s="76"/>
      <c r="O485" s="76">
        <v>20</v>
      </c>
      <c r="P485" s="76"/>
      <c r="Q485" s="76"/>
      <c r="R485" s="76"/>
      <c r="S485" s="86"/>
      <c r="T485" s="86"/>
      <c r="U485" s="86"/>
      <c r="V485" s="56"/>
      <c r="W485" s="61" t="str">
        <f t="shared" si="124"/>
        <v>Y</v>
      </c>
    </row>
    <row r="486" ht="26.1" customHeight="1" spans="1:23">
      <c r="A486" s="71"/>
      <c r="B486" s="95" t="s">
        <v>2982</v>
      </c>
      <c r="C486" s="76" t="s">
        <v>52</v>
      </c>
      <c r="D486" s="76" t="s">
        <v>2983</v>
      </c>
      <c r="E486" s="71">
        <v>386.986</v>
      </c>
      <c r="F486" s="76">
        <v>210</v>
      </c>
      <c r="G486" s="76">
        <v>809</v>
      </c>
      <c r="H486" s="76">
        <v>2018</v>
      </c>
      <c r="I486" s="76">
        <v>2018</v>
      </c>
      <c r="J486" s="76">
        <v>8</v>
      </c>
      <c r="K486" s="76">
        <v>8</v>
      </c>
      <c r="L486" s="76">
        <v>0</v>
      </c>
      <c r="M486" s="76">
        <v>0</v>
      </c>
      <c r="N486" s="76"/>
      <c r="O486" s="76">
        <v>8</v>
      </c>
      <c r="P486" s="76"/>
      <c r="Q486" s="76"/>
      <c r="R486" s="76"/>
      <c r="S486" s="86"/>
      <c r="T486" s="86"/>
      <c r="U486" s="86"/>
      <c r="V486" s="56"/>
      <c r="W486" s="61" t="str">
        <f t="shared" si="124"/>
        <v>Y</v>
      </c>
    </row>
    <row r="487" ht="26.1" customHeight="1" spans="1:23">
      <c r="A487" s="71"/>
      <c r="B487" s="73" t="s">
        <v>2984</v>
      </c>
      <c r="C487" s="71" t="s">
        <v>52</v>
      </c>
      <c r="D487" s="71" t="s">
        <v>1517</v>
      </c>
      <c r="E487" s="71">
        <v>24</v>
      </c>
      <c r="F487" s="71">
        <v>17</v>
      </c>
      <c r="G487" s="71">
        <v>57</v>
      </c>
      <c r="H487" s="71">
        <v>2018</v>
      </c>
      <c r="I487" s="71">
        <v>2018</v>
      </c>
      <c r="J487" s="56">
        <v>12</v>
      </c>
      <c r="K487" s="56">
        <v>12</v>
      </c>
      <c r="L487" s="56">
        <v>0</v>
      </c>
      <c r="M487" s="56">
        <v>0</v>
      </c>
      <c r="N487" s="76"/>
      <c r="O487" s="76">
        <v>12</v>
      </c>
      <c r="P487" s="76"/>
      <c r="Q487" s="76"/>
      <c r="R487" s="76"/>
      <c r="S487" s="86"/>
      <c r="T487" s="86"/>
      <c r="U487" s="86"/>
      <c r="V487" s="56"/>
      <c r="W487" s="61" t="str">
        <f t="shared" si="124"/>
        <v>Y</v>
      </c>
    </row>
    <row r="488" ht="30.95" customHeight="1" spans="1:23">
      <c r="A488" s="71"/>
      <c r="B488" s="95" t="s">
        <v>2985</v>
      </c>
      <c r="C488" s="76" t="s">
        <v>52</v>
      </c>
      <c r="D488" s="76" t="s">
        <v>150</v>
      </c>
      <c r="E488" s="76">
        <v>1</v>
      </c>
      <c r="F488" s="76">
        <v>65</v>
      </c>
      <c r="G488" s="76">
        <v>275</v>
      </c>
      <c r="H488" s="76">
        <v>2018</v>
      </c>
      <c r="I488" s="76">
        <v>2018</v>
      </c>
      <c r="J488" s="76">
        <v>99</v>
      </c>
      <c r="K488" s="76">
        <v>99</v>
      </c>
      <c r="L488" s="76">
        <v>0</v>
      </c>
      <c r="M488" s="76">
        <v>0</v>
      </c>
      <c r="N488" s="76"/>
      <c r="O488" s="76">
        <f t="shared" si="130"/>
        <v>99</v>
      </c>
      <c r="P488" s="76"/>
      <c r="Q488" s="76"/>
      <c r="R488" s="76"/>
      <c r="S488" s="86" t="s">
        <v>2890</v>
      </c>
      <c r="T488" s="86" t="s">
        <v>2891</v>
      </c>
      <c r="U488" s="86"/>
      <c r="V488" s="56" t="s">
        <v>2923</v>
      </c>
      <c r="W488" s="61" t="str">
        <f t="shared" si="124"/>
        <v>Y</v>
      </c>
    </row>
    <row r="489" ht="36" customHeight="1" spans="1:23">
      <c r="A489" s="71"/>
      <c r="B489" s="95" t="s">
        <v>2986</v>
      </c>
      <c r="C489" s="76" t="s">
        <v>52</v>
      </c>
      <c r="D489" s="76" t="s">
        <v>150</v>
      </c>
      <c r="E489" s="76">
        <v>1</v>
      </c>
      <c r="F489" s="76">
        <v>17</v>
      </c>
      <c r="G489" s="76">
        <v>69</v>
      </c>
      <c r="H489" s="76">
        <v>2018</v>
      </c>
      <c r="I489" s="76">
        <v>2018</v>
      </c>
      <c r="J489" s="76">
        <v>99</v>
      </c>
      <c r="K489" s="76">
        <v>99</v>
      </c>
      <c r="L489" s="76">
        <v>0</v>
      </c>
      <c r="M489" s="76">
        <v>0</v>
      </c>
      <c r="N489" s="76"/>
      <c r="O489" s="76">
        <f t="shared" si="130"/>
        <v>99</v>
      </c>
      <c r="P489" s="76"/>
      <c r="Q489" s="76"/>
      <c r="R489" s="76"/>
      <c r="S489" s="86" t="s">
        <v>2890</v>
      </c>
      <c r="T489" s="86" t="s">
        <v>2891</v>
      </c>
      <c r="U489" s="86"/>
      <c r="V489" s="56" t="s">
        <v>2923</v>
      </c>
      <c r="W489" s="61" t="str">
        <f t="shared" si="124"/>
        <v>Y</v>
      </c>
    </row>
    <row r="490" ht="53.25" customHeight="1" spans="1:23">
      <c r="A490" s="71">
        <v>74</v>
      </c>
      <c r="B490" s="90" t="s">
        <v>1048</v>
      </c>
      <c r="C490" s="71"/>
      <c r="D490" s="71"/>
      <c r="E490" s="71"/>
      <c r="F490" s="71">
        <v>1576</v>
      </c>
      <c r="G490" s="71">
        <v>6185</v>
      </c>
      <c r="H490" s="56">
        <v>2018</v>
      </c>
      <c r="I490" s="56">
        <v>2019</v>
      </c>
      <c r="J490" s="71">
        <v>210</v>
      </c>
      <c r="K490" s="71">
        <v>135</v>
      </c>
      <c r="L490" s="71">
        <v>75</v>
      </c>
      <c r="M490" s="71">
        <v>0</v>
      </c>
      <c r="N490" s="71"/>
      <c r="O490" s="71">
        <v>210</v>
      </c>
      <c r="P490" s="71"/>
      <c r="Q490" s="71"/>
      <c r="R490" s="71"/>
      <c r="S490" s="86" t="s">
        <v>2920</v>
      </c>
      <c r="T490" s="86" t="s">
        <v>2906</v>
      </c>
      <c r="U490" s="86"/>
      <c r="V490" s="56"/>
      <c r="W490" s="61" t="str">
        <f t="shared" si="124"/>
        <v>Y</v>
      </c>
    </row>
    <row r="491" ht="23.25" customHeight="1" spans="1:23">
      <c r="A491" s="71">
        <v>75</v>
      </c>
      <c r="B491" s="90" t="s">
        <v>1049</v>
      </c>
      <c r="C491" s="71" t="s">
        <v>320</v>
      </c>
      <c r="D491" s="71" t="s">
        <v>320</v>
      </c>
      <c r="E491" s="71"/>
      <c r="F491" s="71"/>
      <c r="G491" s="71"/>
      <c r="H491" s="71"/>
      <c r="I491" s="71"/>
      <c r="J491" s="71"/>
      <c r="K491" s="71"/>
      <c r="L491" s="71"/>
      <c r="M491" s="71"/>
      <c r="N491" s="71"/>
      <c r="O491" s="71"/>
      <c r="P491" s="71"/>
      <c r="Q491" s="71"/>
      <c r="R491" s="71"/>
      <c r="S491" s="86"/>
      <c r="T491" s="86"/>
      <c r="U491" s="71" t="s">
        <v>320</v>
      </c>
      <c r="V491" s="56"/>
      <c r="W491" s="61" t="str">
        <f t="shared" si="124"/>
        <v>Y</v>
      </c>
    </row>
    <row r="492" ht="23.25" customHeight="1" spans="1:23">
      <c r="A492" s="71">
        <v>76</v>
      </c>
      <c r="B492" s="90" t="s">
        <v>1237</v>
      </c>
      <c r="C492" s="71" t="s">
        <v>52</v>
      </c>
      <c r="D492" s="71" t="s">
        <v>202</v>
      </c>
      <c r="E492" s="71"/>
      <c r="F492" s="71"/>
      <c r="G492" s="71"/>
      <c r="H492" s="71"/>
      <c r="I492" s="71"/>
      <c r="J492" s="71"/>
      <c r="K492" s="71"/>
      <c r="L492" s="71"/>
      <c r="M492" s="71"/>
      <c r="N492" s="71"/>
      <c r="O492" s="71"/>
      <c r="P492" s="71"/>
      <c r="Q492" s="71"/>
      <c r="R492" s="71"/>
      <c r="S492" s="86"/>
      <c r="T492" s="86"/>
      <c r="U492" s="86" t="s">
        <v>497</v>
      </c>
      <c r="V492" s="56"/>
      <c r="W492" s="61" t="str">
        <f t="shared" si="124"/>
        <v>Y</v>
      </c>
    </row>
    <row r="493" ht="23.25" customHeight="1" spans="1:23">
      <c r="A493" s="71">
        <v>77</v>
      </c>
      <c r="B493" s="73" t="s">
        <v>1238</v>
      </c>
      <c r="C493" s="71" t="s">
        <v>320</v>
      </c>
      <c r="D493" s="71" t="s">
        <v>320</v>
      </c>
      <c r="E493" s="71"/>
      <c r="F493" s="71"/>
      <c r="G493" s="71"/>
      <c r="H493" s="71"/>
      <c r="I493" s="71"/>
      <c r="J493" s="71"/>
      <c r="K493" s="71"/>
      <c r="L493" s="71"/>
      <c r="M493" s="71"/>
      <c r="N493" s="71"/>
      <c r="O493" s="71"/>
      <c r="P493" s="71"/>
      <c r="Q493" s="71"/>
      <c r="R493" s="71"/>
      <c r="S493" s="86"/>
      <c r="T493" s="86"/>
      <c r="U493" s="89" t="s">
        <v>160</v>
      </c>
      <c r="V493" s="56"/>
      <c r="W493" s="61" t="str">
        <f t="shared" si="124"/>
        <v>Y</v>
      </c>
    </row>
    <row r="494" ht="23.25" customHeight="1" spans="1:23">
      <c r="A494" s="71">
        <v>78</v>
      </c>
      <c r="B494" s="73" t="s">
        <v>1239</v>
      </c>
      <c r="C494" s="71" t="s">
        <v>320</v>
      </c>
      <c r="D494" s="71" t="s">
        <v>320</v>
      </c>
      <c r="E494" s="71"/>
      <c r="F494" s="71">
        <v>1570</v>
      </c>
      <c r="G494" s="71">
        <v>6160</v>
      </c>
      <c r="H494" s="71">
        <v>2018</v>
      </c>
      <c r="I494" s="71">
        <v>2019</v>
      </c>
      <c r="J494" s="71">
        <v>210</v>
      </c>
      <c r="K494" s="71">
        <v>135</v>
      </c>
      <c r="L494" s="71">
        <v>75</v>
      </c>
      <c r="M494" s="71">
        <v>0</v>
      </c>
      <c r="N494" s="71"/>
      <c r="O494" s="71">
        <v>210</v>
      </c>
      <c r="P494" s="71"/>
      <c r="Q494" s="71"/>
      <c r="R494" s="71"/>
      <c r="S494" s="74"/>
      <c r="T494" s="86"/>
      <c r="U494" s="86" t="s">
        <v>160</v>
      </c>
      <c r="V494" s="56" t="s">
        <v>1819</v>
      </c>
      <c r="W494" s="61" t="str">
        <f t="shared" si="124"/>
        <v>Y</v>
      </c>
    </row>
    <row r="495" ht="51" customHeight="1" spans="1:23">
      <c r="A495" s="71"/>
      <c r="B495" s="73" t="s">
        <v>2987</v>
      </c>
      <c r="C495" s="157" t="s">
        <v>52</v>
      </c>
      <c r="D495" s="157">
        <v>1</v>
      </c>
      <c r="E495" s="56" t="s">
        <v>2988</v>
      </c>
      <c r="F495" s="71">
        <v>238</v>
      </c>
      <c r="G495" s="71">
        <v>965</v>
      </c>
      <c r="H495" s="71">
        <v>2018</v>
      </c>
      <c r="I495" s="71">
        <v>2018</v>
      </c>
      <c r="J495" s="71">
        <v>30</v>
      </c>
      <c r="K495" s="71">
        <v>30</v>
      </c>
      <c r="L495" s="71">
        <v>0</v>
      </c>
      <c r="M495" s="71">
        <v>0</v>
      </c>
      <c r="N495" s="56"/>
      <c r="O495" s="56"/>
      <c r="P495" s="56"/>
      <c r="Q495" s="56"/>
      <c r="R495" s="56"/>
      <c r="S495" s="74"/>
      <c r="T495" s="86"/>
      <c r="U495" s="86"/>
      <c r="V495" s="56" t="s">
        <v>2989</v>
      </c>
      <c r="W495" s="61" t="str">
        <f t="shared" si="124"/>
        <v>N</v>
      </c>
    </row>
    <row r="496" ht="29.1" customHeight="1" spans="1:23">
      <c r="A496" s="71"/>
      <c r="B496" s="73" t="s">
        <v>2990</v>
      </c>
      <c r="C496" s="157" t="s">
        <v>52</v>
      </c>
      <c r="D496" s="157">
        <v>1</v>
      </c>
      <c r="E496" s="111" t="s">
        <v>2991</v>
      </c>
      <c r="F496" s="71">
        <v>425</v>
      </c>
      <c r="G496" s="71">
        <v>1671</v>
      </c>
      <c r="H496" s="71">
        <v>2018</v>
      </c>
      <c r="I496" s="71">
        <v>2018</v>
      </c>
      <c r="J496" s="71">
        <v>30</v>
      </c>
      <c r="K496" s="71">
        <v>30</v>
      </c>
      <c r="L496" s="71">
        <v>0</v>
      </c>
      <c r="M496" s="71">
        <v>0</v>
      </c>
      <c r="N496" s="56"/>
      <c r="O496" s="56"/>
      <c r="P496" s="56"/>
      <c r="Q496" s="56"/>
      <c r="R496" s="56"/>
      <c r="S496" s="74"/>
      <c r="T496" s="86"/>
      <c r="U496" s="86"/>
      <c r="V496" s="56" t="s">
        <v>2989</v>
      </c>
      <c r="W496" s="61" t="str">
        <f t="shared" si="124"/>
        <v>N</v>
      </c>
    </row>
    <row r="497" ht="24.95" customHeight="1" spans="1:23">
      <c r="A497" s="71"/>
      <c r="B497" s="73" t="s">
        <v>2992</v>
      </c>
      <c r="C497" s="157" t="s">
        <v>52</v>
      </c>
      <c r="D497" s="157">
        <v>1</v>
      </c>
      <c r="E497" s="115"/>
      <c r="F497" s="71">
        <v>210</v>
      </c>
      <c r="G497" s="71">
        <v>804</v>
      </c>
      <c r="H497" s="71">
        <v>2018</v>
      </c>
      <c r="I497" s="71">
        <v>2018</v>
      </c>
      <c r="J497" s="71">
        <v>30</v>
      </c>
      <c r="K497" s="71">
        <v>30</v>
      </c>
      <c r="L497" s="71">
        <v>0</v>
      </c>
      <c r="M497" s="71">
        <v>0</v>
      </c>
      <c r="N497" s="56"/>
      <c r="O497" s="56"/>
      <c r="P497" s="56"/>
      <c r="Q497" s="56"/>
      <c r="R497" s="56"/>
      <c r="S497" s="74"/>
      <c r="T497" s="86"/>
      <c r="U497" s="86"/>
      <c r="V497" s="56" t="s">
        <v>2989</v>
      </c>
      <c r="W497" s="61" t="str">
        <f t="shared" si="124"/>
        <v>N</v>
      </c>
    </row>
    <row r="498" ht="24.95" customHeight="1" spans="1:23">
      <c r="A498" s="71"/>
      <c r="B498" s="73" t="s">
        <v>2993</v>
      </c>
      <c r="C498" s="157" t="s">
        <v>52</v>
      </c>
      <c r="D498" s="157">
        <v>1</v>
      </c>
      <c r="E498" s="115"/>
      <c r="F498" s="71">
        <v>210</v>
      </c>
      <c r="G498" s="71">
        <v>809</v>
      </c>
      <c r="H498" s="71">
        <v>2019</v>
      </c>
      <c r="I498" s="71">
        <v>2019</v>
      </c>
      <c r="J498" s="71">
        <v>30</v>
      </c>
      <c r="K498" s="71">
        <v>0</v>
      </c>
      <c r="L498" s="71">
        <v>30</v>
      </c>
      <c r="M498" s="71">
        <v>0</v>
      </c>
      <c r="N498" s="56"/>
      <c r="O498" s="56"/>
      <c r="P498" s="56"/>
      <c r="Q498" s="56"/>
      <c r="R498" s="56"/>
      <c r="S498" s="74"/>
      <c r="T498" s="86"/>
      <c r="U498" s="86"/>
      <c r="V498" s="56" t="s">
        <v>1819</v>
      </c>
      <c r="W498" s="61" t="str">
        <f t="shared" si="124"/>
        <v>N</v>
      </c>
    </row>
    <row r="499" ht="27.95" customHeight="1" spans="1:23">
      <c r="A499" s="71"/>
      <c r="B499" s="73" t="s">
        <v>2994</v>
      </c>
      <c r="C499" s="157" t="s">
        <v>52</v>
      </c>
      <c r="D499" s="157">
        <v>1</v>
      </c>
      <c r="E499" s="115"/>
      <c r="F499" s="71">
        <v>247</v>
      </c>
      <c r="G499" s="71">
        <v>974</v>
      </c>
      <c r="H499" s="71">
        <v>2018</v>
      </c>
      <c r="I499" s="71">
        <v>2019</v>
      </c>
      <c r="J499" s="71">
        <v>30</v>
      </c>
      <c r="K499" s="71">
        <v>15</v>
      </c>
      <c r="L499" s="71">
        <v>15</v>
      </c>
      <c r="M499" s="71">
        <v>0</v>
      </c>
      <c r="N499" s="56"/>
      <c r="O499" s="56"/>
      <c r="P499" s="56"/>
      <c r="Q499" s="56"/>
      <c r="R499" s="56"/>
      <c r="S499" s="74"/>
      <c r="T499" s="86"/>
      <c r="U499" s="86"/>
      <c r="V499" s="56" t="s">
        <v>2989</v>
      </c>
      <c r="W499" s="61" t="str">
        <f t="shared" si="124"/>
        <v>N</v>
      </c>
    </row>
    <row r="500" ht="30" customHeight="1" spans="1:23">
      <c r="A500" s="71"/>
      <c r="B500" s="73" t="s">
        <v>2995</v>
      </c>
      <c r="C500" s="157" t="s">
        <v>52</v>
      </c>
      <c r="D500" s="157">
        <v>1</v>
      </c>
      <c r="E500" s="115"/>
      <c r="F500" s="71">
        <v>190</v>
      </c>
      <c r="G500" s="71">
        <v>758</v>
      </c>
      <c r="H500" s="71">
        <v>2018</v>
      </c>
      <c r="I500" s="71">
        <v>2019</v>
      </c>
      <c r="J500" s="71">
        <v>30</v>
      </c>
      <c r="K500" s="71">
        <v>15</v>
      </c>
      <c r="L500" s="71">
        <v>15</v>
      </c>
      <c r="M500" s="71">
        <v>0</v>
      </c>
      <c r="N500" s="56"/>
      <c r="O500" s="56"/>
      <c r="P500" s="56"/>
      <c r="Q500" s="56"/>
      <c r="R500" s="56"/>
      <c r="S500" s="74"/>
      <c r="T500" s="86"/>
      <c r="U500" s="86"/>
      <c r="V500" s="56" t="s">
        <v>2989</v>
      </c>
      <c r="W500" s="61" t="str">
        <f t="shared" si="124"/>
        <v>N</v>
      </c>
    </row>
    <row r="501" ht="24.95" customHeight="1" spans="1:23">
      <c r="A501" s="71"/>
      <c r="B501" s="73" t="s">
        <v>2996</v>
      </c>
      <c r="C501" s="157" t="s">
        <v>52</v>
      </c>
      <c r="D501" s="157">
        <v>1</v>
      </c>
      <c r="E501" s="116"/>
      <c r="F501" s="71">
        <v>50</v>
      </c>
      <c r="G501" s="71">
        <v>179</v>
      </c>
      <c r="H501" s="71">
        <v>2018</v>
      </c>
      <c r="I501" s="71">
        <v>2019</v>
      </c>
      <c r="J501" s="71">
        <v>30</v>
      </c>
      <c r="K501" s="71">
        <v>15</v>
      </c>
      <c r="L501" s="71">
        <v>15</v>
      </c>
      <c r="M501" s="71">
        <v>0</v>
      </c>
      <c r="N501" s="56"/>
      <c r="O501" s="56"/>
      <c r="P501" s="56"/>
      <c r="Q501" s="56"/>
      <c r="R501" s="56"/>
      <c r="S501" s="74"/>
      <c r="T501" s="86"/>
      <c r="U501" s="86"/>
      <c r="V501" s="56" t="s">
        <v>2989</v>
      </c>
      <c r="W501" s="61" t="str">
        <f t="shared" si="124"/>
        <v>N</v>
      </c>
    </row>
    <row r="502" ht="21" customHeight="1" spans="1:23">
      <c r="A502" s="71">
        <v>79</v>
      </c>
      <c r="B502" s="102" t="s">
        <v>1059</v>
      </c>
      <c r="C502" s="101"/>
      <c r="D502" s="101"/>
      <c r="E502" s="101"/>
      <c r="F502" s="101"/>
      <c r="G502" s="101"/>
      <c r="H502" s="101"/>
      <c r="I502" s="101"/>
      <c r="J502" s="71" t="s">
        <v>320</v>
      </c>
      <c r="K502" s="71" t="s">
        <v>320</v>
      </c>
      <c r="L502" s="71" t="s">
        <v>320</v>
      </c>
      <c r="M502" s="71" t="s">
        <v>320</v>
      </c>
      <c r="N502" s="71"/>
      <c r="O502" s="71"/>
      <c r="P502" s="71"/>
      <c r="Q502" s="71"/>
      <c r="R502" s="71"/>
      <c r="S502" s="102"/>
      <c r="T502" s="102"/>
      <c r="U502" s="86" t="s">
        <v>43</v>
      </c>
      <c r="V502" s="56"/>
      <c r="W502" s="61" t="str">
        <f t="shared" si="124"/>
        <v>N</v>
      </c>
    </row>
    <row r="503" ht="23.1" customHeight="1" spans="1:23">
      <c r="A503" s="101"/>
      <c r="B503" s="102"/>
      <c r="C503" s="101"/>
      <c r="D503" s="101"/>
      <c r="E503" s="71"/>
      <c r="F503" s="71"/>
      <c r="G503" s="71"/>
      <c r="H503" s="71"/>
      <c r="I503" s="71"/>
      <c r="J503" s="71" t="s">
        <v>320</v>
      </c>
      <c r="K503" s="71" t="s">
        <v>320</v>
      </c>
      <c r="L503" s="71" t="s">
        <v>320</v>
      </c>
      <c r="M503" s="71" t="s">
        <v>320</v>
      </c>
      <c r="N503" s="71"/>
      <c r="O503" s="71"/>
      <c r="P503" s="71"/>
      <c r="Q503" s="71"/>
      <c r="R503" s="71"/>
      <c r="S503" s="101"/>
      <c r="T503" s="101"/>
      <c r="U503" s="101"/>
      <c r="V503" s="56"/>
      <c r="W503" s="61" t="str">
        <f t="shared" si="124"/>
        <v>N</v>
      </c>
    </row>
    <row r="504" spans="1:22">
      <c r="A504" s="158" t="s">
        <v>1256</v>
      </c>
      <c r="B504" s="158"/>
      <c r="C504" s="158"/>
      <c r="D504" s="158"/>
      <c r="E504" s="158"/>
      <c r="F504" s="158"/>
      <c r="G504" s="158"/>
      <c r="H504" s="158"/>
      <c r="I504" s="158"/>
      <c r="J504" s="158"/>
      <c r="K504" s="158"/>
      <c r="L504" s="158"/>
      <c r="M504" s="158"/>
      <c r="N504" s="158"/>
      <c r="O504" s="158"/>
      <c r="P504" s="158"/>
      <c r="Q504" s="158"/>
      <c r="R504" s="158"/>
      <c r="S504" s="158"/>
      <c r="T504" s="158"/>
      <c r="U504" s="158"/>
      <c r="V504" s="158"/>
    </row>
    <row r="505" ht="29.1" customHeight="1" spans="1:22">
      <c r="A505" s="159" t="s">
        <v>1416</v>
      </c>
      <c r="B505" s="159"/>
      <c r="C505" s="159"/>
      <c r="D505" s="159"/>
      <c r="E505" s="159"/>
      <c r="F505" s="159"/>
      <c r="G505" s="159"/>
      <c r="H505" s="159"/>
      <c r="I505" s="159"/>
      <c r="J505" s="159"/>
      <c r="K505" s="159"/>
      <c r="L505" s="159"/>
      <c r="M505" s="159"/>
      <c r="N505" s="159"/>
      <c r="O505" s="159"/>
      <c r="P505" s="159"/>
      <c r="Q505" s="159"/>
      <c r="R505" s="159"/>
      <c r="S505" s="159"/>
      <c r="T505" s="159"/>
      <c r="U505" s="159"/>
      <c r="V505" s="159"/>
    </row>
    <row r="506" ht="18.95" customHeight="1" spans="1:22">
      <c r="A506" s="158" t="s">
        <v>1258</v>
      </c>
      <c r="B506" s="158"/>
      <c r="C506" s="158"/>
      <c r="D506" s="158"/>
      <c r="E506" s="158"/>
      <c r="F506" s="158"/>
      <c r="G506" s="158"/>
      <c r="H506" s="158"/>
      <c r="I506" s="158"/>
      <c r="J506" s="158"/>
      <c r="K506" s="158"/>
      <c r="L506" s="158"/>
      <c r="M506" s="158"/>
      <c r="N506" s="158"/>
      <c r="O506" s="158"/>
      <c r="P506" s="158"/>
      <c r="Q506" s="158"/>
      <c r="R506" s="158"/>
      <c r="S506" s="158"/>
      <c r="T506" s="158"/>
      <c r="U506" s="158"/>
      <c r="V506" s="158"/>
    </row>
  </sheetData>
  <mergeCells count="18">
    <mergeCell ref="A1:B1"/>
    <mergeCell ref="A2:V2"/>
    <mergeCell ref="A3:T3"/>
    <mergeCell ref="H4:I4"/>
    <mergeCell ref="J4:M4"/>
    <mergeCell ref="N4:R4"/>
    <mergeCell ref="A504:V504"/>
    <mergeCell ref="A505:V505"/>
    <mergeCell ref="A506:V506"/>
    <mergeCell ref="A4:A6"/>
    <mergeCell ref="B4:B6"/>
    <mergeCell ref="C4:C6"/>
    <mergeCell ref="D4:D5"/>
    <mergeCell ref="E4:E5"/>
    <mergeCell ref="E496:E501"/>
    <mergeCell ref="U4:U5"/>
    <mergeCell ref="V4:V5"/>
    <mergeCell ref="S4:T5"/>
  </mergeCells>
  <conditionalFormatting sqref="B423:B425">
    <cfRule type="duplicateValues" dxfId="0" priority="2"/>
  </conditionalFormatting>
  <conditionalFormatting sqref="E423:E425">
    <cfRule type="duplicateValues" dxfId="0" priority="1"/>
  </conditionalFormatting>
  <dataValidations count="1">
    <dataValidation allowBlank="1" showInputMessage="1" showErrorMessage="1" sqref="A2"/>
  </dataValidations>
  <pageMargins left="0.699305555555556" right="0.279166666666667" top="0.349305555555556" bottom="0.349305555555556" header="0.238888888888889" footer="0.2"/>
  <pageSetup paperSize="9" scale="6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autoPageBreaks="0"/>
  </sheetPr>
  <dimension ref="A1:AA157"/>
  <sheetViews>
    <sheetView showZeros="0" view="pageBreakPreview" zoomScale="85" zoomScaleNormal="100" workbookViewId="0">
      <pane xSplit="9" ySplit="7" topLeftCell="J29" activePane="bottomRight" state="frozen"/>
      <selection/>
      <selection pane="topRight"/>
      <selection pane="bottomLeft"/>
      <selection pane="bottomRight" activeCell="J38" sqref="J38"/>
    </sheetView>
  </sheetViews>
  <sheetFormatPr defaultColWidth="9" defaultRowHeight="13.5"/>
  <cols>
    <col min="1" max="1" width="5.38333333333333" style="67" customWidth="1"/>
    <col min="2" max="2" width="24.25" style="68" customWidth="1"/>
    <col min="3" max="3" width="6.5" style="67" customWidth="1"/>
    <col min="4" max="4" width="5.25" style="67" customWidth="1"/>
    <col min="5" max="5" width="29.8833333333333" style="67" customWidth="1"/>
    <col min="6" max="6" width="9.13333333333333" style="67" customWidth="1"/>
    <col min="7" max="7" width="7.63333333333333" style="67" customWidth="1"/>
    <col min="8" max="9" width="6.88333333333333" style="67" customWidth="1"/>
    <col min="10" max="10" width="10.6333333333333" style="67" customWidth="1"/>
    <col min="11" max="11" width="11.25" style="67" customWidth="1"/>
    <col min="12" max="12" width="9.88333333333333" style="67" customWidth="1"/>
    <col min="13" max="14" width="8.5" style="67" customWidth="1"/>
    <col min="15" max="15" width="10" style="67" customWidth="1"/>
    <col min="16" max="16" width="8.88333333333333" style="67" customWidth="1"/>
    <col min="17" max="17" width="7" style="67" customWidth="1"/>
    <col min="18" max="18" width="6" style="67" customWidth="1"/>
    <col min="19" max="21" width="6.63333333333333" style="67" customWidth="1"/>
    <col min="22" max="22" width="15.1333333333333" style="69" customWidth="1"/>
    <col min="23" max="16384" width="9" style="68"/>
  </cols>
  <sheetData>
    <row r="1" ht="19.5" customHeight="1" spans="1:21">
      <c r="A1" s="3" t="s">
        <v>0</v>
      </c>
      <c r="B1" s="3"/>
      <c r="C1" s="4"/>
      <c r="D1" s="4"/>
      <c r="E1" s="4"/>
      <c r="F1" s="4"/>
      <c r="G1" s="4"/>
      <c r="H1" s="4"/>
      <c r="I1" s="4"/>
      <c r="J1" s="4"/>
      <c r="K1" s="4"/>
      <c r="L1" s="4"/>
      <c r="M1" s="4"/>
      <c r="N1" s="4"/>
      <c r="O1" s="4"/>
      <c r="P1" s="4"/>
      <c r="Q1" s="4"/>
      <c r="R1" s="4"/>
      <c r="S1" s="4"/>
      <c r="T1" s="4"/>
      <c r="U1" s="4"/>
    </row>
    <row r="2" ht="25.5" customHeight="1" spans="1:27">
      <c r="A2" s="8" t="s">
        <v>2997</v>
      </c>
      <c r="B2" s="8"/>
      <c r="C2" s="8"/>
      <c r="D2" s="8"/>
      <c r="E2" s="8"/>
      <c r="F2" s="8"/>
      <c r="G2" s="8"/>
      <c r="H2" s="8"/>
      <c r="I2" s="8"/>
      <c r="J2" s="8"/>
      <c r="K2" s="8"/>
      <c r="L2" s="8"/>
      <c r="M2" s="8"/>
      <c r="N2" s="8"/>
      <c r="O2" s="8"/>
      <c r="P2" s="8"/>
      <c r="Q2" s="8"/>
      <c r="R2" s="8"/>
      <c r="S2" s="8"/>
      <c r="T2" s="8"/>
      <c r="U2" s="8"/>
      <c r="V2" s="46"/>
      <c r="W2" s="85"/>
      <c r="X2" s="85"/>
      <c r="Y2" s="85"/>
      <c r="Z2" s="85"/>
      <c r="AA2" s="85"/>
    </row>
    <row r="3" s="59" customFormat="1" ht="24" customHeight="1" spans="1:22">
      <c r="A3" s="70" t="s">
        <v>2998</v>
      </c>
      <c r="B3" s="12"/>
      <c r="C3" s="12"/>
      <c r="D3" s="12"/>
      <c r="E3" s="12"/>
      <c r="F3" s="12"/>
      <c r="G3" s="12"/>
      <c r="H3" s="12"/>
      <c r="I3" s="12"/>
      <c r="J3" s="12"/>
      <c r="K3" s="12"/>
      <c r="L3" s="12"/>
      <c r="M3" s="12"/>
      <c r="N3" s="12"/>
      <c r="O3" s="12"/>
      <c r="P3" s="12"/>
      <c r="Q3" s="12"/>
      <c r="R3" s="12"/>
      <c r="S3" s="12"/>
      <c r="T3" s="12"/>
      <c r="U3" s="47"/>
      <c r="V3" s="69"/>
    </row>
    <row r="4" s="59" customFormat="1" ht="21.75" customHeight="1" spans="1:22">
      <c r="A4" s="16" t="s">
        <v>3</v>
      </c>
      <c r="B4" s="16" t="s">
        <v>4</v>
      </c>
      <c r="C4" s="17" t="s">
        <v>1066</v>
      </c>
      <c r="D4" s="18" t="s">
        <v>6</v>
      </c>
      <c r="E4" s="17" t="s">
        <v>736</v>
      </c>
      <c r="F4" s="18" t="s">
        <v>737</v>
      </c>
      <c r="G4" s="18"/>
      <c r="H4" s="17" t="s">
        <v>11</v>
      </c>
      <c r="I4" s="17"/>
      <c r="J4" s="77" t="s">
        <v>12</v>
      </c>
      <c r="K4" s="77"/>
      <c r="L4" s="77"/>
      <c r="M4" s="77"/>
      <c r="N4" s="78" t="s">
        <v>13</v>
      </c>
      <c r="O4" s="78"/>
      <c r="P4" s="78"/>
      <c r="Q4" s="78"/>
      <c r="R4" s="78"/>
      <c r="S4" s="49" t="s">
        <v>2999</v>
      </c>
      <c r="T4" s="50"/>
      <c r="U4" s="51" t="s">
        <v>19</v>
      </c>
      <c r="V4" s="17" t="s">
        <v>20</v>
      </c>
    </row>
    <row r="5" ht="54.95" customHeight="1" spans="1:22">
      <c r="A5" s="23"/>
      <c r="B5" s="23"/>
      <c r="C5" s="17"/>
      <c r="D5" s="18"/>
      <c r="E5" s="17"/>
      <c r="F5" s="17" t="s">
        <v>384</v>
      </c>
      <c r="G5" s="17" t="s">
        <v>147</v>
      </c>
      <c r="H5" s="17" t="s">
        <v>22</v>
      </c>
      <c r="I5" s="17" t="s">
        <v>23</v>
      </c>
      <c r="J5" s="79" t="s">
        <v>38</v>
      </c>
      <c r="K5" s="17" t="s">
        <v>591</v>
      </c>
      <c r="L5" s="17" t="s">
        <v>592</v>
      </c>
      <c r="M5" s="17" t="s">
        <v>593</v>
      </c>
      <c r="N5" s="80" t="s">
        <v>25</v>
      </c>
      <c r="O5" s="80" t="s">
        <v>26</v>
      </c>
      <c r="P5" s="80" t="s">
        <v>27</v>
      </c>
      <c r="Q5" s="80" t="s">
        <v>28</v>
      </c>
      <c r="R5" s="80" t="s">
        <v>29</v>
      </c>
      <c r="S5" s="53"/>
      <c r="T5" s="54"/>
      <c r="U5" s="55"/>
      <c r="V5" s="17"/>
    </row>
    <row r="6" ht="22.5" customHeight="1" spans="1:22">
      <c r="A6" s="24"/>
      <c r="B6" s="24"/>
      <c r="C6" s="17"/>
      <c r="D6" s="17">
        <v>1</v>
      </c>
      <c r="E6" s="17">
        <v>2</v>
      </c>
      <c r="F6" s="17">
        <v>3</v>
      </c>
      <c r="G6" s="17">
        <v>4</v>
      </c>
      <c r="H6" s="17">
        <v>5</v>
      </c>
      <c r="I6" s="17">
        <v>6</v>
      </c>
      <c r="J6" s="17" t="s">
        <v>740</v>
      </c>
      <c r="K6" s="17">
        <v>8</v>
      </c>
      <c r="L6" s="17">
        <v>9</v>
      </c>
      <c r="M6" s="17">
        <v>10</v>
      </c>
      <c r="N6" s="17"/>
      <c r="O6" s="17"/>
      <c r="P6" s="17"/>
      <c r="Q6" s="17"/>
      <c r="R6" s="17"/>
      <c r="S6" s="17">
        <v>11</v>
      </c>
      <c r="T6" s="17">
        <v>12</v>
      </c>
      <c r="U6" s="17">
        <v>13</v>
      </c>
      <c r="V6" s="17"/>
    </row>
    <row r="7" ht="23.25" customHeight="1" spans="1:22">
      <c r="A7" s="71">
        <v>0</v>
      </c>
      <c r="B7" s="28" t="s">
        <v>39</v>
      </c>
      <c r="C7" s="28" t="s">
        <v>320</v>
      </c>
      <c r="D7" s="28" t="s">
        <v>320</v>
      </c>
      <c r="E7" s="28"/>
      <c r="F7" s="28">
        <f>F8+F15+F25+F31+F52+F101+F107+F116+F151</f>
        <v>86913</v>
      </c>
      <c r="G7" s="28">
        <f t="shared" ref="G7:R7" si="0">G8+G15+G25+G31+G52+G101+G107+G116+G151</f>
        <v>335163</v>
      </c>
      <c r="H7" s="28">
        <v>2018</v>
      </c>
      <c r="I7" s="28">
        <v>2020</v>
      </c>
      <c r="J7" s="28">
        <f>J8+J15+J25+J31+J52+J101+J107+J116+J151</f>
        <v>57226.371</v>
      </c>
      <c r="K7" s="28">
        <f>K8+K15+K25+K31+K52+K101+K107+K116+K151</f>
        <v>7716.321</v>
      </c>
      <c r="L7" s="28">
        <f t="shared" si="0"/>
        <v>11770.91</v>
      </c>
      <c r="M7" s="28">
        <f t="shared" si="0"/>
        <v>37739.14</v>
      </c>
      <c r="N7" s="28">
        <f t="shared" si="0"/>
        <v>0</v>
      </c>
      <c r="O7" s="28">
        <f t="shared" si="0"/>
        <v>48503.571</v>
      </c>
      <c r="P7" s="28">
        <f t="shared" si="0"/>
        <v>6496</v>
      </c>
      <c r="Q7" s="28">
        <f t="shared" si="0"/>
        <v>2226.8</v>
      </c>
      <c r="R7" s="28">
        <f t="shared" si="0"/>
        <v>0</v>
      </c>
      <c r="S7" s="28"/>
      <c r="T7" s="28"/>
      <c r="U7" s="28" t="s">
        <v>320</v>
      </c>
      <c r="V7" s="56"/>
    </row>
    <row r="8" s="60" customFormat="1" ht="23.25" customHeight="1" spans="1:22">
      <c r="A8" s="71">
        <v>1</v>
      </c>
      <c r="B8" s="72" t="s">
        <v>742</v>
      </c>
      <c r="C8" s="71" t="s">
        <v>52</v>
      </c>
      <c r="D8" s="71"/>
      <c r="E8" s="71"/>
      <c r="F8" s="71"/>
      <c r="G8" s="71"/>
      <c r="H8" s="71"/>
      <c r="I8" s="71"/>
      <c r="J8" s="28"/>
      <c r="K8" s="28"/>
      <c r="L8" s="28"/>
      <c r="M8" s="28"/>
      <c r="N8" s="28"/>
      <c r="O8" s="28"/>
      <c r="P8" s="28"/>
      <c r="Q8" s="28"/>
      <c r="R8" s="28"/>
      <c r="S8" s="28"/>
      <c r="T8" s="28"/>
      <c r="U8" s="28" t="s">
        <v>320</v>
      </c>
      <c r="V8" s="17"/>
    </row>
    <row r="9" ht="23.25" customHeight="1" spans="1:22">
      <c r="A9" s="71">
        <v>2</v>
      </c>
      <c r="B9" s="73" t="s">
        <v>380</v>
      </c>
      <c r="C9" s="71" t="s">
        <v>52</v>
      </c>
      <c r="D9" s="71" t="s">
        <v>384</v>
      </c>
      <c r="E9" s="71"/>
      <c r="F9" s="71"/>
      <c r="G9" s="71"/>
      <c r="H9" s="71"/>
      <c r="I9" s="71"/>
      <c r="J9" s="28"/>
      <c r="K9" s="28"/>
      <c r="L9" s="28"/>
      <c r="M9" s="28"/>
      <c r="N9" s="28"/>
      <c r="O9" s="28"/>
      <c r="P9" s="28"/>
      <c r="Q9" s="28"/>
      <c r="R9" s="28"/>
      <c r="S9" s="86"/>
      <c r="T9" s="86"/>
      <c r="U9" s="86" t="s">
        <v>201</v>
      </c>
      <c r="V9" s="56"/>
    </row>
    <row r="10" ht="23.25" customHeight="1" spans="1:22">
      <c r="A10" s="71">
        <v>3</v>
      </c>
      <c r="B10" s="73" t="s">
        <v>761</v>
      </c>
      <c r="C10" s="71" t="s">
        <v>52</v>
      </c>
      <c r="D10" s="71" t="s">
        <v>384</v>
      </c>
      <c r="E10" s="71"/>
      <c r="F10" s="71"/>
      <c r="G10" s="71"/>
      <c r="H10" s="71"/>
      <c r="I10" s="71"/>
      <c r="J10" s="28"/>
      <c r="K10" s="28"/>
      <c r="L10" s="28"/>
      <c r="M10" s="28"/>
      <c r="N10" s="28"/>
      <c r="O10" s="28"/>
      <c r="P10" s="28"/>
      <c r="Q10" s="28"/>
      <c r="R10" s="28"/>
      <c r="S10" s="28"/>
      <c r="T10" s="28"/>
      <c r="U10" s="28" t="s">
        <v>320</v>
      </c>
      <c r="V10" s="56"/>
    </row>
    <row r="11" ht="23.25" customHeight="1" spans="1:22">
      <c r="A11" s="71">
        <v>4</v>
      </c>
      <c r="B11" s="73" t="s">
        <v>1072</v>
      </c>
      <c r="C11" s="71" t="s">
        <v>52</v>
      </c>
      <c r="D11" s="71" t="s">
        <v>384</v>
      </c>
      <c r="E11" s="71"/>
      <c r="F11" s="71"/>
      <c r="G11" s="71"/>
      <c r="H11" s="71"/>
      <c r="I11" s="71"/>
      <c r="J11" s="28"/>
      <c r="K11" s="28"/>
      <c r="L11" s="28"/>
      <c r="M11" s="28"/>
      <c r="N11" s="28"/>
      <c r="O11" s="28"/>
      <c r="P11" s="28"/>
      <c r="Q11" s="28"/>
      <c r="R11" s="28"/>
      <c r="S11" s="84"/>
      <c r="T11" s="84"/>
      <c r="U11" s="86" t="s">
        <v>273</v>
      </c>
      <c r="V11" s="56"/>
    </row>
    <row r="12" ht="23.25" customHeight="1" spans="1:22">
      <c r="A12" s="71">
        <v>5</v>
      </c>
      <c r="B12" s="73" t="s">
        <v>1074</v>
      </c>
      <c r="C12" s="71" t="s">
        <v>52</v>
      </c>
      <c r="D12" s="71" t="s">
        <v>384</v>
      </c>
      <c r="E12" s="71"/>
      <c r="F12" s="71"/>
      <c r="G12" s="71"/>
      <c r="H12" s="71"/>
      <c r="I12" s="71"/>
      <c r="J12" s="28"/>
      <c r="K12" s="28"/>
      <c r="L12" s="28"/>
      <c r="M12" s="28"/>
      <c r="N12" s="28"/>
      <c r="O12" s="28"/>
      <c r="P12" s="28"/>
      <c r="Q12" s="28"/>
      <c r="R12" s="28"/>
      <c r="S12" s="84"/>
      <c r="T12" s="84"/>
      <c r="U12" s="86" t="s">
        <v>273</v>
      </c>
      <c r="V12" s="56"/>
    </row>
    <row r="13" ht="23.25" customHeight="1" spans="1:22">
      <c r="A13" s="71">
        <v>6</v>
      </c>
      <c r="B13" s="74" t="s">
        <v>1075</v>
      </c>
      <c r="C13" s="71" t="s">
        <v>52</v>
      </c>
      <c r="D13" s="71" t="s">
        <v>384</v>
      </c>
      <c r="E13" s="74"/>
      <c r="F13" s="74"/>
      <c r="G13" s="74"/>
      <c r="H13" s="74"/>
      <c r="I13" s="74"/>
      <c r="J13" s="81"/>
      <c r="K13" s="81"/>
      <c r="L13" s="81"/>
      <c r="M13" s="81"/>
      <c r="N13" s="81"/>
      <c r="O13" s="81"/>
      <c r="P13" s="81"/>
      <c r="Q13" s="81"/>
      <c r="R13" s="81"/>
      <c r="S13" s="87"/>
      <c r="T13" s="87"/>
      <c r="U13" s="86" t="s">
        <v>273</v>
      </c>
      <c r="V13" s="56"/>
    </row>
    <row r="14" ht="23.25" customHeight="1" spans="1:22">
      <c r="A14" s="71">
        <v>7</v>
      </c>
      <c r="B14" s="73" t="s">
        <v>1076</v>
      </c>
      <c r="C14" s="71" t="s">
        <v>52</v>
      </c>
      <c r="D14" s="71" t="s">
        <v>384</v>
      </c>
      <c r="E14" s="28"/>
      <c r="F14" s="28"/>
      <c r="G14" s="28"/>
      <c r="H14" s="71"/>
      <c r="I14" s="71"/>
      <c r="J14" s="28"/>
      <c r="K14" s="28"/>
      <c r="L14" s="28"/>
      <c r="M14" s="28"/>
      <c r="N14" s="28"/>
      <c r="O14" s="28"/>
      <c r="P14" s="28"/>
      <c r="Q14" s="28"/>
      <c r="R14" s="28"/>
      <c r="S14" s="86"/>
      <c r="T14" s="86"/>
      <c r="U14" s="86" t="s">
        <v>273</v>
      </c>
      <c r="V14" s="56"/>
    </row>
    <row r="15" ht="23.25" customHeight="1" spans="1:22">
      <c r="A15" s="71">
        <v>8</v>
      </c>
      <c r="B15" s="72" t="s">
        <v>779</v>
      </c>
      <c r="C15" s="28" t="s">
        <v>320</v>
      </c>
      <c r="D15" s="28" t="s">
        <v>320</v>
      </c>
      <c r="E15" s="28"/>
      <c r="F15" s="28"/>
      <c r="G15" s="28"/>
      <c r="H15" s="28"/>
      <c r="I15" s="28"/>
      <c r="J15" s="28">
        <f>K15+L15+M15</f>
        <v>0</v>
      </c>
      <c r="K15" s="28">
        <f>K16+K19+K20+K21+K23+K24</f>
        <v>0</v>
      </c>
      <c r="L15" s="28">
        <f t="shared" ref="L15:R15" si="1">L16+L19+L20+L21+L23+L24</f>
        <v>0</v>
      </c>
      <c r="M15" s="28">
        <f t="shared" si="1"/>
        <v>0</v>
      </c>
      <c r="N15" s="28">
        <f t="shared" si="1"/>
        <v>0</v>
      </c>
      <c r="O15" s="28">
        <f t="shared" si="1"/>
        <v>0</v>
      </c>
      <c r="P15" s="28">
        <f t="shared" si="1"/>
        <v>0</v>
      </c>
      <c r="Q15" s="28">
        <f t="shared" si="1"/>
        <v>0</v>
      </c>
      <c r="R15" s="28">
        <f t="shared" si="1"/>
        <v>0</v>
      </c>
      <c r="S15" s="84"/>
      <c r="T15" s="84"/>
      <c r="U15" s="28" t="s">
        <v>320</v>
      </c>
      <c r="V15" s="56"/>
    </row>
    <row r="16" ht="31.5" customHeight="1" spans="1:22">
      <c r="A16" s="71">
        <v>9</v>
      </c>
      <c r="B16" s="73" t="s">
        <v>295</v>
      </c>
      <c r="C16" s="28" t="s">
        <v>320</v>
      </c>
      <c r="D16" s="71" t="s">
        <v>147</v>
      </c>
      <c r="E16" s="71"/>
      <c r="F16" s="71"/>
      <c r="G16" s="71"/>
      <c r="H16" s="28"/>
      <c r="I16" s="28"/>
      <c r="J16" s="28"/>
      <c r="K16" s="28"/>
      <c r="L16" s="28"/>
      <c r="M16" s="28"/>
      <c r="N16" s="28"/>
      <c r="O16" s="28"/>
      <c r="P16" s="28"/>
      <c r="Q16" s="28"/>
      <c r="R16" s="28"/>
      <c r="S16" s="28"/>
      <c r="T16" s="28"/>
      <c r="U16" s="86" t="s">
        <v>294</v>
      </c>
      <c r="V16" s="56"/>
    </row>
    <row r="17" ht="31.5" customHeight="1" spans="1:22">
      <c r="A17" s="71"/>
      <c r="B17" s="73" t="s">
        <v>783</v>
      </c>
      <c r="C17" s="28" t="s">
        <v>320</v>
      </c>
      <c r="D17" s="71" t="s">
        <v>147</v>
      </c>
      <c r="E17" s="71"/>
      <c r="F17" s="71"/>
      <c r="G17" s="71"/>
      <c r="H17" s="28"/>
      <c r="I17" s="28"/>
      <c r="J17" s="28"/>
      <c r="K17" s="28"/>
      <c r="L17" s="28"/>
      <c r="M17" s="28"/>
      <c r="N17" s="28"/>
      <c r="O17" s="28"/>
      <c r="P17" s="28"/>
      <c r="Q17" s="28"/>
      <c r="R17" s="28"/>
      <c r="S17" s="28"/>
      <c r="T17" s="28"/>
      <c r="U17" s="86"/>
      <c r="V17" s="56"/>
    </row>
    <row r="18" ht="31.5" customHeight="1" spans="1:22">
      <c r="A18" s="71"/>
      <c r="B18" s="73" t="s">
        <v>784</v>
      </c>
      <c r="C18" s="28" t="s">
        <v>320</v>
      </c>
      <c r="D18" s="71" t="s">
        <v>147</v>
      </c>
      <c r="E18" s="71"/>
      <c r="F18" s="71"/>
      <c r="G18" s="71"/>
      <c r="H18" s="28"/>
      <c r="I18" s="28"/>
      <c r="J18" s="28"/>
      <c r="K18" s="28"/>
      <c r="L18" s="28"/>
      <c r="M18" s="28"/>
      <c r="N18" s="28"/>
      <c r="O18" s="28"/>
      <c r="P18" s="28"/>
      <c r="Q18" s="28"/>
      <c r="R18" s="28"/>
      <c r="S18" s="28"/>
      <c r="T18" s="28"/>
      <c r="U18" s="86"/>
      <c r="V18" s="56"/>
    </row>
    <row r="19" ht="23.25" customHeight="1" spans="1:22">
      <c r="A19" s="71">
        <v>10</v>
      </c>
      <c r="B19" s="73" t="s">
        <v>319</v>
      </c>
      <c r="C19" s="28" t="s">
        <v>320</v>
      </c>
      <c r="D19" s="71" t="s">
        <v>147</v>
      </c>
      <c r="E19" s="71"/>
      <c r="F19" s="71"/>
      <c r="G19" s="71"/>
      <c r="H19" s="28"/>
      <c r="I19" s="28"/>
      <c r="J19" s="28"/>
      <c r="K19" s="28"/>
      <c r="L19" s="28"/>
      <c r="M19" s="28"/>
      <c r="N19" s="28"/>
      <c r="O19" s="28"/>
      <c r="P19" s="28"/>
      <c r="Q19" s="28"/>
      <c r="R19" s="28"/>
      <c r="S19" s="28"/>
      <c r="T19" s="28"/>
      <c r="U19" s="86" t="s">
        <v>294</v>
      </c>
      <c r="V19" s="56"/>
    </row>
    <row r="20" ht="23.25" customHeight="1" spans="1:22">
      <c r="A20" s="71">
        <v>11</v>
      </c>
      <c r="B20" s="73" t="s">
        <v>321</v>
      </c>
      <c r="C20" s="28" t="s">
        <v>320</v>
      </c>
      <c r="D20" s="71" t="s">
        <v>147</v>
      </c>
      <c r="E20" s="71"/>
      <c r="F20" s="71"/>
      <c r="G20" s="71"/>
      <c r="H20" s="28"/>
      <c r="I20" s="28"/>
      <c r="J20" s="28"/>
      <c r="K20" s="28"/>
      <c r="L20" s="28"/>
      <c r="M20" s="28"/>
      <c r="N20" s="28"/>
      <c r="O20" s="28"/>
      <c r="P20" s="28"/>
      <c r="Q20" s="28"/>
      <c r="R20" s="28"/>
      <c r="S20" s="84"/>
      <c r="T20" s="84"/>
      <c r="U20" s="86" t="s">
        <v>294</v>
      </c>
      <c r="V20" s="56"/>
    </row>
    <row r="21" ht="23.25" customHeight="1" spans="1:22">
      <c r="A21" s="71">
        <v>12</v>
      </c>
      <c r="B21" s="73" t="s">
        <v>322</v>
      </c>
      <c r="C21" s="28" t="s">
        <v>320</v>
      </c>
      <c r="D21" s="71" t="s">
        <v>147</v>
      </c>
      <c r="E21" s="71"/>
      <c r="F21" s="71"/>
      <c r="G21" s="71"/>
      <c r="H21" s="28">
        <f>H22</f>
        <v>0</v>
      </c>
      <c r="I21" s="28">
        <f t="shared" ref="I21:R21" si="2">I22</f>
        <v>0</v>
      </c>
      <c r="J21" s="28">
        <f t="shared" si="2"/>
        <v>0</v>
      </c>
      <c r="K21" s="28">
        <f t="shared" si="2"/>
        <v>0</v>
      </c>
      <c r="L21" s="28">
        <f t="shared" si="2"/>
        <v>0</v>
      </c>
      <c r="M21" s="28">
        <f t="shared" si="2"/>
        <v>0</v>
      </c>
      <c r="N21" s="28">
        <f t="shared" si="2"/>
        <v>0</v>
      </c>
      <c r="O21" s="28">
        <f t="shared" si="2"/>
        <v>0</v>
      </c>
      <c r="P21" s="28">
        <f t="shared" si="2"/>
        <v>0</v>
      </c>
      <c r="Q21" s="28">
        <f t="shared" si="2"/>
        <v>0</v>
      </c>
      <c r="R21" s="28">
        <f t="shared" si="2"/>
        <v>0</v>
      </c>
      <c r="S21" s="84"/>
      <c r="T21" s="84"/>
      <c r="U21" s="86" t="s">
        <v>294</v>
      </c>
      <c r="V21" s="56"/>
    </row>
    <row r="22" ht="39.95" customHeight="1" spans="1:22">
      <c r="A22" s="71"/>
      <c r="B22" s="73"/>
      <c r="C22" s="28"/>
      <c r="D22" s="71"/>
      <c r="E22" s="71"/>
      <c r="F22" s="71"/>
      <c r="G22" s="71"/>
      <c r="H22" s="28"/>
      <c r="I22" s="28"/>
      <c r="J22" s="82"/>
      <c r="K22" s="28"/>
      <c r="L22" s="28"/>
      <c r="M22" s="28"/>
      <c r="N22" s="28"/>
      <c r="O22" s="28"/>
      <c r="P22" s="28"/>
      <c r="Q22" s="28"/>
      <c r="R22" s="28"/>
      <c r="S22" s="84"/>
      <c r="T22" s="84"/>
      <c r="U22" s="86"/>
      <c r="V22" s="56"/>
    </row>
    <row r="23" ht="23.25" customHeight="1" spans="1:22">
      <c r="A23" s="71">
        <v>13</v>
      </c>
      <c r="B23" s="73" t="s">
        <v>323</v>
      </c>
      <c r="C23" s="28" t="s">
        <v>320</v>
      </c>
      <c r="D23" s="71" t="s">
        <v>147</v>
      </c>
      <c r="E23" s="71"/>
      <c r="F23" s="71"/>
      <c r="G23" s="71"/>
      <c r="H23" s="28"/>
      <c r="I23" s="28"/>
      <c r="J23" s="28"/>
      <c r="K23" s="28"/>
      <c r="L23" s="28"/>
      <c r="M23" s="28"/>
      <c r="N23" s="28"/>
      <c r="O23" s="28"/>
      <c r="P23" s="28"/>
      <c r="Q23" s="28"/>
      <c r="R23" s="28"/>
      <c r="S23" s="84"/>
      <c r="T23" s="84"/>
      <c r="U23" s="86" t="s">
        <v>294</v>
      </c>
      <c r="V23" s="56"/>
    </row>
    <row r="24" ht="23.25" customHeight="1" spans="1:22">
      <c r="A24" s="71">
        <v>14</v>
      </c>
      <c r="B24" s="73" t="s">
        <v>324</v>
      </c>
      <c r="C24" s="28" t="s">
        <v>320</v>
      </c>
      <c r="D24" s="71" t="s">
        <v>147</v>
      </c>
      <c r="E24" s="71"/>
      <c r="F24" s="71"/>
      <c r="G24" s="71"/>
      <c r="H24" s="28"/>
      <c r="I24" s="28"/>
      <c r="J24" s="28"/>
      <c r="K24" s="28"/>
      <c r="L24" s="28"/>
      <c r="M24" s="28"/>
      <c r="N24" s="28"/>
      <c r="O24" s="28"/>
      <c r="P24" s="28"/>
      <c r="Q24" s="28"/>
      <c r="R24" s="28"/>
      <c r="S24" s="86"/>
      <c r="T24" s="86"/>
      <c r="U24" s="86" t="s">
        <v>294</v>
      </c>
      <c r="V24" s="56"/>
    </row>
    <row r="25" ht="23.25" customHeight="1" spans="1:22">
      <c r="A25" s="71">
        <v>15</v>
      </c>
      <c r="B25" s="72" t="s">
        <v>802</v>
      </c>
      <c r="C25" s="28" t="s">
        <v>320</v>
      </c>
      <c r="D25" s="28" t="s">
        <v>320</v>
      </c>
      <c r="E25" s="28"/>
      <c r="F25" s="28"/>
      <c r="G25" s="28"/>
      <c r="H25" s="28"/>
      <c r="I25" s="28"/>
      <c r="J25" s="28"/>
      <c r="K25" s="28"/>
      <c r="L25" s="28"/>
      <c r="M25" s="28"/>
      <c r="N25" s="28"/>
      <c r="O25" s="28"/>
      <c r="P25" s="28"/>
      <c r="Q25" s="28"/>
      <c r="R25" s="28"/>
      <c r="S25" s="84"/>
      <c r="T25" s="84"/>
      <c r="U25" s="28" t="s">
        <v>320</v>
      </c>
      <c r="V25" s="56"/>
    </row>
    <row r="26" ht="23.25" customHeight="1" spans="1:22">
      <c r="A26" s="71">
        <v>16</v>
      </c>
      <c r="B26" s="73" t="s">
        <v>327</v>
      </c>
      <c r="C26" s="28" t="s">
        <v>320</v>
      </c>
      <c r="D26" s="71" t="s">
        <v>147</v>
      </c>
      <c r="E26" s="71"/>
      <c r="F26" s="71"/>
      <c r="G26" s="71"/>
      <c r="H26" s="28"/>
      <c r="I26" s="28"/>
      <c r="J26" s="28"/>
      <c r="K26" s="28"/>
      <c r="L26" s="28"/>
      <c r="M26" s="28"/>
      <c r="N26" s="28"/>
      <c r="O26" s="28"/>
      <c r="P26" s="28"/>
      <c r="Q26" s="28"/>
      <c r="R26" s="28"/>
      <c r="S26" s="84"/>
      <c r="T26" s="84"/>
      <c r="U26" s="86" t="s">
        <v>195</v>
      </c>
      <c r="V26" s="56"/>
    </row>
    <row r="27" ht="23.25" customHeight="1" spans="1:22">
      <c r="A27" s="71">
        <v>17</v>
      </c>
      <c r="B27" s="73" t="s">
        <v>332</v>
      </c>
      <c r="C27" s="28" t="s">
        <v>320</v>
      </c>
      <c r="D27" s="71" t="s">
        <v>147</v>
      </c>
      <c r="E27" s="71"/>
      <c r="F27" s="71"/>
      <c r="G27" s="71"/>
      <c r="H27" s="28"/>
      <c r="I27" s="28"/>
      <c r="J27" s="28"/>
      <c r="K27" s="28"/>
      <c r="L27" s="28"/>
      <c r="M27" s="28"/>
      <c r="N27" s="28"/>
      <c r="O27" s="28"/>
      <c r="P27" s="28"/>
      <c r="Q27" s="28"/>
      <c r="R27" s="28"/>
      <c r="S27" s="84"/>
      <c r="T27" s="84"/>
      <c r="U27" s="86" t="s">
        <v>195</v>
      </c>
      <c r="V27" s="56"/>
    </row>
    <row r="28" ht="23.25" customHeight="1" spans="1:22">
      <c r="A28" s="71">
        <v>18</v>
      </c>
      <c r="B28" s="73" t="s">
        <v>335</v>
      </c>
      <c r="C28" s="28" t="s">
        <v>320</v>
      </c>
      <c r="D28" s="71" t="s">
        <v>147</v>
      </c>
      <c r="E28" s="71"/>
      <c r="F28" s="71"/>
      <c r="G28" s="71"/>
      <c r="H28" s="28"/>
      <c r="I28" s="28"/>
      <c r="J28" s="28"/>
      <c r="K28" s="28"/>
      <c r="L28" s="28"/>
      <c r="M28" s="28"/>
      <c r="N28" s="28"/>
      <c r="O28" s="28"/>
      <c r="P28" s="28"/>
      <c r="Q28" s="28"/>
      <c r="R28" s="28"/>
      <c r="S28" s="84"/>
      <c r="T28" s="84"/>
      <c r="U28" s="86" t="s">
        <v>358</v>
      </c>
      <c r="V28" s="56"/>
    </row>
    <row r="29" ht="23.25" customHeight="1" spans="1:22">
      <c r="A29" s="71">
        <v>19</v>
      </c>
      <c r="B29" s="73" t="s">
        <v>355</v>
      </c>
      <c r="C29" s="28" t="s">
        <v>320</v>
      </c>
      <c r="D29" s="71" t="s">
        <v>147</v>
      </c>
      <c r="E29" s="71"/>
      <c r="F29" s="71"/>
      <c r="G29" s="71"/>
      <c r="H29" s="28"/>
      <c r="I29" s="28"/>
      <c r="J29" s="28"/>
      <c r="K29" s="28"/>
      <c r="L29" s="28"/>
      <c r="M29" s="28"/>
      <c r="N29" s="28"/>
      <c r="O29" s="28"/>
      <c r="P29" s="28"/>
      <c r="Q29" s="28"/>
      <c r="R29" s="28"/>
      <c r="S29" s="84"/>
      <c r="T29" s="84"/>
      <c r="U29" s="86" t="s">
        <v>358</v>
      </c>
      <c r="V29" s="56"/>
    </row>
    <row r="30" ht="23.25" customHeight="1" spans="1:22">
      <c r="A30" s="71">
        <v>20</v>
      </c>
      <c r="B30" s="73" t="s">
        <v>370</v>
      </c>
      <c r="C30" s="28" t="s">
        <v>320</v>
      </c>
      <c r="D30" s="71" t="s">
        <v>147</v>
      </c>
      <c r="E30" s="71"/>
      <c r="F30" s="71"/>
      <c r="G30" s="71"/>
      <c r="H30" s="28"/>
      <c r="I30" s="28"/>
      <c r="J30" s="28"/>
      <c r="K30" s="28"/>
      <c r="L30" s="28"/>
      <c r="M30" s="28"/>
      <c r="N30" s="28"/>
      <c r="O30" s="28"/>
      <c r="P30" s="28"/>
      <c r="Q30" s="28"/>
      <c r="R30" s="28"/>
      <c r="S30" s="84"/>
      <c r="T30" s="84"/>
      <c r="U30" s="86" t="s">
        <v>358</v>
      </c>
      <c r="V30" s="56"/>
    </row>
    <row r="31" s="60" customFormat="1" ht="23.25" customHeight="1" spans="1:22">
      <c r="A31" s="71">
        <v>21</v>
      </c>
      <c r="B31" s="75" t="s">
        <v>819</v>
      </c>
      <c r="C31" s="28" t="s">
        <v>320</v>
      </c>
      <c r="D31" s="71" t="s">
        <v>147</v>
      </c>
      <c r="E31" s="28"/>
      <c r="F31" s="28">
        <f>F32+F38+F42+F48+F50</f>
        <v>13420</v>
      </c>
      <c r="G31" s="28">
        <f t="shared" ref="G31:R31" si="3">G32+G38+G42+G48+G50</f>
        <v>43650</v>
      </c>
      <c r="H31" s="28">
        <v>2018</v>
      </c>
      <c r="I31" s="28">
        <v>2020</v>
      </c>
      <c r="J31" s="28">
        <f>J32+J38+J42+J48+J50</f>
        <v>7148.8</v>
      </c>
      <c r="K31" s="28">
        <f t="shared" si="3"/>
        <v>409.8</v>
      </c>
      <c r="L31" s="28">
        <f t="shared" si="3"/>
        <v>1419</v>
      </c>
      <c r="M31" s="28">
        <f t="shared" si="3"/>
        <v>5320</v>
      </c>
      <c r="N31" s="28">
        <f t="shared" si="3"/>
        <v>0</v>
      </c>
      <c r="O31" s="28">
        <f t="shared" si="3"/>
        <v>419</v>
      </c>
      <c r="P31" s="28">
        <f t="shared" si="3"/>
        <v>6320</v>
      </c>
      <c r="Q31" s="28">
        <f t="shared" si="3"/>
        <v>409.8</v>
      </c>
      <c r="R31" s="28">
        <f t="shared" si="3"/>
        <v>0</v>
      </c>
      <c r="S31" s="88"/>
      <c r="T31" s="88"/>
      <c r="U31" s="28" t="s">
        <v>320</v>
      </c>
      <c r="V31" s="17"/>
    </row>
    <row r="32" ht="23.25" customHeight="1" spans="1:22">
      <c r="A32" s="71">
        <v>22</v>
      </c>
      <c r="B32" s="73" t="s">
        <v>239</v>
      </c>
      <c r="C32" s="28" t="s">
        <v>320</v>
      </c>
      <c r="D32" s="71" t="s">
        <v>147</v>
      </c>
      <c r="E32" s="71"/>
      <c r="F32" s="28">
        <f>SUM(F33,F34,F35,F37)</f>
        <v>0</v>
      </c>
      <c r="G32" s="28">
        <f>SUM(G33,G34,G35,G37)</f>
        <v>1650</v>
      </c>
      <c r="H32" s="28"/>
      <c r="I32" s="28"/>
      <c r="J32" s="28">
        <f>SUM(K32:M32)</f>
        <v>409.8</v>
      </c>
      <c r="K32" s="28">
        <f>SUM(K33,K34,K35,K37)</f>
        <v>409.8</v>
      </c>
      <c r="L32" s="28">
        <f t="shared" ref="L32:R32" si="4">SUM(L33,L34,L35,L37)</f>
        <v>0</v>
      </c>
      <c r="M32" s="28">
        <f t="shared" si="4"/>
        <v>0</v>
      </c>
      <c r="N32" s="28">
        <f t="shared" si="4"/>
        <v>0</v>
      </c>
      <c r="O32" s="28">
        <f t="shared" si="4"/>
        <v>0</v>
      </c>
      <c r="P32" s="28">
        <f t="shared" si="4"/>
        <v>0</v>
      </c>
      <c r="Q32" s="28">
        <f t="shared" si="4"/>
        <v>409.8</v>
      </c>
      <c r="R32" s="28">
        <f t="shared" si="4"/>
        <v>0</v>
      </c>
      <c r="S32" s="89"/>
      <c r="T32" s="89"/>
      <c r="U32" s="28" t="s">
        <v>320</v>
      </c>
      <c r="V32" s="56"/>
    </row>
    <row r="33" ht="23.25" customHeight="1" spans="1:22">
      <c r="A33" s="71">
        <v>23</v>
      </c>
      <c r="B33" s="73" t="s">
        <v>241</v>
      </c>
      <c r="C33" s="28" t="s">
        <v>320</v>
      </c>
      <c r="D33" s="71" t="s">
        <v>147</v>
      </c>
      <c r="E33" s="71"/>
      <c r="F33" s="71"/>
      <c r="G33" s="71"/>
      <c r="H33" s="28"/>
      <c r="I33" s="28"/>
      <c r="J33" s="28"/>
      <c r="K33" s="28"/>
      <c r="L33" s="28"/>
      <c r="M33" s="28"/>
      <c r="N33" s="28"/>
      <c r="O33" s="28"/>
      <c r="P33" s="28"/>
      <c r="Q33" s="28"/>
      <c r="R33" s="28"/>
      <c r="S33" s="89"/>
      <c r="T33" s="89"/>
      <c r="U33" s="89" t="s">
        <v>195</v>
      </c>
      <c r="V33" s="56"/>
    </row>
    <row r="34" ht="23.25" customHeight="1" spans="1:22">
      <c r="A34" s="71">
        <v>24</v>
      </c>
      <c r="B34" s="73" t="s">
        <v>264</v>
      </c>
      <c r="C34" s="28" t="s">
        <v>320</v>
      </c>
      <c r="D34" s="71" t="s">
        <v>147</v>
      </c>
      <c r="E34" s="71"/>
      <c r="F34" s="71"/>
      <c r="G34" s="71"/>
      <c r="H34" s="28"/>
      <c r="I34" s="28"/>
      <c r="J34" s="28"/>
      <c r="K34" s="28"/>
      <c r="L34" s="28"/>
      <c r="M34" s="28"/>
      <c r="N34" s="28"/>
      <c r="O34" s="28"/>
      <c r="P34" s="28"/>
      <c r="Q34" s="28"/>
      <c r="R34" s="28"/>
      <c r="S34" s="89"/>
      <c r="T34" s="89"/>
      <c r="U34" s="89" t="s">
        <v>195</v>
      </c>
      <c r="V34" s="56"/>
    </row>
    <row r="35" ht="23.25" customHeight="1" spans="1:22">
      <c r="A35" s="71">
        <v>25</v>
      </c>
      <c r="B35" s="73" t="s">
        <v>265</v>
      </c>
      <c r="C35" s="28" t="s">
        <v>320</v>
      </c>
      <c r="D35" s="71" t="s">
        <v>147</v>
      </c>
      <c r="E35" s="71"/>
      <c r="F35" s="28">
        <f>SUM(F36)</f>
        <v>0</v>
      </c>
      <c r="G35" s="28">
        <f>SUM(G36)</f>
        <v>1650</v>
      </c>
      <c r="H35" s="28"/>
      <c r="I35" s="28"/>
      <c r="J35" s="28">
        <f>SUM(K35:M35)</f>
        <v>409.8</v>
      </c>
      <c r="K35" s="28">
        <f>SUM(K36)</f>
        <v>409.8</v>
      </c>
      <c r="L35" s="28">
        <f t="shared" ref="L35:R35" si="5">SUM(L36)</f>
        <v>0</v>
      </c>
      <c r="M35" s="28">
        <f t="shared" si="5"/>
        <v>0</v>
      </c>
      <c r="N35" s="28">
        <f t="shared" si="5"/>
        <v>0</v>
      </c>
      <c r="O35" s="28">
        <f t="shared" si="5"/>
        <v>0</v>
      </c>
      <c r="P35" s="28">
        <f t="shared" si="5"/>
        <v>0</v>
      </c>
      <c r="Q35" s="28">
        <f t="shared" si="5"/>
        <v>409.8</v>
      </c>
      <c r="R35" s="28">
        <f t="shared" si="5"/>
        <v>0</v>
      </c>
      <c r="S35" s="89"/>
      <c r="T35" s="89"/>
      <c r="U35" s="89" t="s">
        <v>195</v>
      </c>
      <c r="V35" s="56"/>
    </row>
    <row r="36" ht="27" customHeight="1" spans="1:22">
      <c r="A36" s="71"/>
      <c r="B36" s="73" t="s">
        <v>3000</v>
      </c>
      <c r="C36" s="28" t="s">
        <v>52</v>
      </c>
      <c r="D36" s="71" t="s">
        <v>147</v>
      </c>
      <c r="E36" s="76" t="s">
        <v>3001</v>
      </c>
      <c r="F36" s="71"/>
      <c r="G36" s="71">
        <v>1650</v>
      </c>
      <c r="H36" s="28">
        <v>2018</v>
      </c>
      <c r="I36" s="28">
        <v>2018</v>
      </c>
      <c r="J36" s="28">
        <v>409.8</v>
      </c>
      <c r="K36" s="28">
        <v>409.8</v>
      </c>
      <c r="L36" s="28"/>
      <c r="M36" s="28"/>
      <c r="N36" s="28"/>
      <c r="O36" s="28"/>
      <c r="P36" s="28"/>
      <c r="Q36" s="28">
        <v>409.8</v>
      </c>
      <c r="R36" s="28"/>
      <c r="S36" s="89" t="s">
        <v>1521</v>
      </c>
      <c r="T36" s="89" t="s">
        <v>1522</v>
      </c>
      <c r="U36" s="89" t="s">
        <v>160</v>
      </c>
      <c r="V36" s="56"/>
    </row>
    <row r="37" ht="23.25" customHeight="1" spans="1:22">
      <c r="A37" s="71">
        <v>26</v>
      </c>
      <c r="B37" s="73" t="s">
        <v>266</v>
      </c>
      <c r="C37" s="28" t="s">
        <v>320</v>
      </c>
      <c r="D37" s="71" t="s">
        <v>147</v>
      </c>
      <c r="E37" s="71"/>
      <c r="F37" s="71"/>
      <c r="G37" s="71"/>
      <c r="H37" s="28"/>
      <c r="I37" s="28"/>
      <c r="J37" s="28"/>
      <c r="K37" s="28"/>
      <c r="L37" s="28"/>
      <c r="M37" s="28"/>
      <c r="N37" s="28"/>
      <c r="O37" s="28"/>
      <c r="P37" s="28"/>
      <c r="Q37" s="28"/>
      <c r="R37" s="28"/>
      <c r="S37" s="89"/>
      <c r="T37" s="89"/>
      <c r="U37" s="89" t="s">
        <v>195</v>
      </c>
      <c r="V37" s="56"/>
    </row>
    <row r="38" ht="23.25" customHeight="1" spans="1:22">
      <c r="A38" s="71">
        <v>27</v>
      </c>
      <c r="B38" s="73" t="s">
        <v>267</v>
      </c>
      <c r="C38" s="71" t="s">
        <v>52</v>
      </c>
      <c r="D38" s="71" t="s">
        <v>194</v>
      </c>
      <c r="E38" s="71"/>
      <c r="F38" s="71"/>
      <c r="G38" s="71"/>
      <c r="H38" s="71">
        <v>2019</v>
      </c>
      <c r="I38" s="71">
        <v>2019</v>
      </c>
      <c r="J38" s="71">
        <f>K38+L38+M38</f>
        <v>419</v>
      </c>
      <c r="K38" s="71">
        <f>K39+K40+K41</f>
        <v>0</v>
      </c>
      <c r="L38" s="71">
        <f t="shared" ref="L38:R38" si="6">L39+L40+L41</f>
        <v>419</v>
      </c>
      <c r="M38" s="71">
        <f t="shared" si="6"/>
        <v>0</v>
      </c>
      <c r="N38" s="71">
        <f t="shared" si="6"/>
        <v>0</v>
      </c>
      <c r="O38" s="71">
        <f t="shared" si="6"/>
        <v>419</v>
      </c>
      <c r="P38" s="71">
        <f t="shared" si="6"/>
        <v>0</v>
      </c>
      <c r="Q38" s="71">
        <f t="shared" si="6"/>
        <v>0</v>
      </c>
      <c r="R38" s="71">
        <f t="shared" si="6"/>
        <v>0</v>
      </c>
      <c r="S38" s="89"/>
      <c r="T38" s="89"/>
      <c r="U38" s="89" t="s">
        <v>195</v>
      </c>
      <c r="V38" s="56"/>
    </row>
    <row r="39" ht="23.25" customHeight="1" spans="1:22">
      <c r="A39" s="71"/>
      <c r="B39" s="73" t="s">
        <v>3002</v>
      </c>
      <c r="C39" s="71"/>
      <c r="D39" s="71"/>
      <c r="E39" s="71"/>
      <c r="F39" s="71"/>
      <c r="G39" s="71"/>
      <c r="H39" s="71">
        <v>2019</v>
      </c>
      <c r="I39" s="71">
        <v>2019</v>
      </c>
      <c r="J39" s="83">
        <v>30</v>
      </c>
      <c r="K39" s="71"/>
      <c r="L39" s="71">
        <v>30</v>
      </c>
      <c r="M39" s="71"/>
      <c r="N39" s="71"/>
      <c r="O39" s="71">
        <v>30</v>
      </c>
      <c r="P39" s="71"/>
      <c r="Q39" s="71"/>
      <c r="R39" s="71"/>
      <c r="S39" s="89"/>
      <c r="T39" s="89"/>
      <c r="U39" s="89"/>
      <c r="V39" s="56"/>
    </row>
    <row r="40" ht="23.25" customHeight="1" spans="1:22">
      <c r="A40" s="71"/>
      <c r="B40" s="73" t="s">
        <v>3003</v>
      </c>
      <c r="C40" s="71"/>
      <c r="D40" s="71"/>
      <c r="E40" s="71"/>
      <c r="F40" s="71"/>
      <c r="G40" s="71"/>
      <c r="H40" s="71">
        <v>2019</v>
      </c>
      <c r="I40" s="71">
        <v>2019</v>
      </c>
      <c r="J40" s="82">
        <v>5</v>
      </c>
      <c r="K40" s="71"/>
      <c r="L40" s="71">
        <v>5</v>
      </c>
      <c r="M40" s="71"/>
      <c r="N40" s="71"/>
      <c r="O40" s="71">
        <v>5</v>
      </c>
      <c r="P40" s="71"/>
      <c r="Q40" s="71"/>
      <c r="R40" s="71"/>
      <c r="S40" s="89"/>
      <c r="T40" s="89"/>
      <c r="U40" s="89"/>
      <c r="V40" s="56"/>
    </row>
    <row r="41" ht="23.25" customHeight="1" spans="1:22">
      <c r="A41" s="71"/>
      <c r="B41" s="73" t="s">
        <v>3004</v>
      </c>
      <c r="C41" s="71"/>
      <c r="D41" s="71"/>
      <c r="E41" s="71"/>
      <c r="F41" s="71"/>
      <c r="G41" s="71"/>
      <c r="H41" s="71">
        <v>2019</v>
      </c>
      <c r="I41" s="71">
        <v>2019</v>
      </c>
      <c r="J41" s="82">
        <f>K41+L41+M41</f>
        <v>384</v>
      </c>
      <c r="K41" s="71"/>
      <c r="L41" s="71">
        <v>384</v>
      </c>
      <c r="M41" s="71"/>
      <c r="N41" s="71"/>
      <c r="O41" s="71">
        <f>J41</f>
        <v>384</v>
      </c>
      <c r="P41" s="71"/>
      <c r="Q41" s="71"/>
      <c r="R41" s="71"/>
      <c r="S41" s="89"/>
      <c r="T41" s="89"/>
      <c r="U41" s="89"/>
      <c r="V41" s="56"/>
    </row>
    <row r="42" ht="23.25" customHeight="1" spans="1:22">
      <c r="A42" s="71">
        <v>28</v>
      </c>
      <c r="B42" s="73" t="s">
        <v>268</v>
      </c>
      <c r="C42" s="28" t="s">
        <v>320</v>
      </c>
      <c r="D42" s="71" t="s">
        <v>147</v>
      </c>
      <c r="E42" s="71"/>
      <c r="F42" s="71"/>
      <c r="G42" s="71"/>
      <c r="H42" s="28"/>
      <c r="I42" s="28"/>
      <c r="J42" s="28"/>
      <c r="K42" s="28"/>
      <c r="L42" s="28"/>
      <c r="M42" s="28"/>
      <c r="N42" s="28"/>
      <c r="O42" s="28"/>
      <c r="P42" s="28"/>
      <c r="Q42" s="28"/>
      <c r="R42" s="28"/>
      <c r="S42" s="89"/>
      <c r="T42" s="89"/>
      <c r="U42" s="28" t="s">
        <v>320</v>
      </c>
      <c r="V42" s="56"/>
    </row>
    <row r="43" ht="23.25" customHeight="1" spans="1:22">
      <c r="A43" s="71">
        <v>29</v>
      </c>
      <c r="B43" s="73" t="s">
        <v>269</v>
      </c>
      <c r="C43" s="28" t="s">
        <v>320</v>
      </c>
      <c r="D43" s="71" t="s">
        <v>147</v>
      </c>
      <c r="E43" s="71"/>
      <c r="F43" s="71"/>
      <c r="G43" s="71"/>
      <c r="H43" s="28"/>
      <c r="I43" s="28"/>
      <c r="J43" s="28"/>
      <c r="K43" s="28"/>
      <c r="L43" s="28"/>
      <c r="M43" s="28"/>
      <c r="N43" s="28"/>
      <c r="O43" s="28"/>
      <c r="P43" s="28"/>
      <c r="Q43" s="28"/>
      <c r="R43" s="28"/>
      <c r="S43" s="89"/>
      <c r="T43" s="89"/>
      <c r="U43" s="89" t="s">
        <v>201</v>
      </c>
      <c r="V43" s="56"/>
    </row>
    <row r="44" ht="23.25" customHeight="1" spans="1:22">
      <c r="A44" s="71">
        <v>30</v>
      </c>
      <c r="B44" s="73" t="s">
        <v>270</v>
      </c>
      <c r="C44" s="28" t="s">
        <v>320</v>
      </c>
      <c r="D44" s="71" t="s">
        <v>147</v>
      </c>
      <c r="E44" s="71"/>
      <c r="F44" s="71"/>
      <c r="G44" s="71"/>
      <c r="H44" s="28"/>
      <c r="I44" s="28"/>
      <c r="J44" s="28"/>
      <c r="K44" s="28"/>
      <c r="L44" s="28"/>
      <c r="M44" s="28"/>
      <c r="N44" s="28"/>
      <c r="O44" s="28"/>
      <c r="P44" s="28"/>
      <c r="Q44" s="28"/>
      <c r="R44" s="28"/>
      <c r="S44" s="89"/>
      <c r="T44" s="89"/>
      <c r="U44" s="89" t="s">
        <v>271</v>
      </c>
      <c r="V44" s="56"/>
    </row>
    <row r="45" ht="23.25" customHeight="1" spans="1:22">
      <c r="A45" s="71">
        <v>31</v>
      </c>
      <c r="B45" s="73" t="s">
        <v>272</v>
      </c>
      <c r="C45" s="28" t="s">
        <v>320</v>
      </c>
      <c r="D45" s="71" t="s">
        <v>147</v>
      </c>
      <c r="E45" s="71"/>
      <c r="F45" s="71"/>
      <c r="G45" s="71"/>
      <c r="H45" s="28"/>
      <c r="I45" s="28"/>
      <c r="J45" s="28"/>
      <c r="K45" s="28"/>
      <c r="L45" s="28"/>
      <c r="M45" s="28"/>
      <c r="N45" s="28"/>
      <c r="O45" s="28"/>
      <c r="P45" s="28"/>
      <c r="Q45" s="28"/>
      <c r="R45" s="28"/>
      <c r="S45" s="89"/>
      <c r="T45" s="89"/>
      <c r="U45" s="28"/>
      <c r="V45" s="56"/>
    </row>
    <row r="46" ht="23.25" customHeight="1" spans="1:22">
      <c r="A46" s="71">
        <v>32</v>
      </c>
      <c r="B46" s="73" t="s">
        <v>274</v>
      </c>
      <c r="C46" s="28" t="s">
        <v>320</v>
      </c>
      <c r="D46" s="71" t="s">
        <v>147</v>
      </c>
      <c r="E46" s="71"/>
      <c r="F46" s="71"/>
      <c r="G46" s="71"/>
      <c r="H46" s="28"/>
      <c r="I46" s="28"/>
      <c r="J46" s="28"/>
      <c r="K46" s="28"/>
      <c r="L46" s="28"/>
      <c r="M46" s="28"/>
      <c r="N46" s="28"/>
      <c r="O46" s="28"/>
      <c r="P46" s="28"/>
      <c r="Q46" s="28"/>
      <c r="R46" s="28"/>
      <c r="S46" s="89"/>
      <c r="T46" s="89"/>
      <c r="U46" s="89" t="s">
        <v>275</v>
      </c>
      <c r="V46" s="56"/>
    </row>
    <row r="47" ht="23.25" customHeight="1" spans="1:22">
      <c r="A47" s="71">
        <v>33</v>
      </c>
      <c r="B47" s="73" t="s">
        <v>276</v>
      </c>
      <c r="C47" s="28" t="s">
        <v>320</v>
      </c>
      <c r="D47" s="71" t="s">
        <v>147</v>
      </c>
      <c r="E47" s="71"/>
      <c r="F47" s="71"/>
      <c r="G47" s="71"/>
      <c r="H47" s="28"/>
      <c r="I47" s="28"/>
      <c r="J47" s="28"/>
      <c r="K47" s="28"/>
      <c r="L47" s="28"/>
      <c r="M47" s="28"/>
      <c r="N47" s="28"/>
      <c r="O47" s="28"/>
      <c r="P47" s="28"/>
      <c r="Q47" s="28"/>
      <c r="R47" s="28"/>
      <c r="S47" s="89"/>
      <c r="T47" s="89"/>
      <c r="U47" s="89" t="s">
        <v>277</v>
      </c>
      <c r="V47" s="56"/>
    </row>
    <row r="48" ht="23.25" customHeight="1" spans="1:22">
      <c r="A48" s="71"/>
      <c r="B48" s="73" t="s">
        <v>3005</v>
      </c>
      <c r="C48" s="28" t="s">
        <v>320</v>
      </c>
      <c r="D48" s="71" t="s">
        <v>147</v>
      </c>
      <c r="E48" s="71" t="str">
        <f t="shared" ref="E48:R48" si="7">E49</f>
        <v>按照麻栗坡县外出就业政策补助</v>
      </c>
      <c r="F48" s="71">
        <f t="shared" si="7"/>
        <v>11420</v>
      </c>
      <c r="G48" s="71">
        <f t="shared" si="7"/>
        <v>40000</v>
      </c>
      <c r="H48" s="71">
        <f t="shared" si="7"/>
        <v>2019</v>
      </c>
      <c r="I48" s="71">
        <f t="shared" si="7"/>
        <v>2020</v>
      </c>
      <c r="J48" s="71">
        <f t="shared" si="7"/>
        <v>2000</v>
      </c>
      <c r="K48" s="71">
        <f t="shared" si="7"/>
        <v>0</v>
      </c>
      <c r="L48" s="71">
        <f t="shared" si="7"/>
        <v>1000</v>
      </c>
      <c r="M48" s="71">
        <f t="shared" si="7"/>
        <v>1000</v>
      </c>
      <c r="N48" s="71">
        <f t="shared" si="7"/>
        <v>0</v>
      </c>
      <c r="O48" s="71">
        <f t="shared" si="7"/>
        <v>0</v>
      </c>
      <c r="P48" s="71">
        <f t="shared" si="7"/>
        <v>2000</v>
      </c>
      <c r="Q48" s="71">
        <f t="shared" si="7"/>
        <v>0</v>
      </c>
      <c r="R48" s="71">
        <f t="shared" si="7"/>
        <v>0</v>
      </c>
      <c r="S48" s="71" t="s">
        <v>3006</v>
      </c>
      <c r="T48" s="89" t="s">
        <v>3007</v>
      </c>
      <c r="U48" s="71" t="s">
        <v>195</v>
      </c>
      <c r="V48" s="56"/>
    </row>
    <row r="49" ht="23.25" customHeight="1" spans="1:22">
      <c r="A49" s="71"/>
      <c r="B49" s="73" t="s">
        <v>3008</v>
      </c>
      <c r="C49" s="28" t="s">
        <v>320</v>
      </c>
      <c r="D49" s="71" t="s">
        <v>147</v>
      </c>
      <c r="E49" s="71" t="s">
        <v>3009</v>
      </c>
      <c r="F49" s="71">
        <v>11420</v>
      </c>
      <c r="G49" s="71">
        <v>40000</v>
      </c>
      <c r="H49" s="71">
        <v>2019</v>
      </c>
      <c r="I49" s="71">
        <v>2020</v>
      </c>
      <c r="J49" s="71">
        <f>K49+L49+M49</f>
        <v>2000</v>
      </c>
      <c r="K49" s="71"/>
      <c r="L49" s="71">
        <v>1000</v>
      </c>
      <c r="M49" s="71">
        <v>1000</v>
      </c>
      <c r="N49" s="28"/>
      <c r="O49" s="71"/>
      <c r="P49" s="71">
        <f>J49</f>
        <v>2000</v>
      </c>
      <c r="Q49" s="28"/>
      <c r="R49" s="28"/>
      <c r="S49" s="71" t="s">
        <v>3006</v>
      </c>
      <c r="T49" s="89" t="s">
        <v>3007</v>
      </c>
      <c r="U49" s="71" t="s">
        <v>195</v>
      </c>
      <c r="V49" s="56" t="s">
        <v>3010</v>
      </c>
    </row>
    <row r="50" ht="23.25" customHeight="1" spans="1:22">
      <c r="A50" s="71"/>
      <c r="B50" s="73" t="s">
        <v>3011</v>
      </c>
      <c r="C50" s="28"/>
      <c r="D50" s="71"/>
      <c r="E50" s="71">
        <f t="shared" ref="E50:R50" si="8">E51</f>
        <v>2000</v>
      </c>
      <c r="F50" s="71">
        <f t="shared" si="8"/>
        <v>2000</v>
      </c>
      <c r="G50" s="71">
        <f t="shared" si="8"/>
        <v>2000</v>
      </c>
      <c r="H50" s="71">
        <f t="shared" si="8"/>
        <v>2019</v>
      </c>
      <c r="I50" s="71">
        <f t="shared" si="8"/>
        <v>2020</v>
      </c>
      <c r="J50" s="71">
        <f>K50+L50+M50</f>
        <v>4320</v>
      </c>
      <c r="K50" s="71">
        <f t="shared" si="8"/>
        <v>0</v>
      </c>
      <c r="L50" s="71">
        <f t="shared" si="8"/>
        <v>0</v>
      </c>
      <c r="M50" s="71">
        <f t="shared" si="8"/>
        <v>4320</v>
      </c>
      <c r="N50" s="71">
        <f t="shared" si="8"/>
        <v>0</v>
      </c>
      <c r="O50" s="71">
        <f t="shared" si="8"/>
        <v>0</v>
      </c>
      <c r="P50" s="71">
        <f t="shared" si="8"/>
        <v>4320</v>
      </c>
      <c r="Q50" s="71">
        <f t="shared" si="8"/>
        <v>0</v>
      </c>
      <c r="R50" s="71">
        <f t="shared" si="8"/>
        <v>0</v>
      </c>
      <c r="S50" s="71" t="s">
        <v>3006</v>
      </c>
      <c r="T50" s="89" t="s">
        <v>3007</v>
      </c>
      <c r="U50" s="71" t="s">
        <v>195</v>
      </c>
      <c r="V50" s="56"/>
    </row>
    <row r="51" s="61" customFormat="1" ht="60" customHeight="1" spans="1:22">
      <c r="A51" s="71"/>
      <c r="B51" s="73" t="s">
        <v>3012</v>
      </c>
      <c r="C51" s="71" t="s">
        <v>52</v>
      </c>
      <c r="D51" s="71" t="s">
        <v>147</v>
      </c>
      <c r="E51" s="71">
        <v>2000</v>
      </c>
      <c r="F51" s="71">
        <v>2000</v>
      </c>
      <c r="G51" s="71">
        <v>2000</v>
      </c>
      <c r="H51" s="71">
        <v>2019</v>
      </c>
      <c r="I51" s="71">
        <v>2020</v>
      </c>
      <c r="J51" s="71">
        <v>4320</v>
      </c>
      <c r="K51" s="71"/>
      <c r="L51" s="71"/>
      <c r="M51" s="71">
        <f>J51</f>
        <v>4320</v>
      </c>
      <c r="N51" s="71"/>
      <c r="O51" s="71"/>
      <c r="P51" s="71">
        <f>J51</f>
        <v>4320</v>
      </c>
      <c r="Q51" s="71"/>
      <c r="R51" s="71"/>
      <c r="S51" s="71" t="s">
        <v>3013</v>
      </c>
      <c r="T51" s="89"/>
      <c r="U51" s="71" t="s">
        <v>3014</v>
      </c>
      <c r="V51" s="74" t="s">
        <v>3015</v>
      </c>
    </row>
    <row r="52" ht="23.25" customHeight="1" spans="1:22">
      <c r="A52" s="71">
        <v>34</v>
      </c>
      <c r="B52" s="72" t="s">
        <v>857</v>
      </c>
      <c r="C52" s="28" t="s">
        <v>320</v>
      </c>
      <c r="D52" s="28" t="s">
        <v>320</v>
      </c>
      <c r="E52" s="28"/>
      <c r="F52" s="28">
        <f>F77+F85+F89+F94+F97+F98+F100</f>
        <v>35633</v>
      </c>
      <c r="G52" s="28">
        <f>G77+G85+G89+G94+G97+G98+G100</f>
        <v>123699</v>
      </c>
      <c r="H52" s="28"/>
      <c r="I52" s="28"/>
      <c r="J52" s="28">
        <f>K52+L52+M52</f>
        <v>33033.09</v>
      </c>
      <c r="K52" s="28">
        <f>K53+K57+K61+K74+K75+K77+K85+K89+K94+K97+K98+K100</f>
        <v>2756.04</v>
      </c>
      <c r="L52" s="28">
        <f>L53+L57+L61+L74+L75+L77+L85+L89+L94+L97+L98+L100</f>
        <v>5935.91</v>
      </c>
      <c r="M52" s="28">
        <f t="shared" ref="M52:R52" si="9">M53+M57+M61+M74+M75+M77+M85+M89+M94+M97+M98+M100</f>
        <v>24341.14</v>
      </c>
      <c r="N52" s="28">
        <f t="shared" si="9"/>
        <v>0</v>
      </c>
      <c r="O52" s="28">
        <f t="shared" si="9"/>
        <v>32956.09</v>
      </c>
      <c r="P52" s="28">
        <f t="shared" si="9"/>
        <v>0</v>
      </c>
      <c r="Q52" s="28">
        <f t="shared" si="9"/>
        <v>77</v>
      </c>
      <c r="R52" s="28">
        <f t="shared" si="9"/>
        <v>0</v>
      </c>
      <c r="S52" s="84"/>
      <c r="T52" s="84"/>
      <c r="U52" s="28" t="s">
        <v>320</v>
      </c>
      <c r="V52" s="56"/>
    </row>
    <row r="53" ht="23.25" customHeight="1" spans="1:22">
      <c r="A53" s="71">
        <v>35</v>
      </c>
      <c r="B53" s="72" t="s">
        <v>42</v>
      </c>
      <c r="C53" s="28"/>
      <c r="D53" s="28"/>
      <c r="E53" s="28"/>
      <c r="F53" s="28">
        <f>F54+F55</f>
        <v>500</v>
      </c>
      <c r="G53" s="28">
        <f>G54+G55</f>
        <v>1648</v>
      </c>
      <c r="H53" s="28">
        <f>H54+H55</f>
        <v>2018</v>
      </c>
      <c r="I53" s="28">
        <f>I54+I55</f>
        <v>2019</v>
      </c>
      <c r="J53" s="28">
        <f>K53+L53+M53</f>
        <v>37</v>
      </c>
      <c r="K53" s="28">
        <f>K54+K55</f>
        <v>37</v>
      </c>
      <c r="L53" s="28">
        <f t="shared" ref="L53:R53" si="10">L54+L55</f>
        <v>0</v>
      </c>
      <c r="M53" s="28">
        <f t="shared" si="10"/>
        <v>0</v>
      </c>
      <c r="N53" s="28">
        <f t="shared" si="10"/>
        <v>0</v>
      </c>
      <c r="O53" s="28">
        <f t="shared" si="10"/>
        <v>0</v>
      </c>
      <c r="P53" s="28">
        <f t="shared" si="10"/>
        <v>0</v>
      </c>
      <c r="Q53" s="28">
        <f t="shared" si="10"/>
        <v>37</v>
      </c>
      <c r="R53" s="28">
        <f t="shared" si="10"/>
        <v>0</v>
      </c>
      <c r="S53" s="84"/>
      <c r="T53" s="84"/>
      <c r="U53" s="28"/>
      <c r="V53" s="56"/>
    </row>
    <row r="54" ht="23.25" customHeight="1" spans="1:22">
      <c r="A54" s="71">
        <v>36</v>
      </c>
      <c r="B54" s="72" t="s">
        <v>1114</v>
      </c>
      <c r="C54" s="28" t="s">
        <v>52</v>
      </c>
      <c r="D54" s="28" t="s">
        <v>45</v>
      </c>
      <c r="E54" s="28"/>
      <c r="F54" s="28"/>
      <c r="G54" s="28"/>
      <c r="H54" s="28"/>
      <c r="I54" s="28"/>
      <c r="J54" s="28"/>
      <c r="K54" s="28"/>
      <c r="L54" s="28">
        <f t="shared" ref="L54:R54" si="11">L55</f>
        <v>0</v>
      </c>
      <c r="M54" s="28">
        <f t="shared" si="11"/>
        <v>0</v>
      </c>
      <c r="N54" s="28">
        <f t="shared" si="11"/>
        <v>0</v>
      </c>
      <c r="O54" s="28">
        <f t="shared" si="11"/>
        <v>0</v>
      </c>
      <c r="P54" s="28">
        <f t="shared" si="11"/>
        <v>0</v>
      </c>
      <c r="Q54" s="28"/>
      <c r="R54" s="28">
        <f t="shared" si="11"/>
        <v>0</v>
      </c>
      <c r="S54" s="84"/>
      <c r="T54" s="84"/>
      <c r="U54" s="28"/>
      <c r="V54" s="56"/>
    </row>
    <row r="55" ht="35.1" customHeight="1" spans="1:22">
      <c r="A55" s="71">
        <v>37</v>
      </c>
      <c r="B55" s="73" t="s">
        <v>1123</v>
      </c>
      <c r="C55" s="28" t="s">
        <v>52</v>
      </c>
      <c r="D55" s="28" t="s">
        <v>45</v>
      </c>
      <c r="E55" s="71"/>
      <c r="F55" s="71">
        <f>F56</f>
        <v>500</v>
      </c>
      <c r="G55" s="71">
        <f>G56</f>
        <v>1648</v>
      </c>
      <c r="H55" s="71">
        <v>2018</v>
      </c>
      <c r="I55" s="71">
        <v>2019</v>
      </c>
      <c r="J55" s="28">
        <f>K55+L55+M55</f>
        <v>37</v>
      </c>
      <c r="K55" s="28">
        <f>K56</f>
        <v>37</v>
      </c>
      <c r="L55" s="28">
        <f>L56</f>
        <v>0</v>
      </c>
      <c r="M55" s="28">
        <f t="shared" ref="M55:R55" si="12">M56</f>
        <v>0</v>
      </c>
      <c r="N55" s="28">
        <f t="shared" si="12"/>
        <v>0</v>
      </c>
      <c r="O55" s="28">
        <f t="shared" si="12"/>
        <v>0</v>
      </c>
      <c r="P55" s="28">
        <f t="shared" si="12"/>
        <v>0</v>
      </c>
      <c r="Q55" s="28">
        <f t="shared" si="12"/>
        <v>37</v>
      </c>
      <c r="R55" s="28">
        <f t="shared" si="12"/>
        <v>0</v>
      </c>
      <c r="S55" s="84" t="s">
        <v>3016</v>
      </c>
      <c r="T55" s="84" t="s">
        <v>3017</v>
      </c>
      <c r="U55" s="86" t="s">
        <v>43</v>
      </c>
      <c r="V55" s="56"/>
    </row>
    <row r="56" ht="36.95" customHeight="1" spans="1:22">
      <c r="A56" s="71"/>
      <c r="B56" s="73" t="s">
        <v>3018</v>
      </c>
      <c r="C56" s="28" t="s">
        <v>52</v>
      </c>
      <c r="D56" s="28" t="s">
        <v>45</v>
      </c>
      <c r="E56" s="71" t="s">
        <v>3019</v>
      </c>
      <c r="F56" s="71">
        <v>500</v>
      </c>
      <c r="G56" s="71">
        <v>1648</v>
      </c>
      <c r="H56" s="71">
        <v>2018</v>
      </c>
      <c r="I56" s="71">
        <v>2019</v>
      </c>
      <c r="J56" s="28">
        <f>K56+L56+M56</f>
        <v>37</v>
      </c>
      <c r="K56" s="28">
        <v>37</v>
      </c>
      <c r="L56" s="28"/>
      <c r="M56" s="28"/>
      <c r="N56" s="28"/>
      <c r="O56" s="28"/>
      <c r="P56" s="28"/>
      <c r="Q56" s="28">
        <f>J56</f>
        <v>37</v>
      </c>
      <c r="R56" s="28"/>
      <c r="S56" s="84" t="s">
        <v>3016</v>
      </c>
      <c r="T56" s="84" t="s">
        <v>3017</v>
      </c>
      <c r="U56" s="86" t="s">
        <v>43</v>
      </c>
      <c r="V56" s="56"/>
    </row>
    <row r="57" ht="23.25" customHeight="1" spans="1:22">
      <c r="A57" s="71">
        <v>38</v>
      </c>
      <c r="B57" s="73" t="s">
        <v>130</v>
      </c>
      <c r="C57" s="71"/>
      <c r="D57" s="71"/>
      <c r="E57" s="71"/>
      <c r="F57" s="71"/>
      <c r="G57" s="71"/>
      <c r="H57" s="71"/>
      <c r="I57" s="71"/>
      <c r="J57" s="28"/>
      <c r="K57" s="28"/>
      <c r="L57" s="28"/>
      <c r="M57" s="28"/>
      <c r="N57" s="28"/>
      <c r="O57" s="28"/>
      <c r="P57" s="28"/>
      <c r="Q57" s="28"/>
      <c r="R57" s="28"/>
      <c r="S57" s="84"/>
      <c r="T57" s="84"/>
      <c r="U57" s="84"/>
      <c r="V57" s="56"/>
    </row>
    <row r="58" ht="26.1" customHeight="1" spans="1:22">
      <c r="A58" s="71">
        <v>39</v>
      </c>
      <c r="B58" s="73" t="s">
        <v>1125</v>
      </c>
      <c r="C58" s="71" t="s">
        <v>52</v>
      </c>
      <c r="D58" s="71" t="s">
        <v>131</v>
      </c>
      <c r="E58" s="71"/>
      <c r="F58" s="71"/>
      <c r="G58" s="71"/>
      <c r="H58" s="71"/>
      <c r="I58" s="71"/>
      <c r="J58" s="28"/>
      <c r="K58" s="28"/>
      <c r="L58" s="28"/>
      <c r="M58" s="28"/>
      <c r="N58" s="28"/>
      <c r="O58" s="28"/>
      <c r="P58" s="28"/>
      <c r="Q58" s="28"/>
      <c r="R58" s="28"/>
      <c r="S58" s="84"/>
      <c r="T58" s="84"/>
      <c r="U58" s="84"/>
      <c r="V58" s="56"/>
    </row>
    <row r="59" ht="41.25" customHeight="1" spans="1:22">
      <c r="A59" s="71">
        <v>40</v>
      </c>
      <c r="B59" s="73" t="s">
        <v>1129</v>
      </c>
      <c r="C59" s="71" t="s">
        <v>1124</v>
      </c>
      <c r="D59" s="71" t="s">
        <v>1130</v>
      </c>
      <c r="E59" s="71"/>
      <c r="F59" s="71"/>
      <c r="G59" s="71"/>
      <c r="H59" s="71"/>
      <c r="I59" s="71"/>
      <c r="J59" s="28"/>
      <c r="K59" s="28"/>
      <c r="L59" s="28"/>
      <c r="M59" s="28"/>
      <c r="N59" s="28"/>
      <c r="O59" s="28"/>
      <c r="P59" s="28"/>
      <c r="Q59" s="28"/>
      <c r="R59" s="28"/>
      <c r="S59" s="84"/>
      <c r="T59" s="84"/>
      <c r="U59" s="86" t="s">
        <v>43</v>
      </c>
      <c r="V59" s="56"/>
    </row>
    <row r="60" ht="23.25" customHeight="1" spans="1:22">
      <c r="A60" s="71"/>
      <c r="B60" s="73" t="s">
        <v>1848</v>
      </c>
      <c r="C60" s="71"/>
      <c r="D60" s="71"/>
      <c r="E60" s="71"/>
      <c r="F60" s="71"/>
      <c r="G60" s="71"/>
      <c r="H60" s="71"/>
      <c r="I60" s="71"/>
      <c r="J60" s="84"/>
      <c r="K60" s="84"/>
      <c r="L60" s="84"/>
      <c r="M60" s="84"/>
      <c r="N60" s="84"/>
      <c r="O60" s="84"/>
      <c r="P60" s="84"/>
      <c r="Q60" s="84"/>
      <c r="R60" s="84"/>
      <c r="S60" s="84"/>
      <c r="T60" s="84"/>
      <c r="U60" s="84"/>
      <c r="V60" s="56"/>
    </row>
    <row r="61" ht="49.5" customHeight="1" spans="1:22">
      <c r="A61" s="71">
        <v>41</v>
      </c>
      <c r="B61" s="73" t="s">
        <v>146</v>
      </c>
      <c r="C61" s="71" t="s">
        <v>1688</v>
      </c>
      <c r="D61" s="71"/>
      <c r="E61" s="71"/>
      <c r="F61" s="71">
        <f>F62</f>
        <v>4661</v>
      </c>
      <c r="G61" s="71">
        <f>G62</f>
        <v>18698</v>
      </c>
      <c r="H61" s="71">
        <v>2019</v>
      </c>
      <c r="I61" s="71">
        <v>2020</v>
      </c>
      <c r="J61" s="28">
        <f>J62</f>
        <v>5200</v>
      </c>
      <c r="K61" s="28">
        <f t="shared" ref="K61:R61" si="13">K62</f>
        <v>0</v>
      </c>
      <c r="L61" s="28">
        <f t="shared" si="13"/>
        <v>200</v>
      </c>
      <c r="M61" s="28">
        <f t="shared" si="13"/>
        <v>5000</v>
      </c>
      <c r="N61" s="28">
        <f t="shared" si="13"/>
        <v>0</v>
      </c>
      <c r="O61" s="28">
        <f t="shared" si="13"/>
        <v>5200</v>
      </c>
      <c r="P61" s="28">
        <f t="shared" si="13"/>
        <v>0</v>
      </c>
      <c r="Q61" s="28">
        <f t="shared" si="13"/>
        <v>0</v>
      </c>
      <c r="R61" s="28">
        <f t="shared" si="13"/>
        <v>0</v>
      </c>
      <c r="S61" s="84"/>
      <c r="T61" s="84"/>
      <c r="U61" s="86" t="s">
        <v>1133</v>
      </c>
      <c r="V61" s="56"/>
    </row>
    <row r="62" ht="27.95" customHeight="1" spans="1:22">
      <c r="A62" s="71"/>
      <c r="B62" s="73" t="s">
        <v>3020</v>
      </c>
      <c r="C62" s="71" t="s">
        <v>1688</v>
      </c>
      <c r="D62" s="71"/>
      <c r="E62" s="71"/>
      <c r="F62" s="71">
        <f>SUM(F63:F73)</f>
        <v>4661</v>
      </c>
      <c r="G62" s="71">
        <f>SUM(G63:G73)</f>
        <v>18698</v>
      </c>
      <c r="H62" s="71">
        <v>2019</v>
      </c>
      <c r="I62" s="71">
        <v>2020</v>
      </c>
      <c r="J62" s="71">
        <f>K62+L62+M62</f>
        <v>5200</v>
      </c>
      <c r="K62" s="71">
        <f>SUM(K63:K73)</f>
        <v>0</v>
      </c>
      <c r="L62" s="71">
        <f t="shared" ref="L62:R62" si="14">SUM(L63:L73)</f>
        <v>200</v>
      </c>
      <c r="M62" s="71">
        <f t="shared" si="14"/>
        <v>5000</v>
      </c>
      <c r="N62" s="71">
        <f t="shared" si="14"/>
        <v>0</v>
      </c>
      <c r="O62" s="71">
        <f t="shared" si="14"/>
        <v>5200</v>
      </c>
      <c r="P62" s="71">
        <f t="shared" si="14"/>
        <v>0</v>
      </c>
      <c r="Q62" s="71">
        <f t="shared" si="14"/>
        <v>0</v>
      </c>
      <c r="R62" s="71">
        <f t="shared" si="14"/>
        <v>0</v>
      </c>
      <c r="S62" s="84" t="s">
        <v>3016</v>
      </c>
      <c r="T62" s="84" t="s">
        <v>3017</v>
      </c>
      <c r="U62" s="84" t="s">
        <v>435</v>
      </c>
      <c r="V62" s="56"/>
    </row>
    <row r="63" ht="27.95" customHeight="1" spans="1:22">
      <c r="A63" s="71"/>
      <c r="B63" s="73" t="s">
        <v>3021</v>
      </c>
      <c r="C63" s="71" t="s">
        <v>1688</v>
      </c>
      <c r="D63" s="71"/>
      <c r="E63" s="71" t="s">
        <v>3022</v>
      </c>
      <c r="F63" s="71">
        <v>160</v>
      </c>
      <c r="G63" s="71">
        <v>580</v>
      </c>
      <c r="H63" s="71">
        <v>2020</v>
      </c>
      <c r="I63" s="71">
        <v>2020</v>
      </c>
      <c r="J63" s="71">
        <f t="shared" ref="J63:J73" si="15">K63+L63+M63</f>
        <v>600</v>
      </c>
      <c r="K63" s="71"/>
      <c r="L63" s="71"/>
      <c r="M63" s="71">
        <v>600</v>
      </c>
      <c r="N63" s="71"/>
      <c r="O63" s="71">
        <f>J63</f>
        <v>600</v>
      </c>
      <c r="P63" s="71"/>
      <c r="Q63" s="71"/>
      <c r="R63" s="71"/>
      <c r="S63" s="84" t="s">
        <v>3016</v>
      </c>
      <c r="T63" s="84" t="s">
        <v>3017</v>
      </c>
      <c r="U63" s="84" t="s">
        <v>435</v>
      </c>
      <c r="V63" s="56"/>
    </row>
    <row r="64" ht="27.95" customHeight="1" spans="1:22">
      <c r="A64" s="71"/>
      <c r="B64" s="73" t="s">
        <v>3023</v>
      </c>
      <c r="C64" s="71" t="s">
        <v>1688</v>
      </c>
      <c r="D64" s="71"/>
      <c r="E64" s="71" t="s">
        <v>3024</v>
      </c>
      <c r="F64" s="71">
        <v>720</v>
      </c>
      <c r="G64" s="71">
        <v>2719</v>
      </c>
      <c r="H64" s="71">
        <v>2019</v>
      </c>
      <c r="I64" s="71">
        <v>2020</v>
      </c>
      <c r="J64" s="71">
        <f t="shared" si="15"/>
        <v>700</v>
      </c>
      <c r="K64" s="71"/>
      <c r="L64" s="71">
        <v>100</v>
      </c>
      <c r="M64" s="71">
        <v>600</v>
      </c>
      <c r="N64" s="71"/>
      <c r="O64" s="71">
        <f t="shared" ref="O64:O73" si="16">J64</f>
        <v>700</v>
      </c>
      <c r="P64" s="71"/>
      <c r="Q64" s="71"/>
      <c r="R64" s="71"/>
      <c r="S64" s="84" t="s">
        <v>3016</v>
      </c>
      <c r="T64" s="84" t="s">
        <v>3017</v>
      </c>
      <c r="U64" s="84" t="s">
        <v>435</v>
      </c>
      <c r="V64" s="56"/>
    </row>
    <row r="65" ht="27.95" customHeight="1" spans="1:22">
      <c r="A65" s="71"/>
      <c r="B65" s="73" t="s">
        <v>3025</v>
      </c>
      <c r="C65" s="71" t="s">
        <v>1688</v>
      </c>
      <c r="D65" s="71"/>
      <c r="E65" s="71" t="s">
        <v>3026</v>
      </c>
      <c r="F65" s="71">
        <v>76</v>
      </c>
      <c r="G65" s="71">
        <v>283</v>
      </c>
      <c r="H65" s="71">
        <v>2020</v>
      </c>
      <c r="I65" s="71">
        <v>2020</v>
      </c>
      <c r="J65" s="71">
        <f t="shared" si="15"/>
        <v>600</v>
      </c>
      <c r="K65" s="71"/>
      <c r="L65" s="71"/>
      <c r="M65" s="71">
        <v>600</v>
      </c>
      <c r="N65" s="71"/>
      <c r="O65" s="71">
        <f t="shared" si="16"/>
        <v>600</v>
      </c>
      <c r="P65" s="71"/>
      <c r="Q65" s="71"/>
      <c r="R65" s="71"/>
      <c r="S65" s="84" t="s">
        <v>3016</v>
      </c>
      <c r="T65" s="84" t="s">
        <v>3017</v>
      </c>
      <c r="U65" s="84" t="s">
        <v>435</v>
      </c>
      <c r="V65" s="56"/>
    </row>
    <row r="66" ht="27.95" customHeight="1" spans="1:22">
      <c r="A66" s="71"/>
      <c r="B66" s="73" t="s">
        <v>3027</v>
      </c>
      <c r="C66" s="71" t="s">
        <v>1688</v>
      </c>
      <c r="D66" s="71"/>
      <c r="E66" s="71" t="s">
        <v>3028</v>
      </c>
      <c r="F66" s="71">
        <v>2044</v>
      </c>
      <c r="G66" s="71">
        <v>8382</v>
      </c>
      <c r="H66" s="71">
        <v>2020</v>
      </c>
      <c r="I66" s="71">
        <v>2020</v>
      </c>
      <c r="J66" s="71">
        <f t="shared" si="15"/>
        <v>600</v>
      </c>
      <c r="K66" s="71"/>
      <c r="L66" s="71"/>
      <c r="M66" s="71">
        <v>600</v>
      </c>
      <c r="N66" s="71"/>
      <c r="O66" s="71">
        <f t="shared" si="16"/>
        <v>600</v>
      </c>
      <c r="P66" s="71"/>
      <c r="Q66" s="71"/>
      <c r="R66" s="71"/>
      <c r="S66" s="84" t="s">
        <v>3016</v>
      </c>
      <c r="T66" s="84" t="s">
        <v>3017</v>
      </c>
      <c r="U66" s="84" t="s">
        <v>435</v>
      </c>
      <c r="V66" s="56"/>
    </row>
    <row r="67" ht="27.95" customHeight="1" spans="1:22">
      <c r="A67" s="71"/>
      <c r="B67" s="73" t="s">
        <v>3029</v>
      </c>
      <c r="C67" s="71" t="s">
        <v>1688</v>
      </c>
      <c r="D67" s="71"/>
      <c r="E67" s="71" t="s">
        <v>3024</v>
      </c>
      <c r="F67" s="71">
        <v>247</v>
      </c>
      <c r="G67" s="71">
        <v>977</v>
      </c>
      <c r="H67" s="71">
        <v>2020</v>
      </c>
      <c r="I67" s="71">
        <v>2020</v>
      </c>
      <c r="J67" s="71">
        <f t="shared" si="15"/>
        <v>600</v>
      </c>
      <c r="K67" s="71"/>
      <c r="L67" s="71"/>
      <c r="M67" s="71">
        <v>600</v>
      </c>
      <c r="N67" s="71"/>
      <c r="O67" s="71">
        <f t="shared" si="16"/>
        <v>600</v>
      </c>
      <c r="P67" s="71"/>
      <c r="Q67" s="71"/>
      <c r="R67" s="71"/>
      <c r="S67" s="84" t="s">
        <v>3016</v>
      </c>
      <c r="T67" s="84" t="s">
        <v>3017</v>
      </c>
      <c r="U67" s="84" t="s">
        <v>435</v>
      </c>
      <c r="V67" s="56"/>
    </row>
    <row r="68" ht="27.95" customHeight="1" spans="1:22">
      <c r="A68" s="71"/>
      <c r="B68" s="73" t="s">
        <v>3030</v>
      </c>
      <c r="C68" s="71" t="s">
        <v>1688</v>
      </c>
      <c r="D68" s="71"/>
      <c r="E68" s="71" t="s">
        <v>3031</v>
      </c>
      <c r="F68" s="71">
        <v>88</v>
      </c>
      <c r="G68" s="71">
        <v>330</v>
      </c>
      <c r="H68" s="71">
        <v>2020</v>
      </c>
      <c r="I68" s="71">
        <v>2020</v>
      </c>
      <c r="J68" s="71">
        <f t="shared" si="15"/>
        <v>500</v>
      </c>
      <c r="K68" s="71"/>
      <c r="L68" s="71"/>
      <c r="M68" s="71">
        <v>500</v>
      </c>
      <c r="N68" s="71"/>
      <c r="O68" s="71">
        <f t="shared" si="16"/>
        <v>500</v>
      </c>
      <c r="P68" s="71"/>
      <c r="Q68" s="71"/>
      <c r="R68" s="71"/>
      <c r="S68" s="84" t="s">
        <v>3016</v>
      </c>
      <c r="T68" s="84" t="s">
        <v>3017</v>
      </c>
      <c r="U68" s="84" t="s">
        <v>435</v>
      </c>
      <c r="V68" s="56"/>
    </row>
    <row r="69" ht="27.95" customHeight="1" spans="1:22">
      <c r="A69" s="71"/>
      <c r="B69" s="73" t="s">
        <v>3032</v>
      </c>
      <c r="C69" s="71" t="s">
        <v>1688</v>
      </c>
      <c r="D69" s="71"/>
      <c r="E69" s="71" t="s">
        <v>3033</v>
      </c>
      <c r="F69" s="71">
        <v>112</v>
      </c>
      <c r="G69" s="71">
        <v>417</v>
      </c>
      <c r="H69" s="71">
        <v>2020</v>
      </c>
      <c r="I69" s="71">
        <v>2020</v>
      </c>
      <c r="J69" s="71">
        <f t="shared" si="15"/>
        <v>500</v>
      </c>
      <c r="K69" s="71"/>
      <c r="L69" s="71"/>
      <c r="M69" s="71">
        <v>500</v>
      </c>
      <c r="N69" s="71"/>
      <c r="O69" s="71">
        <f t="shared" si="16"/>
        <v>500</v>
      </c>
      <c r="P69" s="71"/>
      <c r="Q69" s="71"/>
      <c r="R69" s="71"/>
      <c r="S69" s="84" t="s">
        <v>3016</v>
      </c>
      <c r="T69" s="84" t="s">
        <v>3017</v>
      </c>
      <c r="U69" s="84" t="s">
        <v>435</v>
      </c>
      <c r="V69" s="56"/>
    </row>
    <row r="70" ht="27.95" customHeight="1" spans="1:22">
      <c r="A70" s="71"/>
      <c r="B70" s="73" t="s">
        <v>3034</v>
      </c>
      <c r="C70" s="71" t="s">
        <v>1688</v>
      </c>
      <c r="D70" s="71"/>
      <c r="E70" s="71" t="s">
        <v>3035</v>
      </c>
      <c r="F70" s="71">
        <v>98</v>
      </c>
      <c r="G70" s="71">
        <v>352</v>
      </c>
      <c r="H70" s="71">
        <v>2020</v>
      </c>
      <c r="I70" s="71">
        <v>2020</v>
      </c>
      <c r="J70" s="71">
        <f t="shared" si="15"/>
        <v>700</v>
      </c>
      <c r="K70" s="71"/>
      <c r="L70" s="71"/>
      <c r="M70" s="71">
        <v>700</v>
      </c>
      <c r="N70" s="71"/>
      <c r="O70" s="71">
        <f t="shared" si="16"/>
        <v>700</v>
      </c>
      <c r="P70" s="71"/>
      <c r="Q70" s="71"/>
      <c r="R70" s="71"/>
      <c r="S70" s="84" t="s">
        <v>3016</v>
      </c>
      <c r="T70" s="84" t="s">
        <v>3017</v>
      </c>
      <c r="U70" s="84" t="s">
        <v>435</v>
      </c>
      <c r="V70" s="56"/>
    </row>
    <row r="71" ht="27.95" customHeight="1" spans="1:22">
      <c r="A71" s="71"/>
      <c r="B71" s="73" t="s">
        <v>3036</v>
      </c>
      <c r="C71" s="71" t="s">
        <v>1688</v>
      </c>
      <c r="D71" s="71"/>
      <c r="E71" s="71" t="s">
        <v>3037</v>
      </c>
      <c r="F71" s="71">
        <v>11</v>
      </c>
      <c r="G71" s="71">
        <v>51</v>
      </c>
      <c r="H71" s="71">
        <v>2019</v>
      </c>
      <c r="I71" s="71">
        <v>2019</v>
      </c>
      <c r="J71" s="71">
        <f t="shared" si="15"/>
        <v>130</v>
      </c>
      <c r="K71" s="71"/>
      <c r="L71" s="71">
        <v>30</v>
      </c>
      <c r="M71" s="71">
        <v>100</v>
      </c>
      <c r="N71" s="71"/>
      <c r="O71" s="71">
        <f t="shared" si="16"/>
        <v>130</v>
      </c>
      <c r="P71" s="71"/>
      <c r="Q71" s="71"/>
      <c r="R71" s="71"/>
      <c r="S71" s="84" t="s">
        <v>3016</v>
      </c>
      <c r="T71" s="84" t="s">
        <v>3017</v>
      </c>
      <c r="U71" s="84" t="s">
        <v>435</v>
      </c>
      <c r="V71" s="56"/>
    </row>
    <row r="72" ht="27.95" customHeight="1" spans="1:22">
      <c r="A72" s="71"/>
      <c r="B72" s="73" t="s">
        <v>3038</v>
      </c>
      <c r="C72" s="71" t="s">
        <v>1688</v>
      </c>
      <c r="D72" s="71"/>
      <c r="E72" s="71" t="s">
        <v>3039</v>
      </c>
      <c r="F72" s="71">
        <v>1010</v>
      </c>
      <c r="G72" s="71">
        <v>4200</v>
      </c>
      <c r="H72" s="71">
        <v>2019</v>
      </c>
      <c r="I72" s="71">
        <v>2019</v>
      </c>
      <c r="J72" s="71">
        <f t="shared" si="15"/>
        <v>150</v>
      </c>
      <c r="K72" s="71"/>
      <c r="L72" s="71">
        <v>50</v>
      </c>
      <c r="M72" s="71">
        <v>100</v>
      </c>
      <c r="N72" s="71"/>
      <c r="O72" s="71">
        <f t="shared" si="16"/>
        <v>150</v>
      </c>
      <c r="P72" s="71"/>
      <c r="Q72" s="71"/>
      <c r="R72" s="71"/>
      <c r="S72" s="84" t="s">
        <v>3016</v>
      </c>
      <c r="T72" s="84" t="s">
        <v>3017</v>
      </c>
      <c r="U72" s="84" t="s">
        <v>435</v>
      </c>
      <c r="V72" s="56"/>
    </row>
    <row r="73" ht="27.95" customHeight="1" spans="1:22">
      <c r="A73" s="71"/>
      <c r="B73" s="73" t="s">
        <v>3040</v>
      </c>
      <c r="C73" s="71" t="s">
        <v>1688</v>
      </c>
      <c r="D73" s="71"/>
      <c r="E73" s="71" t="s">
        <v>3022</v>
      </c>
      <c r="F73" s="71">
        <v>95</v>
      </c>
      <c r="G73" s="71">
        <v>407</v>
      </c>
      <c r="H73" s="71">
        <v>2019</v>
      </c>
      <c r="I73" s="71">
        <v>2019</v>
      </c>
      <c r="J73" s="71">
        <f t="shared" si="15"/>
        <v>120</v>
      </c>
      <c r="K73" s="71"/>
      <c r="L73" s="71">
        <v>20</v>
      </c>
      <c r="M73" s="71">
        <v>100</v>
      </c>
      <c r="N73" s="71"/>
      <c r="O73" s="71">
        <f t="shared" si="16"/>
        <v>120</v>
      </c>
      <c r="P73" s="71"/>
      <c r="Q73" s="71"/>
      <c r="R73" s="71"/>
      <c r="S73" s="84" t="s">
        <v>3016</v>
      </c>
      <c r="T73" s="84" t="s">
        <v>3017</v>
      </c>
      <c r="U73" s="84" t="s">
        <v>435</v>
      </c>
      <c r="V73" s="56"/>
    </row>
    <row r="74" ht="27" customHeight="1" spans="1:22">
      <c r="A74" s="71">
        <v>42</v>
      </c>
      <c r="B74" s="90" t="s">
        <v>893</v>
      </c>
      <c r="C74" s="71" t="s">
        <v>52</v>
      </c>
      <c r="D74" s="71" t="s">
        <v>150</v>
      </c>
      <c r="E74" s="71"/>
      <c r="F74" s="71"/>
      <c r="G74" s="71"/>
      <c r="H74" s="71"/>
      <c r="I74" s="71"/>
      <c r="J74" s="28"/>
      <c r="K74" s="28"/>
      <c r="L74" s="28"/>
      <c r="M74" s="28"/>
      <c r="N74" s="28"/>
      <c r="O74" s="28"/>
      <c r="P74" s="28"/>
      <c r="Q74" s="28"/>
      <c r="R74" s="28"/>
      <c r="S74" s="89"/>
      <c r="T74" s="89"/>
      <c r="U74" s="86" t="s">
        <v>43</v>
      </c>
      <c r="V74" s="56"/>
    </row>
    <row r="75" ht="23.25" customHeight="1" spans="1:22">
      <c r="A75" s="71">
        <v>43</v>
      </c>
      <c r="B75" s="90" t="s">
        <v>158</v>
      </c>
      <c r="C75" s="71" t="s">
        <v>52</v>
      </c>
      <c r="D75" s="71" t="s">
        <v>384</v>
      </c>
      <c r="E75" s="71"/>
      <c r="F75" s="71"/>
      <c r="G75" s="71"/>
      <c r="H75" s="71">
        <v>2019</v>
      </c>
      <c r="I75" s="71">
        <v>2019</v>
      </c>
      <c r="J75" s="89">
        <f>J76</f>
        <v>400</v>
      </c>
      <c r="K75" s="89">
        <f t="shared" ref="K75:R75" si="17">K76</f>
        <v>0</v>
      </c>
      <c r="L75" s="89">
        <f t="shared" si="17"/>
        <v>400</v>
      </c>
      <c r="M75" s="89">
        <f t="shared" si="17"/>
        <v>0</v>
      </c>
      <c r="N75" s="89">
        <f t="shared" si="17"/>
        <v>0</v>
      </c>
      <c r="O75" s="89">
        <f t="shared" si="17"/>
        <v>400</v>
      </c>
      <c r="P75" s="89">
        <f t="shared" si="17"/>
        <v>0</v>
      </c>
      <c r="Q75" s="89">
        <f t="shared" si="17"/>
        <v>0</v>
      </c>
      <c r="R75" s="89">
        <f t="shared" si="17"/>
        <v>0</v>
      </c>
      <c r="S75" s="89"/>
      <c r="T75" s="89"/>
      <c r="U75" s="86" t="s">
        <v>160</v>
      </c>
      <c r="V75" s="56"/>
    </row>
    <row r="76" ht="27.95" customHeight="1" spans="1:22">
      <c r="A76" s="71"/>
      <c r="B76" s="90" t="s">
        <v>3041</v>
      </c>
      <c r="C76" s="71"/>
      <c r="D76" s="71"/>
      <c r="E76" s="71"/>
      <c r="F76" s="71"/>
      <c r="G76" s="71"/>
      <c r="H76" s="71">
        <v>2019</v>
      </c>
      <c r="I76" s="71">
        <v>2019</v>
      </c>
      <c r="J76" s="89">
        <v>400</v>
      </c>
      <c r="K76" s="89"/>
      <c r="L76" s="89">
        <v>400</v>
      </c>
      <c r="M76" s="89"/>
      <c r="N76" s="89"/>
      <c r="O76" s="89">
        <v>400</v>
      </c>
      <c r="P76" s="89"/>
      <c r="Q76" s="89"/>
      <c r="R76" s="89"/>
      <c r="S76" s="89"/>
      <c r="T76" s="89"/>
      <c r="U76" s="96"/>
      <c r="V76" s="56"/>
    </row>
    <row r="77" ht="23.25" customHeight="1" spans="1:22">
      <c r="A77" s="71"/>
      <c r="B77" s="90" t="s">
        <v>3042</v>
      </c>
      <c r="C77" s="71"/>
      <c r="D77" s="71"/>
      <c r="E77" s="71"/>
      <c r="F77" s="71">
        <f>SUM(F78:F83)</f>
        <v>5238</v>
      </c>
      <c r="G77" s="71">
        <f>SUM(G78:G83)</f>
        <v>16271</v>
      </c>
      <c r="H77" s="71">
        <v>2018</v>
      </c>
      <c r="I77" s="71">
        <v>2020</v>
      </c>
      <c r="J77" s="71">
        <f>SUM(J78:J84)</f>
        <v>7158.33</v>
      </c>
      <c r="K77" s="71">
        <f t="shared" ref="K77:Q77" si="18">SUM(K78:K84)</f>
        <v>2641.28</v>
      </c>
      <c r="L77" s="71">
        <f t="shared" si="18"/>
        <v>2415.91</v>
      </c>
      <c r="M77" s="71">
        <f t="shared" si="18"/>
        <v>2101.14</v>
      </c>
      <c r="N77" s="71">
        <f t="shared" si="18"/>
        <v>0</v>
      </c>
      <c r="O77" s="71">
        <f t="shared" si="18"/>
        <v>7158.33</v>
      </c>
      <c r="P77" s="71">
        <f t="shared" si="18"/>
        <v>0</v>
      </c>
      <c r="Q77" s="71">
        <f t="shared" si="18"/>
        <v>0</v>
      </c>
      <c r="R77" s="71">
        <f>SUM(R78:R82)</f>
        <v>0</v>
      </c>
      <c r="S77" s="89"/>
      <c r="T77" s="89"/>
      <c r="U77" s="96"/>
      <c r="V77" s="56"/>
    </row>
    <row r="78" s="61" customFormat="1" ht="87.95" customHeight="1" spans="1:22">
      <c r="A78" s="71"/>
      <c r="B78" s="73" t="s">
        <v>3043</v>
      </c>
      <c r="C78" s="71" t="s">
        <v>52</v>
      </c>
      <c r="D78" s="71" t="s">
        <v>3044</v>
      </c>
      <c r="E78" s="71">
        <v>17.17</v>
      </c>
      <c r="F78" s="71">
        <v>1600</v>
      </c>
      <c r="G78" s="71">
        <v>3800</v>
      </c>
      <c r="H78" s="71">
        <v>2018</v>
      </c>
      <c r="I78" s="71">
        <v>2019</v>
      </c>
      <c r="J78" s="71">
        <f>K78+L78+M78</f>
        <v>520</v>
      </c>
      <c r="K78" s="71">
        <v>400</v>
      </c>
      <c r="L78" s="71">
        <v>40</v>
      </c>
      <c r="M78" s="71">
        <v>80</v>
      </c>
      <c r="N78" s="71"/>
      <c r="O78" s="71">
        <v>520</v>
      </c>
      <c r="P78" s="71"/>
      <c r="Q78" s="71"/>
      <c r="R78" s="71"/>
      <c r="S78" s="71" t="s">
        <v>3045</v>
      </c>
      <c r="T78" s="71" t="s">
        <v>3046</v>
      </c>
      <c r="U78" s="97" t="s">
        <v>275</v>
      </c>
      <c r="V78" s="74" t="s">
        <v>3047</v>
      </c>
    </row>
    <row r="79" s="61" customFormat="1" ht="89.1" customHeight="1" spans="1:22">
      <c r="A79" s="71"/>
      <c r="B79" s="73" t="s">
        <v>3048</v>
      </c>
      <c r="C79" s="71" t="s">
        <v>52</v>
      </c>
      <c r="D79" s="71" t="s">
        <v>192</v>
      </c>
      <c r="E79" s="71">
        <v>11.128</v>
      </c>
      <c r="F79" s="71">
        <v>2100</v>
      </c>
      <c r="G79" s="71">
        <v>6500</v>
      </c>
      <c r="H79" s="71">
        <v>2018</v>
      </c>
      <c r="I79" s="71">
        <v>2020</v>
      </c>
      <c r="J79" s="71">
        <f>K79+L79+M79</f>
        <v>1680</v>
      </c>
      <c r="K79" s="71">
        <v>830</v>
      </c>
      <c r="L79" s="71">
        <v>200</v>
      </c>
      <c r="M79" s="71">
        <v>650</v>
      </c>
      <c r="N79" s="71"/>
      <c r="O79" s="71">
        <v>1680</v>
      </c>
      <c r="P79" s="71"/>
      <c r="Q79" s="71"/>
      <c r="R79" s="71"/>
      <c r="S79" s="71" t="s">
        <v>3045</v>
      </c>
      <c r="T79" s="71" t="s">
        <v>3046</v>
      </c>
      <c r="U79" s="97" t="s">
        <v>275</v>
      </c>
      <c r="V79" s="74" t="s">
        <v>3049</v>
      </c>
    </row>
    <row r="80" s="61" customFormat="1" ht="30" customHeight="1" spans="1:22">
      <c r="A80" s="71"/>
      <c r="B80" s="73" t="s">
        <v>3050</v>
      </c>
      <c r="C80" s="71" t="s">
        <v>52</v>
      </c>
      <c r="D80" s="71" t="s">
        <v>45</v>
      </c>
      <c r="E80" s="71">
        <v>6700</v>
      </c>
      <c r="F80" s="71">
        <v>200</v>
      </c>
      <c r="G80" s="71">
        <v>690</v>
      </c>
      <c r="H80" s="71">
        <v>2018</v>
      </c>
      <c r="I80" s="71">
        <v>2019</v>
      </c>
      <c r="J80" s="71">
        <v>993</v>
      </c>
      <c r="K80" s="71">
        <v>850</v>
      </c>
      <c r="L80" s="71">
        <f>J80-K80</f>
        <v>143</v>
      </c>
      <c r="M80" s="71"/>
      <c r="N80" s="71"/>
      <c r="O80" s="71">
        <v>993</v>
      </c>
      <c r="P80" s="71"/>
      <c r="Q80" s="71"/>
      <c r="R80" s="71"/>
      <c r="S80" s="71" t="s">
        <v>3045</v>
      </c>
      <c r="T80" s="71" t="s">
        <v>3046</v>
      </c>
      <c r="U80" s="97" t="s">
        <v>275</v>
      </c>
      <c r="V80" s="74" t="s">
        <v>3051</v>
      </c>
    </row>
    <row r="81" s="62" customFormat="1" ht="42" customHeight="1" spans="1:22">
      <c r="A81" s="71"/>
      <c r="B81" s="73" t="s">
        <v>3052</v>
      </c>
      <c r="C81" s="71" t="s">
        <v>52</v>
      </c>
      <c r="D81" s="71" t="s">
        <v>3044</v>
      </c>
      <c r="E81" s="71" t="s">
        <v>3053</v>
      </c>
      <c r="F81" s="71">
        <v>350</v>
      </c>
      <c r="G81" s="71">
        <v>1090</v>
      </c>
      <c r="H81" s="71">
        <v>2018</v>
      </c>
      <c r="I81" s="71">
        <v>2020</v>
      </c>
      <c r="J81" s="71">
        <v>1158.6</v>
      </c>
      <c r="K81" s="71">
        <v>61.28</v>
      </c>
      <c r="L81" s="71">
        <v>682.91</v>
      </c>
      <c r="M81" s="71">
        <v>414.41</v>
      </c>
      <c r="N81" s="71"/>
      <c r="O81" s="71">
        <v>1158.6</v>
      </c>
      <c r="P81" s="71"/>
      <c r="Q81" s="71"/>
      <c r="R81" s="71"/>
      <c r="S81" s="71" t="s">
        <v>3054</v>
      </c>
      <c r="T81" s="71" t="s">
        <v>3055</v>
      </c>
      <c r="U81" s="97" t="s">
        <v>277</v>
      </c>
      <c r="V81" s="74" t="s">
        <v>3056</v>
      </c>
    </row>
    <row r="82" s="62" customFormat="1" ht="30" customHeight="1" spans="1:22">
      <c r="A82" s="71"/>
      <c r="B82" s="73" t="s">
        <v>3057</v>
      </c>
      <c r="C82" s="71" t="s">
        <v>52</v>
      </c>
      <c r="D82" s="71" t="s">
        <v>3044</v>
      </c>
      <c r="E82" s="71" t="s">
        <v>3058</v>
      </c>
      <c r="F82" s="71">
        <v>760</v>
      </c>
      <c r="G82" s="71">
        <v>3223</v>
      </c>
      <c r="H82" s="71">
        <v>2018</v>
      </c>
      <c r="I82" s="71">
        <v>2020</v>
      </c>
      <c r="J82" s="71">
        <v>1206.73</v>
      </c>
      <c r="K82" s="71">
        <v>100</v>
      </c>
      <c r="L82" s="71">
        <v>750</v>
      </c>
      <c r="M82" s="71">
        <v>356.73</v>
      </c>
      <c r="N82" s="71"/>
      <c r="O82" s="71">
        <v>1206.73</v>
      </c>
      <c r="P82" s="71"/>
      <c r="Q82" s="71"/>
      <c r="R82" s="71"/>
      <c r="S82" s="71" t="s">
        <v>3054</v>
      </c>
      <c r="T82" s="71" t="s">
        <v>3055</v>
      </c>
      <c r="U82" s="97" t="s">
        <v>277</v>
      </c>
      <c r="V82" s="74" t="s">
        <v>3059</v>
      </c>
    </row>
    <row r="83" s="61" customFormat="1" ht="87.95" customHeight="1" spans="1:22">
      <c r="A83" s="71"/>
      <c r="B83" s="73" t="s">
        <v>3060</v>
      </c>
      <c r="C83" s="71" t="s">
        <v>52</v>
      </c>
      <c r="D83" s="71" t="s">
        <v>163</v>
      </c>
      <c r="E83" s="71" t="s">
        <v>3061</v>
      </c>
      <c r="F83" s="76">
        <v>228</v>
      </c>
      <c r="G83" s="76">
        <v>968</v>
      </c>
      <c r="H83" s="91">
        <v>2019</v>
      </c>
      <c r="I83" s="91">
        <v>2019</v>
      </c>
      <c r="J83" s="76">
        <v>1200</v>
      </c>
      <c r="K83" s="76"/>
      <c r="L83" s="76">
        <v>600</v>
      </c>
      <c r="M83" s="76">
        <v>600</v>
      </c>
      <c r="N83" s="76"/>
      <c r="O83" s="76">
        <v>1200</v>
      </c>
      <c r="P83" s="76"/>
      <c r="Q83" s="76"/>
      <c r="R83" s="71"/>
      <c r="S83" s="71" t="s">
        <v>3045</v>
      </c>
      <c r="T83" s="71" t="s">
        <v>3046</v>
      </c>
      <c r="U83" s="97" t="s">
        <v>275</v>
      </c>
      <c r="V83" s="74"/>
    </row>
    <row r="84" s="61" customFormat="1" ht="87.95" customHeight="1" spans="1:22">
      <c r="A84" s="71"/>
      <c r="B84" s="73" t="s">
        <v>3062</v>
      </c>
      <c r="C84" s="71" t="s">
        <v>970</v>
      </c>
      <c r="D84" s="71" t="s">
        <v>320</v>
      </c>
      <c r="E84" s="71" t="s">
        <v>3063</v>
      </c>
      <c r="F84" s="76">
        <v>252</v>
      </c>
      <c r="G84" s="76">
        <v>968</v>
      </c>
      <c r="H84" s="91">
        <v>2018</v>
      </c>
      <c r="I84" s="91">
        <v>2018</v>
      </c>
      <c r="J84" s="76">
        <v>400</v>
      </c>
      <c r="K84" s="76">
        <v>400</v>
      </c>
      <c r="L84" s="76"/>
      <c r="M84" s="76"/>
      <c r="N84" s="76"/>
      <c r="O84" s="76">
        <v>400</v>
      </c>
      <c r="P84" s="76"/>
      <c r="Q84" s="76"/>
      <c r="R84" s="71"/>
      <c r="S84" s="71" t="s">
        <v>3064</v>
      </c>
      <c r="T84" s="71" t="s">
        <v>3065</v>
      </c>
      <c r="U84" s="97" t="s">
        <v>578</v>
      </c>
      <c r="V84" s="74" t="s">
        <v>3066</v>
      </c>
    </row>
    <row r="85" s="61" customFormat="1" ht="18.95" customHeight="1" spans="1:22">
      <c r="A85" s="71"/>
      <c r="B85" s="73" t="s">
        <v>3067</v>
      </c>
      <c r="C85" s="71" t="str">
        <f>C86</f>
        <v>新建</v>
      </c>
      <c r="D85" s="71" t="str">
        <f>D86</f>
        <v>亩</v>
      </c>
      <c r="E85" s="71"/>
      <c r="F85" s="71">
        <f>F86+F87+F88</f>
        <v>9080</v>
      </c>
      <c r="G85" s="71">
        <f>G86+G87+G88</f>
        <v>31806</v>
      </c>
      <c r="H85" s="71">
        <f>H86</f>
        <v>2019</v>
      </c>
      <c r="I85" s="71">
        <f>I86</f>
        <v>2020</v>
      </c>
      <c r="J85" s="71">
        <f t="shared" ref="J85:O85" si="19">J86+J87+J88</f>
        <v>2112.76</v>
      </c>
      <c r="K85" s="71">
        <f t="shared" si="19"/>
        <v>32.76</v>
      </c>
      <c r="L85" s="71">
        <f t="shared" si="19"/>
        <v>1040</v>
      </c>
      <c r="M85" s="71">
        <f t="shared" si="19"/>
        <v>1040</v>
      </c>
      <c r="N85" s="71">
        <f t="shared" si="19"/>
        <v>0</v>
      </c>
      <c r="O85" s="71">
        <f t="shared" si="19"/>
        <v>2112.76</v>
      </c>
      <c r="P85" s="71">
        <f>P86</f>
        <v>0</v>
      </c>
      <c r="Q85" s="71">
        <f>Q86</f>
        <v>0</v>
      </c>
      <c r="R85" s="71">
        <f>R86</f>
        <v>0</v>
      </c>
      <c r="S85" s="71" t="s">
        <v>3016</v>
      </c>
      <c r="T85" s="76" t="s">
        <v>3017</v>
      </c>
      <c r="U85" s="97" t="s">
        <v>435</v>
      </c>
      <c r="V85" s="74"/>
    </row>
    <row r="86" s="61" customFormat="1" ht="48" customHeight="1" spans="1:22">
      <c r="A86" s="71"/>
      <c r="B86" s="73" t="s">
        <v>3068</v>
      </c>
      <c r="C86" s="71" t="s">
        <v>52</v>
      </c>
      <c r="D86" s="71" t="s">
        <v>45</v>
      </c>
      <c r="E86" s="71">
        <v>20000</v>
      </c>
      <c r="F86" s="71">
        <v>9000</v>
      </c>
      <c r="G86" s="71">
        <f>F86*3.5</f>
        <v>31500</v>
      </c>
      <c r="H86" s="71">
        <v>2019</v>
      </c>
      <c r="I86" s="71">
        <v>2020</v>
      </c>
      <c r="J86" s="71">
        <f>K86+L86+M86</f>
        <v>2000</v>
      </c>
      <c r="K86" s="71"/>
      <c r="L86" s="71">
        <v>1000</v>
      </c>
      <c r="M86" s="71">
        <v>1000</v>
      </c>
      <c r="N86" s="71"/>
      <c r="O86" s="71">
        <f>J86</f>
        <v>2000</v>
      </c>
      <c r="P86" s="71"/>
      <c r="Q86" s="71"/>
      <c r="R86" s="71"/>
      <c r="S86" s="76" t="s">
        <v>3016</v>
      </c>
      <c r="T86" s="76" t="s">
        <v>3017</v>
      </c>
      <c r="U86" s="76" t="s">
        <v>435</v>
      </c>
      <c r="V86" s="74" t="s">
        <v>3069</v>
      </c>
    </row>
    <row r="87" s="61" customFormat="1" ht="66.95" customHeight="1" spans="1:22">
      <c r="A87" s="71"/>
      <c r="B87" s="73" t="s">
        <v>3070</v>
      </c>
      <c r="C87" s="71" t="s">
        <v>52</v>
      </c>
      <c r="D87" s="71" t="s">
        <v>3071</v>
      </c>
      <c r="E87" s="71" t="s">
        <v>3072</v>
      </c>
      <c r="F87" s="71">
        <v>30</v>
      </c>
      <c r="G87" s="71">
        <v>114</v>
      </c>
      <c r="H87" s="71">
        <v>2018</v>
      </c>
      <c r="I87" s="71">
        <v>2020</v>
      </c>
      <c r="J87" s="71">
        <f>K87+L87+M87</f>
        <v>72.76</v>
      </c>
      <c r="K87" s="71">
        <v>22.76</v>
      </c>
      <c r="L87" s="71">
        <v>25</v>
      </c>
      <c r="M87" s="71">
        <v>25</v>
      </c>
      <c r="N87" s="71"/>
      <c r="O87" s="71">
        <v>72.76</v>
      </c>
      <c r="P87" s="71"/>
      <c r="Q87" s="71"/>
      <c r="R87" s="71"/>
      <c r="S87" s="76" t="s">
        <v>3016</v>
      </c>
      <c r="T87" s="76" t="s">
        <v>3017</v>
      </c>
      <c r="U87" s="76" t="s">
        <v>435</v>
      </c>
      <c r="V87" s="74"/>
    </row>
    <row r="88" s="61" customFormat="1" ht="60" customHeight="1" spans="1:22">
      <c r="A88" s="71"/>
      <c r="B88" s="73" t="s">
        <v>3073</v>
      </c>
      <c r="C88" s="71" t="s">
        <v>52</v>
      </c>
      <c r="D88" s="71" t="s">
        <v>3071</v>
      </c>
      <c r="E88" s="71" t="s">
        <v>3074</v>
      </c>
      <c r="F88" s="71">
        <v>50</v>
      </c>
      <c r="G88" s="71">
        <v>192</v>
      </c>
      <c r="H88" s="71">
        <v>2018</v>
      </c>
      <c r="I88" s="71">
        <v>2020</v>
      </c>
      <c r="J88" s="71">
        <v>40</v>
      </c>
      <c r="K88" s="71">
        <v>10</v>
      </c>
      <c r="L88" s="71">
        <v>15</v>
      </c>
      <c r="M88" s="71">
        <v>15</v>
      </c>
      <c r="N88" s="71"/>
      <c r="O88" s="71">
        <v>40</v>
      </c>
      <c r="P88" s="71"/>
      <c r="Q88" s="71"/>
      <c r="R88" s="71"/>
      <c r="S88" s="76" t="s">
        <v>3016</v>
      </c>
      <c r="T88" s="76" t="s">
        <v>3017</v>
      </c>
      <c r="U88" s="76" t="s">
        <v>435</v>
      </c>
      <c r="V88" s="74"/>
    </row>
    <row r="89" s="61" customFormat="1" ht="12.75" spans="1:22">
      <c r="A89" s="71"/>
      <c r="B89" s="73" t="s">
        <v>3075</v>
      </c>
      <c r="C89" s="71"/>
      <c r="D89" s="71"/>
      <c r="E89" s="71"/>
      <c r="F89" s="71">
        <f>F90</f>
        <v>2655</v>
      </c>
      <c r="G89" s="71">
        <f t="shared" ref="G89:R89" si="20">G90</f>
        <v>10187</v>
      </c>
      <c r="H89" s="71">
        <v>2020</v>
      </c>
      <c r="I89" s="71">
        <v>2020</v>
      </c>
      <c r="J89" s="71">
        <f t="shared" si="20"/>
        <v>7000</v>
      </c>
      <c r="K89" s="71">
        <f t="shared" si="20"/>
        <v>0</v>
      </c>
      <c r="L89" s="71">
        <f t="shared" si="20"/>
        <v>0</v>
      </c>
      <c r="M89" s="71">
        <f t="shared" si="20"/>
        <v>7000</v>
      </c>
      <c r="N89" s="71">
        <f t="shared" si="20"/>
        <v>0</v>
      </c>
      <c r="O89" s="71">
        <f t="shared" si="20"/>
        <v>7000</v>
      </c>
      <c r="P89" s="71">
        <f t="shared" si="20"/>
        <v>0</v>
      </c>
      <c r="Q89" s="71">
        <f t="shared" si="20"/>
        <v>0</v>
      </c>
      <c r="R89" s="71">
        <f t="shared" si="20"/>
        <v>0</v>
      </c>
      <c r="S89" s="71"/>
      <c r="T89" s="71"/>
      <c r="U89" s="97"/>
      <c r="V89" s="74"/>
    </row>
    <row r="90" s="61" customFormat="1" ht="21" customHeight="1" spans="1:22">
      <c r="A90" s="71"/>
      <c r="B90" s="73" t="s">
        <v>3076</v>
      </c>
      <c r="C90" s="71"/>
      <c r="D90" s="71"/>
      <c r="E90" s="71"/>
      <c r="F90" s="71">
        <f>F91+F92+F93</f>
        <v>2655</v>
      </c>
      <c r="G90" s="71">
        <f>G91+G92+G93</f>
        <v>10187</v>
      </c>
      <c r="H90" s="71">
        <v>2020</v>
      </c>
      <c r="I90" s="71">
        <v>2020</v>
      </c>
      <c r="J90" s="71">
        <f>K90+L90+M90</f>
        <v>7000</v>
      </c>
      <c r="K90" s="71">
        <f>K91+K92+K93</f>
        <v>0</v>
      </c>
      <c r="L90" s="71">
        <f t="shared" ref="L90:R90" si="21">L91+L92+L93</f>
        <v>0</v>
      </c>
      <c r="M90" s="71">
        <f t="shared" si="21"/>
        <v>7000</v>
      </c>
      <c r="N90" s="71">
        <f t="shared" si="21"/>
        <v>0</v>
      </c>
      <c r="O90" s="71">
        <f t="shared" si="21"/>
        <v>7000</v>
      </c>
      <c r="P90" s="71">
        <f t="shared" si="21"/>
        <v>0</v>
      </c>
      <c r="Q90" s="71">
        <f t="shared" si="21"/>
        <v>0</v>
      </c>
      <c r="R90" s="71">
        <f t="shared" si="21"/>
        <v>0</v>
      </c>
      <c r="S90" s="71"/>
      <c r="T90" s="71"/>
      <c r="U90" s="97"/>
      <c r="V90" s="74"/>
    </row>
    <row r="91" s="63" customFormat="1" ht="29.1" customHeight="1" spans="1:22">
      <c r="A91" s="76"/>
      <c r="B91" s="92" t="s">
        <v>3077</v>
      </c>
      <c r="C91" s="76" t="s">
        <v>52</v>
      </c>
      <c r="D91" s="76" t="s">
        <v>560</v>
      </c>
      <c r="E91" s="76">
        <v>8540</v>
      </c>
      <c r="F91" s="93">
        <v>1303</v>
      </c>
      <c r="G91" s="93">
        <v>5303</v>
      </c>
      <c r="H91" s="76">
        <v>2020</v>
      </c>
      <c r="I91" s="76">
        <v>2020</v>
      </c>
      <c r="J91" s="76">
        <f>K91+L91+M91</f>
        <v>5000</v>
      </c>
      <c r="K91" s="76"/>
      <c r="L91" s="76"/>
      <c r="M91" s="76">
        <v>5000</v>
      </c>
      <c r="N91" s="76"/>
      <c r="O91" s="93">
        <f>J91</f>
        <v>5000</v>
      </c>
      <c r="P91" s="94"/>
      <c r="Q91" s="94"/>
      <c r="R91" s="94"/>
      <c r="S91" s="76" t="s">
        <v>3078</v>
      </c>
      <c r="T91" s="76" t="s">
        <v>3079</v>
      </c>
      <c r="U91" s="98" t="s">
        <v>2834</v>
      </c>
      <c r="V91" s="76"/>
    </row>
    <row r="92" s="63" customFormat="1" ht="30.95" customHeight="1" spans="1:22">
      <c r="A92" s="76"/>
      <c r="B92" s="92" t="s">
        <v>3080</v>
      </c>
      <c r="C92" s="76" t="s">
        <v>52</v>
      </c>
      <c r="D92" s="76" t="s">
        <v>150</v>
      </c>
      <c r="E92" s="76">
        <v>1</v>
      </c>
      <c r="F92" s="76">
        <v>1352</v>
      </c>
      <c r="G92" s="76">
        <v>4884</v>
      </c>
      <c r="H92" s="76">
        <v>2020</v>
      </c>
      <c r="I92" s="76">
        <v>2020</v>
      </c>
      <c r="J92" s="76">
        <f>K92+L92+M92</f>
        <v>2000</v>
      </c>
      <c r="K92" s="76"/>
      <c r="L92" s="76"/>
      <c r="M92" s="76">
        <v>2000</v>
      </c>
      <c r="N92" s="76"/>
      <c r="O92" s="93">
        <f>J92</f>
        <v>2000</v>
      </c>
      <c r="P92" s="94"/>
      <c r="Q92" s="94"/>
      <c r="R92" s="94"/>
      <c r="S92" s="76" t="s">
        <v>3078</v>
      </c>
      <c r="T92" s="76" t="s">
        <v>3079</v>
      </c>
      <c r="U92" s="98" t="s">
        <v>2834</v>
      </c>
      <c r="V92" s="76"/>
    </row>
    <row r="93" s="63" customFormat="1" spans="1:22">
      <c r="A93" s="76"/>
      <c r="B93" s="92"/>
      <c r="C93" s="76"/>
      <c r="D93" s="76"/>
      <c r="E93" s="76"/>
      <c r="F93" s="76"/>
      <c r="G93" s="76"/>
      <c r="H93" s="76"/>
      <c r="I93" s="76"/>
      <c r="J93" s="76"/>
      <c r="K93" s="76"/>
      <c r="L93" s="76"/>
      <c r="M93" s="76"/>
      <c r="N93" s="76"/>
      <c r="O93" s="94"/>
      <c r="P93" s="94"/>
      <c r="Q93" s="94"/>
      <c r="R93" s="94"/>
      <c r="S93" s="76"/>
      <c r="T93" s="76"/>
      <c r="U93" s="98"/>
      <c r="V93" s="76"/>
    </row>
    <row r="94" s="61" customFormat="1" ht="12.75" spans="1:22">
      <c r="A94" s="71"/>
      <c r="B94" s="73" t="s">
        <v>3081</v>
      </c>
      <c r="C94" s="71" t="str">
        <f t="shared" ref="C94:I94" si="22">C95</f>
        <v>新建</v>
      </c>
      <c r="D94" s="71" t="str">
        <f t="shared" si="22"/>
        <v>人</v>
      </c>
      <c r="E94" s="71">
        <f t="shared" si="22"/>
        <v>30000</v>
      </c>
      <c r="F94" s="71">
        <f t="shared" si="22"/>
        <v>7200</v>
      </c>
      <c r="G94" s="71">
        <f t="shared" si="22"/>
        <v>25200</v>
      </c>
      <c r="H94" s="71">
        <f t="shared" si="22"/>
        <v>2018</v>
      </c>
      <c r="I94" s="71">
        <f t="shared" si="22"/>
        <v>2020</v>
      </c>
      <c r="J94" s="71">
        <f>J95+J96</f>
        <v>745</v>
      </c>
      <c r="K94" s="71">
        <f t="shared" ref="K94:R94" si="23">K95+K96</f>
        <v>45</v>
      </c>
      <c r="L94" s="71">
        <f t="shared" si="23"/>
        <v>500</v>
      </c>
      <c r="M94" s="71">
        <f t="shared" si="23"/>
        <v>200</v>
      </c>
      <c r="N94" s="71">
        <f t="shared" si="23"/>
        <v>0</v>
      </c>
      <c r="O94" s="71">
        <f t="shared" si="23"/>
        <v>705</v>
      </c>
      <c r="P94" s="71">
        <f t="shared" si="23"/>
        <v>0</v>
      </c>
      <c r="Q94" s="71">
        <f t="shared" si="23"/>
        <v>40</v>
      </c>
      <c r="R94" s="71">
        <f t="shared" si="23"/>
        <v>0</v>
      </c>
      <c r="S94" s="71"/>
      <c r="T94" s="71"/>
      <c r="U94" s="97"/>
      <c r="V94" s="74"/>
    </row>
    <row r="95" s="61" customFormat="1" ht="51" customHeight="1" spans="1:22">
      <c r="A95" s="71"/>
      <c r="B95" s="73" t="s">
        <v>3082</v>
      </c>
      <c r="C95" s="71" t="s">
        <v>52</v>
      </c>
      <c r="D95" s="71" t="s">
        <v>147</v>
      </c>
      <c r="E95" s="71">
        <v>30000</v>
      </c>
      <c r="F95" s="71">
        <v>7200</v>
      </c>
      <c r="G95" s="71">
        <f>F95*3.5</f>
        <v>25200</v>
      </c>
      <c r="H95" s="71">
        <v>2018</v>
      </c>
      <c r="I95" s="76">
        <v>2020</v>
      </c>
      <c r="J95" s="76">
        <f>K95+L95+M95</f>
        <v>745</v>
      </c>
      <c r="K95" s="76">
        <v>45</v>
      </c>
      <c r="L95" s="76">
        <v>500</v>
      </c>
      <c r="M95" s="76">
        <v>200</v>
      </c>
      <c r="N95" s="76"/>
      <c r="O95" s="76">
        <f>J95-Q95</f>
        <v>705</v>
      </c>
      <c r="P95" s="76"/>
      <c r="Q95" s="76">
        <v>40</v>
      </c>
      <c r="R95" s="76"/>
      <c r="S95" s="76" t="s">
        <v>3006</v>
      </c>
      <c r="T95" s="76" t="s">
        <v>3007</v>
      </c>
      <c r="U95" s="97" t="s">
        <v>195</v>
      </c>
      <c r="V95" s="74" t="s">
        <v>3083</v>
      </c>
    </row>
    <row r="96" s="61" customFormat="1" ht="51" customHeight="1" spans="1:22">
      <c r="A96" s="71"/>
      <c r="B96" s="73"/>
      <c r="C96" s="71"/>
      <c r="D96" s="71"/>
      <c r="E96" s="71"/>
      <c r="F96" s="71"/>
      <c r="G96" s="71"/>
      <c r="H96" s="71"/>
      <c r="I96" s="76"/>
      <c r="J96" s="76"/>
      <c r="K96" s="76"/>
      <c r="L96" s="76"/>
      <c r="M96" s="76"/>
      <c r="N96" s="76"/>
      <c r="O96" s="76"/>
      <c r="P96" s="76"/>
      <c r="Q96" s="76"/>
      <c r="R96" s="76"/>
      <c r="S96" s="76"/>
      <c r="T96" s="76"/>
      <c r="U96" s="97"/>
      <c r="V96" s="74"/>
    </row>
    <row r="97" s="63" customFormat="1" spans="1:22">
      <c r="A97" s="76"/>
      <c r="B97" s="92" t="s">
        <v>3084</v>
      </c>
      <c r="C97" s="76" t="s">
        <v>52</v>
      </c>
      <c r="D97" s="76" t="s">
        <v>45</v>
      </c>
      <c r="E97" s="76">
        <v>50000</v>
      </c>
      <c r="F97" s="76">
        <v>1000</v>
      </c>
      <c r="G97" s="76">
        <v>3650</v>
      </c>
      <c r="H97" s="76">
        <v>2020</v>
      </c>
      <c r="I97" s="76">
        <v>2020</v>
      </c>
      <c r="J97" s="76">
        <f>K97+L97+M97</f>
        <v>2000</v>
      </c>
      <c r="K97" s="76"/>
      <c r="L97" s="76"/>
      <c r="M97" s="76">
        <v>2000</v>
      </c>
      <c r="N97" s="76"/>
      <c r="O97" s="76">
        <f>J97</f>
        <v>2000</v>
      </c>
      <c r="P97" s="76"/>
      <c r="Q97" s="76"/>
      <c r="R97" s="76"/>
      <c r="S97" s="76" t="s">
        <v>3085</v>
      </c>
      <c r="T97" s="76" t="s">
        <v>3086</v>
      </c>
      <c r="U97" s="76" t="s">
        <v>417</v>
      </c>
      <c r="V97" s="76"/>
    </row>
    <row r="98" s="63" customFormat="1" spans="1:22">
      <c r="A98" s="76"/>
      <c r="B98" s="92" t="s">
        <v>3087</v>
      </c>
      <c r="C98" s="94"/>
      <c r="D98" s="76" t="s">
        <v>202</v>
      </c>
      <c r="E98" s="76">
        <f t="shared" ref="E98:Q98" si="24">E99</f>
        <v>16</v>
      </c>
      <c r="F98" s="76">
        <v>460</v>
      </c>
      <c r="G98" s="76">
        <f t="shared" si="24"/>
        <v>1435</v>
      </c>
      <c r="H98" s="76">
        <f t="shared" si="24"/>
        <v>2019</v>
      </c>
      <c r="I98" s="76">
        <f t="shared" si="24"/>
        <v>2020</v>
      </c>
      <c r="J98" s="76">
        <f t="shared" si="24"/>
        <v>1380</v>
      </c>
      <c r="K98" s="76">
        <f t="shared" si="24"/>
        <v>0</v>
      </c>
      <c r="L98" s="76">
        <f t="shared" si="24"/>
        <v>1380</v>
      </c>
      <c r="M98" s="76">
        <f t="shared" si="24"/>
        <v>0</v>
      </c>
      <c r="N98" s="76">
        <f t="shared" si="24"/>
        <v>0</v>
      </c>
      <c r="O98" s="76">
        <f t="shared" si="24"/>
        <v>1380</v>
      </c>
      <c r="P98" s="76">
        <f t="shared" si="24"/>
        <v>0</v>
      </c>
      <c r="Q98" s="76">
        <f t="shared" si="24"/>
        <v>0</v>
      </c>
      <c r="R98" s="76"/>
      <c r="S98" s="76"/>
      <c r="T98" s="76"/>
      <c r="U98" s="94"/>
      <c r="V98" s="76">
        <f>V99</f>
        <v>0</v>
      </c>
    </row>
    <row r="99" s="63" customFormat="1" spans="1:22">
      <c r="A99" s="76" t="s">
        <v>48</v>
      </c>
      <c r="B99" s="92" t="s">
        <v>3088</v>
      </c>
      <c r="C99" s="94"/>
      <c r="D99" s="76" t="s">
        <v>202</v>
      </c>
      <c r="E99" s="76">
        <v>16</v>
      </c>
      <c r="F99" s="76">
        <v>460</v>
      </c>
      <c r="G99" s="76">
        <v>1435</v>
      </c>
      <c r="H99" s="76">
        <v>2019</v>
      </c>
      <c r="I99" s="76">
        <v>2020</v>
      </c>
      <c r="J99" s="76">
        <v>1380</v>
      </c>
      <c r="K99" s="76"/>
      <c r="L99" s="76">
        <v>1380</v>
      </c>
      <c r="M99" s="76"/>
      <c r="N99" s="76"/>
      <c r="O99" s="76">
        <f>J99</f>
        <v>1380</v>
      </c>
      <c r="P99" s="76"/>
      <c r="Q99" s="76"/>
      <c r="R99" s="76"/>
      <c r="S99" s="76" t="s">
        <v>3089</v>
      </c>
      <c r="T99" s="76" t="s">
        <v>3090</v>
      </c>
      <c r="U99" s="94" t="s">
        <v>201</v>
      </c>
      <c r="V99" s="99"/>
    </row>
    <row r="100" s="63" customFormat="1" ht="24" spans="1:22">
      <c r="A100" s="76"/>
      <c r="B100" s="92" t="s">
        <v>3091</v>
      </c>
      <c r="C100" s="76" t="s">
        <v>52</v>
      </c>
      <c r="D100" s="76" t="s">
        <v>150</v>
      </c>
      <c r="E100" s="76">
        <v>1</v>
      </c>
      <c r="F100" s="76">
        <v>10000</v>
      </c>
      <c r="G100" s="76">
        <v>35150</v>
      </c>
      <c r="H100" s="76">
        <v>2020</v>
      </c>
      <c r="I100" s="76">
        <v>2020</v>
      </c>
      <c r="J100" s="76">
        <f>K100+L100+M100</f>
        <v>7000</v>
      </c>
      <c r="K100" s="76"/>
      <c r="L100" s="76"/>
      <c r="M100" s="76">
        <v>7000</v>
      </c>
      <c r="N100" s="76"/>
      <c r="O100" s="76">
        <f>J100</f>
        <v>7000</v>
      </c>
      <c r="P100" s="76"/>
      <c r="Q100" s="76"/>
      <c r="R100" s="76"/>
      <c r="S100" s="76" t="s">
        <v>3016</v>
      </c>
      <c r="T100" s="76" t="s">
        <v>3017</v>
      </c>
      <c r="U100" s="99" t="s">
        <v>435</v>
      </c>
      <c r="V100" s="99"/>
    </row>
    <row r="101" s="60" customFormat="1" ht="23.25" customHeight="1" spans="1:22">
      <c r="A101" s="71">
        <v>44</v>
      </c>
      <c r="B101" s="72" t="s">
        <v>916</v>
      </c>
      <c r="C101" s="28" t="s">
        <v>320</v>
      </c>
      <c r="D101" s="28" t="s">
        <v>320</v>
      </c>
      <c r="E101" s="28"/>
      <c r="F101" s="28"/>
      <c r="G101" s="28"/>
      <c r="H101" s="28"/>
      <c r="I101" s="76"/>
      <c r="J101" s="76"/>
      <c r="K101" s="76"/>
      <c r="L101" s="76"/>
      <c r="M101" s="76"/>
      <c r="N101" s="76"/>
      <c r="O101" s="76"/>
      <c r="P101" s="76"/>
      <c r="Q101" s="76"/>
      <c r="R101" s="76"/>
      <c r="S101" s="76"/>
      <c r="T101" s="76"/>
      <c r="U101" s="28" t="s">
        <v>320</v>
      </c>
      <c r="V101" s="17"/>
    </row>
    <row r="102" ht="23.25" customHeight="1" spans="1:22">
      <c r="A102" s="71">
        <v>45</v>
      </c>
      <c r="B102" s="73" t="s">
        <v>413</v>
      </c>
      <c r="C102" s="28" t="s">
        <v>320</v>
      </c>
      <c r="D102" s="71" t="s">
        <v>45</v>
      </c>
      <c r="E102" s="71"/>
      <c r="F102" s="71"/>
      <c r="G102" s="71"/>
      <c r="H102" s="71"/>
      <c r="I102" s="71"/>
      <c r="J102" s="28"/>
      <c r="K102" s="28"/>
      <c r="L102" s="28"/>
      <c r="M102" s="28"/>
      <c r="N102" s="28"/>
      <c r="O102" s="28"/>
      <c r="P102" s="28"/>
      <c r="Q102" s="28"/>
      <c r="R102" s="28"/>
      <c r="S102" s="86"/>
      <c r="T102" s="86"/>
      <c r="U102" s="86" t="s">
        <v>417</v>
      </c>
      <c r="V102" s="56"/>
    </row>
    <row r="103" ht="23.25" customHeight="1" spans="1:22">
      <c r="A103" s="71">
        <v>46</v>
      </c>
      <c r="B103" s="73" t="s">
        <v>919</v>
      </c>
      <c r="C103" s="28" t="s">
        <v>320</v>
      </c>
      <c r="D103" s="71" t="s">
        <v>45</v>
      </c>
      <c r="E103" s="71"/>
      <c r="F103" s="71"/>
      <c r="G103" s="71"/>
      <c r="H103" s="71"/>
      <c r="I103" s="71"/>
      <c r="J103" s="28"/>
      <c r="K103" s="28"/>
      <c r="L103" s="28"/>
      <c r="M103" s="28"/>
      <c r="N103" s="28"/>
      <c r="O103" s="28"/>
      <c r="P103" s="28"/>
      <c r="Q103" s="28"/>
      <c r="R103" s="28"/>
      <c r="S103" s="86"/>
      <c r="T103" s="86"/>
      <c r="U103" s="86" t="s">
        <v>435</v>
      </c>
      <c r="V103" s="56"/>
    </row>
    <row r="104" ht="23.25" customHeight="1" spans="1:22">
      <c r="A104" s="71">
        <v>47</v>
      </c>
      <c r="B104" s="90" t="s">
        <v>423</v>
      </c>
      <c r="C104" s="28" t="s">
        <v>320</v>
      </c>
      <c r="D104" s="71" t="s">
        <v>147</v>
      </c>
      <c r="E104" s="71"/>
      <c r="F104" s="71"/>
      <c r="G104" s="71"/>
      <c r="H104" s="71"/>
      <c r="I104" s="71"/>
      <c r="J104" s="28"/>
      <c r="K104" s="28"/>
      <c r="L104" s="28"/>
      <c r="M104" s="28"/>
      <c r="N104" s="28"/>
      <c r="O104" s="28"/>
      <c r="P104" s="28"/>
      <c r="Q104" s="28"/>
      <c r="R104" s="28"/>
      <c r="S104" s="84"/>
      <c r="T104" s="84"/>
      <c r="U104" s="86" t="s">
        <v>417</v>
      </c>
      <c r="V104" s="56"/>
    </row>
    <row r="105" ht="23.25" customHeight="1" spans="1:22">
      <c r="A105" s="71">
        <v>48</v>
      </c>
      <c r="B105" s="90" t="s">
        <v>434</v>
      </c>
      <c r="C105" s="28" t="s">
        <v>320</v>
      </c>
      <c r="D105" s="71" t="s">
        <v>147</v>
      </c>
      <c r="E105" s="71"/>
      <c r="F105" s="71"/>
      <c r="G105" s="71"/>
      <c r="H105" s="71"/>
      <c r="I105" s="71"/>
      <c r="J105" s="28"/>
      <c r="K105" s="28"/>
      <c r="L105" s="28"/>
      <c r="M105" s="28"/>
      <c r="N105" s="28"/>
      <c r="O105" s="28"/>
      <c r="P105" s="28"/>
      <c r="Q105" s="28"/>
      <c r="R105" s="28"/>
      <c r="S105" s="84"/>
      <c r="T105" s="84"/>
      <c r="U105" s="86" t="s">
        <v>435</v>
      </c>
      <c r="V105" s="56"/>
    </row>
    <row r="106" ht="23.25" customHeight="1" spans="1:22">
      <c r="A106" s="71">
        <v>49</v>
      </c>
      <c r="B106" s="73" t="s">
        <v>436</v>
      </c>
      <c r="C106" s="71" t="s">
        <v>52</v>
      </c>
      <c r="D106" s="71" t="s">
        <v>150</v>
      </c>
      <c r="E106" s="71"/>
      <c r="F106" s="71"/>
      <c r="G106" s="71"/>
      <c r="H106" s="71"/>
      <c r="I106" s="71"/>
      <c r="J106" s="28"/>
      <c r="K106" s="28"/>
      <c r="L106" s="28"/>
      <c r="M106" s="28"/>
      <c r="N106" s="28"/>
      <c r="O106" s="28"/>
      <c r="P106" s="28"/>
      <c r="Q106" s="28"/>
      <c r="R106" s="28"/>
      <c r="S106" s="84"/>
      <c r="T106" s="84"/>
      <c r="U106" s="86" t="s">
        <v>417</v>
      </c>
      <c r="V106" s="56"/>
    </row>
    <row r="107" s="64" customFormat="1" ht="23.25" customHeight="1" spans="1:22">
      <c r="A107" s="71">
        <v>50</v>
      </c>
      <c r="B107" s="72" t="s">
        <v>924</v>
      </c>
      <c r="C107" s="28" t="s">
        <v>320</v>
      </c>
      <c r="D107" s="28" t="s">
        <v>320</v>
      </c>
      <c r="E107" s="28"/>
      <c r="F107" s="28"/>
      <c r="G107" s="28"/>
      <c r="H107" s="28"/>
      <c r="I107" s="28"/>
      <c r="J107" s="28"/>
      <c r="K107" s="28"/>
      <c r="L107" s="28"/>
      <c r="M107" s="28"/>
      <c r="N107" s="28"/>
      <c r="O107" s="28"/>
      <c r="P107" s="28"/>
      <c r="Q107" s="28"/>
      <c r="R107" s="28"/>
      <c r="S107" s="84"/>
      <c r="T107" s="84"/>
      <c r="U107" s="28" t="s">
        <v>320</v>
      </c>
      <c r="V107" s="17"/>
    </row>
    <row r="108" s="65" customFormat="1" ht="23.25" customHeight="1" spans="1:22">
      <c r="A108" s="71">
        <v>51</v>
      </c>
      <c r="B108" s="73" t="s">
        <v>443</v>
      </c>
      <c r="C108" s="28" t="s">
        <v>320</v>
      </c>
      <c r="D108" s="71" t="s">
        <v>384</v>
      </c>
      <c r="E108" s="71"/>
      <c r="F108" s="71"/>
      <c r="G108" s="71"/>
      <c r="H108" s="28"/>
      <c r="I108" s="28"/>
      <c r="J108" s="28"/>
      <c r="K108" s="28"/>
      <c r="L108" s="28"/>
      <c r="M108" s="28"/>
      <c r="N108" s="28"/>
      <c r="O108" s="28"/>
      <c r="P108" s="28"/>
      <c r="Q108" s="28"/>
      <c r="R108" s="28"/>
      <c r="S108" s="86"/>
      <c r="T108" s="86"/>
      <c r="U108" s="86" t="s">
        <v>338</v>
      </c>
      <c r="V108" s="56"/>
    </row>
    <row r="109" s="65" customFormat="1" ht="23.25" customHeight="1" spans="1:22">
      <c r="A109" s="71">
        <v>52</v>
      </c>
      <c r="B109" s="73" t="s">
        <v>446</v>
      </c>
      <c r="C109" s="28" t="s">
        <v>320</v>
      </c>
      <c r="D109" s="71" t="s">
        <v>147</v>
      </c>
      <c r="E109" s="71"/>
      <c r="F109" s="71"/>
      <c r="G109" s="71"/>
      <c r="H109" s="28"/>
      <c r="I109" s="28"/>
      <c r="J109" s="28"/>
      <c r="K109" s="28"/>
      <c r="L109" s="28"/>
      <c r="M109" s="28"/>
      <c r="N109" s="28"/>
      <c r="O109" s="28"/>
      <c r="P109" s="28"/>
      <c r="Q109" s="28"/>
      <c r="R109" s="28"/>
      <c r="S109" s="84"/>
      <c r="T109" s="84"/>
      <c r="U109" s="28" t="s">
        <v>320</v>
      </c>
      <c r="V109" s="56"/>
    </row>
    <row r="110" s="65" customFormat="1" ht="23.25" customHeight="1" spans="1:22">
      <c r="A110" s="71">
        <v>53</v>
      </c>
      <c r="B110" s="73" t="s">
        <v>447</v>
      </c>
      <c r="C110" s="28" t="s">
        <v>320</v>
      </c>
      <c r="D110" s="71" t="s">
        <v>147</v>
      </c>
      <c r="E110" s="71"/>
      <c r="F110" s="71"/>
      <c r="G110" s="71"/>
      <c r="H110" s="28"/>
      <c r="I110" s="28"/>
      <c r="J110" s="28"/>
      <c r="K110" s="28"/>
      <c r="L110" s="28"/>
      <c r="M110" s="28"/>
      <c r="N110" s="28"/>
      <c r="O110" s="28"/>
      <c r="P110" s="28"/>
      <c r="Q110" s="28"/>
      <c r="R110" s="28"/>
      <c r="S110" s="71"/>
      <c r="T110" s="71"/>
      <c r="U110" s="86" t="s">
        <v>338</v>
      </c>
      <c r="V110" s="56"/>
    </row>
    <row r="111" s="65" customFormat="1" ht="23.25" customHeight="1" spans="1:22">
      <c r="A111" s="71">
        <v>54</v>
      </c>
      <c r="B111" s="73" t="s">
        <v>448</v>
      </c>
      <c r="C111" s="28" t="s">
        <v>320</v>
      </c>
      <c r="D111" s="71" t="s">
        <v>147</v>
      </c>
      <c r="E111" s="71"/>
      <c r="F111" s="71"/>
      <c r="G111" s="71"/>
      <c r="H111" s="28"/>
      <c r="I111" s="28"/>
      <c r="J111" s="28"/>
      <c r="K111" s="28"/>
      <c r="L111" s="28"/>
      <c r="M111" s="28"/>
      <c r="N111" s="28"/>
      <c r="O111" s="28"/>
      <c r="P111" s="28"/>
      <c r="Q111" s="28"/>
      <c r="R111" s="28"/>
      <c r="S111" s="71"/>
      <c r="T111" s="71"/>
      <c r="U111" s="86" t="s">
        <v>338</v>
      </c>
      <c r="V111" s="56"/>
    </row>
    <row r="112" s="65" customFormat="1" ht="23.25" customHeight="1" spans="1:22">
      <c r="A112" s="71">
        <v>55</v>
      </c>
      <c r="B112" s="73" t="s">
        <v>449</v>
      </c>
      <c r="C112" s="28" t="s">
        <v>320</v>
      </c>
      <c r="D112" s="71" t="s">
        <v>147</v>
      </c>
      <c r="E112" s="71"/>
      <c r="F112" s="71"/>
      <c r="G112" s="71"/>
      <c r="H112" s="28"/>
      <c r="I112" s="28"/>
      <c r="J112" s="28"/>
      <c r="K112" s="28"/>
      <c r="L112" s="28"/>
      <c r="M112" s="28"/>
      <c r="N112" s="28"/>
      <c r="O112" s="28"/>
      <c r="P112" s="28"/>
      <c r="Q112" s="28"/>
      <c r="R112" s="28"/>
      <c r="S112" s="86"/>
      <c r="T112" s="86"/>
      <c r="U112" s="86" t="s">
        <v>452</v>
      </c>
      <c r="V112" s="56"/>
    </row>
    <row r="113" s="65" customFormat="1" ht="23.25" customHeight="1" spans="1:22">
      <c r="A113" s="71">
        <v>56</v>
      </c>
      <c r="B113" s="73" t="s">
        <v>457</v>
      </c>
      <c r="C113" s="28" t="s">
        <v>320</v>
      </c>
      <c r="D113" s="71"/>
      <c r="E113" s="71"/>
      <c r="F113" s="71"/>
      <c r="G113" s="71"/>
      <c r="H113" s="28"/>
      <c r="I113" s="28"/>
      <c r="J113" s="28"/>
      <c r="K113" s="28"/>
      <c r="L113" s="28"/>
      <c r="M113" s="28"/>
      <c r="N113" s="28"/>
      <c r="O113" s="28"/>
      <c r="P113" s="28"/>
      <c r="Q113" s="28"/>
      <c r="R113" s="28"/>
      <c r="S113" s="86"/>
      <c r="T113" s="86"/>
      <c r="U113" s="28" t="s">
        <v>320</v>
      </c>
      <c r="V113" s="56"/>
    </row>
    <row r="114" s="65" customFormat="1" ht="23.25" customHeight="1" spans="1:22">
      <c r="A114" s="71">
        <v>57</v>
      </c>
      <c r="B114" s="73" t="s">
        <v>458</v>
      </c>
      <c r="C114" s="28" t="s">
        <v>320</v>
      </c>
      <c r="D114" s="71" t="s">
        <v>147</v>
      </c>
      <c r="E114" s="71"/>
      <c r="F114" s="71"/>
      <c r="G114" s="71"/>
      <c r="H114" s="28"/>
      <c r="I114" s="28"/>
      <c r="J114" s="28"/>
      <c r="K114" s="28"/>
      <c r="L114" s="28"/>
      <c r="M114" s="28"/>
      <c r="N114" s="28"/>
      <c r="O114" s="28"/>
      <c r="P114" s="28"/>
      <c r="Q114" s="28"/>
      <c r="R114" s="28"/>
      <c r="S114" s="86"/>
      <c r="T114" s="86"/>
      <c r="U114" s="86" t="s">
        <v>338</v>
      </c>
      <c r="V114" s="56"/>
    </row>
    <row r="115" s="65" customFormat="1" ht="23.25" customHeight="1" spans="1:22">
      <c r="A115" s="71">
        <v>58</v>
      </c>
      <c r="B115" s="73" t="s">
        <v>459</v>
      </c>
      <c r="C115" s="28" t="s">
        <v>320</v>
      </c>
      <c r="D115" s="71" t="s">
        <v>147</v>
      </c>
      <c r="E115" s="71"/>
      <c r="F115" s="71"/>
      <c r="G115" s="71"/>
      <c r="H115" s="28"/>
      <c r="I115" s="28"/>
      <c r="J115" s="28"/>
      <c r="K115" s="28"/>
      <c r="L115" s="28"/>
      <c r="M115" s="28"/>
      <c r="N115" s="28"/>
      <c r="O115" s="28"/>
      <c r="P115" s="28"/>
      <c r="Q115" s="28"/>
      <c r="R115" s="28"/>
      <c r="S115" s="86"/>
      <c r="T115" s="86"/>
      <c r="U115" s="86" t="s">
        <v>338</v>
      </c>
      <c r="V115" s="56"/>
    </row>
    <row r="116" ht="23.25" customHeight="1" spans="1:22">
      <c r="A116" s="71">
        <v>59</v>
      </c>
      <c r="B116" s="75" t="s">
        <v>951</v>
      </c>
      <c r="C116" s="71" t="s">
        <v>320</v>
      </c>
      <c r="D116" s="71" t="s">
        <v>320</v>
      </c>
      <c r="E116" s="71" t="s">
        <v>320</v>
      </c>
      <c r="F116" s="71">
        <f>F117+F118+F127+F128+F129+F133+F135+F137+F140+F144+F147</f>
        <v>37860</v>
      </c>
      <c r="G116" s="71">
        <f>G117+G118+G127+G128+G129+G133+G135+G137+G140+G144+G147</f>
        <v>167814</v>
      </c>
      <c r="H116" s="71">
        <v>2018</v>
      </c>
      <c r="I116" s="71">
        <v>2020</v>
      </c>
      <c r="J116" s="71">
        <f>K116+L116+M116</f>
        <v>17044.481</v>
      </c>
      <c r="K116" s="71">
        <f>K117+K118+K127+K128+K129+K133+K135+K137+K140+K144+K147</f>
        <v>4550.481</v>
      </c>
      <c r="L116" s="71">
        <f t="shared" ref="L116:R116" si="25">L117+L118+L127+L128+L129+L133+L135+L137+L140+L144+L147</f>
        <v>4416</v>
      </c>
      <c r="M116" s="71">
        <f t="shared" si="25"/>
        <v>8078</v>
      </c>
      <c r="N116" s="71">
        <f t="shared" si="25"/>
        <v>0</v>
      </c>
      <c r="O116" s="71">
        <f t="shared" si="25"/>
        <v>15128.481</v>
      </c>
      <c r="P116" s="71">
        <f t="shared" si="25"/>
        <v>176</v>
      </c>
      <c r="Q116" s="71">
        <f t="shared" si="25"/>
        <v>1740</v>
      </c>
      <c r="R116" s="71">
        <f t="shared" si="25"/>
        <v>0</v>
      </c>
      <c r="S116" s="84"/>
      <c r="T116" s="84"/>
      <c r="U116" s="84"/>
      <c r="V116" s="56"/>
    </row>
    <row r="117" ht="23.25" customHeight="1" spans="1:22">
      <c r="A117" s="71">
        <v>60</v>
      </c>
      <c r="B117" s="75" t="s">
        <v>3092</v>
      </c>
      <c r="C117" s="71" t="s">
        <v>320</v>
      </c>
      <c r="D117" s="71" t="s">
        <v>320</v>
      </c>
      <c r="E117" s="71" t="s">
        <v>320</v>
      </c>
      <c r="F117" s="71"/>
      <c r="G117" s="71"/>
      <c r="H117" s="71"/>
      <c r="I117" s="71"/>
      <c r="J117" s="71"/>
      <c r="K117" s="71"/>
      <c r="L117" s="71"/>
      <c r="M117" s="71"/>
      <c r="N117" s="71"/>
      <c r="O117" s="71"/>
      <c r="P117" s="71"/>
      <c r="Q117" s="71"/>
      <c r="R117" s="71"/>
      <c r="S117" s="71"/>
      <c r="T117" s="71"/>
      <c r="U117" s="71" t="s">
        <v>320</v>
      </c>
      <c r="V117" s="56"/>
    </row>
    <row r="118" ht="23.25" customHeight="1" spans="1:22">
      <c r="A118" s="71">
        <v>61</v>
      </c>
      <c r="B118" s="75" t="s">
        <v>462</v>
      </c>
      <c r="C118" s="71" t="s">
        <v>320</v>
      </c>
      <c r="D118" s="71" t="s">
        <v>192</v>
      </c>
      <c r="E118" s="71"/>
      <c r="F118" s="71">
        <f>F119+F120+F121+F125</f>
        <v>4004</v>
      </c>
      <c r="G118" s="71">
        <f t="shared" ref="G118:R118" si="26">G119+G120+G121+G125</f>
        <v>15105</v>
      </c>
      <c r="H118" s="71">
        <v>2018</v>
      </c>
      <c r="I118" s="71">
        <v>2020</v>
      </c>
      <c r="J118" s="71">
        <f>J119+J120+J121+J125</f>
        <v>3154</v>
      </c>
      <c r="K118" s="71">
        <f t="shared" si="26"/>
        <v>1000</v>
      </c>
      <c r="L118" s="71">
        <f t="shared" si="26"/>
        <v>2076</v>
      </c>
      <c r="M118" s="71">
        <f t="shared" si="26"/>
        <v>78</v>
      </c>
      <c r="N118" s="71">
        <f t="shared" si="26"/>
        <v>0</v>
      </c>
      <c r="O118" s="71">
        <f t="shared" si="26"/>
        <v>3154</v>
      </c>
      <c r="P118" s="71">
        <f t="shared" si="26"/>
        <v>0</v>
      </c>
      <c r="Q118" s="71">
        <f t="shared" si="26"/>
        <v>0</v>
      </c>
      <c r="R118" s="71">
        <f t="shared" si="26"/>
        <v>0</v>
      </c>
      <c r="S118" s="71"/>
      <c r="T118" s="86"/>
      <c r="U118" s="71" t="s">
        <v>320</v>
      </c>
      <c r="V118" s="56"/>
    </row>
    <row r="119" ht="39" customHeight="1" spans="1:22">
      <c r="A119" s="71">
        <v>62</v>
      </c>
      <c r="B119" s="90" t="s">
        <v>464</v>
      </c>
      <c r="C119" s="71" t="s">
        <v>1124</v>
      </c>
      <c r="D119" s="71" t="s">
        <v>192</v>
      </c>
      <c r="E119" s="71"/>
      <c r="F119" s="71"/>
      <c r="G119" s="71"/>
      <c r="H119" s="71"/>
      <c r="I119" s="71"/>
      <c r="J119" s="71"/>
      <c r="K119" s="71"/>
      <c r="L119" s="71"/>
      <c r="M119" s="71"/>
      <c r="N119" s="71"/>
      <c r="O119" s="71"/>
      <c r="P119" s="71"/>
      <c r="Q119" s="71"/>
      <c r="R119" s="71"/>
      <c r="S119" s="86"/>
      <c r="T119" s="86"/>
      <c r="U119" s="86" t="s">
        <v>271</v>
      </c>
      <c r="V119" s="56"/>
    </row>
    <row r="120" ht="23.25" customHeight="1" spans="1:22">
      <c r="A120" s="71">
        <v>63</v>
      </c>
      <c r="B120" s="90" t="s">
        <v>3093</v>
      </c>
      <c r="C120" s="71" t="s">
        <v>1124</v>
      </c>
      <c r="D120" s="71" t="s">
        <v>560</v>
      </c>
      <c r="E120" s="71"/>
      <c r="F120" s="71"/>
      <c r="G120" s="71"/>
      <c r="H120" s="71"/>
      <c r="I120" s="71"/>
      <c r="J120" s="71"/>
      <c r="K120" s="71"/>
      <c r="L120" s="71"/>
      <c r="M120" s="71"/>
      <c r="N120" s="71"/>
      <c r="O120" s="71"/>
      <c r="P120" s="71"/>
      <c r="Q120" s="71"/>
      <c r="R120" s="71"/>
      <c r="S120" s="86"/>
      <c r="T120" s="86"/>
      <c r="U120" s="86" t="s">
        <v>1153</v>
      </c>
      <c r="V120" s="56"/>
    </row>
    <row r="121" ht="23.25" customHeight="1" spans="1:22">
      <c r="A121" s="71"/>
      <c r="B121" s="90" t="s">
        <v>2939</v>
      </c>
      <c r="C121" s="71"/>
      <c r="D121" s="71"/>
      <c r="E121" s="71"/>
      <c r="F121" s="71">
        <f>F122+F123+F124</f>
        <v>3644</v>
      </c>
      <c r="G121" s="71">
        <f t="shared" ref="G121:R121" si="27">G122+G123+G124</f>
        <v>13671</v>
      </c>
      <c r="H121" s="71">
        <v>2018</v>
      </c>
      <c r="I121" s="71">
        <v>2020</v>
      </c>
      <c r="J121" s="71">
        <f t="shared" si="27"/>
        <v>2954</v>
      </c>
      <c r="K121" s="71">
        <f t="shared" si="27"/>
        <v>1000</v>
      </c>
      <c r="L121" s="71">
        <f t="shared" si="27"/>
        <v>1876</v>
      </c>
      <c r="M121" s="71">
        <f t="shared" si="27"/>
        <v>78</v>
      </c>
      <c r="N121" s="71">
        <f t="shared" si="27"/>
        <v>0</v>
      </c>
      <c r="O121" s="71">
        <f t="shared" si="27"/>
        <v>2954</v>
      </c>
      <c r="P121" s="71">
        <f t="shared" si="27"/>
        <v>0</v>
      </c>
      <c r="Q121" s="71">
        <f t="shared" si="27"/>
        <v>0</v>
      </c>
      <c r="R121" s="71">
        <f t="shared" si="27"/>
        <v>0</v>
      </c>
      <c r="S121" s="86"/>
      <c r="T121" s="86"/>
      <c r="U121" s="86"/>
      <c r="V121" s="56"/>
    </row>
    <row r="122" s="62" customFormat="1" ht="61.5" customHeight="1" spans="1:22">
      <c r="A122" s="71"/>
      <c r="B122" s="73" t="s">
        <v>3094</v>
      </c>
      <c r="C122" s="71" t="s">
        <v>52</v>
      </c>
      <c r="D122" s="71" t="s">
        <v>192</v>
      </c>
      <c r="E122" s="71">
        <v>20</v>
      </c>
      <c r="F122" s="71">
        <v>500</v>
      </c>
      <c r="G122" s="71">
        <v>1750</v>
      </c>
      <c r="H122" s="71">
        <v>2018</v>
      </c>
      <c r="I122" s="71">
        <v>2020</v>
      </c>
      <c r="J122" s="71">
        <f>K122+L122+M122</f>
        <v>2289</v>
      </c>
      <c r="K122" s="71">
        <v>1000</v>
      </c>
      <c r="L122" s="71">
        <v>1211</v>
      </c>
      <c r="M122" s="71">
        <v>78</v>
      </c>
      <c r="N122" s="71"/>
      <c r="O122" s="71">
        <f>J122</f>
        <v>2289</v>
      </c>
      <c r="P122" s="71"/>
      <c r="Q122" s="71"/>
      <c r="R122" s="71"/>
      <c r="S122" s="71" t="s">
        <v>3095</v>
      </c>
      <c r="T122" s="71" t="s">
        <v>3096</v>
      </c>
      <c r="U122" s="71" t="s">
        <v>271</v>
      </c>
      <c r="V122" s="74" t="s">
        <v>3097</v>
      </c>
    </row>
    <row r="123" s="62" customFormat="1" ht="26.1" customHeight="1" spans="1:22">
      <c r="A123" s="71"/>
      <c r="B123" s="73" t="s">
        <v>3098</v>
      </c>
      <c r="C123" s="71" t="s">
        <v>52</v>
      </c>
      <c r="D123" s="71" t="s">
        <v>1504</v>
      </c>
      <c r="E123" s="71">
        <v>35.88</v>
      </c>
      <c r="F123" s="71">
        <f>1345+1299</f>
        <v>2644</v>
      </c>
      <c r="G123" s="71">
        <f>4874+5297</f>
        <v>10171</v>
      </c>
      <c r="H123" s="71">
        <v>2019</v>
      </c>
      <c r="I123" s="71">
        <v>2020</v>
      </c>
      <c r="J123" s="71">
        <f>K123+L123+M123</f>
        <v>300</v>
      </c>
      <c r="K123" s="71"/>
      <c r="L123" s="71">
        <v>300</v>
      </c>
      <c r="M123" s="71"/>
      <c r="N123" s="71"/>
      <c r="O123" s="71">
        <f>J123</f>
        <v>300</v>
      </c>
      <c r="P123" s="71"/>
      <c r="Q123" s="71"/>
      <c r="R123" s="71"/>
      <c r="S123" s="71" t="s">
        <v>3095</v>
      </c>
      <c r="T123" s="71" t="s">
        <v>3096</v>
      </c>
      <c r="U123" s="71" t="s">
        <v>271</v>
      </c>
      <c r="V123" s="74"/>
    </row>
    <row r="124" s="62" customFormat="1" ht="32.1" customHeight="1" spans="1:22">
      <c r="A124" s="71"/>
      <c r="B124" s="73" t="s">
        <v>3099</v>
      </c>
      <c r="C124" s="71" t="s">
        <v>52</v>
      </c>
      <c r="D124" s="71" t="s">
        <v>192</v>
      </c>
      <c r="E124" s="71">
        <v>3.5</v>
      </c>
      <c r="F124" s="71">
        <v>500</v>
      </c>
      <c r="G124" s="71">
        <f>500*3.5</f>
        <v>1750</v>
      </c>
      <c r="H124" s="71">
        <v>2019</v>
      </c>
      <c r="I124" s="71">
        <v>2020</v>
      </c>
      <c r="J124" s="71">
        <f>K124+L124+M124</f>
        <v>365</v>
      </c>
      <c r="K124" s="71"/>
      <c r="L124" s="71">
        <v>365</v>
      </c>
      <c r="M124" s="71"/>
      <c r="N124" s="71"/>
      <c r="O124" s="71">
        <f>J124</f>
        <v>365</v>
      </c>
      <c r="P124" s="71"/>
      <c r="Q124" s="71"/>
      <c r="R124" s="71"/>
      <c r="S124" s="71" t="s">
        <v>3095</v>
      </c>
      <c r="T124" s="71" t="s">
        <v>3096</v>
      </c>
      <c r="U124" s="71" t="s">
        <v>271</v>
      </c>
      <c r="V124" s="74"/>
    </row>
    <row r="125" s="62" customFormat="1" ht="32.1" customHeight="1" spans="1:22">
      <c r="A125" s="71"/>
      <c r="B125" s="95" t="s">
        <v>3100</v>
      </c>
      <c r="C125" s="71" t="str">
        <f>C126</f>
        <v>维修</v>
      </c>
      <c r="D125" s="71" t="str">
        <f t="shared" ref="D125:R125" si="28">D126</f>
        <v>公里</v>
      </c>
      <c r="E125" s="71">
        <f t="shared" si="28"/>
        <v>18</v>
      </c>
      <c r="F125" s="71">
        <f t="shared" si="28"/>
        <v>360</v>
      </c>
      <c r="G125" s="71">
        <f t="shared" si="28"/>
        <v>1434</v>
      </c>
      <c r="H125" s="71">
        <f t="shared" si="28"/>
        <v>2019</v>
      </c>
      <c r="I125" s="71">
        <f t="shared" si="28"/>
        <v>2020</v>
      </c>
      <c r="J125" s="71">
        <f t="shared" si="28"/>
        <v>200</v>
      </c>
      <c r="K125" s="71">
        <f t="shared" si="28"/>
        <v>0</v>
      </c>
      <c r="L125" s="71">
        <f t="shared" si="28"/>
        <v>200</v>
      </c>
      <c r="M125" s="71">
        <f t="shared" si="28"/>
        <v>0</v>
      </c>
      <c r="N125" s="71">
        <f t="shared" si="28"/>
        <v>0</v>
      </c>
      <c r="O125" s="71">
        <f t="shared" si="28"/>
        <v>200</v>
      </c>
      <c r="P125" s="71">
        <f t="shared" si="28"/>
        <v>0</v>
      </c>
      <c r="Q125" s="71">
        <f t="shared" si="28"/>
        <v>0</v>
      </c>
      <c r="R125" s="71">
        <f t="shared" si="28"/>
        <v>0</v>
      </c>
      <c r="S125" s="71" t="s">
        <v>3095</v>
      </c>
      <c r="T125" s="71" t="s">
        <v>3096</v>
      </c>
      <c r="U125" s="71" t="s">
        <v>271</v>
      </c>
      <c r="V125" s="74"/>
    </row>
    <row r="126" s="62" customFormat="1" ht="32.1" customHeight="1" spans="1:22">
      <c r="A126" s="71"/>
      <c r="B126" s="73" t="s">
        <v>3101</v>
      </c>
      <c r="C126" s="71" t="s">
        <v>409</v>
      </c>
      <c r="D126" s="71" t="s">
        <v>192</v>
      </c>
      <c r="E126" s="71">
        <v>18</v>
      </c>
      <c r="F126" s="71">
        <v>360</v>
      </c>
      <c r="G126" s="71">
        <v>1434</v>
      </c>
      <c r="H126" s="71">
        <v>2019</v>
      </c>
      <c r="I126" s="71">
        <v>2020</v>
      </c>
      <c r="J126" s="71">
        <f>K126+L126+M126</f>
        <v>200</v>
      </c>
      <c r="K126" s="71"/>
      <c r="L126" s="71">
        <v>200</v>
      </c>
      <c r="M126" s="71"/>
      <c r="N126" s="71"/>
      <c r="O126" s="71">
        <f>J126</f>
        <v>200</v>
      </c>
      <c r="P126" s="71"/>
      <c r="Q126" s="71"/>
      <c r="R126" s="71"/>
      <c r="S126" s="71" t="s">
        <v>3095</v>
      </c>
      <c r="T126" s="71" t="s">
        <v>3096</v>
      </c>
      <c r="U126" s="71" t="s">
        <v>271</v>
      </c>
      <c r="V126" s="74"/>
    </row>
    <row r="127" ht="23.25" customHeight="1" spans="1:22">
      <c r="A127" s="71">
        <v>64</v>
      </c>
      <c r="B127" s="75" t="s">
        <v>495</v>
      </c>
      <c r="C127" s="71" t="s">
        <v>1124</v>
      </c>
      <c r="D127" s="71" t="s">
        <v>496</v>
      </c>
      <c r="E127" s="71"/>
      <c r="F127" s="71"/>
      <c r="G127" s="71"/>
      <c r="H127" s="71"/>
      <c r="I127" s="71"/>
      <c r="J127" s="71"/>
      <c r="K127" s="71"/>
      <c r="L127" s="71"/>
      <c r="M127" s="71"/>
      <c r="N127" s="71"/>
      <c r="O127" s="71"/>
      <c r="P127" s="71"/>
      <c r="Q127" s="71"/>
      <c r="R127" s="71"/>
      <c r="S127" s="86"/>
      <c r="T127" s="86"/>
      <c r="U127" s="86" t="s">
        <v>497</v>
      </c>
      <c r="V127" s="56"/>
    </row>
    <row r="128" ht="23.25" customHeight="1" spans="1:22">
      <c r="A128" s="71">
        <v>65</v>
      </c>
      <c r="B128" s="75" t="s">
        <v>499</v>
      </c>
      <c r="C128" s="71" t="s">
        <v>1124</v>
      </c>
      <c r="D128" s="71" t="s">
        <v>384</v>
      </c>
      <c r="E128" s="71"/>
      <c r="F128" s="71"/>
      <c r="G128" s="71"/>
      <c r="H128" s="71"/>
      <c r="I128" s="71"/>
      <c r="J128" s="71"/>
      <c r="K128" s="71"/>
      <c r="L128" s="71"/>
      <c r="M128" s="71"/>
      <c r="N128" s="71"/>
      <c r="O128" s="71"/>
      <c r="P128" s="71"/>
      <c r="Q128" s="71"/>
      <c r="R128" s="71"/>
      <c r="S128" s="86"/>
      <c r="T128" s="86"/>
      <c r="U128" s="86" t="s">
        <v>500</v>
      </c>
      <c r="V128" s="56"/>
    </row>
    <row r="129" ht="23.25" customHeight="1" spans="1:22">
      <c r="A129" s="71">
        <v>66</v>
      </c>
      <c r="B129" s="75" t="s">
        <v>501</v>
      </c>
      <c r="C129" s="71" t="s">
        <v>320</v>
      </c>
      <c r="D129" s="71" t="s">
        <v>320</v>
      </c>
      <c r="E129" s="71"/>
      <c r="F129" s="71"/>
      <c r="G129" s="71"/>
      <c r="H129" s="71"/>
      <c r="I129" s="71"/>
      <c r="J129" s="71"/>
      <c r="K129" s="71"/>
      <c r="L129" s="71"/>
      <c r="M129" s="71"/>
      <c r="N129" s="71"/>
      <c r="O129" s="71"/>
      <c r="P129" s="71"/>
      <c r="Q129" s="71"/>
      <c r="R129" s="71"/>
      <c r="S129" s="86"/>
      <c r="T129" s="86"/>
      <c r="U129" s="71" t="s">
        <v>320</v>
      </c>
      <c r="V129" s="56"/>
    </row>
    <row r="130" ht="23.25" customHeight="1" spans="1:22">
      <c r="A130" s="71">
        <v>67</v>
      </c>
      <c r="B130" s="90" t="s">
        <v>502</v>
      </c>
      <c r="C130" s="71" t="s">
        <v>1124</v>
      </c>
      <c r="D130" s="71" t="s">
        <v>496</v>
      </c>
      <c r="E130" s="71"/>
      <c r="F130" s="71"/>
      <c r="G130" s="71"/>
      <c r="H130" s="71"/>
      <c r="I130" s="71"/>
      <c r="J130" s="71"/>
      <c r="K130" s="71"/>
      <c r="L130" s="71"/>
      <c r="M130" s="71"/>
      <c r="N130" s="71"/>
      <c r="O130" s="71"/>
      <c r="P130" s="71"/>
      <c r="Q130" s="71"/>
      <c r="R130" s="71"/>
      <c r="S130" s="86"/>
      <c r="T130" s="86"/>
      <c r="U130" s="86" t="s">
        <v>497</v>
      </c>
      <c r="V130" s="56"/>
    </row>
    <row r="131" ht="23.25" customHeight="1" spans="1:22">
      <c r="A131" s="71">
        <v>68</v>
      </c>
      <c r="B131" s="90" t="s">
        <v>503</v>
      </c>
      <c r="C131" s="71" t="s">
        <v>1124</v>
      </c>
      <c r="D131" s="71" t="s">
        <v>496</v>
      </c>
      <c r="E131" s="71"/>
      <c r="F131" s="71"/>
      <c r="G131" s="71"/>
      <c r="H131" s="71"/>
      <c r="I131" s="71"/>
      <c r="J131" s="71"/>
      <c r="K131" s="71"/>
      <c r="L131" s="71"/>
      <c r="M131" s="71"/>
      <c r="N131" s="71"/>
      <c r="O131" s="71"/>
      <c r="P131" s="71"/>
      <c r="Q131" s="71"/>
      <c r="R131" s="71"/>
      <c r="S131" s="86"/>
      <c r="T131" s="86"/>
      <c r="U131" s="86" t="s">
        <v>497</v>
      </c>
      <c r="V131" s="56"/>
    </row>
    <row r="132" ht="23.25" customHeight="1" spans="1:22">
      <c r="A132" s="71">
        <v>69</v>
      </c>
      <c r="B132" s="90" t="s">
        <v>504</v>
      </c>
      <c r="C132" s="71" t="s">
        <v>1124</v>
      </c>
      <c r="D132" s="71" t="s">
        <v>496</v>
      </c>
      <c r="E132" s="71"/>
      <c r="F132" s="71"/>
      <c r="G132" s="71"/>
      <c r="H132" s="71"/>
      <c r="I132" s="71"/>
      <c r="J132" s="71"/>
      <c r="K132" s="71"/>
      <c r="L132" s="71"/>
      <c r="M132" s="71"/>
      <c r="N132" s="71"/>
      <c r="O132" s="71"/>
      <c r="P132" s="71"/>
      <c r="Q132" s="71"/>
      <c r="R132" s="71"/>
      <c r="S132" s="86"/>
      <c r="T132" s="86"/>
      <c r="U132" s="86" t="s">
        <v>497</v>
      </c>
      <c r="V132" s="56"/>
    </row>
    <row r="133" ht="23.25" customHeight="1" spans="1:22">
      <c r="A133" s="71">
        <v>70</v>
      </c>
      <c r="B133" s="72" t="s">
        <v>505</v>
      </c>
      <c r="C133" s="71" t="s">
        <v>1124</v>
      </c>
      <c r="D133" s="71"/>
      <c r="E133" s="71" t="s">
        <v>320</v>
      </c>
      <c r="F133" s="71">
        <f>F134</f>
        <v>3500</v>
      </c>
      <c r="G133" s="71">
        <f t="shared" ref="G133:R133" si="29">G134</f>
        <v>9600</v>
      </c>
      <c r="H133" s="71">
        <f t="shared" si="29"/>
        <v>2018</v>
      </c>
      <c r="I133" s="71">
        <f t="shared" si="29"/>
        <v>2020</v>
      </c>
      <c r="J133" s="71">
        <f t="shared" si="29"/>
        <v>3000</v>
      </c>
      <c r="K133" s="71">
        <f t="shared" si="29"/>
        <v>3000</v>
      </c>
      <c r="L133" s="71">
        <f t="shared" si="29"/>
        <v>0</v>
      </c>
      <c r="M133" s="71">
        <f t="shared" si="29"/>
        <v>0</v>
      </c>
      <c r="N133" s="71">
        <f t="shared" si="29"/>
        <v>0</v>
      </c>
      <c r="O133" s="71">
        <f t="shared" si="29"/>
        <v>3000</v>
      </c>
      <c r="P133" s="71">
        <f t="shared" si="29"/>
        <v>0</v>
      </c>
      <c r="Q133" s="71">
        <f t="shared" si="29"/>
        <v>0</v>
      </c>
      <c r="R133" s="71">
        <f t="shared" si="29"/>
        <v>0</v>
      </c>
      <c r="S133" s="71" t="s">
        <v>3045</v>
      </c>
      <c r="T133" s="84"/>
      <c r="U133" s="86" t="s">
        <v>275</v>
      </c>
      <c r="V133" s="56"/>
    </row>
    <row r="134" s="66" customFormat="1" ht="108" customHeight="1" spans="1:22">
      <c r="A134" s="71"/>
      <c r="B134" s="73" t="s">
        <v>3102</v>
      </c>
      <c r="C134" s="71" t="s">
        <v>52</v>
      </c>
      <c r="D134" s="71" t="s">
        <v>3103</v>
      </c>
      <c r="E134" s="71">
        <v>317.7</v>
      </c>
      <c r="F134" s="71">
        <v>3500</v>
      </c>
      <c r="G134" s="71">
        <v>9600</v>
      </c>
      <c r="H134" s="71">
        <v>2018</v>
      </c>
      <c r="I134" s="71">
        <v>2020</v>
      </c>
      <c r="J134" s="71">
        <f>K134+L134+M134</f>
        <v>3000</v>
      </c>
      <c r="K134" s="71">
        <v>3000</v>
      </c>
      <c r="L134" s="71"/>
      <c r="M134" s="71"/>
      <c r="N134" s="71"/>
      <c r="O134" s="71">
        <v>3000</v>
      </c>
      <c r="P134" s="71"/>
      <c r="Q134" s="71"/>
      <c r="R134" s="91"/>
      <c r="S134" s="71" t="s">
        <v>3045</v>
      </c>
      <c r="T134" s="71" t="s">
        <v>3046</v>
      </c>
      <c r="U134" s="71" t="s">
        <v>275</v>
      </c>
      <c r="V134" s="74" t="s">
        <v>3104</v>
      </c>
    </row>
    <row r="135" ht="23.25" customHeight="1" spans="1:22">
      <c r="A135" s="71">
        <v>71</v>
      </c>
      <c r="B135" s="75" t="s">
        <v>537</v>
      </c>
      <c r="C135" s="71" t="s">
        <v>320</v>
      </c>
      <c r="D135" s="71" t="s">
        <v>320</v>
      </c>
      <c r="E135" s="71"/>
      <c r="F135" s="71"/>
      <c r="G135" s="71"/>
      <c r="H135" s="71"/>
      <c r="I135" s="71"/>
      <c r="J135" s="71"/>
      <c r="K135" s="71"/>
      <c r="L135" s="71"/>
      <c r="M135" s="71"/>
      <c r="N135" s="71"/>
      <c r="O135" s="71"/>
      <c r="P135" s="71"/>
      <c r="Q135" s="71"/>
      <c r="R135" s="71"/>
      <c r="S135" s="86"/>
      <c r="T135" s="86"/>
      <c r="U135" s="71" t="s">
        <v>320</v>
      </c>
      <c r="V135" s="56"/>
    </row>
    <row r="136" ht="23.25" customHeight="1" spans="1:22">
      <c r="A136" s="71"/>
      <c r="B136" s="90" t="s">
        <v>1019</v>
      </c>
      <c r="C136" s="71" t="s">
        <v>52</v>
      </c>
      <c r="D136" s="71" t="s">
        <v>150</v>
      </c>
      <c r="E136" s="71"/>
      <c r="F136" s="71"/>
      <c r="G136" s="71"/>
      <c r="H136" s="71"/>
      <c r="I136" s="71"/>
      <c r="J136" s="71"/>
      <c r="K136" s="71"/>
      <c r="L136" s="71"/>
      <c r="M136" s="71"/>
      <c r="N136" s="71"/>
      <c r="O136" s="71"/>
      <c r="P136" s="71"/>
      <c r="Q136" s="71"/>
      <c r="R136" s="71"/>
      <c r="S136" s="86"/>
      <c r="T136" s="86"/>
      <c r="U136" s="86" t="s">
        <v>358</v>
      </c>
      <c r="V136" s="56"/>
    </row>
    <row r="137" ht="23.25" customHeight="1" spans="1:22">
      <c r="A137" s="71">
        <v>72</v>
      </c>
      <c r="B137" s="75" t="s">
        <v>552</v>
      </c>
      <c r="C137" s="71" t="s">
        <v>320</v>
      </c>
      <c r="D137" s="71" t="s">
        <v>320</v>
      </c>
      <c r="E137" s="71">
        <f t="shared" ref="E137:R137" si="30">E139</f>
        <v>362</v>
      </c>
      <c r="F137" s="71">
        <f t="shared" si="30"/>
        <v>10566</v>
      </c>
      <c r="G137" s="71">
        <f t="shared" si="30"/>
        <v>66110</v>
      </c>
      <c r="H137" s="71">
        <f t="shared" si="30"/>
        <v>2020</v>
      </c>
      <c r="I137" s="71">
        <f t="shared" si="30"/>
        <v>2020</v>
      </c>
      <c r="J137" s="71">
        <f t="shared" si="30"/>
        <v>8000</v>
      </c>
      <c r="K137" s="71">
        <f t="shared" si="30"/>
        <v>0</v>
      </c>
      <c r="L137" s="71">
        <f t="shared" si="30"/>
        <v>0</v>
      </c>
      <c r="M137" s="71">
        <f t="shared" si="30"/>
        <v>8000</v>
      </c>
      <c r="N137" s="71">
        <f t="shared" si="30"/>
        <v>0</v>
      </c>
      <c r="O137" s="71">
        <f t="shared" si="30"/>
        <v>8000</v>
      </c>
      <c r="P137" s="71">
        <f t="shared" si="30"/>
        <v>0</v>
      </c>
      <c r="Q137" s="71">
        <f t="shared" si="30"/>
        <v>0</v>
      </c>
      <c r="R137" s="71">
        <f t="shared" si="30"/>
        <v>0</v>
      </c>
      <c r="S137" s="86"/>
      <c r="T137" s="86"/>
      <c r="U137" s="71" t="s">
        <v>320</v>
      </c>
      <c r="V137" s="56"/>
    </row>
    <row r="138" ht="30.75" customHeight="1" spans="1:22">
      <c r="A138" s="71"/>
      <c r="B138" s="90" t="s">
        <v>3105</v>
      </c>
      <c r="C138" s="71" t="s">
        <v>52</v>
      </c>
      <c r="D138" s="71" t="s">
        <v>150</v>
      </c>
      <c r="E138" s="71">
        <f>E139</f>
        <v>362</v>
      </c>
      <c r="F138" s="71">
        <f t="shared" ref="F138:R138" si="31">F139</f>
        <v>10566</v>
      </c>
      <c r="G138" s="71">
        <f t="shared" si="31"/>
        <v>66110</v>
      </c>
      <c r="H138" s="71">
        <f t="shared" si="31"/>
        <v>2020</v>
      </c>
      <c r="I138" s="71">
        <f t="shared" si="31"/>
        <v>2020</v>
      </c>
      <c r="J138" s="71">
        <f t="shared" si="31"/>
        <v>8000</v>
      </c>
      <c r="K138" s="71">
        <f t="shared" si="31"/>
        <v>0</v>
      </c>
      <c r="L138" s="71"/>
      <c r="M138" s="71">
        <f t="shared" si="31"/>
        <v>8000</v>
      </c>
      <c r="N138" s="71">
        <f t="shared" si="31"/>
        <v>0</v>
      </c>
      <c r="O138" s="71">
        <f t="shared" si="31"/>
        <v>8000</v>
      </c>
      <c r="P138" s="71">
        <f t="shared" si="31"/>
        <v>0</v>
      </c>
      <c r="Q138" s="71">
        <f t="shared" si="31"/>
        <v>0</v>
      </c>
      <c r="R138" s="71">
        <f t="shared" si="31"/>
        <v>0</v>
      </c>
      <c r="S138" s="71" t="s">
        <v>3106</v>
      </c>
      <c r="T138" s="86"/>
      <c r="U138" s="86" t="s">
        <v>553</v>
      </c>
      <c r="V138" s="56"/>
    </row>
    <row r="139" s="62" customFormat="1" ht="66.75" customHeight="1" spans="1:22">
      <c r="A139" s="71"/>
      <c r="B139" s="73" t="s">
        <v>3107</v>
      </c>
      <c r="C139" s="71" t="s">
        <v>52</v>
      </c>
      <c r="D139" s="71" t="s">
        <v>150</v>
      </c>
      <c r="E139" s="71">
        <v>362</v>
      </c>
      <c r="F139" s="71">
        <v>10566</v>
      </c>
      <c r="G139" s="71">
        <v>66110</v>
      </c>
      <c r="H139" s="71">
        <v>2020</v>
      </c>
      <c r="I139" s="71">
        <v>2020</v>
      </c>
      <c r="J139" s="71">
        <v>8000</v>
      </c>
      <c r="K139" s="71"/>
      <c r="L139" s="71"/>
      <c r="M139" s="71">
        <v>8000</v>
      </c>
      <c r="N139" s="71"/>
      <c r="O139" s="71">
        <v>8000</v>
      </c>
      <c r="P139" s="71"/>
      <c r="Q139" s="71"/>
      <c r="R139" s="71"/>
      <c r="S139" s="71" t="s">
        <v>3106</v>
      </c>
      <c r="T139" s="71"/>
      <c r="U139" s="71" t="s">
        <v>3108</v>
      </c>
      <c r="V139" s="74" t="s">
        <v>3109</v>
      </c>
    </row>
    <row r="140" ht="32.1" customHeight="1" spans="1:22">
      <c r="A140" s="71">
        <v>73</v>
      </c>
      <c r="B140" s="75" t="s">
        <v>555</v>
      </c>
      <c r="C140" s="71" t="s">
        <v>320</v>
      </c>
      <c r="D140" s="71" t="s">
        <v>320</v>
      </c>
      <c r="E140" s="71">
        <f>E141</f>
        <v>0</v>
      </c>
      <c r="F140" s="71">
        <f t="shared" ref="F140:R140" si="32">F141</f>
        <v>0</v>
      </c>
      <c r="G140" s="71">
        <f t="shared" si="32"/>
        <v>0</v>
      </c>
      <c r="H140" s="71">
        <f t="shared" si="32"/>
        <v>0</v>
      </c>
      <c r="I140" s="71">
        <f t="shared" si="32"/>
        <v>0</v>
      </c>
      <c r="J140" s="71">
        <f t="shared" si="32"/>
        <v>0</v>
      </c>
      <c r="K140" s="71">
        <f t="shared" si="32"/>
        <v>0</v>
      </c>
      <c r="L140" s="71">
        <f t="shared" si="32"/>
        <v>0</v>
      </c>
      <c r="M140" s="71">
        <f t="shared" si="32"/>
        <v>0</v>
      </c>
      <c r="N140" s="71">
        <f t="shared" si="32"/>
        <v>0</v>
      </c>
      <c r="O140" s="71">
        <f t="shared" si="32"/>
        <v>0</v>
      </c>
      <c r="P140" s="71">
        <f t="shared" si="32"/>
        <v>0</v>
      </c>
      <c r="Q140" s="71">
        <f t="shared" si="32"/>
        <v>0</v>
      </c>
      <c r="R140" s="71">
        <f t="shared" si="32"/>
        <v>0</v>
      </c>
      <c r="S140" s="86"/>
      <c r="T140" s="86"/>
      <c r="U140" s="71" t="s">
        <v>320</v>
      </c>
      <c r="V140" s="56"/>
    </row>
    <row r="141" ht="48" spans="1:22">
      <c r="A141" s="71"/>
      <c r="B141" s="90" t="s">
        <v>556</v>
      </c>
      <c r="C141" s="71" t="s">
        <v>320</v>
      </c>
      <c r="D141" s="71" t="s">
        <v>147</v>
      </c>
      <c r="E141" s="71"/>
      <c r="F141" s="71">
        <f>SUM(F142:F143)</f>
        <v>0</v>
      </c>
      <c r="G141" s="71">
        <f>SUM(G142:G143)</f>
        <v>0</v>
      </c>
      <c r="H141" s="71"/>
      <c r="I141" s="71"/>
      <c r="J141" s="71">
        <f t="shared" ref="J141:R141" si="33">SUM(J142:J143)</f>
        <v>0</v>
      </c>
      <c r="K141" s="71">
        <f t="shared" si="33"/>
        <v>0</v>
      </c>
      <c r="L141" s="71">
        <f t="shared" si="33"/>
        <v>0</v>
      </c>
      <c r="M141" s="71">
        <f t="shared" si="33"/>
        <v>0</v>
      </c>
      <c r="N141" s="71">
        <f t="shared" si="33"/>
        <v>0</v>
      </c>
      <c r="O141" s="71">
        <f t="shared" si="33"/>
        <v>0</v>
      </c>
      <c r="P141" s="71">
        <f t="shared" si="33"/>
        <v>0</v>
      </c>
      <c r="Q141" s="71">
        <f t="shared" si="33"/>
        <v>0</v>
      </c>
      <c r="R141" s="71">
        <f t="shared" si="33"/>
        <v>0</v>
      </c>
      <c r="S141" s="86"/>
      <c r="T141" s="86"/>
      <c r="U141" s="86" t="s">
        <v>294</v>
      </c>
      <c r="V141" s="56"/>
    </row>
    <row r="142" ht="32.1" customHeight="1" spans="1:22">
      <c r="A142" s="71"/>
      <c r="B142" s="90"/>
      <c r="C142" s="71"/>
      <c r="D142" s="71"/>
      <c r="E142" s="71"/>
      <c r="F142" s="71"/>
      <c r="G142" s="71"/>
      <c r="H142" s="71"/>
      <c r="I142" s="71"/>
      <c r="J142" s="71"/>
      <c r="K142" s="71"/>
      <c r="L142" s="71"/>
      <c r="M142" s="71"/>
      <c r="N142" s="71"/>
      <c r="O142" s="71"/>
      <c r="P142" s="71"/>
      <c r="Q142" s="71"/>
      <c r="R142" s="71"/>
      <c r="S142" s="86"/>
      <c r="T142" s="86"/>
      <c r="U142" s="86"/>
      <c r="V142" s="56"/>
    </row>
    <row r="143" ht="21" customHeight="1" spans="1:22">
      <c r="A143" s="71"/>
      <c r="B143" s="90"/>
      <c r="C143" s="71"/>
      <c r="D143" s="71"/>
      <c r="E143" s="71"/>
      <c r="F143" s="71"/>
      <c r="G143" s="71"/>
      <c r="H143" s="71"/>
      <c r="I143" s="71"/>
      <c r="J143" s="71"/>
      <c r="K143" s="71"/>
      <c r="L143" s="71"/>
      <c r="M143" s="71"/>
      <c r="N143" s="71"/>
      <c r="O143" s="71"/>
      <c r="P143" s="71"/>
      <c r="Q143" s="71"/>
      <c r="R143" s="71"/>
      <c r="S143" s="86"/>
      <c r="T143" s="86"/>
      <c r="U143" s="86"/>
      <c r="V143" s="56"/>
    </row>
    <row r="144" s="62" customFormat="1" ht="21" customHeight="1" spans="1:22">
      <c r="A144" s="71"/>
      <c r="B144" s="72" t="s">
        <v>3110</v>
      </c>
      <c r="C144" s="71"/>
      <c r="D144" s="71"/>
      <c r="E144" s="71"/>
      <c r="F144" s="71">
        <f>SUM(F145:F146)</f>
        <v>224</v>
      </c>
      <c r="G144" s="71">
        <f>SUM(G145:G146)</f>
        <v>889</v>
      </c>
      <c r="H144" s="71"/>
      <c r="I144" s="71"/>
      <c r="J144" s="71">
        <f t="shared" ref="J144:J146" si="34">K144+L144+M144</f>
        <v>1740</v>
      </c>
      <c r="K144" s="71">
        <f>SUM(K145:K146)</f>
        <v>0</v>
      </c>
      <c r="L144" s="71">
        <f t="shared" ref="L144:R144" si="35">SUM(L145:L146)</f>
        <v>1740</v>
      </c>
      <c r="M144" s="71">
        <f t="shared" si="35"/>
        <v>0</v>
      </c>
      <c r="N144" s="71">
        <f t="shared" si="35"/>
        <v>0</v>
      </c>
      <c r="O144" s="71">
        <f t="shared" si="35"/>
        <v>0</v>
      </c>
      <c r="P144" s="71">
        <f t="shared" si="35"/>
        <v>0</v>
      </c>
      <c r="Q144" s="71">
        <f t="shared" si="35"/>
        <v>1740</v>
      </c>
      <c r="R144" s="71">
        <f t="shared" si="35"/>
        <v>0</v>
      </c>
      <c r="S144" s="71"/>
      <c r="T144" s="71"/>
      <c r="U144" s="71"/>
      <c r="V144" s="74"/>
    </row>
    <row r="145" s="62" customFormat="1" ht="51" customHeight="1" spans="1:22">
      <c r="A145" s="71"/>
      <c r="B145" s="73" t="s">
        <v>3111</v>
      </c>
      <c r="C145" s="71" t="s">
        <v>52</v>
      </c>
      <c r="D145" s="71"/>
      <c r="E145" s="71" t="s">
        <v>3112</v>
      </c>
      <c r="F145" s="71">
        <f>70+78</f>
        <v>148</v>
      </c>
      <c r="G145" s="71">
        <f>297+282</f>
        <v>579</v>
      </c>
      <c r="H145" s="71">
        <v>2019</v>
      </c>
      <c r="I145" s="71">
        <v>2019</v>
      </c>
      <c r="J145" s="71">
        <f t="shared" si="34"/>
        <v>1240</v>
      </c>
      <c r="K145" s="71"/>
      <c r="L145" s="71">
        <f>600+640</f>
        <v>1240</v>
      </c>
      <c r="M145" s="71"/>
      <c r="N145" s="71"/>
      <c r="O145" s="71"/>
      <c r="P145" s="71"/>
      <c r="Q145" s="71">
        <f>J145</f>
        <v>1240</v>
      </c>
      <c r="R145" s="71"/>
      <c r="S145" s="71" t="s">
        <v>1521</v>
      </c>
      <c r="T145" s="71" t="s">
        <v>1522</v>
      </c>
      <c r="U145" s="71" t="s">
        <v>160</v>
      </c>
      <c r="V145" s="74"/>
    </row>
    <row r="146" s="62" customFormat="1" ht="60.95" customHeight="1" spans="1:22">
      <c r="A146" s="71"/>
      <c r="B146" s="73" t="s">
        <v>3113</v>
      </c>
      <c r="C146" s="71" t="s">
        <v>52</v>
      </c>
      <c r="D146" s="71"/>
      <c r="E146" s="71" t="s">
        <v>3114</v>
      </c>
      <c r="F146" s="71">
        <v>76</v>
      </c>
      <c r="G146" s="71">
        <v>310</v>
      </c>
      <c r="H146" s="71">
        <v>2019</v>
      </c>
      <c r="I146" s="71">
        <v>2019</v>
      </c>
      <c r="J146" s="71">
        <f t="shared" si="34"/>
        <v>500</v>
      </c>
      <c r="K146" s="71"/>
      <c r="L146" s="71">
        <v>500</v>
      </c>
      <c r="M146" s="71"/>
      <c r="N146" s="71"/>
      <c r="O146" s="71"/>
      <c r="P146" s="71"/>
      <c r="Q146" s="71">
        <f>J146</f>
        <v>500</v>
      </c>
      <c r="R146" s="71"/>
      <c r="S146" s="71" t="s">
        <v>1521</v>
      </c>
      <c r="T146" s="71" t="s">
        <v>1522</v>
      </c>
      <c r="U146" s="71" t="s">
        <v>160</v>
      </c>
      <c r="V146" s="74"/>
    </row>
    <row r="147" s="62" customFormat="1" ht="29.1" customHeight="1" spans="1:22">
      <c r="A147" s="71"/>
      <c r="B147" s="72" t="s">
        <v>3115</v>
      </c>
      <c r="C147" s="71"/>
      <c r="D147" s="71"/>
      <c r="E147" s="71"/>
      <c r="F147" s="71">
        <f>SUM(F148:F149)</f>
        <v>19566</v>
      </c>
      <c r="G147" s="71">
        <f>SUM(G148:G149)</f>
        <v>76110</v>
      </c>
      <c r="H147" s="71"/>
      <c r="I147" s="71"/>
      <c r="J147" s="71">
        <f>SUM(J148:J150)</f>
        <v>1150.481</v>
      </c>
      <c r="K147" s="71">
        <f t="shared" ref="K147:R147" si="36">SUM(K148:K150)</f>
        <v>550.481</v>
      </c>
      <c r="L147" s="71">
        <f t="shared" si="36"/>
        <v>600</v>
      </c>
      <c r="M147" s="71">
        <f t="shared" si="36"/>
        <v>0</v>
      </c>
      <c r="N147" s="71">
        <f t="shared" si="36"/>
        <v>0</v>
      </c>
      <c r="O147" s="71">
        <f t="shared" si="36"/>
        <v>974.481</v>
      </c>
      <c r="P147" s="71">
        <f t="shared" si="36"/>
        <v>176</v>
      </c>
      <c r="Q147" s="71">
        <f t="shared" si="36"/>
        <v>0</v>
      </c>
      <c r="R147" s="71">
        <f t="shared" si="36"/>
        <v>0</v>
      </c>
      <c r="S147" s="71" t="s">
        <v>1521</v>
      </c>
      <c r="T147" s="71" t="s">
        <v>3116</v>
      </c>
      <c r="U147" s="71" t="s">
        <v>160</v>
      </c>
      <c r="V147" s="74"/>
    </row>
    <row r="148" s="62" customFormat="1" ht="29.1" customHeight="1" spans="1:22">
      <c r="A148" s="71"/>
      <c r="B148" s="73" t="s">
        <v>3117</v>
      </c>
      <c r="C148" s="71"/>
      <c r="D148" s="71"/>
      <c r="E148" s="71" t="s">
        <v>3118</v>
      </c>
      <c r="F148" s="71"/>
      <c r="G148" s="71"/>
      <c r="H148" s="71">
        <v>2018</v>
      </c>
      <c r="I148" s="71">
        <v>2018</v>
      </c>
      <c r="J148" s="71">
        <v>374.481</v>
      </c>
      <c r="K148" s="71">
        <v>374.481</v>
      </c>
      <c r="L148" s="71"/>
      <c r="M148" s="71"/>
      <c r="N148" s="71"/>
      <c r="O148" s="71">
        <v>374.481</v>
      </c>
      <c r="P148" s="71"/>
      <c r="Q148" s="71"/>
      <c r="R148" s="71"/>
      <c r="S148" s="71" t="s">
        <v>1521</v>
      </c>
      <c r="T148" s="71" t="s">
        <v>3116</v>
      </c>
      <c r="U148" s="71" t="s">
        <v>160</v>
      </c>
      <c r="V148" s="74"/>
    </row>
    <row r="149" s="62" customFormat="1" ht="60.95" customHeight="1" spans="1:22">
      <c r="A149" s="71"/>
      <c r="B149" s="73" t="s">
        <v>3119</v>
      </c>
      <c r="C149" s="71" t="s">
        <v>52</v>
      </c>
      <c r="D149" s="71" t="s">
        <v>384</v>
      </c>
      <c r="E149" s="71" t="s">
        <v>3120</v>
      </c>
      <c r="F149" s="71">
        <v>19566</v>
      </c>
      <c r="G149" s="71">
        <v>76110</v>
      </c>
      <c r="H149" s="71">
        <v>2018</v>
      </c>
      <c r="I149" s="71">
        <v>2018</v>
      </c>
      <c r="J149" s="71">
        <v>176</v>
      </c>
      <c r="K149" s="71">
        <v>176</v>
      </c>
      <c r="L149" s="71"/>
      <c r="M149" s="71"/>
      <c r="N149" s="71"/>
      <c r="O149" s="71"/>
      <c r="P149" s="71">
        <v>176</v>
      </c>
      <c r="Q149" s="71"/>
      <c r="R149" s="71"/>
      <c r="S149" s="71" t="s">
        <v>1521</v>
      </c>
      <c r="T149" s="71" t="s">
        <v>3116</v>
      </c>
      <c r="U149" s="71" t="s">
        <v>160</v>
      </c>
      <c r="V149" s="74"/>
    </row>
    <row r="150" s="62" customFormat="1" ht="60.95" customHeight="1" spans="1:22">
      <c r="A150" s="71"/>
      <c r="B150" s="73" t="s">
        <v>3121</v>
      </c>
      <c r="C150" s="71"/>
      <c r="D150" s="71"/>
      <c r="E150" s="71" t="s">
        <v>3118</v>
      </c>
      <c r="F150" s="71"/>
      <c r="G150" s="71"/>
      <c r="H150" s="71">
        <v>2019</v>
      </c>
      <c r="I150" s="71">
        <v>2019</v>
      </c>
      <c r="J150" s="71">
        <v>600</v>
      </c>
      <c r="K150" s="71"/>
      <c r="L150" s="71">
        <v>600</v>
      </c>
      <c r="M150" s="71"/>
      <c r="N150" s="71"/>
      <c r="O150" s="71">
        <v>600</v>
      </c>
      <c r="P150" s="71"/>
      <c r="Q150" s="71"/>
      <c r="R150" s="71"/>
      <c r="S150" s="71" t="s">
        <v>1521</v>
      </c>
      <c r="T150" s="71" t="s">
        <v>3116</v>
      </c>
      <c r="U150" s="71" t="s">
        <v>160</v>
      </c>
      <c r="V150" s="74"/>
    </row>
    <row r="151" s="60" customFormat="1" ht="53.25" customHeight="1" spans="1:22">
      <c r="A151" s="28">
        <v>74</v>
      </c>
      <c r="B151" s="75" t="s">
        <v>1048</v>
      </c>
      <c r="C151" s="28" t="str">
        <f t="shared" ref="C151:R151" si="37">C153</f>
        <v>新建</v>
      </c>
      <c r="D151" s="28" t="str">
        <f t="shared" si="37"/>
        <v>座</v>
      </c>
      <c r="E151" s="28">
        <f t="shared" si="37"/>
        <v>0</v>
      </c>
      <c r="F151" s="28">
        <f t="shared" si="37"/>
        <v>0</v>
      </c>
      <c r="G151" s="28">
        <f t="shared" si="37"/>
        <v>0</v>
      </c>
      <c r="H151" s="28">
        <f t="shared" si="37"/>
        <v>0</v>
      </c>
      <c r="I151" s="28">
        <f t="shared" si="37"/>
        <v>0</v>
      </c>
      <c r="J151" s="28">
        <f t="shared" si="37"/>
        <v>0</v>
      </c>
      <c r="K151" s="28">
        <f t="shared" si="37"/>
        <v>0</v>
      </c>
      <c r="L151" s="28">
        <f t="shared" si="37"/>
        <v>0</v>
      </c>
      <c r="M151" s="28">
        <f t="shared" si="37"/>
        <v>0</v>
      </c>
      <c r="N151" s="28">
        <f t="shared" si="37"/>
        <v>0</v>
      </c>
      <c r="O151" s="28">
        <f t="shared" si="37"/>
        <v>0</v>
      </c>
      <c r="P151" s="28">
        <f t="shared" si="37"/>
        <v>0</v>
      </c>
      <c r="Q151" s="28">
        <f t="shared" si="37"/>
        <v>0</v>
      </c>
      <c r="R151" s="28">
        <f t="shared" si="37"/>
        <v>0</v>
      </c>
      <c r="S151" s="84"/>
      <c r="T151" s="84"/>
      <c r="U151" s="84"/>
      <c r="V151" s="17"/>
    </row>
    <row r="152" ht="23.25" customHeight="1" spans="1:22">
      <c r="A152" s="71">
        <v>75</v>
      </c>
      <c r="B152" s="75" t="s">
        <v>1049</v>
      </c>
      <c r="C152" s="71" t="s">
        <v>320</v>
      </c>
      <c r="D152" s="71" t="s">
        <v>320</v>
      </c>
      <c r="E152" s="71"/>
      <c r="F152" s="71"/>
      <c r="G152" s="71"/>
      <c r="H152" s="71"/>
      <c r="I152" s="71"/>
      <c r="J152" s="71"/>
      <c r="K152" s="71"/>
      <c r="L152" s="71"/>
      <c r="M152" s="71"/>
      <c r="N152" s="71"/>
      <c r="O152" s="71"/>
      <c r="P152" s="71"/>
      <c r="Q152" s="71"/>
      <c r="R152" s="71"/>
      <c r="S152" s="84"/>
      <c r="T152" s="84"/>
      <c r="U152" s="71" t="s">
        <v>320</v>
      </c>
      <c r="V152" s="56"/>
    </row>
    <row r="153" ht="23.25" customHeight="1" spans="1:22">
      <c r="A153" s="28">
        <v>76</v>
      </c>
      <c r="B153" s="90" t="s">
        <v>1237</v>
      </c>
      <c r="C153" s="71" t="s">
        <v>52</v>
      </c>
      <c r="D153" s="71" t="s">
        <v>202</v>
      </c>
      <c r="E153" s="71"/>
      <c r="F153" s="71"/>
      <c r="G153" s="71"/>
      <c r="H153" s="71"/>
      <c r="I153" s="71"/>
      <c r="J153" s="71"/>
      <c r="K153" s="71"/>
      <c r="L153" s="71"/>
      <c r="M153" s="71"/>
      <c r="N153" s="71"/>
      <c r="O153" s="71"/>
      <c r="P153" s="71"/>
      <c r="Q153" s="71"/>
      <c r="R153" s="71"/>
      <c r="S153" s="84"/>
      <c r="T153" s="84"/>
      <c r="U153" s="86" t="s">
        <v>497</v>
      </c>
      <c r="V153" s="56"/>
    </row>
    <row r="154" ht="23.25" customHeight="1" spans="1:22">
      <c r="A154" s="71">
        <v>77</v>
      </c>
      <c r="B154" s="73" t="s">
        <v>1238</v>
      </c>
      <c r="C154" s="71" t="s">
        <v>320</v>
      </c>
      <c r="D154" s="71" t="s">
        <v>320</v>
      </c>
      <c r="E154" s="71"/>
      <c r="F154" s="71"/>
      <c r="G154" s="71"/>
      <c r="H154" s="71"/>
      <c r="I154" s="71"/>
      <c r="J154" s="71"/>
      <c r="K154" s="71"/>
      <c r="L154" s="71"/>
      <c r="M154" s="71"/>
      <c r="N154" s="71"/>
      <c r="O154" s="71"/>
      <c r="P154" s="71"/>
      <c r="Q154" s="71"/>
      <c r="R154" s="71"/>
      <c r="S154" s="89"/>
      <c r="T154" s="89"/>
      <c r="U154" s="89" t="s">
        <v>160</v>
      </c>
      <c r="V154" s="56"/>
    </row>
    <row r="155" ht="23.25" customHeight="1" spans="1:22">
      <c r="A155" s="28">
        <v>78</v>
      </c>
      <c r="B155" s="73" t="s">
        <v>1239</v>
      </c>
      <c r="C155" s="71" t="s">
        <v>320</v>
      </c>
      <c r="D155" s="71" t="s">
        <v>320</v>
      </c>
      <c r="E155" s="71"/>
      <c r="F155" s="71"/>
      <c r="G155" s="71"/>
      <c r="H155" s="71"/>
      <c r="I155" s="71"/>
      <c r="J155" s="71"/>
      <c r="K155" s="71"/>
      <c r="L155" s="71"/>
      <c r="M155" s="71"/>
      <c r="N155" s="71"/>
      <c r="O155" s="71"/>
      <c r="P155" s="71"/>
      <c r="Q155" s="71"/>
      <c r="R155" s="71"/>
      <c r="S155" s="86"/>
      <c r="T155" s="86"/>
      <c r="U155" s="86" t="s">
        <v>160</v>
      </c>
      <c r="V155" s="56"/>
    </row>
    <row r="156" ht="17.1" customHeight="1" spans="1:22">
      <c r="A156" s="71">
        <v>79</v>
      </c>
      <c r="B156" s="100" t="s">
        <v>1059</v>
      </c>
      <c r="C156" s="101"/>
      <c r="D156" s="101"/>
      <c r="E156" s="101"/>
      <c r="F156" s="101"/>
      <c r="G156" s="101"/>
      <c r="H156" s="101"/>
      <c r="I156" s="101"/>
      <c r="J156" s="101"/>
      <c r="K156" s="101"/>
      <c r="L156" s="101"/>
      <c r="M156" s="101"/>
      <c r="N156" s="101"/>
      <c r="O156" s="101"/>
      <c r="P156" s="101"/>
      <c r="Q156" s="101"/>
      <c r="R156" s="101"/>
      <c r="S156" s="101"/>
      <c r="T156" s="101"/>
      <c r="U156" s="86" t="s">
        <v>43</v>
      </c>
      <c r="V156" s="56"/>
    </row>
    <row r="157" ht="18.95" customHeight="1" spans="1:22">
      <c r="A157" s="101"/>
      <c r="B157" s="102" t="s">
        <v>1534</v>
      </c>
      <c r="C157" s="101"/>
      <c r="D157" s="101"/>
      <c r="E157" s="101"/>
      <c r="F157" s="101"/>
      <c r="G157" s="101"/>
      <c r="H157" s="101"/>
      <c r="I157" s="101"/>
      <c r="J157" s="101"/>
      <c r="K157" s="101"/>
      <c r="L157" s="101"/>
      <c r="M157" s="101"/>
      <c r="N157" s="101"/>
      <c r="O157" s="101"/>
      <c r="P157" s="101"/>
      <c r="Q157" s="101"/>
      <c r="R157" s="101"/>
      <c r="S157" s="101"/>
      <c r="T157" s="101"/>
      <c r="U157" s="101"/>
      <c r="V157" s="56"/>
    </row>
  </sheetData>
  <mergeCells count="15">
    <mergeCell ref="A1:B1"/>
    <mergeCell ref="A2:V2"/>
    <mergeCell ref="A3:T3"/>
    <mergeCell ref="F4:G4"/>
    <mergeCell ref="H4:I4"/>
    <mergeCell ref="J4:M4"/>
    <mergeCell ref="N4:R4"/>
    <mergeCell ref="A4:A6"/>
    <mergeCell ref="B4:B6"/>
    <mergeCell ref="C4:C6"/>
    <mergeCell ref="D4:D5"/>
    <mergeCell ref="E4:E5"/>
    <mergeCell ref="U4:U5"/>
    <mergeCell ref="V4:V5"/>
    <mergeCell ref="S4:T5"/>
  </mergeCells>
  <dataValidations count="1">
    <dataValidation allowBlank="1" showInputMessage="1" showErrorMessage="1" sqref="A2"/>
  </dataValidations>
  <printOptions horizontalCentered="1"/>
  <pageMargins left="0.160416666666667" right="0.160416666666667" top="0.409027777777778" bottom="0.15625" header="0.196527777777778" footer="0.113888888888889"/>
  <pageSetup paperSize="9" scale="67" orientation="landscape"/>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7"/>
  <sheetViews>
    <sheetView topLeftCell="G61" workbookViewId="0">
      <selection activeCell="R68" sqref="R68"/>
    </sheetView>
  </sheetViews>
  <sheetFormatPr defaultColWidth="9" defaultRowHeight="13.5"/>
  <cols>
    <col min="1" max="1" width="3.88333333333333" customWidth="1"/>
    <col min="2" max="2" width="12" customWidth="1"/>
    <col min="3" max="3" width="7.13333333333333" customWidth="1"/>
    <col min="4" max="4" width="4.63333333333333" customWidth="1"/>
    <col min="5" max="5" width="12.6333333333333" customWidth="1"/>
    <col min="6" max="6" width="11.5" customWidth="1"/>
    <col min="7" max="7" width="12.6333333333333" customWidth="1"/>
    <col min="8" max="8" width="10.3833333333333" customWidth="1"/>
    <col min="9" max="9" width="12.6333333333333" customWidth="1"/>
    <col min="10" max="10" width="16" customWidth="1"/>
    <col min="11" max="15" width="12.6333333333333" customWidth="1"/>
    <col min="16" max="17" width="14.8833333333333" customWidth="1"/>
    <col min="18" max="19" width="10.3833333333333" customWidth="1"/>
    <col min="20" max="20" width="11.5" customWidth="1"/>
    <col min="21" max="21" width="9.5" customWidth="1"/>
    <col min="22" max="22" width="11.5" customWidth="1"/>
    <col min="23" max="23" width="10.8833333333333" customWidth="1"/>
  </cols>
  <sheetData>
    <row r="1" spans="1:23">
      <c r="A1" s="2" t="s">
        <v>0</v>
      </c>
      <c r="B1" s="3"/>
      <c r="C1" s="4"/>
      <c r="D1" s="4"/>
      <c r="E1" s="5"/>
      <c r="F1" s="5"/>
      <c r="G1" s="5"/>
      <c r="H1" s="6"/>
      <c r="I1" s="6"/>
      <c r="J1" s="31">
        <v>224566.288296</v>
      </c>
      <c r="K1" s="31"/>
      <c r="L1" s="31"/>
      <c r="M1" s="31"/>
      <c r="N1" s="31"/>
      <c r="O1" s="31"/>
      <c r="P1" s="31"/>
      <c r="Q1" s="31"/>
      <c r="R1" s="31"/>
      <c r="S1" s="31"/>
      <c r="T1" s="4"/>
      <c r="U1" s="4"/>
      <c r="V1" s="4"/>
      <c r="W1" s="45"/>
    </row>
    <row r="2" ht="25.5" spans="1:23">
      <c r="A2" s="7" t="s">
        <v>3122</v>
      </c>
      <c r="B2" s="8"/>
      <c r="C2" s="8"/>
      <c r="D2" s="8"/>
      <c r="E2" s="9"/>
      <c r="F2" s="9"/>
      <c r="G2" s="9"/>
      <c r="H2" s="10"/>
      <c r="I2" s="10"/>
      <c r="J2" s="32"/>
      <c r="K2" s="32"/>
      <c r="L2" s="32"/>
      <c r="M2" s="32"/>
      <c r="N2" s="32"/>
      <c r="O2" s="32"/>
      <c r="P2" s="32"/>
      <c r="Q2" s="32"/>
      <c r="R2" s="32"/>
      <c r="S2" s="32"/>
      <c r="T2" s="8"/>
      <c r="U2" s="8"/>
      <c r="V2" s="8"/>
      <c r="W2" s="46"/>
    </row>
    <row r="3" ht="18.75" spans="1:23">
      <c r="A3" s="11" t="s">
        <v>3123</v>
      </c>
      <c r="B3" s="12"/>
      <c r="C3" s="12"/>
      <c r="D3" s="12"/>
      <c r="E3" s="13"/>
      <c r="F3" s="13"/>
      <c r="G3" s="13"/>
      <c r="H3" s="14"/>
      <c r="I3" s="14"/>
      <c r="J3" s="33"/>
      <c r="K3" s="33"/>
      <c r="L3" s="33"/>
      <c r="M3" s="33"/>
      <c r="N3" s="33"/>
      <c r="O3" s="33"/>
      <c r="P3" s="33"/>
      <c r="Q3" s="33"/>
      <c r="R3" s="33"/>
      <c r="S3" s="33"/>
      <c r="T3" s="12"/>
      <c r="U3" s="12"/>
      <c r="V3" s="47"/>
      <c r="W3" s="45"/>
    </row>
    <row r="4" ht="15.75" spans="1:23">
      <c r="A4" s="15" t="s">
        <v>3</v>
      </c>
      <c r="B4" s="16" t="s">
        <v>4</v>
      </c>
      <c r="C4" s="17" t="s">
        <v>1066</v>
      </c>
      <c r="D4" s="18" t="s">
        <v>6</v>
      </c>
      <c r="E4" s="16" t="s">
        <v>736</v>
      </c>
      <c r="F4" s="19" t="s">
        <v>737</v>
      </c>
      <c r="G4" s="20"/>
      <c r="H4" s="21" t="s">
        <v>11</v>
      </c>
      <c r="I4" s="34"/>
      <c r="J4" s="35" t="s">
        <v>12</v>
      </c>
      <c r="K4" s="35"/>
      <c r="L4" s="35"/>
      <c r="M4" s="35"/>
      <c r="N4" s="36" t="s">
        <v>13</v>
      </c>
      <c r="O4" s="37"/>
      <c r="P4" s="37"/>
      <c r="Q4" s="37"/>
      <c r="R4" s="37"/>
      <c r="S4" s="48"/>
      <c r="T4" s="49" t="s">
        <v>18</v>
      </c>
      <c r="U4" s="50"/>
      <c r="V4" s="51" t="s">
        <v>19</v>
      </c>
      <c r="W4" s="17" t="s">
        <v>20</v>
      </c>
    </row>
    <row r="5" ht="24" spans="1:23">
      <c r="A5" s="22"/>
      <c r="B5" s="23"/>
      <c r="C5" s="17"/>
      <c r="D5" s="18"/>
      <c r="E5" s="24"/>
      <c r="F5" s="18" t="s">
        <v>384</v>
      </c>
      <c r="G5" s="18" t="s">
        <v>147</v>
      </c>
      <c r="H5" s="25" t="s">
        <v>22</v>
      </c>
      <c r="I5" s="25" t="s">
        <v>23</v>
      </c>
      <c r="J5" s="38" t="s">
        <v>38</v>
      </c>
      <c r="K5" s="39" t="s">
        <v>591</v>
      </c>
      <c r="L5" s="39" t="s">
        <v>592</v>
      </c>
      <c r="M5" s="39" t="s">
        <v>593</v>
      </c>
      <c r="N5" s="40" t="s">
        <v>25</v>
      </c>
      <c r="O5" s="40" t="s">
        <v>26</v>
      </c>
      <c r="P5" s="40" t="s">
        <v>27</v>
      </c>
      <c r="Q5" s="40" t="s">
        <v>28</v>
      </c>
      <c r="R5" s="40" t="s">
        <v>29</v>
      </c>
      <c r="S5" s="52"/>
      <c r="T5" s="53"/>
      <c r="U5" s="54"/>
      <c r="V5" s="55"/>
      <c r="W5" s="17"/>
    </row>
    <row r="6" spans="1:23">
      <c r="A6" s="26"/>
      <c r="B6" s="24"/>
      <c r="C6" s="17"/>
      <c r="D6" s="17">
        <v>1</v>
      </c>
      <c r="E6" s="18">
        <v>2</v>
      </c>
      <c r="F6" s="18">
        <v>3</v>
      </c>
      <c r="G6" s="18">
        <v>4</v>
      </c>
      <c r="H6" s="18">
        <v>5</v>
      </c>
      <c r="I6" s="18">
        <v>6</v>
      </c>
      <c r="J6" s="41" t="s">
        <v>3124</v>
      </c>
      <c r="K6" s="17">
        <v>8</v>
      </c>
      <c r="L6" s="17">
        <v>9</v>
      </c>
      <c r="M6" s="17">
        <v>10</v>
      </c>
      <c r="N6" s="17">
        <v>11</v>
      </c>
      <c r="O6" s="17">
        <v>12</v>
      </c>
      <c r="P6" s="17">
        <v>13</v>
      </c>
      <c r="Q6" s="17">
        <v>14</v>
      </c>
      <c r="R6" s="17">
        <v>15</v>
      </c>
      <c r="S6" s="17"/>
      <c r="T6" s="17">
        <v>16</v>
      </c>
      <c r="U6" s="17">
        <v>17</v>
      </c>
      <c r="V6" s="17">
        <v>18</v>
      </c>
      <c r="W6" s="17"/>
    </row>
    <row r="7" ht="47.1" customHeight="1" spans="1:23">
      <c r="A7" s="27">
        <v>0</v>
      </c>
      <c r="B7" s="28" t="s">
        <v>39</v>
      </c>
      <c r="C7" s="28" t="s">
        <v>320</v>
      </c>
      <c r="D7" s="28" t="s">
        <v>320</v>
      </c>
      <c r="E7" s="29"/>
      <c r="F7" s="29"/>
      <c r="G7" s="29"/>
      <c r="H7" s="30"/>
      <c r="I7" s="30"/>
      <c r="J7" s="42">
        <f>SUM(八布:杨万!J7:J7)</f>
        <v>132980.20501014</v>
      </c>
      <c r="K7" s="42">
        <f>SUM(八布:杨万!K7:K7)</f>
        <v>64719.041534</v>
      </c>
      <c r="L7" s="42">
        <f>SUM(八布:杨万!L7:L7)</f>
        <v>62102.9172754</v>
      </c>
      <c r="M7" s="42">
        <f>SUM(八布:杨万!M7:M7)</f>
        <v>14442.24620074</v>
      </c>
      <c r="N7" s="42">
        <f>SUM(八布:杨万!N7:N7)</f>
        <v>38624.64487814</v>
      </c>
      <c r="O7" s="42">
        <f>SUM(八布:杨万!O7:O7)</f>
        <v>122466.883522</v>
      </c>
      <c r="P7" s="42">
        <f>SUM(八布:杨万!P7:P7)</f>
        <v>40259.7157666667</v>
      </c>
      <c r="Q7" s="42">
        <f>SUM(八布:杨万!Q7:Q7)</f>
        <v>27282.3036946667</v>
      </c>
      <c r="R7" s="42">
        <f>SUM(八布:杨万!R7:R7)</f>
        <v>2696.49532866667</v>
      </c>
      <c r="S7" s="42" t="str">
        <f>IF(J7=SUM(N7:R7),"正确","错误")</f>
        <v>错误</v>
      </c>
      <c r="T7" s="28" t="s">
        <v>320</v>
      </c>
      <c r="U7" s="28" t="s">
        <v>320</v>
      </c>
      <c r="V7" s="28" t="s">
        <v>320</v>
      </c>
      <c r="W7" s="56"/>
    </row>
    <row r="8" ht="30" customHeight="1" spans="10:19">
      <c r="J8">
        <f>SUM(K7:M7)</f>
        <v>141264.20501014</v>
      </c>
      <c r="K8">
        <f>SUM(N7:R7)</f>
        <v>231330.04319014</v>
      </c>
      <c r="N8">
        <v>55028.346032</v>
      </c>
      <c r="O8">
        <v>107183.814064</v>
      </c>
      <c r="P8">
        <v>31899.1282</v>
      </c>
      <c r="Q8">
        <v>3863</v>
      </c>
      <c r="S8" s="42"/>
    </row>
    <row r="9" ht="30" customHeight="1" spans="10:22">
      <c r="J9">
        <f>SUM(J10:J20)</f>
        <v>108413.77268418</v>
      </c>
      <c r="K9">
        <f t="shared" ref="K9:R9" si="0">SUM(K10:K20)</f>
        <v>54887.846518</v>
      </c>
      <c r="L9">
        <f t="shared" si="0"/>
        <v>49443.5831448</v>
      </c>
      <c r="M9">
        <f t="shared" si="0"/>
        <v>11711.34302138</v>
      </c>
      <c r="N9">
        <f t="shared" si="0"/>
        <v>75990.03676118</v>
      </c>
      <c r="O9">
        <f t="shared" si="0"/>
        <v>87899.3865796667</v>
      </c>
      <c r="P9">
        <f t="shared" si="0"/>
        <v>32420.1921946667</v>
      </c>
      <c r="Q9">
        <f t="shared" si="0"/>
        <v>7117.99532866667</v>
      </c>
      <c r="R9">
        <f t="shared" si="0"/>
        <v>11861.512526</v>
      </c>
      <c r="S9" s="42" t="str">
        <f>IF(J9=SUM(N9:R9),"正确","错误")</f>
        <v>错误</v>
      </c>
      <c r="V9">
        <f>J1-J7</f>
        <v>91586.08328586</v>
      </c>
    </row>
    <row r="10" spans="9:22">
      <c r="I10" t="s">
        <v>3125</v>
      </c>
      <c r="J10" s="43">
        <f>八布!J7</f>
        <v>20986.980824</v>
      </c>
      <c r="K10">
        <f>八布!K7</f>
        <v>10896.5524</v>
      </c>
      <c r="L10">
        <f>八布!L7</f>
        <v>8425.127944</v>
      </c>
      <c r="M10">
        <f>八布!M7</f>
        <v>1665.30048</v>
      </c>
      <c r="N10" s="43">
        <f>八布!N7</f>
        <v>4800.660032</v>
      </c>
      <c r="O10" s="43">
        <f>八布!O7</f>
        <v>13013.647992</v>
      </c>
      <c r="P10" s="43">
        <f>八布!P7</f>
        <v>3047.6228</v>
      </c>
      <c r="Q10" s="43">
        <f>八布!Q7</f>
        <v>125.05</v>
      </c>
      <c r="R10">
        <f>八布!R7</f>
        <v>0</v>
      </c>
      <c r="S10" s="42" t="str">
        <f t="shared" ref="S10:S20" si="1">IF(J10=SUM(N10:R10),"正确","错误")</f>
        <v>正确</v>
      </c>
      <c r="T10">
        <v>6111.41456</v>
      </c>
      <c r="U10">
        <v>11135.645</v>
      </c>
      <c r="V10">
        <v>2170.7475</v>
      </c>
    </row>
    <row r="11" spans="9:22">
      <c r="I11" t="s">
        <v>1086</v>
      </c>
      <c r="J11" s="43" t="str">
        <f>大坪!J6</f>
        <v>7=8+9+10</v>
      </c>
      <c r="K11">
        <f>大坪!K6</f>
        <v>8</v>
      </c>
      <c r="L11">
        <f>大坪!L6</f>
        <v>9</v>
      </c>
      <c r="M11">
        <f>大坪!M6</f>
        <v>10</v>
      </c>
      <c r="N11" s="43">
        <f>大坪!N6</f>
        <v>11</v>
      </c>
      <c r="O11" s="43">
        <f>大坪!O6</f>
        <v>12</v>
      </c>
      <c r="P11" s="43">
        <f>大坪!P6</f>
        <v>13</v>
      </c>
      <c r="Q11" s="43">
        <f>大坪!Q6</f>
        <v>14</v>
      </c>
      <c r="R11">
        <f>大坪!R6</f>
        <v>15</v>
      </c>
      <c r="S11" s="42" t="str">
        <f t="shared" si="1"/>
        <v>错误</v>
      </c>
      <c r="T11">
        <v>4351.49</v>
      </c>
      <c r="U11">
        <v>9372.43</v>
      </c>
      <c r="V11">
        <v>4284.3903</v>
      </c>
    </row>
    <row r="12" spans="9:22">
      <c r="I12" t="s">
        <v>1265</v>
      </c>
      <c r="J12" s="43">
        <f>董干!K7</f>
        <v>0</v>
      </c>
      <c r="K12">
        <f>董干!L7</f>
        <v>0</v>
      </c>
      <c r="L12">
        <f>董干!M7</f>
        <v>0</v>
      </c>
      <c r="M12">
        <f>董干!N7</f>
        <v>0</v>
      </c>
      <c r="N12" s="43">
        <f>董干!O7</f>
        <v>33895.150662</v>
      </c>
      <c r="O12" s="43">
        <f>董干!P7</f>
        <v>17971.0312666667</v>
      </c>
      <c r="P12" s="43">
        <f>董干!Q7</f>
        <v>14105.4612206667</v>
      </c>
      <c r="Q12" s="43">
        <f>董干!R7</f>
        <v>1818.65817466667</v>
      </c>
      <c r="R12">
        <f>董干!S7</f>
        <v>7561.854</v>
      </c>
      <c r="S12" s="42" t="str">
        <f t="shared" si="1"/>
        <v>错误</v>
      </c>
      <c r="T12">
        <v>8012.86</v>
      </c>
      <c r="U12">
        <v>17295.69</v>
      </c>
      <c r="V12">
        <v>6358.1905</v>
      </c>
    </row>
    <row r="13" spans="9:22">
      <c r="I13" t="s">
        <v>3126</v>
      </c>
      <c r="J13" s="43">
        <f>六河!J7</f>
        <v>16451.239909</v>
      </c>
      <c r="K13">
        <f>六河!K7</f>
        <v>6559.653</v>
      </c>
      <c r="L13">
        <f>六河!L7</f>
        <v>8252.623703</v>
      </c>
      <c r="M13">
        <f>六河!M7</f>
        <v>1638.963206</v>
      </c>
      <c r="N13" s="43">
        <f>六河!N7</f>
        <v>4487.7046</v>
      </c>
      <c r="O13" s="43">
        <f>六河!O7</f>
        <v>10439.198509</v>
      </c>
      <c r="P13" s="43">
        <f>六河!P7</f>
        <v>752.0094</v>
      </c>
      <c r="Q13" s="43">
        <f>六河!Q7</f>
        <v>772.3274</v>
      </c>
      <c r="R13">
        <f>六河!R7</f>
        <v>0</v>
      </c>
      <c r="S13" s="42" t="str">
        <f t="shared" si="1"/>
        <v>正确</v>
      </c>
      <c r="T13">
        <v>8585.662</v>
      </c>
      <c r="U13">
        <v>11750.25</v>
      </c>
      <c r="V13">
        <v>5940.875</v>
      </c>
    </row>
    <row r="14" spans="9:22">
      <c r="I14" t="s">
        <v>3127</v>
      </c>
      <c r="J14" s="43">
        <f>麻栗镇!J7</f>
        <v>23879.768682</v>
      </c>
      <c r="K14">
        <f>麻栗镇!K7</f>
        <v>12363.4723</v>
      </c>
      <c r="L14">
        <f>麻栗镇!L7</f>
        <v>10160.457594</v>
      </c>
      <c r="M14">
        <f>麻栗镇!M7</f>
        <v>1355.838788</v>
      </c>
      <c r="N14" s="43">
        <f>麻栗镇!N7</f>
        <v>5414.5051</v>
      </c>
      <c r="O14" s="43">
        <f>麻栗镇!O7</f>
        <v>15615.703482</v>
      </c>
      <c r="P14" s="43">
        <f>麻栗镇!P7</f>
        <v>2590.2925</v>
      </c>
      <c r="Q14" s="43">
        <f>麻栗镇!Q7</f>
        <v>259.2676</v>
      </c>
      <c r="R14">
        <f>麻栗镇!R7</f>
        <v>0</v>
      </c>
      <c r="S14" s="42" t="str">
        <f t="shared" si="1"/>
        <v>正确</v>
      </c>
      <c r="T14">
        <v>4142.92</v>
      </c>
      <c r="U14">
        <v>16067.74</v>
      </c>
      <c r="V14">
        <v>3839.39</v>
      </c>
    </row>
    <row r="15" spans="9:22">
      <c r="I15" t="s">
        <v>1811</v>
      </c>
      <c r="J15" s="43">
        <f>马街!J7</f>
        <v>16660.86664718</v>
      </c>
      <c r="K15">
        <f>马街!K7</f>
        <v>7298.966578</v>
      </c>
      <c r="L15">
        <f>马街!L7</f>
        <v>7279.0743438</v>
      </c>
      <c r="M15">
        <f>马街!M7</f>
        <v>2082.82572538</v>
      </c>
      <c r="N15" s="43">
        <f>马街!N7</f>
        <v>3894.99894318</v>
      </c>
      <c r="O15" s="43">
        <f>马街!O7</f>
        <v>9730.373304</v>
      </c>
      <c r="P15" s="43">
        <f>马街!P7</f>
        <v>2016.8894</v>
      </c>
      <c r="Q15" s="43">
        <f>马街!Q7</f>
        <v>1018.605</v>
      </c>
      <c r="R15">
        <f>马街!R7</f>
        <v>0</v>
      </c>
      <c r="S15" s="42" t="str">
        <f t="shared" si="1"/>
        <v>正确</v>
      </c>
      <c r="T15">
        <v>4311.22</v>
      </c>
      <c r="U15">
        <v>11485.065</v>
      </c>
      <c r="V15">
        <v>1778.1945</v>
      </c>
    </row>
    <row r="16" s="1" customFormat="1" spans="9:25">
      <c r="I16" s="1" t="s">
        <v>3128</v>
      </c>
      <c r="J16" s="1">
        <f>猛硐!J7</f>
        <v>12829.340676</v>
      </c>
      <c r="K16" s="1">
        <f>猛硐!K7</f>
        <v>4900.5383</v>
      </c>
      <c r="L16" s="1">
        <f>猛硐!L7</f>
        <v>6897.03224</v>
      </c>
      <c r="M16" s="1">
        <f>猛硐!M7</f>
        <v>1031.770136</v>
      </c>
      <c r="N16" s="1">
        <f>猛硐!N7</f>
        <v>2754.639976</v>
      </c>
      <c r="O16" s="1">
        <f>猛硐!O7</f>
        <v>6572.9475</v>
      </c>
      <c r="P16" s="1">
        <f>猛硐!P7</f>
        <v>1342.7532</v>
      </c>
      <c r="Q16" s="1">
        <f>猛硐!Q7</f>
        <v>2159</v>
      </c>
      <c r="R16" s="1">
        <f>猛硐!R7</f>
        <v>0</v>
      </c>
      <c r="S16" s="57" t="str">
        <f t="shared" si="1"/>
        <v>正确</v>
      </c>
      <c r="T16" s="1">
        <v>2492.867176</v>
      </c>
      <c r="U16" s="1">
        <v>7874.8</v>
      </c>
      <c r="V16" s="1">
        <v>1336.8575</v>
      </c>
      <c r="W16" s="1">
        <f>N16-T16</f>
        <v>261.7728</v>
      </c>
      <c r="X16" s="1">
        <f>O16-U16</f>
        <v>-1301.8525</v>
      </c>
      <c r="Y16" s="1">
        <f>P16-V16</f>
        <v>5.89570000000003</v>
      </c>
    </row>
    <row r="17" spans="9:19">
      <c r="I17" t="s">
        <v>3129</v>
      </c>
      <c r="J17" s="43">
        <f>天保!K7</f>
        <v>1351</v>
      </c>
      <c r="K17">
        <f>天保!L7</f>
        <v>4888</v>
      </c>
      <c r="L17">
        <f>天保!M7</f>
        <v>2018</v>
      </c>
      <c r="M17">
        <f>天保!N7</f>
        <v>2020</v>
      </c>
      <c r="N17" s="43">
        <f>天保!O7</f>
        <v>14237.268428</v>
      </c>
      <c r="O17" s="43">
        <f>天保!P7</f>
        <v>6152.6756</v>
      </c>
      <c r="P17" s="43">
        <f>天保!Q7</f>
        <v>7221.755674</v>
      </c>
      <c r="Q17" s="43">
        <f>天保!R7</f>
        <v>862.837154</v>
      </c>
      <c r="R17">
        <f>天保!S7</f>
        <v>4269.658526</v>
      </c>
      <c r="S17" s="42" t="str">
        <f t="shared" si="1"/>
        <v>错误</v>
      </c>
    </row>
    <row r="18" spans="9:19">
      <c r="I18" t="s">
        <v>2503</v>
      </c>
      <c r="J18" s="43">
        <f>铁厂!J8</f>
        <v>2860.6</v>
      </c>
      <c r="K18">
        <f>铁厂!K8</f>
        <v>1795</v>
      </c>
      <c r="L18">
        <f>铁厂!L8</f>
        <v>1065.6</v>
      </c>
      <c r="M18">
        <f>铁厂!M8</f>
        <v>0</v>
      </c>
      <c r="N18" s="43">
        <f>铁厂!N8</f>
        <v>296.4</v>
      </c>
      <c r="O18" s="43">
        <f>铁厂!O8</f>
        <v>2404</v>
      </c>
      <c r="P18" s="43">
        <f>铁厂!P8</f>
        <v>160.2</v>
      </c>
      <c r="Q18" s="43">
        <f>铁厂!Q8</f>
        <v>0</v>
      </c>
      <c r="R18">
        <f>铁厂!R8</f>
        <v>0</v>
      </c>
      <c r="S18" s="42" t="str">
        <f t="shared" si="1"/>
        <v>正确</v>
      </c>
    </row>
    <row r="19" spans="8:19">
      <c r="H19">
        <v>0.02</v>
      </c>
      <c r="I19" t="s">
        <v>3130</v>
      </c>
      <c r="J19" s="43" t="str">
        <f>下金厂!J7</f>
        <v>7=8+9+10</v>
      </c>
      <c r="K19">
        <f>下金厂!K7</f>
        <v>8</v>
      </c>
      <c r="L19">
        <f>下金厂!L7</f>
        <v>9</v>
      </c>
      <c r="M19">
        <f>下金厂!M7</f>
        <v>10</v>
      </c>
      <c r="N19" s="43">
        <f>下金厂!N7</f>
        <v>11</v>
      </c>
      <c r="O19" s="43">
        <f>下金厂!O7</f>
        <v>12</v>
      </c>
      <c r="P19" s="43">
        <f>下金厂!P7</f>
        <v>13</v>
      </c>
      <c r="Q19" s="43">
        <f>下金厂!Q7</f>
        <v>14</v>
      </c>
      <c r="R19">
        <f>下金厂!R7</f>
        <v>15</v>
      </c>
      <c r="S19" s="42" t="str">
        <f t="shared" si="1"/>
        <v>错误</v>
      </c>
    </row>
    <row r="20" spans="9:19">
      <c r="I20" t="s">
        <v>2893</v>
      </c>
      <c r="J20" s="43">
        <f>杨万!J7</f>
        <v>13393.975946</v>
      </c>
      <c r="K20">
        <f>杨万!K7</f>
        <v>6169.66394</v>
      </c>
      <c r="L20">
        <f>杨万!L7</f>
        <v>5327.66732</v>
      </c>
      <c r="M20">
        <f>杨万!M7</f>
        <v>1896.644686</v>
      </c>
      <c r="N20" s="43">
        <f>杨万!N7</f>
        <v>6186.70902</v>
      </c>
      <c r="O20" s="43">
        <f>杨万!O7</f>
        <v>5975.808926</v>
      </c>
      <c r="P20" s="43">
        <f>杨万!P7</f>
        <v>1157.208</v>
      </c>
      <c r="Q20" s="43">
        <f>杨万!Q7</f>
        <v>74.25</v>
      </c>
      <c r="R20">
        <f>杨万!R7</f>
        <v>0</v>
      </c>
      <c r="S20" s="42" t="str">
        <f t="shared" si="1"/>
        <v>正确</v>
      </c>
    </row>
    <row r="21" spans="5:15">
      <c r="E21" t="s">
        <v>3125</v>
      </c>
      <c r="F21" t="s">
        <v>1086</v>
      </c>
      <c r="G21" t="s">
        <v>1265</v>
      </c>
      <c r="H21" t="s">
        <v>3126</v>
      </c>
      <c r="I21" t="s">
        <v>3127</v>
      </c>
      <c r="J21" t="s">
        <v>1811</v>
      </c>
      <c r="K21" t="s">
        <v>3128</v>
      </c>
      <c r="L21" t="s">
        <v>3129</v>
      </c>
      <c r="M21" t="s">
        <v>2503</v>
      </c>
      <c r="N21" t="s">
        <v>3130</v>
      </c>
      <c r="O21" t="s">
        <v>2893</v>
      </c>
    </row>
    <row r="22" spans="5:15">
      <c r="E22">
        <f>SUM(E23:E87)</f>
        <v>19717.80706</v>
      </c>
      <c r="F22">
        <f t="shared" ref="F22:O22" si="2">SUM(F23:F87)</f>
        <v>19071.3103</v>
      </c>
      <c r="G22">
        <f t="shared" si="2"/>
        <v>31966.641512</v>
      </c>
      <c r="H22">
        <f t="shared" si="2"/>
        <v>26576.787</v>
      </c>
      <c r="I22">
        <f t="shared" si="2"/>
        <v>24150.053064</v>
      </c>
      <c r="J22">
        <f t="shared" si="2"/>
        <v>17874.480596</v>
      </c>
      <c r="K22">
        <f t="shared" si="2"/>
        <v>12004.524676</v>
      </c>
      <c r="L22">
        <f t="shared" si="2"/>
        <v>13119.24712</v>
      </c>
      <c r="M22">
        <f t="shared" si="2"/>
        <v>11007.945564</v>
      </c>
      <c r="N22">
        <f t="shared" si="2"/>
        <v>9394.607884</v>
      </c>
      <c r="O22">
        <f t="shared" si="2"/>
        <v>13090.88352</v>
      </c>
    </row>
    <row r="23" ht="15" customHeight="1" spans="5:18">
      <c r="E23">
        <v>1186.4</v>
      </c>
      <c r="F23">
        <v>4134.297</v>
      </c>
      <c r="G23">
        <v>5708.1</v>
      </c>
      <c r="H23">
        <v>7962.13</v>
      </c>
      <c r="I23">
        <v>1380.2</v>
      </c>
      <c r="J23">
        <v>0</v>
      </c>
      <c r="K23">
        <v>0</v>
      </c>
      <c r="L23">
        <v>3072.17</v>
      </c>
      <c r="M23">
        <v>179.8</v>
      </c>
      <c r="N23">
        <v>330.6</v>
      </c>
      <c r="O23">
        <v>2946.375</v>
      </c>
      <c r="P23" s="44" t="s">
        <v>3125</v>
      </c>
      <c r="Q23">
        <f>E22</f>
        <v>19717.80706</v>
      </c>
      <c r="R23">
        <f>J10-Q23</f>
        <v>1269.173764</v>
      </c>
    </row>
    <row r="24" spans="5:18">
      <c r="E24">
        <v>2322</v>
      </c>
      <c r="F24">
        <v>1413</v>
      </c>
      <c r="G24">
        <v>2265</v>
      </c>
      <c r="H24">
        <v>957</v>
      </c>
      <c r="I24">
        <v>867</v>
      </c>
      <c r="J24">
        <v>867</v>
      </c>
      <c r="K24">
        <v>609</v>
      </c>
      <c r="L24">
        <v>1878</v>
      </c>
      <c r="M24">
        <v>408</v>
      </c>
      <c r="N24">
        <v>423</v>
      </c>
      <c r="O24">
        <v>318</v>
      </c>
      <c r="P24" s="44" t="s">
        <v>1086</v>
      </c>
      <c r="Q24">
        <f>F22</f>
        <v>19071.3103</v>
      </c>
      <c r="R24" t="e">
        <f t="shared" ref="R24:R33" si="3">J11-Q24</f>
        <v>#VALUE!</v>
      </c>
    </row>
    <row r="25" spans="5:18">
      <c r="E25">
        <v>2482.2</v>
      </c>
      <c r="F25">
        <v>2500.2</v>
      </c>
      <c r="G25">
        <v>3141</v>
      </c>
      <c r="H25">
        <v>1382.4</v>
      </c>
      <c r="I25">
        <v>3250.8</v>
      </c>
      <c r="J25">
        <v>2556</v>
      </c>
      <c r="K25">
        <v>2388.6</v>
      </c>
      <c r="L25">
        <v>1080</v>
      </c>
      <c r="M25">
        <v>1638</v>
      </c>
      <c r="N25">
        <v>1666.8</v>
      </c>
      <c r="O25">
        <v>1279.8</v>
      </c>
      <c r="P25" s="44" t="s">
        <v>1265</v>
      </c>
      <c r="Q25">
        <f>G22</f>
        <v>31966.641512</v>
      </c>
      <c r="R25">
        <f t="shared" si="3"/>
        <v>-31966.641512</v>
      </c>
    </row>
    <row r="26" spans="5:18">
      <c r="E26">
        <v>204</v>
      </c>
      <c r="F26">
        <v>116</v>
      </c>
      <c r="G26">
        <v>1088</v>
      </c>
      <c r="H26">
        <v>936</v>
      </c>
      <c r="I26">
        <v>344</v>
      </c>
      <c r="J26">
        <v>336</v>
      </c>
      <c r="K26">
        <v>144</v>
      </c>
      <c r="L26">
        <v>392</v>
      </c>
      <c r="M26">
        <v>300</v>
      </c>
      <c r="N26">
        <v>216</v>
      </c>
      <c r="O26">
        <v>160</v>
      </c>
      <c r="P26" s="44" t="s">
        <v>3126</v>
      </c>
      <c r="Q26">
        <f>H22</f>
        <v>26576.787</v>
      </c>
      <c r="R26">
        <f t="shared" si="3"/>
        <v>-10125.547091</v>
      </c>
    </row>
    <row r="27" spans="5:18">
      <c r="E27">
        <v>217.8</v>
      </c>
      <c r="F27">
        <v>1117.8</v>
      </c>
      <c r="G27">
        <v>662.4</v>
      </c>
      <c r="H27">
        <v>63</v>
      </c>
      <c r="I27">
        <v>577.8</v>
      </c>
      <c r="J27">
        <v>388.8</v>
      </c>
      <c r="K27">
        <v>669.6</v>
      </c>
      <c r="L27">
        <v>307.8</v>
      </c>
      <c r="M27">
        <v>189</v>
      </c>
      <c r="N27">
        <v>160.2</v>
      </c>
      <c r="O27">
        <v>48.6</v>
      </c>
      <c r="P27" s="44" t="s">
        <v>3127</v>
      </c>
      <c r="Q27">
        <f>I22</f>
        <v>24150.053064</v>
      </c>
      <c r="R27">
        <f t="shared" si="3"/>
        <v>-270.284381999998</v>
      </c>
    </row>
    <row r="28" spans="5:18">
      <c r="E28">
        <v>0</v>
      </c>
      <c r="F28">
        <v>0</v>
      </c>
      <c r="G28">
        <v>0</v>
      </c>
      <c r="H28">
        <v>0</v>
      </c>
      <c r="I28">
        <v>0</v>
      </c>
      <c r="J28">
        <v>0</v>
      </c>
      <c r="K28">
        <v>0</v>
      </c>
      <c r="L28">
        <v>0</v>
      </c>
      <c r="M28">
        <v>0</v>
      </c>
      <c r="N28">
        <v>0</v>
      </c>
      <c r="O28">
        <v>0</v>
      </c>
      <c r="P28" s="44" t="s">
        <v>1811</v>
      </c>
      <c r="Q28">
        <f>J22</f>
        <v>17874.480596</v>
      </c>
      <c r="R28">
        <f t="shared" si="3"/>
        <v>-1213.61394882</v>
      </c>
    </row>
    <row r="29" spans="5:18">
      <c r="E29">
        <v>0</v>
      </c>
      <c r="F29">
        <v>0</v>
      </c>
      <c r="G29">
        <v>0</v>
      </c>
      <c r="H29">
        <v>0</v>
      </c>
      <c r="I29">
        <v>0</v>
      </c>
      <c r="J29">
        <v>0</v>
      </c>
      <c r="K29">
        <v>0</v>
      </c>
      <c r="L29">
        <v>0</v>
      </c>
      <c r="M29">
        <v>0</v>
      </c>
      <c r="N29">
        <v>0</v>
      </c>
      <c r="O29">
        <v>0</v>
      </c>
      <c r="P29" s="44" t="s">
        <v>3128</v>
      </c>
      <c r="Q29">
        <f>K22</f>
        <v>12004.524676</v>
      </c>
      <c r="R29">
        <f t="shared" si="3"/>
        <v>824.815999999999</v>
      </c>
    </row>
    <row r="30" spans="5:18">
      <c r="E30">
        <v>17.8875</v>
      </c>
      <c r="F30">
        <v>11.1375</v>
      </c>
      <c r="G30">
        <v>32.4</v>
      </c>
      <c r="H30">
        <v>2.6</v>
      </c>
      <c r="I30">
        <v>32.4</v>
      </c>
      <c r="J30">
        <v>13.8375</v>
      </c>
      <c r="K30">
        <v>16.5375</v>
      </c>
      <c r="L30">
        <v>10.44</v>
      </c>
      <c r="M30">
        <v>4.95</v>
      </c>
      <c r="N30">
        <v>11.8125</v>
      </c>
      <c r="O30">
        <v>16.5375</v>
      </c>
      <c r="P30" s="44" t="s">
        <v>3129</v>
      </c>
      <c r="Q30" s="58">
        <f>L22</f>
        <v>13119.24712</v>
      </c>
      <c r="R30">
        <f t="shared" si="3"/>
        <v>-11768.24712</v>
      </c>
    </row>
    <row r="31" spans="5:18">
      <c r="E31">
        <v>95.7</v>
      </c>
      <c r="F31">
        <v>122.1</v>
      </c>
      <c r="G31">
        <v>206.25</v>
      </c>
      <c r="H31">
        <v>162.96</v>
      </c>
      <c r="I31">
        <v>272.25</v>
      </c>
      <c r="J31">
        <v>145.2</v>
      </c>
      <c r="K31">
        <v>92.4</v>
      </c>
      <c r="L31">
        <v>102.3</v>
      </c>
      <c r="M31">
        <v>171.6</v>
      </c>
      <c r="N31">
        <v>89.1</v>
      </c>
      <c r="O31">
        <v>136.95</v>
      </c>
      <c r="P31" s="44" t="s">
        <v>2503</v>
      </c>
      <c r="Q31">
        <f>M22</f>
        <v>11007.945564</v>
      </c>
      <c r="R31">
        <f t="shared" si="3"/>
        <v>-8147.345564</v>
      </c>
    </row>
    <row r="32" spans="5:18">
      <c r="E32">
        <v>85.8</v>
      </c>
      <c r="F32">
        <v>117.15</v>
      </c>
      <c r="G32">
        <v>125.4</v>
      </c>
      <c r="H32">
        <v>90.3</v>
      </c>
      <c r="I32">
        <v>160.05</v>
      </c>
      <c r="J32">
        <v>92.4</v>
      </c>
      <c r="K32">
        <v>160.05</v>
      </c>
      <c r="L32">
        <v>92.4</v>
      </c>
      <c r="M32">
        <v>82.5</v>
      </c>
      <c r="N32">
        <v>108.9</v>
      </c>
      <c r="O32">
        <v>79.2</v>
      </c>
      <c r="P32" s="44" t="s">
        <v>3130</v>
      </c>
      <c r="Q32">
        <f>N22</f>
        <v>9394.607884</v>
      </c>
      <c r="R32" t="e">
        <f t="shared" si="3"/>
        <v>#VALUE!</v>
      </c>
    </row>
    <row r="33" spans="5:18">
      <c r="E33">
        <v>55.44</v>
      </c>
      <c r="F33">
        <v>93.15</v>
      </c>
      <c r="G33">
        <v>129.15</v>
      </c>
      <c r="H33">
        <v>80.1</v>
      </c>
      <c r="I33">
        <v>178.65</v>
      </c>
      <c r="J33">
        <v>108.9</v>
      </c>
      <c r="K33">
        <v>62.55</v>
      </c>
      <c r="L33">
        <v>110.7</v>
      </c>
      <c r="M33">
        <v>113.4</v>
      </c>
      <c r="N33">
        <v>66.6</v>
      </c>
      <c r="O33">
        <v>90.45</v>
      </c>
      <c r="P33" s="44" t="s">
        <v>2893</v>
      </c>
      <c r="Q33">
        <f>O22</f>
        <v>13090.88352</v>
      </c>
      <c r="R33">
        <f t="shared" si="3"/>
        <v>303.092425999999</v>
      </c>
    </row>
    <row r="34" spans="5:15">
      <c r="E34">
        <v>0</v>
      </c>
      <c r="F34">
        <v>0</v>
      </c>
      <c r="G34">
        <v>0.99</v>
      </c>
      <c r="H34">
        <v>0</v>
      </c>
      <c r="I34">
        <v>0</v>
      </c>
      <c r="J34">
        <v>0</v>
      </c>
      <c r="K34">
        <v>0</v>
      </c>
      <c r="L34">
        <v>0</v>
      </c>
      <c r="M34">
        <v>0</v>
      </c>
      <c r="N34">
        <v>0</v>
      </c>
      <c r="O34">
        <v>0</v>
      </c>
    </row>
    <row r="35" spans="5:15">
      <c r="E35">
        <v>405.972</v>
      </c>
      <c r="F35">
        <v>364.203</v>
      </c>
      <c r="G35">
        <v>827.001</v>
      </c>
      <c r="H35">
        <v>402.23</v>
      </c>
      <c r="I35">
        <v>541.359</v>
      </c>
      <c r="J35">
        <v>534.74</v>
      </c>
      <c r="K35">
        <v>334.845</v>
      </c>
      <c r="L35">
        <v>454.74</v>
      </c>
      <c r="M35">
        <v>1450.734</v>
      </c>
      <c r="N35">
        <v>246.582</v>
      </c>
      <c r="O35">
        <v>389.66</v>
      </c>
    </row>
    <row r="36" spans="5:15">
      <c r="E36">
        <v>0</v>
      </c>
      <c r="F36">
        <v>0</v>
      </c>
      <c r="G36">
        <v>0</v>
      </c>
      <c r="H36">
        <v>0</v>
      </c>
      <c r="I36">
        <v>0</v>
      </c>
      <c r="J36">
        <v>0</v>
      </c>
      <c r="K36">
        <v>0</v>
      </c>
      <c r="L36">
        <v>0</v>
      </c>
      <c r="M36">
        <v>0</v>
      </c>
      <c r="N36">
        <v>0</v>
      </c>
      <c r="O36">
        <v>0</v>
      </c>
    </row>
    <row r="37" spans="5:15">
      <c r="E37">
        <v>96.26</v>
      </c>
      <c r="F37">
        <v>132.1</v>
      </c>
      <c r="G37">
        <v>132.07</v>
      </c>
      <c r="H37">
        <v>124.53</v>
      </c>
      <c r="I37">
        <v>286.319</v>
      </c>
      <c r="J37">
        <v>138.36</v>
      </c>
      <c r="K37">
        <v>74.54</v>
      </c>
      <c r="L37">
        <v>0</v>
      </c>
      <c r="M37">
        <v>103.93</v>
      </c>
      <c r="N37">
        <v>93.58</v>
      </c>
      <c r="O37">
        <v>82.18</v>
      </c>
    </row>
    <row r="38" spans="5:15">
      <c r="E38">
        <v>0</v>
      </c>
      <c r="F38">
        <v>0</v>
      </c>
      <c r="G38">
        <v>0</v>
      </c>
      <c r="H38">
        <v>0</v>
      </c>
      <c r="I38">
        <v>0</v>
      </c>
      <c r="J38">
        <v>0</v>
      </c>
      <c r="K38">
        <v>50.52</v>
      </c>
      <c r="L38">
        <v>0</v>
      </c>
      <c r="M38">
        <v>0</v>
      </c>
      <c r="N38">
        <v>0</v>
      </c>
      <c r="O38">
        <v>0</v>
      </c>
    </row>
    <row r="39" spans="5:15">
      <c r="E39">
        <v>29.92</v>
      </c>
      <c r="F39">
        <v>43.33</v>
      </c>
      <c r="G39">
        <v>30.88</v>
      </c>
      <c r="H39">
        <v>53.16</v>
      </c>
      <c r="I39">
        <v>109.2</v>
      </c>
      <c r="J39">
        <v>51.01</v>
      </c>
      <c r="K39">
        <v>24.13</v>
      </c>
      <c r="L39">
        <v>0</v>
      </c>
      <c r="M39">
        <v>24.82</v>
      </c>
      <c r="N39">
        <v>79.21</v>
      </c>
      <c r="O39">
        <v>21.85</v>
      </c>
    </row>
    <row r="40" spans="5:15">
      <c r="E40">
        <v>0</v>
      </c>
      <c r="F40">
        <v>0</v>
      </c>
      <c r="G40">
        <v>0</v>
      </c>
      <c r="H40">
        <v>0</v>
      </c>
      <c r="I40">
        <v>0</v>
      </c>
      <c r="J40">
        <v>0</v>
      </c>
      <c r="K40">
        <v>0</v>
      </c>
      <c r="L40">
        <v>0</v>
      </c>
      <c r="M40">
        <v>0</v>
      </c>
      <c r="N40">
        <v>0</v>
      </c>
      <c r="O40">
        <v>0</v>
      </c>
    </row>
    <row r="41" spans="5:15">
      <c r="E41">
        <v>0</v>
      </c>
      <c r="F41">
        <v>0</v>
      </c>
      <c r="G41">
        <v>0</v>
      </c>
      <c r="H41">
        <v>0</v>
      </c>
      <c r="I41">
        <v>0</v>
      </c>
      <c r="J41">
        <v>0</v>
      </c>
      <c r="K41">
        <v>0</v>
      </c>
      <c r="L41">
        <v>0</v>
      </c>
      <c r="M41">
        <v>0</v>
      </c>
      <c r="N41">
        <v>0</v>
      </c>
      <c r="O41">
        <v>0</v>
      </c>
    </row>
    <row r="42" spans="5:15">
      <c r="E42">
        <v>0</v>
      </c>
      <c r="F42">
        <v>0</v>
      </c>
      <c r="G42">
        <v>0</v>
      </c>
      <c r="H42">
        <v>0</v>
      </c>
      <c r="I42">
        <v>0</v>
      </c>
      <c r="J42">
        <v>0</v>
      </c>
      <c r="K42">
        <v>0</v>
      </c>
      <c r="L42">
        <v>0</v>
      </c>
      <c r="M42">
        <v>0</v>
      </c>
      <c r="N42">
        <v>0</v>
      </c>
      <c r="O42">
        <v>0</v>
      </c>
    </row>
    <row r="43" spans="5:15">
      <c r="E43">
        <v>0</v>
      </c>
      <c r="F43">
        <v>0</v>
      </c>
      <c r="G43">
        <v>0</v>
      </c>
      <c r="H43">
        <v>0</v>
      </c>
      <c r="I43">
        <v>0</v>
      </c>
      <c r="J43">
        <v>0</v>
      </c>
      <c r="K43">
        <v>0</v>
      </c>
      <c r="L43">
        <v>0</v>
      </c>
      <c r="M43">
        <v>0</v>
      </c>
      <c r="N43">
        <v>0</v>
      </c>
      <c r="O43">
        <v>0</v>
      </c>
    </row>
    <row r="44" spans="5:15">
      <c r="E44">
        <v>39.6</v>
      </c>
      <c r="F44">
        <v>0</v>
      </c>
      <c r="G44">
        <v>0</v>
      </c>
      <c r="H44">
        <v>0</v>
      </c>
      <c r="I44">
        <v>157.9</v>
      </c>
      <c r="J44">
        <v>0</v>
      </c>
      <c r="K44">
        <v>0</v>
      </c>
      <c r="L44">
        <v>0</v>
      </c>
      <c r="M44">
        <v>0</v>
      </c>
      <c r="N44">
        <v>97.5</v>
      </c>
      <c r="O44">
        <v>0</v>
      </c>
    </row>
    <row r="45" spans="5:15">
      <c r="E45">
        <v>14.4</v>
      </c>
      <c r="F45">
        <v>0</v>
      </c>
      <c r="G45">
        <v>28.8</v>
      </c>
      <c r="H45">
        <v>0</v>
      </c>
      <c r="I45">
        <v>0.54</v>
      </c>
      <c r="J45">
        <v>0</v>
      </c>
      <c r="K45">
        <v>12.6</v>
      </c>
      <c r="L45">
        <v>9</v>
      </c>
      <c r="M45">
        <v>0</v>
      </c>
      <c r="N45">
        <v>7.2</v>
      </c>
      <c r="O45">
        <v>9</v>
      </c>
    </row>
    <row r="46" spans="5:15">
      <c r="E46">
        <v>5.76</v>
      </c>
      <c r="F46">
        <v>10.8</v>
      </c>
      <c r="G46">
        <v>17.28</v>
      </c>
      <c r="H46">
        <v>0</v>
      </c>
      <c r="I46">
        <v>18</v>
      </c>
      <c r="J46">
        <v>0</v>
      </c>
      <c r="K46">
        <v>3</v>
      </c>
      <c r="L46">
        <v>9.3</v>
      </c>
      <c r="M46">
        <v>7.2</v>
      </c>
      <c r="N46">
        <v>4.32</v>
      </c>
      <c r="O46">
        <v>10.60902</v>
      </c>
    </row>
    <row r="47" spans="5:15">
      <c r="E47">
        <v>151.2</v>
      </c>
      <c r="F47">
        <v>192.96</v>
      </c>
      <c r="G47">
        <v>457.92</v>
      </c>
      <c r="H47">
        <v>130.32</v>
      </c>
      <c r="I47">
        <v>247.68</v>
      </c>
      <c r="J47">
        <v>354.24</v>
      </c>
      <c r="K47">
        <v>0</v>
      </c>
      <c r="L47">
        <v>92.16</v>
      </c>
      <c r="M47">
        <v>267.84</v>
      </c>
      <c r="N47">
        <v>98.64</v>
      </c>
      <c r="O47">
        <v>138.96</v>
      </c>
    </row>
    <row r="48" spans="5:15">
      <c r="E48">
        <v>16.2</v>
      </c>
      <c r="F48">
        <v>22.68</v>
      </c>
      <c r="G48">
        <v>18.36</v>
      </c>
      <c r="H48">
        <v>12.96</v>
      </c>
      <c r="I48">
        <v>25.92</v>
      </c>
      <c r="J48">
        <v>11.88</v>
      </c>
      <c r="K48">
        <v>16.2</v>
      </c>
      <c r="L48">
        <v>17.31</v>
      </c>
      <c r="M48">
        <v>2.16</v>
      </c>
      <c r="N48">
        <v>3.24</v>
      </c>
      <c r="O48">
        <v>14.04</v>
      </c>
    </row>
    <row r="49" spans="5:15">
      <c r="E49">
        <v>3.6</v>
      </c>
      <c r="F49">
        <v>10.5</v>
      </c>
      <c r="G49">
        <v>8.1</v>
      </c>
      <c r="H49">
        <v>7.2</v>
      </c>
      <c r="I49">
        <v>6.3</v>
      </c>
      <c r="J49">
        <v>2.25</v>
      </c>
      <c r="K49">
        <v>10.8</v>
      </c>
      <c r="L49">
        <v>0</v>
      </c>
      <c r="M49">
        <v>3.6</v>
      </c>
      <c r="N49">
        <v>3.6</v>
      </c>
      <c r="O49">
        <v>1.8</v>
      </c>
    </row>
    <row r="50" spans="5:15">
      <c r="E50">
        <v>0</v>
      </c>
      <c r="F50">
        <v>0</v>
      </c>
      <c r="G50">
        <v>0</v>
      </c>
      <c r="H50">
        <v>0</v>
      </c>
      <c r="I50">
        <v>0</v>
      </c>
      <c r="J50">
        <v>0</v>
      </c>
      <c r="K50">
        <v>0</v>
      </c>
      <c r="L50">
        <v>0</v>
      </c>
      <c r="M50">
        <v>0</v>
      </c>
      <c r="N50">
        <v>0</v>
      </c>
      <c r="O50">
        <v>0</v>
      </c>
    </row>
    <row r="51" spans="5:15">
      <c r="E51">
        <v>0</v>
      </c>
      <c r="F51">
        <v>350</v>
      </c>
      <c r="G51">
        <v>840</v>
      </c>
      <c r="H51">
        <v>559.5</v>
      </c>
      <c r="I51">
        <v>0</v>
      </c>
      <c r="J51">
        <v>747.4</v>
      </c>
      <c r="K51">
        <v>0</v>
      </c>
      <c r="L51">
        <v>484.3</v>
      </c>
      <c r="M51">
        <v>0</v>
      </c>
      <c r="N51">
        <v>568.2</v>
      </c>
      <c r="O51">
        <v>7.5</v>
      </c>
    </row>
    <row r="52" spans="5:15">
      <c r="E52">
        <v>0</v>
      </c>
      <c r="F52">
        <v>0</v>
      </c>
      <c r="G52">
        <v>0</v>
      </c>
      <c r="H52">
        <v>0</v>
      </c>
      <c r="I52">
        <v>0</v>
      </c>
      <c r="J52">
        <v>0</v>
      </c>
      <c r="K52">
        <v>0</v>
      </c>
      <c r="L52">
        <v>13.7</v>
      </c>
      <c r="M52">
        <v>0</v>
      </c>
      <c r="N52">
        <v>0</v>
      </c>
      <c r="O52">
        <v>0</v>
      </c>
    </row>
    <row r="53" spans="5:15">
      <c r="E53">
        <v>240</v>
      </c>
      <c r="F53">
        <v>183</v>
      </c>
      <c r="G53">
        <v>200</v>
      </c>
      <c r="H53">
        <v>157.2</v>
      </c>
      <c r="I53">
        <v>0</v>
      </c>
      <c r="J53">
        <v>0</v>
      </c>
      <c r="K53">
        <v>0</v>
      </c>
      <c r="L53">
        <v>229.99</v>
      </c>
      <c r="M53">
        <v>0</v>
      </c>
      <c r="N53">
        <v>0</v>
      </c>
      <c r="O53">
        <v>0</v>
      </c>
    </row>
    <row r="54" spans="5:15">
      <c r="E54">
        <v>0</v>
      </c>
      <c r="F54">
        <v>0</v>
      </c>
      <c r="G54">
        <v>0</v>
      </c>
      <c r="H54">
        <v>0</v>
      </c>
      <c r="I54">
        <v>554.1</v>
      </c>
      <c r="J54">
        <v>0</v>
      </c>
      <c r="K54">
        <v>571.7</v>
      </c>
      <c r="L54">
        <v>630</v>
      </c>
      <c r="M54">
        <v>606.01</v>
      </c>
      <c r="N54">
        <v>876.86</v>
      </c>
      <c r="O54">
        <v>587.5</v>
      </c>
    </row>
    <row r="55" spans="5:15">
      <c r="E55">
        <v>0</v>
      </c>
      <c r="F55">
        <v>0</v>
      </c>
      <c r="G55">
        <v>0</v>
      </c>
      <c r="H55">
        <v>0</v>
      </c>
      <c r="I55">
        <v>0</v>
      </c>
      <c r="J55">
        <v>0</v>
      </c>
      <c r="K55">
        <v>0</v>
      </c>
      <c r="L55">
        <v>0</v>
      </c>
      <c r="M55">
        <v>0</v>
      </c>
      <c r="N55">
        <v>0</v>
      </c>
      <c r="O55">
        <v>0</v>
      </c>
    </row>
    <row r="56" spans="5:15">
      <c r="E56">
        <v>158</v>
      </c>
      <c r="F56">
        <v>138</v>
      </c>
      <c r="G56">
        <v>205</v>
      </c>
      <c r="H56">
        <v>170</v>
      </c>
      <c r="I56">
        <v>263</v>
      </c>
      <c r="J56">
        <v>181</v>
      </c>
      <c r="K56">
        <v>129</v>
      </c>
      <c r="L56">
        <v>151</v>
      </c>
      <c r="M56">
        <v>130</v>
      </c>
      <c r="N56">
        <v>228</v>
      </c>
      <c r="O56">
        <v>134</v>
      </c>
    </row>
    <row r="57" spans="5:15">
      <c r="E57">
        <v>4000</v>
      </c>
      <c r="F57">
        <v>1152</v>
      </c>
      <c r="G57">
        <v>3616</v>
      </c>
      <c r="H57">
        <v>3616</v>
      </c>
      <c r="I57">
        <v>1536</v>
      </c>
      <c r="J57">
        <v>2432</v>
      </c>
      <c r="K57">
        <v>896</v>
      </c>
      <c r="L57">
        <v>832</v>
      </c>
      <c r="M57">
        <v>1920</v>
      </c>
      <c r="N57">
        <v>832</v>
      </c>
      <c r="O57">
        <v>3232</v>
      </c>
    </row>
    <row r="58" spans="5:15">
      <c r="E58">
        <v>150</v>
      </c>
      <c r="F58">
        <v>0</v>
      </c>
      <c r="G58">
        <v>250</v>
      </c>
      <c r="H58">
        <v>30</v>
      </c>
      <c r="I58">
        <v>0</v>
      </c>
      <c r="J58">
        <v>70</v>
      </c>
      <c r="K58">
        <v>0</v>
      </c>
      <c r="L58">
        <v>0</v>
      </c>
      <c r="M58">
        <v>0</v>
      </c>
      <c r="N58">
        <v>0</v>
      </c>
      <c r="O58">
        <v>0</v>
      </c>
    </row>
    <row r="59" spans="5:15">
      <c r="E59">
        <v>110.4</v>
      </c>
      <c r="F59">
        <v>115.2</v>
      </c>
      <c r="G59">
        <v>228</v>
      </c>
      <c r="H59">
        <v>112.8</v>
      </c>
      <c r="I59">
        <v>194.4</v>
      </c>
      <c r="J59">
        <v>103.2</v>
      </c>
      <c r="K59">
        <v>484.8</v>
      </c>
      <c r="L59">
        <v>134.4</v>
      </c>
      <c r="M59">
        <v>172.8</v>
      </c>
      <c r="N59">
        <v>103.2</v>
      </c>
      <c r="O59">
        <v>268.8</v>
      </c>
    </row>
    <row r="60" spans="5:15">
      <c r="E60">
        <v>0</v>
      </c>
      <c r="F60">
        <v>0</v>
      </c>
      <c r="G60">
        <v>0</v>
      </c>
      <c r="H60">
        <v>0</v>
      </c>
      <c r="I60">
        <v>0</v>
      </c>
      <c r="J60">
        <v>0</v>
      </c>
      <c r="K60">
        <v>0</v>
      </c>
      <c r="L60">
        <v>0</v>
      </c>
      <c r="M60">
        <v>0</v>
      </c>
      <c r="N60">
        <v>0</v>
      </c>
      <c r="O60">
        <v>0</v>
      </c>
    </row>
    <row r="61" spans="5:15">
      <c r="E61">
        <v>0</v>
      </c>
      <c r="F61">
        <v>0</v>
      </c>
      <c r="G61">
        <v>0</v>
      </c>
      <c r="H61">
        <v>0</v>
      </c>
      <c r="I61">
        <v>0</v>
      </c>
      <c r="J61">
        <v>0</v>
      </c>
      <c r="K61">
        <v>0</v>
      </c>
      <c r="L61">
        <v>0</v>
      </c>
      <c r="M61">
        <v>0</v>
      </c>
      <c r="N61">
        <v>0</v>
      </c>
      <c r="O61">
        <v>0</v>
      </c>
    </row>
    <row r="62" spans="5:15">
      <c r="E62">
        <v>182.01456</v>
      </c>
      <c r="F62">
        <v>119.00952</v>
      </c>
      <c r="G62">
        <v>631.450512</v>
      </c>
      <c r="H62">
        <v>238.06</v>
      </c>
      <c r="I62">
        <v>250.728064</v>
      </c>
      <c r="J62">
        <v>151.212096</v>
      </c>
      <c r="K62">
        <v>189.715176</v>
      </c>
      <c r="L62">
        <v>81.9082</v>
      </c>
      <c r="M62">
        <v>100.808064</v>
      </c>
      <c r="N62">
        <v>167.313384</v>
      </c>
      <c r="O62">
        <v>123.211</v>
      </c>
    </row>
    <row r="63" spans="5:15">
      <c r="E63">
        <v>101.556</v>
      </c>
      <c r="F63">
        <v>69.615</v>
      </c>
      <c r="G63">
        <v>658.476</v>
      </c>
      <c r="H63">
        <v>196.552</v>
      </c>
      <c r="I63">
        <v>204.12</v>
      </c>
      <c r="J63">
        <v>194.922</v>
      </c>
      <c r="K63">
        <v>109.746</v>
      </c>
      <c r="L63">
        <v>83.42334</v>
      </c>
      <c r="M63">
        <v>249.894</v>
      </c>
      <c r="N63">
        <v>134.316</v>
      </c>
      <c r="O63">
        <v>75.348</v>
      </c>
    </row>
    <row r="64" spans="5:15">
      <c r="E64">
        <v>0</v>
      </c>
      <c r="F64">
        <v>13.91948</v>
      </c>
      <c r="G64">
        <v>33.048</v>
      </c>
      <c r="H64">
        <v>15.552</v>
      </c>
      <c r="I64">
        <v>0</v>
      </c>
      <c r="J64">
        <v>0</v>
      </c>
      <c r="K64">
        <v>46.656</v>
      </c>
      <c r="L64">
        <v>13.50108</v>
      </c>
      <c r="M64">
        <v>5.832</v>
      </c>
      <c r="N64">
        <v>11.664</v>
      </c>
      <c r="O64">
        <v>33.048</v>
      </c>
    </row>
    <row r="65" spans="5:15">
      <c r="E65">
        <v>54.432</v>
      </c>
      <c r="F65">
        <v>36.936</v>
      </c>
      <c r="G65">
        <v>11.34</v>
      </c>
      <c r="H65">
        <v>34.668</v>
      </c>
      <c r="I65">
        <v>41.04</v>
      </c>
      <c r="J65">
        <v>49.032</v>
      </c>
      <c r="K65">
        <v>7.14</v>
      </c>
      <c r="L65">
        <v>22.032</v>
      </c>
      <c r="M65">
        <v>105.84</v>
      </c>
      <c r="N65">
        <v>110.484</v>
      </c>
      <c r="O65">
        <v>34.2</v>
      </c>
    </row>
    <row r="66" spans="5:15">
      <c r="E66">
        <v>0</v>
      </c>
      <c r="F66">
        <v>0</v>
      </c>
      <c r="G66">
        <v>0</v>
      </c>
      <c r="H66">
        <v>0</v>
      </c>
      <c r="I66">
        <v>0</v>
      </c>
      <c r="J66">
        <v>0</v>
      </c>
      <c r="K66">
        <v>0</v>
      </c>
      <c r="L66">
        <v>0</v>
      </c>
      <c r="M66">
        <v>0</v>
      </c>
      <c r="N66">
        <v>0</v>
      </c>
      <c r="O66">
        <v>0</v>
      </c>
    </row>
    <row r="67" spans="5:15">
      <c r="E67">
        <v>0</v>
      </c>
      <c r="F67">
        <v>0</v>
      </c>
      <c r="G67">
        <v>0</v>
      </c>
      <c r="H67">
        <v>0</v>
      </c>
      <c r="I67">
        <v>0</v>
      </c>
      <c r="J67">
        <v>0</v>
      </c>
      <c r="K67">
        <v>0</v>
      </c>
      <c r="L67">
        <v>0</v>
      </c>
      <c r="M67">
        <v>0</v>
      </c>
      <c r="N67">
        <v>0</v>
      </c>
      <c r="O67">
        <v>0</v>
      </c>
    </row>
    <row r="68" spans="5:15">
      <c r="E68">
        <v>0</v>
      </c>
      <c r="F68">
        <v>0</v>
      </c>
      <c r="G68">
        <v>0</v>
      </c>
      <c r="H68">
        <v>0</v>
      </c>
      <c r="I68">
        <v>0</v>
      </c>
      <c r="J68">
        <v>0</v>
      </c>
      <c r="K68">
        <v>0</v>
      </c>
      <c r="L68">
        <v>0</v>
      </c>
      <c r="M68">
        <v>0</v>
      </c>
      <c r="N68">
        <v>0</v>
      </c>
      <c r="O68">
        <v>0</v>
      </c>
    </row>
    <row r="69" spans="5:15">
      <c r="E69">
        <v>1001.1</v>
      </c>
      <c r="F69">
        <v>810.6658</v>
      </c>
      <c r="G69">
        <v>735.406</v>
      </c>
      <c r="H69">
        <v>975.3</v>
      </c>
      <c r="I69">
        <v>492.4</v>
      </c>
      <c r="J69">
        <v>496.4</v>
      </c>
      <c r="K69">
        <v>580.2</v>
      </c>
      <c r="L69">
        <v>763.9</v>
      </c>
      <c r="M69">
        <v>0</v>
      </c>
      <c r="N69">
        <v>191.2</v>
      </c>
      <c r="O69">
        <v>494.5</v>
      </c>
    </row>
    <row r="70" spans="5:15">
      <c r="E70">
        <v>3907.12</v>
      </c>
      <c r="F70">
        <v>2956.35</v>
      </c>
      <c r="G70">
        <v>1041</v>
      </c>
      <c r="H70">
        <v>5902.32</v>
      </c>
      <c r="I70">
        <v>7853.55</v>
      </c>
      <c r="J70">
        <v>5548.41</v>
      </c>
      <c r="K70">
        <v>3919.98</v>
      </c>
      <c r="L70">
        <v>1594.35</v>
      </c>
      <c r="M70">
        <v>1521.9675</v>
      </c>
      <c r="N70">
        <v>1251.32</v>
      </c>
      <c r="O70">
        <v>1338.75</v>
      </c>
    </row>
    <row r="71" spans="5:15">
      <c r="E71">
        <v>346.37</v>
      </c>
      <c r="F71">
        <v>119.95</v>
      </c>
      <c r="G71">
        <v>4704.18</v>
      </c>
      <c r="H71">
        <v>99.08</v>
      </c>
      <c r="I71">
        <v>789.22</v>
      </c>
      <c r="J71">
        <v>850.057</v>
      </c>
      <c r="K71">
        <v>78.98</v>
      </c>
      <c r="L71">
        <v>111.99</v>
      </c>
      <c r="M71">
        <v>547.13</v>
      </c>
      <c r="N71">
        <v>175</v>
      </c>
      <c r="O71">
        <v>62.62</v>
      </c>
    </row>
    <row r="72" spans="5:15">
      <c r="E72">
        <v>9.45</v>
      </c>
      <c r="F72">
        <v>16.275</v>
      </c>
      <c r="G72">
        <v>248.007</v>
      </c>
      <c r="H72">
        <v>40.55</v>
      </c>
      <c r="I72">
        <v>29.26</v>
      </c>
      <c r="J72">
        <v>8.715</v>
      </c>
      <c r="K72">
        <v>14.615</v>
      </c>
      <c r="L72">
        <v>2.31</v>
      </c>
      <c r="M72">
        <v>0</v>
      </c>
      <c r="N72">
        <v>9.335</v>
      </c>
      <c r="O72">
        <v>4.83</v>
      </c>
    </row>
    <row r="73" spans="5:15">
      <c r="E73">
        <v>0</v>
      </c>
      <c r="F73">
        <v>0</v>
      </c>
      <c r="G73">
        <v>7.875</v>
      </c>
      <c r="H73">
        <v>0</v>
      </c>
      <c r="I73">
        <v>0</v>
      </c>
      <c r="J73">
        <v>0</v>
      </c>
      <c r="K73">
        <v>0</v>
      </c>
      <c r="L73">
        <v>0</v>
      </c>
      <c r="M73">
        <v>0</v>
      </c>
      <c r="N73">
        <v>0</v>
      </c>
      <c r="O73">
        <v>0</v>
      </c>
    </row>
    <row r="74" spans="5:15">
      <c r="E74">
        <v>0</v>
      </c>
      <c r="F74">
        <v>0</v>
      </c>
      <c r="G74">
        <v>0</v>
      </c>
      <c r="H74">
        <v>0</v>
      </c>
      <c r="I74">
        <v>0</v>
      </c>
      <c r="J74">
        <v>0</v>
      </c>
      <c r="K74">
        <v>0</v>
      </c>
      <c r="L74">
        <v>0</v>
      </c>
      <c r="M74">
        <v>0</v>
      </c>
      <c r="N74">
        <v>0</v>
      </c>
      <c r="O74">
        <v>0</v>
      </c>
    </row>
    <row r="75" spans="5:15">
      <c r="E75">
        <v>0</v>
      </c>
      <c r="F75">
        <v>0</v>
      </c>
      <c r="G75">
        <v>0</v>
      </c>
      <c r="H75">
        <v>0</v>
      </c>
      <c r="I75">
        <v>0</v>
      </c>
      <c r="J75">
        <v>0</v>
      </c>
      <c r="K75">
        <v>0</v>
      </c>
      <c r="L75">
        <v>0</v>
      </c>
      <c r="M75">
        <v>0</v>
      </c>
      <c r="N75">
        <v>0</v>
      </c>
      <c r="O75">
        <v>0</v>
      </c>
    </row>
    <row r="76" spans="5:15">
      <c r="E76">
        <v>661.725</v>
      </c>
      <c r="F76">
        <v>1240.982</v>
      </c>
      <c r="G76">
        <v>0</v>
      </c>
      <c r="H76">
        <v>513.815</v>
      </c>
      <c r="I76">
        <v>1231.867</v>
      </c>
      <c r="J76">
        <v>774.515</v>
      </c>
      <c r="K76">
        <v>53.62</v>
      </c>
      <c r="L76">
        <v>306.875</v>
      </c>
      <c r="M76">
        <v>146.58</v>
      </c>
      <c r="N76">
        <v>602.831</v>
      </c>
      <c r="O76">
        <v>398.565</v>
      </c>
    </row>
    <row r="77" spans="5:15">
      <c r="E77">
        <v>72</v>
      </c>
      <c r="F77">
        <v>96</v>
      </c>
      <c r="G77">
        <v>2124.758</v>
      </c>
      <c r="H77">
        <v>60</v>
      </c>
      <c r="I77">
        <v>232</v>
      </c>
      <c r="J77">
        <v>127</v>
      </c>
      <c r="K77">
        <v>59</v>
      </c>
      <c r="L77">
        <v>75</v>
      </c>
      <c r="M77">
        <v>36</v>
      </c>
      <c r="N77">
        <v>61</v>
      </c>
      <c r="O77">
        <v>90</v>
      </c>
    </row>
    <row r="78" spans="5:15">
      <c r="E78">
        <v>80</v>
      </c>
      <c r="F78">
        <v>20</v>
      </c>
      <c r="G78">
        <v>278</v>
      </c>
      <c r="H78">
        <v>100</v>
      </c>
      <c r="I78">
        <v>151</v>
      </c>
      <c r="J78">
        <v>40</v>
      </c>
      <c r="K78">
        <v>0</v>
      </c>
      <c r="L78">
        <v>0</v>
      </c>
      <c r="M78">
        <v>80</v>
      </c>
      <c r="N78">
        <v>20</v>
      </c>
      <c r="O78">
        <v>0</v>
      </c>
    </row>
    <row r="79" spans="5:15">
      <c r="E79">
        <v>0</v>
      </c>
      <c r="F79">
        <v>0</v>
      </c>
      <c r="G79">
        <v>260</v>
      </c>
      <c r="H79">
        <v>0</v>
      </c>
      <c r="I79">
        <v>0</v>
      </c>
      <c r="J79">
        <v>0</v>
      </c>
      <c r="K79">
        <v>0</v>
      </c>
      <c r="L79">
        <v>0</v>
      </c>
      <c r="M79">
        <v>0</v>
      </c>
      <c r="N79">
        <v>0</v>
      </c>
      <c r="O79">
        <v>0</v>
      </c>
    </row>
    <row r="80" spans="5:15">
      <c r="E80">
        <v>559</v>
      </c>
      <c r="F80">
        <v>882</v>
      </c>
      <c r="G80">
        <v>0</v>
      </c>
      <c r="H80">
        <v>832</v>
      </c>
      <c r="I80">
        <v>591</v>
      </c>
      <c r="J80">
        <v>149</v>
      </c>
      <c r="K80">
        <v>0</v>
      </c>
      <c r="L80">
        <v>0</v>
      </c>
      <c r="M80">
        <v>126</v>
      </c>
      <c r="N80">
        <v>0</v>
      </c>
      <c r="O80">
        <v>72</v>
      </c>
    </row>
    <row r="81" spans="5:15">
      <c r="E81">
        <v>0</v>
      </c>
      <c r="F81">
        <v>0</v>
      </c>
      <c r="G81">
        <v>116</v>
      </c>
      <c r="H81">
        <v>0</v>
      </c>
      <c r="I81">
        <v>0</v>
      </c>
      <c r="J81">
        <v>0</v>
      </c>
      <c r="K81">
        <v>0</v>
      </c>
      <c r="L81">
        <v>0</v>
      </c>
      <c r="M81">
        <v>0</v>
      </c>
      <c r="N81">
        <v>0</v>
      </c>
      <c r="O81">
        <v>0</v>
      </c>
    </row>
    <row r="82" spans="5:15">
      <c r="E82">
        <v>0</v>
      </c>
      <c r="F82">
        <v>0</v>
      </c>
      <c r="G82">
        <v>99</v>
      </c>
      <c r="H82">
        <v>0</v>
      </c>
      <c r="I82">
        <v>0</v>
      </c>
      <c r="J82">
        <v>0</v>
      </c>
      <c r="K82">
        <v>0</v>
      </c>
      <c r="L82">
        <v>0</v>
      </c>
      <c r="M82">
        <v>0</v>
      </c>
      <c r="N82">
        <v>0</v>
      </c>
      <c r="O82">
        <v>0</v>
      </c>
    </row>
    <row r="83" spans="5:15">
      <c r="E83">
        <v>633.5</v>
      </c>
      <c r="F83">
        <v>350</v>
      </c>
      <c r="G83">
        <v>0</v>
      </c>
      <c r="H83">
        <v>541.5</v>
      </c>
      <c r="I83">
        <v>1280</v>
      </c>
      <c r="J83">
        <v>118</v>
      </c>
      <c r="K83">
        <v>50</v>
      </c>
      <c r="L83">
        <v>0</v>
      </c>
      <c r="M83">
        <v>311.55</v>
      </c>
      <c r="N83">
        <v>345</v>
      </c>
      <c r="O83">
        <v>390</v>
      </c>
    </row>
    <row r="84" spans="5:15">
      <c r="E84">
        <v>0</v>
      </c>
      <c r="F84">
        <v>0</v>
      </c>
      <c r="G84">
        <v>0</v>
      </c>
      <c r="H84">
        <v>0</v>
      </c>
      <c r="I84">
        <v>0</v>
      </c>
      <c r="J84">
        <v>233</v>
      </c>
      <c r="K84">
        <v>0</v>
      </c>
      <c r="L84">
        <v>5</v>
      </c>
      <c r="M84">
        <v>0</v>
      </c>
      <c r="N84">
        <v>0</v>
      </c>
      <c r="O84">
        <v>0</v>
      </c>
    </row>
    <row r="85" spans="5:15">
      <c r="E85" s="1">
        <v>21</v>
      </c>
      <c r="F85">
        <v>0</v>
      </c>
      <c r="G85">
        <v>0</v>
      </c>
      <c r="H85" s="1">
        <v>15</v>
      </c>
      <c r="I85">
        <v>0</v>
      </c>
      <c r="J85">
        <v>0</v>
      </c>
      <c r="K85" s="1">
        <v>144</v>
      </c>
      <c r="L85" s="1">
        <v>-44.7525</v>
      </c>
      <c r="M85">
        <v>0</v>
      </c>
      <c r="N85">
        <v>0</v>
      </c>
      <c r="O85">
        <v>0</v>
      </c>
    </row>
    <row r="86" spans="7:7">
      <c r="G86">
        <v>800</v>
      </c>
    </row>
    <row r="87" spans="7:7">
      <c r="G87">
        <v>0</v>
      </c>
    </row>
  </sheetData>
  <mergeCells count="15">
    <mergeCell ref="A1:B1"/>
    <mergeCell ref="A2:W2"/>
    <mergeCell ref="A3:U3"/>
    <mergeCell ref="F4:G4"/>
    <mergeCell ref="H4:I4"/>
    <mergeCell ref="J4:M4"/>
    <mergeCell ref="N4:R4"/>
    <mergeCell ref="A4:A6"/>
    <mergeCell ref="B4:B6"/>
    <mergeCell ref="C4:C6"/>
    <mergeCell ref="D4:D5"/>
    <mergeCell ref="E4:E5"/>
    <mergeCell ref="V4:V5"/>
    <mergeCell ref="W4:W5"/>
    <mergeCell ref="T4:U5"/>
  </mergeCells>
  <dataValidations count="1">
    <dataValidation allowBlank="1" showInputMessage="1" showErrorMessage="1" sqref="A2"/>
  </dataValidations>
  <pageMargins left="0.75" right="0.75" top="1" bottom="1" header="0.509027777777778" footer="0.509027777777778"/>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C857"/>
  <sheetViews>
    <sheetView zoomScale="85" zoomScaleNormal="85" topLeftCell="A2" workbookViewId="0">
      <pane ySplit="5" topLeftCell="A65" activePane="bottomLeft" state="frozen"/>
      <selection/>
      <selection pane="bottomLeft" activeCell="A2" sqref="$A1:$XFD1048576"/>
    </sheetView>
  </sheetViews>
  <sheetFormatPr defaultColWidth="9" defaultRowHeight="12"/>
  <cols>
    <col min="1" max="1" width="7.75" style="695" customWidth="1"/>
    <col min="2" max="2" width="19.2583333333333" style="570" customWidth="1"/>
    <col min="3" max="3" width="10.5" style="570" customWidth="1"/>
    <col min="4" max="4" width="10.7416666666667" style="611" customWidth="1"/>
    <col min="5" max="5" width="8.89166666666667" style="570" customWidth="1"/>
    <col min="6" max="6" width="12.0333333333333" style="570" customWidth="1"/>
    <col min="7" max="7" width="17.25" style="570" customWidth="1"/>
    <col min="8" max="8" width="11.475" style="570" customWidth="1"/>
    <col min="9" max="9" width="12.175" style="570" customWidth="1"/>
    <col min="10" max="11" width="7.63333333333333" style="570" customWidth="1"/>
    <col min="12" max="13" width="8.75" style="570" customWidth="1"/>
    <col min="14" max="15" width="12.1333333333333" style="696" customWidth="1"/>
    <col min="16" max="16" width="10.25" style="696" customWidth="1"/>
    <col min="17" max="17" width="10.1333333333333" style="696" customWidth="1"/>
    <col min="18" max="18" width="12" style="696" customWidth="1"/>
    <col min="19" max="19" width="11.8833333333333" style="696" customWidth="1"/>
    <col min="20" max="20" width="11.3833333333333" style="696" customWidth="1"/>
    <col min="21" max="21" width="10.6333333333333" style="696" customWidth="1"/>
    <col min="22" max="22" width="6.38333333333333" style="570" customWidth="1"/>
    <col min="23" max="23" width="9.075" style="570" customWidth="1"/>
    <col min="24" max="24" width="8.51666666666667" style="570" customWidth="1"/>
    <col min="25" max="25" width="8.95" style="570" customWidth="1"/>
    <col min="26" max="26" width="9.675" style="570" customWidth="1"/>
    <col min="27" max="29" width="5.25" style="570" customWidth="1"/>
    <col min="30" max="31" width="6.63333333333333" style="570" customWidth="1"/>
    <col min="32" max="32" width="8.7" style="570" customWidth="1"/>
    <col min="33" max="33" width="12.0333333333333" style="570" customWidth="1"/>
    <col min="34" max="16384" width="9" style="570"/>
  </cols>
  <sheetData>
    <row r="1" s="65" customFormat="1" ht="19.5" customHeight="1" spans="1:237">
      <c r="A1" s="697" t="s">
        <v>588</v>
      </c>
      <c r="B1" s="697"/>
      <c r="C1" s="697"/>
      <c r="D1" s="698"/>
      <c r="E1" s="697"/>
      <c r="F1" s="697"/>
      <c r="G1" s="697"/>
      <c r="H1" s="697"/>
      <c r="I1" s="697"/>
      <c r="J1" s="697"/>
      <c r="K1" s="697"/>
      <c r="L1" s="697"/>
      <c r="M1" s="697"/>
      <c r="N1" s="717"/>
      <c r="O1" s="717"/>
      <c r="P1" s="717"/>
      <c r="Q1" s="717"/>
      <c r="R1" s="717"/>
      <c r="S1" s="717"/>
      <c r="T1" s="717"/>
      <c r="U1" s="717"/>
      <c r="V1" s="717"/>
      <c r="W1" s="717"/>
      <c r="X1" s="717"/>
      <c r="Y1" s="717"/>
      <c r="Z1" s="717"/>
      <c r="AA1" s="697"/>
      <c r="AB1" s="697"/>
      <c r="AC1" s="697"/>
      <c r="AD1" s="697"/>
      <c r="AE1" s="697"/>
      <c r="AF1" s="697"/>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row>
    <row r="2" s="65" customFormat="1" ht="39.95" customHeight="1" spans="1:237">
      <c r="A2" s="819" t="s">
        <v>589</v>
      </c>
      <c r="B2" s="819"/>
      <c r="C2" s="819"/>
      <c r="D2" s="819"/>
      <c r="E2" s="819"/>
      <c r="F2" s="819"/>
      <c r="G2" s="819"/>
      <c r="H2" s="819"/>
      <c r="I2" s="819"/>
      <c r="J2" s="819"/>
      <c r="K2" s="819"/>
      <c r="L2" s="819"/>
      <c r="M2" s="819"/>
      <c r="N2" s="820"/>
      <c r="O2" s="820"/>
      <c r="P2" s="820"/>
      <c r="Q2" s="820"/>
      <c r="R2" s="820"/>
      <c r="S2" s="820"/>
      <c r="T2" s="820"/>
      <c r="U2" s="820"/>
      <c r="V2" s="819"/>
      <c r="W2" s="819"/>
      <c r="X2" s="819"/>
      <c r="Y2" s="819"/>
      <c r="Z2" s="819"/>
      <c r="AA2" s="819"/>
      <c r="AB2" s="819"/>
      <c r="AC2" s="819"/>
      <c r="AD2" s="819"/>
      <c r="AE2" s="819"/>
      <c r="AF2" s="819"/>
      <c r="AG2" s="819"/>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0"/>
      <c r="BR2" s="570"/>
      <c r="BS2" s="570"/>
      <c r="BT2" s="570"/>
      <c r="BU2" s="570"/>
      <c r="BV2" s="570"/>
      <c r="BW2" s="570"/>
      <c r="BX2" s="570"/>
      <c r="BY2" s="570"/>
      <c r="BZ2" s="570"/>
      <c r="CA2" s="570"/>
      <c r="CB2" s="570"/>
      <c r="CC2" s="570"/>
      <c r="CD2" s="570"/>
      <c r="CE2" s="570"/>
      <c r="CF2" s="570"/>
      <c r="CG2" s="570"/>
      <c r="CH2" s="570"/>
      <c r="CI2" s="570"/>
      <c r="CJ2" s="570"/>
      <c r="CK2" s="570"/>
      <c r="CL2" s="570"/>
      <c r="CM2" s="570"/>
      <c r="CN2" s="570"/>
      <c r="CO2" s="570"/>
      <c r="CP2" s="570"/>
      <c r="CQ2" s="570"/>
      <c r="CR2" s="570"/>
      <c r="CS2" s="570"/>
      <c r="CT2" s="570"/>
      <c r="CU2" s="570"/>
      <c r="CV2" s="570"/>
      <c r="CW2" s="570"/>
      <c r="CX2" s="570"/>
      <c r="CY2" s="570"/>
      <c r="CZ2" s="570"/>
      <c r="DA2" s="570"/>
      <c r="DB2" s="570"/>
      <c r="DC2" s="570"/>
      <c r="DD2" s="570"/>
      <c r="DE2" s="570"/>
      <c r="DF2" s="570"/>
      <c r="DG2" s="570"/>
      <c r="DH2" s="570"/>
      <c r="DI2" s="570"/>
      <c r="DJ2" s="570"/>
      <c r="DK2" s="570"/>
      <c r="DL2" s="570"/>
      <c r="DM2" s="570"/>
      <c r="DN2" s="570"/>
      <c r="DO2" s="570"/>
      <c r="DP2" s="570"/>
      <c r="DQ2" s="570"/>
      <c r="DR2" s="570"/>
      <c r="DS2" s="570"/>
      <c r="DT2" s="570"/>
      <c r="DU2" s="570"/>
      <c r="DV2" s="570"/>
      <c r="DW2" s="570"/>
      <c r="DX2" s="570"/>
      <c r="DY2" s="570"/>
      <c r="DZ2" s="570"/>
      <c r="EA2" s="570"/>
      <c r="EB2" s="570"/>
      <c r="EC2" s="570"/>
      <c r="ED2" s="570"/>
      <c r="EE2" s="570"/>
      <c r="EF2" s="570"/>
      <c r="EG2" s="570"/>
      <c r="EH2" s="570"/>
      <c r="EI2" s="570"/>
      <c r="EJ2" s="570"/>
      <c r="EK2" s="570"/>
      <c r="EL2" s="570"/>
      <c r="EM2" s="570"/>
      <c r="EN2" s="570"/>
      <c r="EO2" s="570"/>
      <c r="EP2" s="570"/>
      <c r="EQ2" s="570"/>
      <c r="ER2" s="570"/>
      <c r="ES2" s="570"/>
      <c r="ET2" s="570"/>
      <c r="EU2" s="570"/>
      <c r="EV2" s="570"/>
      <c r="EW2" s="570"/>
      <c r="EX2" s="570"/>
      <c r="EY2" s="570"/>
      <c r="EZ2" s="570"/>
      <c r="FA2" s="570"/>
      <c r="FB2" s="570"/>
      <c r="FC2" s="570"/>
      <c r="FD2" s="570"/>
      <c r="FE2" s="570"/>
      <c r="FF2" s="570"/>
      <c r="FG2" s="570"/>
      <c r="FH2" s="570"/>
      <c r="FI2" s="570"/>
      <c r="FJ2" s="570"/>
      <c r="FK2" s="570"/>
      <c r="FL2" s="570"/>
      <c r="FM2" s="570"/>
      <c r="FN2" s="570"/>
      <c r="FO2" s="570"/>
      <c r="FP2" s="570"/>
      <c r="FQ2" s="570"/>
      <c r="FR2" s="570"/>
      <c r="FS2" s="570"/>
      <c r="FT2" s="570"/>
      <c r="FU2" s="570"/>
      <c r="FV2" s="570"/>
      <c r="FW2" s="570"/>
      <c r="FX2" s="570"/>
      <c r="FY2" s="570"/>
      <c r="FZ2" s="570"/>
      <c r="GA2" s="570"/>
      <c r="GB2" s="570"/>
      <c r="GC2" s="570"/>
      <c r="GD2" s="570"/>
      <c r="GE2" s="570"/>
      <c r="GF2" s="570"/>
      <c r="GG2" s="570"/>
      <c r="GH2" s="570"/>
      <c r="GI2" s="570"/>
      <c r="GJ2" s="570"/>
      <c r="GK2" s="570"/>
      <c r="GL2" s="570"/>
      <c r="GM2" s="570"/>
      <c r="GN2" s="570"/>
      <c r="GO2" s="570"/>
      <c r="GP2" s="570"/>
      <c r="GQ2" s="570"/>
      <c r="GR2" s="570"/>
      <c r="GS2" s="570"/>
      <c r="GT2" s="570"/>
      <c r="GU2" s="570"/>
      <c r="GV2" s="570"/>
      <c r="GW2" s="570"/>
      <c r="GX2" s="570"/>
      <c r="GY2" s="570"/>
      <c r="GZ2" s="570"/>
      <c r="HA2" s="570"/>
      <c r="HB2" s="570"/>
      <c r="HC2" s="570"/>
      <c r="HD2" s="570"/>
      <c r="HE2" s="570"/>
      <c r="HF2" s="570"/>
      <c r="HG2" s="570"/>
      <c r="HH2" s="570"/>
      <c r="HI2" s="570"/>
      <c r="HJ2" s="570"/>
      <c r="HK2" s="570"/>
      <c r="HL2" s="570"/>
      <c r="HM2" s="570"/>
      <c r="HN2" s="570"/>
      <c r="HO2" s="570"/>
      <c r="HP2" s="570"/>
      <c r="HQ2" s="570"/>
      <c r="HR2" s="570"/>
      <c r="HS2" s="570"/>
      <c r="HT2" s="570"/>
      <c r="HU2" s="570"/>
      <c r="HV2" s="570"/>
      <c r="HW2" s="570"/>
      <c r="HX2" s="570"/>
      <c r="HY2" s="570"/>
      <c r="HZ2" s="570"/>
      <c r="IA2" s="570"/>
      <c r="IB2" s="570"/>
      <c r="IC2" s="570"/>
    </row>
    <row r="3" s="692" customFormat="1" ht="24.95" customHeight="1" spans="1:33">
      <c r="A3" s="700" t="s">
        <v>2</v>
      </c>
      <c r="B3" s="700"/>
      <c r="C3" s="700"/>
      <c r="D3" s="700"/>
      <c r="E3" s="700"/>
      <c r="F3" s="700"/>
      <c r="G3" s="700"/>
      <c r="H3" s="700"/>
      <c r="I3" s="700"/>
      <c r="J3" s="700"/>
      <c r="K3" s="700"/>
      <c r="L3" s="700"/>
      <c r="M3" s="700"/>
      <c r="N3" s="719"/>
      <c r="O3" s="719"/>
      <c r="P3" s="719"/>
      <c r="Q3" s="719"/>
      <c r="R3" s="719"/>
      <c r="S3" s="719"/>
      <c r="T3" s="719"/>
      <c r="U3" s="719"/>
      <c r="V3" s="700"/>
      <c r="W3" s="700"/>
      <c r="X3" s="700"/>
      <c r="Y3" s="700"/>
      <c r="Z3" s="700"/>
      <c r="AA3" s="700"/>
      <c r="AB3" s="700"/>
      <c r="AC3" s="700"/>
      <c r="AD3" s="700"/>
      <c r="AE3" s="700"/>
      <c r="AF3" s="700"/>
      <c r="AG3" s="700"/>
    </row>
    <row r="4" s="693" customFormat="1" ht="46.5" customHeight="1" spans="1:33">
      <c r="A4" s="701" t="s">
        <v>3</v>
      </c>
      <c r="B4" s="585" t="s">
        <v>4</v>
      </c>
      <c r="C4" s="585" t="s">
        <v>5</v>
      </c>
      <c r="D4" s="585" t="s">
        <v>6</v>
      </c>
      <c r="E4" s="585" t="s">
        <v>590</v>
      </c>
      <c r="F4" s="702" t="s">
        <v>8</v>
      </c>
      <c r="G4" s="585" t="s">
        <v>9</v>
      </c>
      <c r="H4" s="585" t="s">
        <v>10</v>
      </c>
      <c r="I4" s="585"/>
      <c r="J4" s="585"/>
      <c r="K4" s="585"/>
      <c r="L4" s="585" t="s">
        <v>11</v>
      </c>
      <c r="M4" s="585"/>
      <c r="N4" s="720" t="s">
        <v>12</v>
      </c>
      <c r="O4" s="720"/>
      <c r="P4" s="720"/>
      <c r="Q4" s="720"/>
      <c r="R4" s="720" t="s">
        <v>13</v>
      </c>
      <c r="S4" s="720"/>
      <c r="T4" s="720"/>
      <c r="U4" s="720"/>
      <c r="V4" s="728"/>
      <c r="W4" s="729" t="s">
        <v>14</v>
      </c>
      <c r="X4" s="729" t="s">
        <v>15</v>
      </c>
      <c r="Y4" s="735" t="s">
        <v>16</v>
      </c>
      <c r="Z4" s="735"/>
      <c r="AA4" s="728" t="s">
        <v>17</v>
      </c>
      <c r="AB4" s="728"/>
      <c r="AC4" s="728"/>
      <c r="AD4" s="728" t="s">
        <v>18</v>
      </c>
      <c r="AE4" s="728"/>
      <c r="AF4" s="728" t="s">
        <v>19</v>
      </c>
      <c r="AG4" s="585" t="s">
        <v>20</v>
      </c>
    </row>
    <row r="5" s="693" customFormat="1" ht="21.75" customHeight="1" spans="1:33">
      <c r="A5" s="701"/>
      <c r="B5" s="585"/>
      <c r="C5" s="585"/>
      <c r="D5" s="585"/>
      <c r="E5" s="585"/>
      <c r="F5" s="703"/>
      <c r="G5" s="585"/>
      <c r="H5" s="585" t="s">
        <v>21</v>
      </c>
      <c r="I5" s="585"/>
      <c r="J5" s="585"/>
      <c r="K5" s="585"/>
      <c r="L5" s="702" t="s">
        <v>22</v>
      </c>
      <c r="M5" s="702" t="s">
        <v>23</v>
      </c>
      <c r="N5" s="721" t="s">
        <v>24</v>
      </c>
      <c r="O5" s="722"/>
      <c r="P5" s="722"/>
      <c r="Q5" s="730"/>
      <c r="R5" s="731" t="s">
        <v>25</v>
      </c>
      <c r="S5" s="731" t="s">
        <v>26</v>
      </c>
      <c r="T5" s="731" t="s">
        <v>27</v>
      </c>
      <c r="U5" s="731" t="s">
        <v>28</v>
      </c>
      <c r="V5" s="702" t="s">
        <v>29</v>
      </c>
      <c r="W5" s="732"/>
      <c r="X5" s="732"/>
      <c r="Y5" s="736" t="s">
        <v>30</v>
      </c>
      <c r="Z5" s="736" t="s">
        <v>31</v>
      </c>
      <c r="AA5" s="728" t="s">
        <v>32</v>
      </c>
      <c r="AB5" s="728" t="s">
        <v>33</v>
      </c>
      <c r="AC5" s="728" t="s">
        <v>34</v>
      </c>
      <c r="AD5" s="728"/>
      <c r="AE5" s="728"/>
      <c r="AF5" s="728"/>
      <c r="AG5" s="585"/>
    </row>
    <row r="6" s="693" customFormat="1" ht="59.25" customHeight="1" spans="1:33">
      <c r="A6" s="701"/>
      <c r="B6" s="585"/>
      <c r="C6" s="585"/>
      <c r="D6" s="585"/>
      <c r="E6" s="585"/>
      <c r="F6" s="704"/>
      <c r="G6" s="585"/>
      <c r="H6" s="585"/>
      <c r="I6" s="585" t="s">
        <v>591</v>
      </c>
      <c r="J6" s="585" t="s">
        <v>592</v>
      </c>
      <c r="K6" s="585" t="s">
        <v>593</v>
      </c>
      <c r="L6" s="704"/>
      <c r="M6" s="704"/>
      <c r="N6" s="723" t="s">
        <v>38</v>
      </c>
      <c r="O6" s="723" t="s">
        <v>591</v>
      </c>
      <c r="P6" s="723" t="s">
        <v>592</v>
      </c>
      <c r="Q6" s="723" t="s">
        <v>593</v>
      </c>
      <c r="R6" s="733"/>
      <c r="S6" s="733"/>
      <c r="T6" s="733"/>
      <c r="U6" s="733"/>
      <c r="V6" s="704"/>
      <c r="W6" s="734"/>
      <c r="X6" s="734"/>
      <c r="Y6" s="737"/>
      <c r="Z6" s="737"/>
      <c r="AA6" s="728"/>
      <c r="AB6" s="728"/>
      <c r="AC6" s="728"/>
      <c r="AD6" s="728"/>
      <c r="AE6" s="728"/>
      <c r="AF6" s="728"/>
      <c r="AG6" s="585"/>
    </row>
    <row r="7" ht="30" customHeight="1" spans="1:33">
      <c r="A7" s="705">
        <v>0</v>
      </c>
      <c r="B7" s="76" t="s">
        <v>39</v>
      </c>
      <c r="C7" s="92"/>
      <c r="D7" s="76"/>
      <c r="E7" s="92">
        <f>E8+E232+E372+E447+E518+E571+E607+E655</f>
        <v>1503</v>
      </c>
      <c r="F7" s="92"/>
      <c r="G7" s="92"/>
      <c r="H7" s="724">
        <f t="shared" ref="F7:AA7" si="0">H8+H232+H372+H447+H518+H571+H607+H655</f>
        <v>1482600.584</v>
      </c>
      <c r="I7" s="724">
        <f t="shared" si="0"/>
        <v>1482600.584</v>
      </c>
      <c r="J7" s="724">
        <f t="shared" si="0"/>
        <v>0</v>
      </c>
      <c r="K7" s="724">
        <f t="shared" si="0"/>
        <v>0</v>
      </c>
      <c r="L7" s="724"/>
      <c r="M7" s="724"/>
      <c r="N7" s="724">
        <f t="shared" si="0"/>
        <v>103454.16604</v>
      </c>
      <c r="O7" s="724">
        <f t="shared" si="0"/>
        <v>103454.16604</v>
      </c>
      <c r="P7" s="724">
        <f t="shared" si="0"/>
        <v>0</v>
      </c>
      <c r="Q7" s="724">
        <f t="shared" si="0"/>
        <v>0</v>
      </c>
      <c r="R7" s="724">
        <f t="shared" si="0"/>
        <v>20277.4335</v>
      </c>
      <c r="S7" s="724">
        <f t="shared" si="0"/>
        <v>77544.730665</v>
      </c>
      <c r="T7" s="724">
        <f t="shared" si="0"/>
        <v>3272</v>
      </c>
      <c r="U7" s="724">
        <f t="shared" si="0"/>
        <v>2360</v>
      </c>
      <c r="V7" s="724">
        <f t="shared" si="0"/>
        <v>0</v>
      </c>
      <c r="W7" s="92"/>
      <c r="X7" s="92"/>
      <c r="Y7" s="738">
        <f t="shared" si="0"/>
        <v>355960.210526316</v>
      </c>
      <c r="Z7" s="738">
        <f t="shared" si="0"/>
        <v>1423340.169</v>
      </c>
      <c r="AA7" s="92">
        <f t="shared" si="0"/>
        <v>1503</v>
      </c>
      <c r="AB7" s="92"/>
      <c r="AC7" s="92"/>
      <c r="AD7" s="92"/>
      <c r="AE7" s="92"/>
      <c r="AF7" s="92"/>
      <c r="AG7" s="92"/>
    </row>
    <row r="8" ht="45" customHeight="1" spans="1:33">
      <c r="A8" s="705">
        <v>1</v>
      </c>
      <c r="B8" s="706" t="s">
        <v>40</v>
      </c>
      <c r="C8" s="706"/>
      <c r="D8" s="707"/>
      <c r="E8" s="706">
        <f>E9+E111+E130+E132+E145+E161+E163+E164+E186</f>
        <v>168</v>
      </c>
      <c r="F8" s="706"/>
      <c r="G8" s="706"/>
      <c r="H8" s="725">
        <f t="shared" ref="F8:AA8" si="1">H9+H111+H130+H132+H145+H161+H163+H164+H186</f>
        <v>249991.52</v>
      </c>
      <c r="I8" s="725">
        <f t="shared" si="1"/>
        <v>249991.52</v>
      </c>
      <c r="J8" s="725">
        <f t="shared" si="1"/>
        <v>0</v>
      </c>
      <c r="K8" s="725">
        <f t="shared" si="1"/>
        <v>0</v>
      </c>
      <c r="L8" s="725"/>
      <c r="M8" s="725"/>
      <c r="N8" s="725">
        <f t="shared" si="1"/>
        <v>17763.461676</v>
      </c>
      <c r="O8" s="725">
        <f t="shared" si="1"/>
        <v>17763.461676</v>
      </c>
      <c r="P8" s="725">
        <f t="shared" si="1"/>
        <v>0</v>
      </c>
      <c r="Q8" s="725">
        <f t="shared" si="1"/>
        <v>0</v>
      </c>
      <c r="R8" s="725">
        <f t="shared" si="1"/>
        <v>0</v>
      </c>
      <c r="S8" s="725">
        <f t="shared" si="1"/>
        <v>15763.459801</v>
      </c>
      <c r="T8" s="725">
        <f t="shared" si="1"/>
        <v>0</v>
      </c>
      <c r="U8" s="725">
        <f t="shared" si="1"/>
        <v>2000</v>
      </c>
      <c r="V8" s="725">
        <f t="shared" si="1"/>
        <v>0</v>
      </c>
      <c r="W8" s="706"/>
      <c r="X8" s="706"/>
      <c r="Y8" s="739">
        <f t="shared" si="1"/>
        <v>81741</v>
      </c>
      <c r="Z8" s="739">
        <f t="shared" si="1"/>
        <v>383052.469</v>
      </c>
      <c r="AA8" s="739">
        <f t="shared" si="1"/>
        <v>168</v>
      </c>
      <c r="AB8" s="706"/>
      <c r="AC8" s="706"/>
      <c r="AD8" s="706"/>
      <c r="AE8" s="706"/>
      <c r="AF8" s="706"/>
      <c r="AG8" s="706" t="s">
        <v>41</v>
      </c>
    </row>
    <row r="9" ht="24.95" customHeight="1" spans="1:33">
      <c r="A9" s="705">
        <v>2</v>
      </c>
      <c r="B9" s="708" t="s">
        <v>42</v>
      </c>
      <c r="C9" s="708"/>
      <c r="D9" s="709"/>
      <c r="E9" s="708">
        <f t="shared" ref="E9:AA9" si="2">E10</f>
        <v>59</v>
      </c>
      <c r="F9" s="708"/>
      <c r="G9" s="708"/>
      <c r="H9" s="726">
        <f t="shared" si="2"/>
        <v>159764.02</v>
      </c>
      <c r="I9" s="726">
        <f t="shared" si="2"/>
        <v>159764.02</v>
      </c>
      <c r="J9" s="726">
        <f t="shared" si="2"/>
        <v>0</v>
      </c>
      <c r="K9" s="726">
        <f t="shared" si="2"/>
        <v>0</v>
      </c>
      <c r="L9" s="726"/>
      <c r="M9" s="726"/>
      <c r="N9" s="726">
        <f t="shared" si="2"/>
        <v>11904.762676</v>
      </c>
      <c r="O9" s="726">
        <f t="shared" si="2"/>
        <v>11904.762676</v>
      </c>
      <c r="P9" s="726">
        <f t="shared" si="2"/>
        <v>0</v>
      </c>
      <c r="Q9" s="726">
        <f t="shared" si="2"/>
        <v>0</v>
      </c>
      <c r="R9" s="726">
        <f t="shared" si="2"/>
        <v>0</v>
      </c>
      <c r="S9" s="726">
        <f t="shared" si="2"/>
        <v>11324.760801</v>
      </c>
      <c r="T9" s="726">
        <f t="shared" si="2"/>
        <v>0</v>
      </c>
      <c r="U9" s="726">
        <f t="shared" si="2"/>
        <v>580</v>
      </c>
      <c r="V9" s="726">
        <f t="shared" si="2"/>
        <v>0</v>
      </c>
      <c r="W9" s="726"/>
      <c r="X9" s="726"/>
      <c r="Y9" s="763">
        <f t="shared" si="2"/>
        <v>63108</v>
      </c>
      <c r="Z9" s="763">
        <f t="shared" si="2"/>
        <v>306498</v>
      </c>
      <c r="AA9" s="708">
        <f t="shared" si="2"/>
        <v>59</v>
      </c>
      <c r="AB9" s="708"/>
      <c r="AC9" s="708"/>
      <c r="AD9" s="708"/>
      <c r="AE9" s="708"/>
      <c r="AF9" s="708" t="s">
        <v>43</v>
      </c>
      <c r="AG9" s="708" t="s">
        <v>41</v>
      </c>
    </row>
    <row r="10" ht="37" customHeight="1" spans="1:33">
      <c r="A10" s="705">
        <v>4</v>
      </c>
      <c r="B10" s="92" t="s">
        <v>44</v>
      </c>
      <c r="C10" s="92"/>
      <c r="D10" s="76" t="s">
        <v>45</v>
      </c>
      <c r="E10" s="92">
        <f t="shared" ref="E10:V10" si="3">E11+E17+E27+E32+E40+E45+E51+E58+E63+E68+E78+E80+E84+E86+E88+E90+E93+E95+E97+E99+E101+E103+E105+E107+E109</f>
        <v>59</v>
      </c>
      <c r="F10" s="92"/>
      <c r="G10" s="92"/>
      <c r="H10" s="724">
        <f t="shared" si="3"/>
        <v>159764.02</v>
      </c>
      <c r="I10" s="724">
        <f t="shared" si="3"/>
        <v>159764.02</v>
      </c>
      <c r="J10" s="724">
        <f t="shared" si="3"/>
        <v>0</v>
      </c>
      <c r="K10" s="724">
        <f t="shared" si="3"/>
        <v>0</v>
      </c>
      <c r="L10" s="724"/>
      <c r="M10" s="724"/>
      <c r="N10" s="724">
        <f t="shared" si="3"/>
        <v>11904.762676</v>
      </c>
      <c r="O10" s="724">
        <f t="shared" si="3"/>
        <v>11904.762676</v>
      </c>
      <c r="P10" s="724">
        <f t="shared" si="3"/>
        <v>0</v>
      </c>
      <c r="Q10" s="724">
        <f t="shared" si="3"/>
        <v>0</v>
      </c>
      <c r="R10" s="724">
        <f t="shared" si="3"/>
        <v>0</v>
      </c>
      <c r="S10" s="724">
        <f t="shared" si="3"/>
        <v>11324.760801</v>
      </c>
      <c r="T10" s="724">
        <f t="shared" si="3"/>
        <v>0</v>
      </c>
      <c r="U10" s="724">
        <f t="shared" si="3"/>
        <v>580</v>
      </c>
      <c r="V10" s="724">
        <f t="shared" si="3"/>
        <v>0</v>
      </c>
      <c r="W10" s="86" t="s">
        <v>46</v>
      </c>
      <c r="X10" s="724" t="s">
        <v>47</v>
      </c>
      <c r="Y10" s="738">
        <f t="shared" ref="Y10:AA10" si="4">Y11+Y17+Y27+Y32+Y40+Y45+Y51+Y58+Y63+Y68+Y78+Y80+Y84+Y86+Y88+Y90+Y93+Y95+Y97+Y99+Y101+Y103+Y105+Y107+Y109</f>
        <v>63108</v>
      </c>
      <c r="Z10" s="738">
        <f t="shared" si="4"/>
        <v>306498</v>
      </c>
      <c r="AA10" s="92">
        <f t="shared" si="4"/>
        <v>59</v>
      </c>
      <c r="AB10" s="92"/>
      <c r="AC10" s="92"/>
      <c r="AD10" s="92"/>
      <c r="AE10" s="92"/>
      <c r="AF10" s="92" t="s">
        <v>43</v>
      </c>
      <c r="AG10" s="92"/>
    </row>
    <row r="11" ht="24.95" customHeight="1" spans="1:33">
      <c r="A11" s="705" t="s">
        <v>48</v>
      </c>
      <c r="B11" s="710" t="s">
        <v>594</v>
      </c>
      <c r="C11" s="71"/>
      <c r="D11" s="71"/>
      <c r="E11" s="92">
        <f t="shared" ref="E11:V11" si="5">SUM(E12:E16)</f>
        <v>5</v>
      </c>
      <c r="F11" s="92"/>
      <c r="G11" s="92"/>
      <c r="H11" s="86">
        <f t="shared" si="5"/>
        <v>41426.65</v>
      </c>
      <c r="I11" s="86">
        <f t="shared" si="5"/>
        <v>41426.65</v>
      </c>
      <c r="J11" s="724">
        <f t="shared" si="5"/>
        <v>0</v>
      </c>
      <c r="K11" s="724">
        <f t="shared" si="5"/>
        <v>0</v>
      </c>
      <c r="L11" s="724"/>
      <c r="M11" s="724"/>
      <c r="N11" s="86">
        <f t="shared" si="5"/>
        <v>3392.48411</v>
      </c>
      <c r="O11" s="86">
        <f t="shared" si="5"/>
        <v>3392.48411</v>
      </c>
      <c r="P11" s="724">
        <f t="shared" si="5"/>
        <v>0</v>
      </c>
      <c r="Q11" s="724">
        <f t="shared" si="5"/>
        <v>0</v>
      </c>
      <c r="R11" s="724">
        <f t="shared" si="5"/>
        <v>0</v>
      </c>
      <c r="S11" s="86">
        <f t="shared" si="5"/>
        <v>3192.48411</v>
      </c>
      <c r="T11" s="724">
        <f t="shared" si="5"/>
        <v>0</v>
      </c>
      <c r="U11" s="724">
        <f t="shared" si="5"/>
        <v>200</v>
      </c>
      <c r="V11" s="724">
        <f t="shared" si="5"/>
        <v>0</v>
      </c>
      <c r="W11" s="86" t="s">
        <v>46</v>
      </c>
      <c r="X11" s="724" t="s">
        <v>47</v>
      </c>
      <c r="Y11" s="71">
        <f t="shared" ref="Y11:AA11" si="6">SUM(Y12:Y16)</f>
        <v>24210</v>
      </c>
      <c r="Z11" s="71">
        <f t="shared" si="6"/>
        <v>102313</v>
      </c>
      <c r="AA11" s="92">
        <f t="shared" si="6"/>
        <v>5</v>
      </c>
      <c r="AB11" s="92"/>
      <c r="AC11" s="92"/>
      <c r="AD11" s="141" t="s">
        <v>68</v>
      </c>
      <c r="AE11" s="146" t="s">
        <v>50</v>
      </c>
      <c r="AF11" s="438" t="s">
        <v>43</v>
      </c>
      <c r="AG11" s="92"/>
    </row>
    <row r="12" ht="24.95" customHeight="1" spans="1:33">
      <c r="A12" s="705"/>
      <c r="B12" s="97" t="s">
        <v>51</v>
      </c>
      <c r="C12" s="86" t="s">
        <v>52</v>
      </c>
      <c r="D12" s="151" t="s">
        <v>45</v>
      </c>
      <c r="E12" s="92">
        <v>1</v>
      </c>
      <c r="F12" s="97" t="str">
        <f t="shared" ref="F12:F75" si="7">B12</f>
        <v>胜境街道</v>
      </c>
      <c r="G12" s="92"/>
      <c r="H12" s="86">
        <v>3550</v>
      </c>
      <c r="I12" s="86">
        <v>3550</v>
      </c>
      <c r="J12" s="724"/>
      <c r="K12" s="724"/>
      <c r="L12" s="825">
        <v>2018.01</v>
      </c>
      <c r="M12" s="724">
        <v>2018.12</v>
      </c>
      <c r="N12" s="825">
        <v>2506.695181</v>
      </c>
      <c r="O12" s="825">
        <v>2506.695181</v>
      </c>
      <c r="P12" s="724"/>
      <c r="Q12" s="724"/>
      <c r="R12" s="724"/>
      <c r="S12" s="825">
        <v>2506.695181</v>
      </c>
      <c r="T12" s="724"/>
      <c r="U12" s="724"/>
      <c r="V12" s="724"/>
      <c r="W12" s="86" t="s">
        <v>46</v>
      </c>
      <c r="X12" s="724" t="s">
        <v>47</v>
      </c>
      <c r="Y12" s="29">
        <v>18685</v>
      </c>
      <c r="Z12" s="29">
        <v>79084</v>
      </c>
      <c r="AA12" s="92">
        <v>1</v>
      </c>
      <c r="AB12" s="92"/>
      <c r="AC12" s="92"/>
      <c r="AD12" s="740" t="s">
        <v>53</v>
      </c>
      <c r="AE12" s="741" t="s">
        <v>54</v>
      </c>
      <c r="AF12" s="742" t="s">
        <v>43</v>
      </c>
      <c r="AG12" s="92"/>
    </row>
    <row r="13" ht="24.95" customHeight="1" spans="1:33">
      <c r="A13" s="705"/>
      <c r="B13" s="96" t="s">
        <v>55</v>
      </c>
      <c r="C13" s="86" t="s">
        <v>52</v>
      </c>
      <c r="D13" s="151" t="s">
        <v>45</v>
      </c>
      <c r="E13" s="92">
        <v>1</v>
      </c>
      <c r="F13" s="96" t="str">
        <f t="shared" si="7"/>
        <v>大河镇</v>
      </c>
      <c r="G13" s="92"/>
      <c r="H13" s="86">
        <v>23913.8</v>
      </c>
      <c r="I13" s="86">
        <v>23913.8</v>
      </c>
      <c r="J13" s="724"/>
      <c r="K13" s="724"/>
      <c r="L13" s="825">
        <v>2018.01</v>
      </c>
      <c r="M13" s="724">
        <v>2018.12</v>
      </c>
      <c r="N13" s="86">
        <v>199.20796</v>
      </c>
      <c r="O13" s="86">
        <v>199.20796</v>
      </c>
      <c r="P13" s="724"/>
      <c r="Q13" s="724"/>
      <c r="R13" s="724"/>
      <c r="S13" s="86">
        <v>99.20796</v>
      </c>
      <c r="T13" s="724"/>
      <c r="U13" s="724">
        <v>100</v>
      </c>
      <c r="V13" s="724"/>
      <c r="W13" s="86" t="s">
        <v>46</v>
      </c>
      <c r="X13" s="724" t="s">
        <v>47</v>
      </c>
      <c r="Y13" s="151">
        <v>2684</v>
      </c>
      <c r="Z13" s="151">
        <v>11330</v>
      </c>
      <c r="AA13" s="92">
        <v>1</v>
      </c>
      <c r="AB13" s="92"/>
      <c r="AC13" s="92"/>
      <c r="AD13" s="743" t="s">
        <v>56</v>
      </c>
      <c r="AE13" s="141" t="s">
        <v>57</v>
      </c>
      <c r="AF13" s="438" t="s">
        <v>43</v>
      </c>
      <c r="AG13" s="92"/>
    </row>
    <row r="14" ht="24.95" customHeight="1" spans="1:33">
      <c r="A14" s="705"/>
      <c r="B14" s="96" t="s">
        <v>58</v>
      </c>
      <c r="C14" s="86" t="s">
        <v>52</v>
      </c>
      <c r="D14" s="151" t="s">
        <v>45</v>
      </c>
      <c r="E14" s="92">
        <v>1</v>
      </c>
      <c r="F14" s="96" t="str">
        <f t="shared" si="7"/>
        <v>竹园镇</v>
      </c>
      <c r="G14" s="92"/>
      <c r="H14" s="86">
        <v>2696</v>
      </c>
      <c r="I14" s="86">
        <v>2696</v>
      </c>
      <c r="J14" s="724"/>
      <c r="K14" s="724"/>
      <c r="L14" s="825">
        <v>2018.01</v>
      </c>
      <c r="M14" s="724">
        <v>2018.12</v>
      </c>
      <c r="N14" s="86">
        <v>79.5</v>
      </c>
      <c r="O14" s="86">
        <v>79.5</v>
      </c>
      <c r="P14" s="724"/>
      <c r="Q14" s="724"/>
      <c r="R14" s="724"/>
      <c r="S14" s="86">
        <v>79.5</v>
      </c>
      <c r="T14" s="724"/>
      <c r="U14" s="724"/>
      <c r="V14" s="724"/>
      <c r="W14" s="86" t="s">
        <v>46</v>
      </c>
      <c r="X14" s="724" t="s">
        <v>47</v>
      </c>
      <c r="Y14" s="151">
        <v>477</v>
      </c>
      <c r="Z14" s="151">
        <v>2016</v>
      </c>
      <c r="AA14" s="92">
        <v>1</v>
      </c>
      <c r="AB14" s="92"/>
      <c r="AC14" s="92"/>
      <c r="AD14" s="744" t="s">
        <v>59</v>
      </c>
      <c r="AE14" s="744" t="s">
        <v>60</v>
      </c>
      <c r="AF14" s="438" t="s">
        <v>43</v>
      </c>
      <c r="AG14" s="92"/>
    </row>
    <row r="15" ht="24.95" customHeight="1" spans="1:33">
      <c r="A15" s="705"/>
      <c r="B15" s="96" t="s">
        <v>61</v>
      </c>
      <c r="C15" s="86" t="s">
        <v>52</v>
      </c>
      <c r="D15" s="151" t="s">
        <v>45</v>
      </c>
      <c r="E15" s="92">
        <v>1</v>
      </c>
      <c r="F15" s="96" t="str">
        <f t="shared" si="7"/>
        <v>富村镇</v>
      </c>
      <c r="G15" s="92"/>
      <c r="H15" s="86">
        <v>5741.85</v>
      </c>
      <c r="I15" s="86">
        <v>5741.85</v>
      </c>
      <c r="J15" s="724"/>
      <c r="K15" s="724"/>
      <c r="L15" s="825">
        <v>2018.01</v>
      </c>
      <c r="M15" s="724">
        <v>2018.12</v>
      </c>
      <c r="N15" s="86">
        <v>204.486569</v>
      </c>
      <c r="O15" s="86">
        <v>204.486569</v>
      </c>
      <c r="P15" s="724"/>
      <c r="Q15" s="724"/>
      <c r="R15" s="724"/>
      <c r="S15" s="86">
        <v>104.486569</v>
      </c>
      <c r="T15" s="724"/>
      <c r="U15" s="724">
        <v>100</v>
      </c>
      <c r="V15" s="724"/>
      <c r="W15" s="86" t="s">
        <v>46</v>
      </c>
      <c r="X15" s="724" t="s">
        <v>47</v>
      </c>
      <c r="Y15" s="151">
        <v>186</v>
      </c>
      <c r="Z15" s="151">
        <v>776</v>
      </c>
      <c r="AA15" s="92">
        <v>1</v>
      </c>
      <c r="AB15" s="92"/>
      <c r="AC15" s="92"/>
      <c r="AD15" s="141" t="s">
        <v>62</v>
      </c>
      <c r="AE15" s="141" t="s">
        <v>63</v>
      </c>
      <c r="AF15" s="438" t="s">
        <v>43</v>
      </c>
      <c r="AG15" s="92"/>
    </row>
    <row r="16" ht="24.95" customHeight="1" spans="1:33">
      <c r="A16" s="705"/>
      <c r="B16" s="96" t="s">
        <v>64</v>
      </c>
      <c r="C16" s="86" t="s">
        <v>52</v>
      </c>
      <c r="D16" s="151" t="s">
        <v>45</v>
      </c>
      <c r="E16" s="92">
        <v>1</v>
      </c>
      <c r="F16" s="96" t="str">
        <f t="shared" si="7"/>
        <v>十八连山镇</v>
      </c>
      <c r="G16" s="92"/>
      <c r="H16" s="86">
        <v>5525</v>
      </c>
      <c r="I16" s="86">
        <v>5525</v>
      </c>
      <c r="J16" s="724"/>
      <c r="K16" s="724"/>
      <c r="L16" s="825">
        <v>2018.01</v>
      </c>
      <c r="M16" s="724">
        <v>2018.12</v>
      </c>
      <c r="N16" s="86">
        <v>402.5944</v>
      </c>
      <c r="O16" s="86">
        <v>402.5944</v>
      </c>
      <c r="P16" s="724"/>
      <c r="Q16" s="724"/>
      <c r="R16" s="724"/>
      <c r="S16" s="86">
        <v>402.5944</v>
      </c>
      <c r="T16" s="724"/>
      <c r="U16" s="724"/>
      <c r="V16" s="724"/>
      <c r="W16" s="86" t="s">
        <v>46</v>
      </c>
      <c r="X16" s="724" t="s">
        <v>47</v>
      </c>
      <c r="Y16" s="151">
        <v>2178</v>
      </c>
      <c r="Z16" s="151">
        <v>9107</v>
      </c>
      <c r="AA16" s="92">
        <v>1</v>
      </c>
      <c r="AB16" s="92"/>
      <c r="AC16" s="92"/>
      <c r="AD16" s="71" t="s">
        <v>65</v>
      </c>
      <c r="AE16" s="71" t="s">
        <v>66</v>
      </c>
      <c r="AF16" s="438" t="s">
        <v>43</v>
      </c>
      <c r="AG16" s="92"/>
    </row>
    <row r="17" ht="24.95" customHeight="1" spans="1:33">
      <c r="A17" s="705"/>
      <c r="B17" s="711" t="s">
        <v>595</v>
      </c>
      <c r="C17" s="146" t="s">
        <v>52</v>
      </c>
      <c r="D17" s="141" t="s">
        <v>45</v>
      </c>
      <c r="E17" s="92">
        <f t="shared" ref="E17:V17" si="8">SUM(E18:E26)</f>
        <v>9</v>
      </c>
      <c r="F17" s="96"/>
      <c r="G17" s="92"/>
      <c r="H17" s="86">
        <f t="shared" si="8"/>
        <v>32396.17</v>
      </c>
      <c r="I17" s="86">
        <f t="shared" si="8"/>
        <v>32396.17</v>
      </c>
      <c r="J17" s="724">
        <f t="shared" si="8"/>
        <v>0</v>
      </c>
      <c r="K17" s="724">
        <f t="shared" si="8"/>
        <v>0</v>
      </c>
      <c r="L17" s="825"/>
      <c r="M17" s="724"/>
      <c r="N17" s="724">
        <f t="shared" si="8"/>
        <v>1454.506252</v>
      </c>
      <c r="O17" s="86">
        <f t="shared" si="8"/>
        <v>1454.506252</v>
      </c>
      <c r="P17" s="724">
        <f t="shared" si="8"/>
        <v>0</v>
      </c>
      <c r="Q17" s="724">
        <f t="shared" si="8"/>
        <v>0</v>
      </c>
      <c r="R17" s="724">
        <f t="shared" si="8"/>
        <v>0</v>
      </c>
      <c r="S17" s="146">
        <f t="shared" si="8"/>
        <v>1454.506252</v>
      </c>
      <c r="T17" s="724">
        <f t="shared" si="8"/>
        <v>0</v>
      </c>
      <c r="U17" s="724">
        <f t="shared" si="8"/>
        <v>0</v>
      </c>
      <c r="V17" s="724">
        <f t="shared" si="8"/>
        <v>0</v>
      </c>
      <c r="W17" s="86" t="s">
        <v>46</v>
      </c>
      <c r="X17" s="724" t="s">
        <v>47</v>
      </c>
      <c r="Y17" s="151">
        <f t="shared" ref="Y17:AA17" si="9">SUM(Y18:Y26)</f>
        <v>11380</v>
      </c>
      <c r="Z17" s="151">
        <f t="shared" si="9"/>
        <v>48711</v>
      </c>
      <c r="AA17" s="92">
        <f t="shared" si="9"/>
        <v>9</v>
      </c>
      <c r="AB17" s="92"/>
      <c r="AC17" s="92"/>
      <c r="AD17" s="141" t="s">
        <v>68</v>
      </c>
      <c r="AE17" s="146" t="s">
        <v>50</v>
      </c>
      <c r="AF17" s="438" t="s">
        <v>43</v>
      </c>
      <c r="AG17" s="92"/>
    </row>
    <row r="18" ht="24.95" customHeight="1" spans="1:33">
      <c r="A18" s="705"/>
      <c r="B18" s="199" t="s">
        <v>69</v>
      </c>
      <c r="C18" s="141" t="s">
        <v>52</v>
      </c>
      <c r="D18" s="141" t="s">
        <v>45</v>
      </c>
      <c r="E18" s="92">
        <v>1</v>
      </c>
      <c r="F18" s="199" t="str">
        <f t="shared" si="7"/>
        <v>中安街道</v>
      </c>
      <c r="G18" s="92"/>
      <c r="H18" s="86">
        <v>480</v>
      </c>
      <c r="I18" s="86">
        <v>480</v>
      </c>
      <c r="J18" s="724"/>
      <c r="K18" s="724"/>
      <c r="L18" s="825">
        <v>2018.01</v>
      </c>
      <c r="M18" s="724">
        <v>2018.12</v>
      </c>
      <c r="N18" s="724">
        <v>24</v>
      </c>
      <c r="O18" s="86">
        <v>24</v>
      </c>
      <c r="P18" s="724"/>
      <c r="Q18" s="724"/>
      <c r="R18" s="724"/>
      <c r="S18" s="146">
        <v>24</v>
      </c>
      <c r="T18" s="724"/>
      <c r="U18" s="724"/>
      <c r="V18" s="724"/>
      <c r="W18" s="86" t="s">
        <v>46</v>
      </c>
      <c r="X18" s="724" t="s">
        <v>47</v>
      </c>
      <c r="Y18" s="151">
        <v>225</v>
      </c>
      <c r="Z18" s="151">
        <v>922</v>
      </c>
      <c r="AA18" s="92">
        <v>1</v>
      </c>
      <c r="AB18" s="92"/>
      <c r="AC18" s="92"/>
      <c r="AD18" s="146" t="s">
        <v>70</v>
      </c>
      <c r="AE18" s="146" t="s">
        <v>71</v>
      </c>
      <c r="AF18" s="438" t="s">
        <v>43</v>
      </c>
      <c r="AG18" s="92"/>
    </row>
    <row r="19" ht="24.95" customHeight="1" spans="1:33">
      <c r="A19" s="705"/>
      <c r="B19" s="199" t="s">
        <v>51</v>
      </c>
      <c r="C19" s="141" t="s">
        <v>52</v>
      </c>
      <c r="D19" s="141" t="s">
        <v>45</v>
      </c>
      <c r="E19" s="92">
        <v>1</v>
      </c>
      <c r="F19" s="199" t="str">
        <f t="shared" si="7"/>
        <v>胜境街道</v>
      </c>
      <c r="G19" s="92"/>
      <c r="H19" s="86">
        <v>1612.77</v>
      </c>
      <c r="I19" s="86">
        <v>1612.77</v>
      </c>
      <c r="J19" s="724"/>
      <c r="K19" s="724"/>
      <c r="L19" s="825">
        <v>2018.01</v>
      </c>
      <c r="M19" s="724">
        <v>2018.12</v>
      </c>
      <c r="N19" s="724">
        <v>646.781926</v>
      </c>
      <c r="O19" s="86">
        <v>646.781926</v>
      </c>
      <c r="P19" s="724"/>
      <c r="Q19" s="724"/>
      <c r="R19" s="724"/>
      <c r="S19" s="740">
        <v>646.781926</v>
      </c>
      <c r="T19" s="724"/>
      <c r="U19" s="724"/>
      <c r="V19" s="724"/>
      <c r="W19" s="86" t="s">
        <v>46</v>
      </c>
      <c r="X19" s="724" t="s">
        <v>47</v>
      </c>
      <c r="Y19" s="151">
        <v>1760</v>
      </c>
      <c r="Z19" s="151">
        <v>7269</v>
      </c>
      <c r="AA19" s="92">
        <v>1</v>
      </c>
      <c r="AB19" s="92"/>
      <c r="AC19" s="92"/>
      <c r="AD19" s="740" t="s">
        <v>53</v>
      </c>
      <c r="AE19" s="741" t="s">
        <v>54</v>
      </c>
      <c r="AF19" s="742" t="s">
        <v>43</v>
      </c>
      <c r="AG19" s="92"/>
    </row>
    <row r="20" ht="24.95" customHeight="1" spans="1:33">
      <c r="A20" s="705"/>
      <c r="B20" s="199" t="s">
        <v>72</v>
      </c>
      <c r="C20" s="141" t="s">
        <v>52</v>
      </c>
      <c r="D20" s="141" t="s">
        <v>45</v>
      </c>
      <c r="E20" s="92">
        <v>1</v>
      </c>
      <c r="F20" s="199" t="str">
        <f t="shared" si="7"/>
        <v>后所镇</v>
      </c>
      <c r="G20" s="92"/>
      <c r="H20" s="86">
        <v>5780</v>
      </c>
      <c r="I20" s="86">
        <v>5780</v>
      </c>
      <c r="J20" s="724"/>
      <c r="K20" s="724"/>
      <c r="L20" s="825">
        <v>2018.01</v>
      </c>
      <c r="M20" s="724">
        <v>2018.12</v>
      </c>
      <c r="N20" s="724">
        <v>142.4</v>
      </c>
      <c r="O20" s="86">
        <v>142.4</v>
      </c>
      <c r="P20" s="724"/>
      <c r="Q20" s="724"/>
      <c r="R20" s="724"/>
      <c r="S20" s="146">
        <v>142.4</v>
      </c>
      <c r="T20" s="724"/>
      <c r="U20" s="724"/>
      <c r="V20" s="724"/>
      <c r="W20" s="86" t="s">
        <v>46</v>
      </c>
      <c r="X20" s="724" t="s">
        <v>47</v>
      </c>
      <c r="Y20" s="151">
        <v>1780</v>
      </c>
      <c r="Z20" s="151">
        <v>7144</v>
      </c>
      <c r="AA20" s="92">
        <v>1</v>
      </c>
      <c r="AB20" s="92"/>
      <c r="AC20" s="92"/>
      <c r="AD20" s="146" t="s">
        <v>73</v>
      </c>
      <c r="AE20" s="438" t="s">
        <v>74</v>
      </c>
      <c r="AF20" s="438" t="s">
        <v>43</v>
      </c>
      <c r="AG20" s="92"/>
    </row>
    <row r="21" ht="24.95" customHeight="1" spans="1:33">
      <c r="A21" s="705"/>
      <c r="B21" s="199" t="s">
        <v>75</v>
      </c>
      <c r="C21" s="146" t="s">
        <v>52</v>
      </c>
      <c r="D21" s="152" t="s">
        <v>45</v>
      </c>
      <c r="E21" s="92">
        <v>1</v>
      </c>
      <c r="F21" s="199" t="str">
        <f t="shared" si="7"/>
        <v>营上镇</v>
      </c>
      <c r="G21" s="92"/>
      <c r="H21" s="86">
        <v>5540</v>
      </c>
      <c r="I21" s="86">
        <v>5540</v>
      </c>
      <c r="J21" s="724"/>
      <c r="K21" s="724"/>
      <c r="L21" s="825">
        <v>2018.01</v>
      </c>
      <c r="M21" s="724">
        <v>2018.12</v>
      </c>
      <c r="N21" s="724">
        <v>148.38</v>
      </c>
      <c r="O21" s="86">
        <v>148.38</v>
      </c>
      <c r="P21" s="724"/>
      <c r="Q21" s="724"/>
      <c r="R21" s="724"/>
      <c r="S21" s="146">
        <v>148.38</v>
      </c>
      <c r="T21" s="724"/>
      <c r="U21" s="724"/>
      <c r="V21" s="724"/>
      <c r="W21" s="86" t="s">
        <v>46</v>
      </c>
      <c r="X21" s="724" t="s">
        <v>47</v>
      </c>
      <c r="Y21" s="151">
        <v>2090</v>
      </c>
      <c r="Z21" s="151">
        <v>9380</v>
      </c>
      <c r="AA21" s="92">
        <v>1</v>
      </c>
      <c r="AB21" s="92"/>
      <c r="AC21" s="92"/>
      <c r="AD21" s="146" t="s">
        <v>76</v>
      </c>
      <c r="AE21" s="146" t="s">
        <v>77</v>
      </c>
      <c r="AF21" s="438" t="s">
        <v>43</v>
      </c>
      <c r="AG21" s="92"/>
    </row>
    <row r="22" ht="24.95" customHeight="1" spans="1:33">
      <c r="A22" s="705"/>
      <c r="B22" s="199" t="s">
        <v>58</v>
      </c>
      <c r="C22" s="146" t="s">
        <v>52</v>
      </c>
      <c r="D22" s="152" t="s">
        <v>45</v>
      </c>
      <c r="E22" s="92">
        <v>1</v>
      </c>
      <c r="F22" s="199" t="str">
        <f t="shared" si="7"/>
        <v>竹园镇</v>
      </c>
      <c r="G22" s="92"/>
      <c r="H22" s="86">
        <v>3272</v>
      </c>
      <c r="I22" s="86">
        <v>3272</v>
      </c>
      <c r="J22" s="724"/>
      <c r="K22" s="724"/>
      <c r="L22" s="825">
        <v>2018.01</v>
      </c>
      <c r="M22" s="724">
        <v>2018.12</v>
      </c>
      <c r="N22" s="724">
        <v>112.69</v>
      </c>
      <c r="O22" s="86">
        <v>112.69</v>
      </c>
      <c r="P22" s="724"/>
      <c r="Q22" s="724"/>
      <c r="R22" s="724"/>
      <c r="S22" s="146">
        <v>112.69</v>
      </c>
      <c r="T22" s="724"/>
      <c r="U22" s="724"/>
      <c r="V22" s="724"/>
      <c r="W22" s="86" t="s">
        <v>46</v>
      </c>
      <c r="X22" s="724" t="s">
        <v>47</v>
      </c>
      <c r="Y22" s="151">
        <v>1611</v>
      </c>
      <c r="Z22" s="151">
        <v>6806</v>
      </c>
      <c r="AA22" s="92">
        <v>1</v>
      </c>
      <c r="AB22" s="92"/>
      <c r="AC22" s="92"/>
      <c r="AD22" s="146" t="s">
        <v>59</v>
      </c>
      <c r="AE22" s="146" t="s">
        <v>60</v>
      </c>
      <c r="AF22" s="438" t="s">
        <v>43</v>
      </c>
      <c r="AG22" s="92"/>
    </row>
    <row r="23" ht="24.95" customHeight="1" spans="1:33">
      <c r="A23" s="705"/>
      <c r="B23" s="199" t="s">
        <v>61</v>
      </c>
      <c r="C23" s="146" t="s">
        <v>52</v>
      </c>
      <c r="D23" s="152" t="s">
        <v>45</v>
      </c>
      <c r="E23" s="92">
        <v>1</v>
      </c>
      <c r="F23" s="199" t="str">
        <f t="shared" si="7"/>
        <v>富村镇</v>
      </c>
      <c r="G23" s="92"/>
      <c r="H23" s="86">
        <v>13185</v>
      </c>
      <c r="I23" s="86">
        <v>13185</v>
      </c>
      <c r="J23" s="724"/>
      <c r="K23" s="724"/>
      <c r="L23" s="825">
        <v>2018.01</v>
      </c>
      <c r="M23" s="724">
        <v>2018.12</v>
      </c>
      <c r="N23" s="724">
        <v>243.311926</v>
      </c>
      <c r="O23" s="86">
        <v>243.311926</v>
      </c>
      <c r="P23" s="724"/>
      <c r="Q23" s="724"/>
      <c r="R23" s="724"/>
      <c r="S23" s="146">
        <v>243.311926</v>
      </c>
      <c r="T23" s="724"/>
      <c r="U23" s="724"/>
      <c r="V23" s="724"/>
      <c r="W23" s="86" t="s">
        <v>46</v>
      </c>
      <c r="X23" s="724" t="s">
        <v>47</v>
      </c>
      <c r="Y23" s="151">
        <v>3280</v>
      </c>
      <c r="Z23" s="151">
        <v>14809</v>
      </c>
      <c r="AA23" s="92">
        <v>1</v>
      </c>
      <c r="AB23" s="92"/>
      <c r="AC23" s="92"/>
      <c r="AD23" s="146" t="s">
        <v>62</v>
      </c>
      <c r="AE23" s="146" t="s">
        <v>63</v>
      </c>
      <c r="AF23" s="438" t="s">
        <v>43</v>
      </c>
      <c r="AG23" s="92"/>
    </row>
    <row r="24" ht="24.95" customHeight="1" spans="1:33">
      <c r="A24" s="705"/>
      <c r="B24" s="199" t="s">
        <v>78</v>
      </c>
      <c r="C24" s="71" t="s">
        <v>52</v>
      </c>
      <c r="D24" s="71" t="s">
        <v>45</v>
      </c>
      <c r="E24" s="92">
        <v>1</v>
      </c>
      <c r="F24" s="199" t="str">
        <f t="shared" si="7"/>
        <v>黄泥河镇</v>
      </c>
      <c r="G24" s="92"/>
      <c r="H24" s="86">
        <v>1136</v>
      </c>
      <c r="I24" s="86">
        <v>1136</v>
      </c>
      <c r="J24" s="724"/>
      <c r="K24" s="724"/>
      <c r="L24" s="825">
        <v>2018.01</v>
      </c>
      <c r="M24" s="724">
        <v>2018.12</v>
      </c>
      <c r="N24" s="724">
        <v>10</v>
      </c>
      <c r="O24" s="86">
        <v>10</v>
      </c>
      <c r="P24" s="724"/>
      <c r="Q24" s="724"/>
      <c r="R24" s="724"/>
      <c r="S24" s="146">
        <v>10</v>
      </c>
      <c r="T24" s="724"/>
      <c r="U24" s="724"/>
      <c r="V24" s="724"/>
      <c r="W24" s="86" t="s">
        <v>46</v>
      </c>
      <c r="X24" s="724" t="s">
        <v>47</v>
      </c>
      <c r="Y24" s="151">
        <v>98</v>
      </c>
      <c r="Z24" s="151">
        <v>329</v>
      </c>
      <c r="AA24" s="92">
        <v>1</v>
      </c>
      <c r="AB24" s="92"/>
      <c r="AC24" s="92"/>
      <c r="AD24" s="86" t="s">
        <v>79</v>
      </c>
      <c r="AE24" s="86" t="s">
        <v>80</v>
      </c>
      <c r="AF24" s="438" t="s">
        <v>43</v>
      </c>
      <c r="AG24" s="92"/>
    </row>
    <row r="25" ht="24.95" customHeight="1" spans="1:33">
      <c r="A25" s="705"/>
      <c r="B25" s="199" t="s">
        <v>81</v>
      </c>
      <c r="C25" s="71" t="s">
        <v>52</v>
      </c>
      <c r="D25" s="71" t="s">
        <v>45</v>
      </c>
      <c r="E25" s="92">
        <v>1</v>
      </c>
      <c r="F25" s="199" t="str">
        <f t="shared" si="7"/>
        <v>墨红</v>
      </c>
      <c r="G25" s="92"/>
      <c r="H25" s="86">
        <v>776</v>
      </c>
      <c r="I25" s="86">
        <v>776</v>
      </c>
      <c r="J25" s="724"/>
      <c r="K25" s="724"/>
      <c r="L25" s="825">
        <v>2018.01</v>
      </c>
      <c r="M25" s="724">
        <v>2018.12</v>
      </c>
      <c r="N25" s="724">
        <v>62.128</v>
      </c>
      <c r="O25" s="86">
        <v>62.128</v>
      </c>
      <c r="P25" s="724"/>
      <c r="Q25" s="724"/>
      <c r="R25" s="724"/>
      <c r="S25" s="146">
        <v>62.128</v>
      </c>
      <c r="T25" s="724"/>
      <c r="U25" s="724"/>
      <c r="V25" s="724"/>
      <c r="W25" s="86" t="s">
        <v>46</v>
      </c>
      <c r="X25" s="724" t="s">
        <v>47</v>
      </c>
      <c r="Y25" s="151">
        <v>319</v>
      </c>
      <c r="Z25" s="151">
        <v>1209</v>
      </c>
      <c r="AA25" s="92">
        <v>1</v>
      </c>
      <c r="AB25" s="92"/>
      <c r="AC25" s="92"/>
      <c r="AD25" s="86" t="s">
        <v>82</v>
      </c>
      <c r="AE25" s="86" t="s">
        <v>83</v>
      </c>
      <c r="AF25" s="438" t="s">
        <v>43</v>
      </c>
      <c r="AG25" s="92"/>
    </row>
    <row r="26" ht="24.95" customHeight="1" spans="1:33">
      <c r="A26" s="705"/>
      <c r="B26" s="199" t="s">
        <v>84</v>
      </c>
      <c r="C26" s="71" t="s">
        <v>52</v>
      </c>
      <c r="D26" s="71" t="s">
        <v>45</v>
      </c>
      <c r="E26" s="92">
        <v>1</v>
      </c>
      <c r="F26" s="199" t="str">
        <f t="shared" si="7"/>
        <v>十八连山</v>
      </c>
      <c r="G26" s="92"/>
      <c r="H26" s="86">
        <v>614.4</v>
      </c>
      <c r="I26" s="86">
        <v>614.4</v>
      </c>
      <c r="J26" s="724"/>
      <c r="K26" s="724"/>
      <c r="L26" s="825">
        <v>2018.01</v>
      </c>
      <c r="M26" s="724">
        <v>2018.12</v>
      </c>
      <c r="N26" s="724">
        <v>64.8144</v>
      </c>
      <c r="O26" s="86">
        <v>64.8144</v>
      </c>
      <c r="P26" s="724"/>
      <c r="Q26" s="724"/>
      <c r="R26" s="724"/>
      <c r="S26" s="146">
        <v>64.8144</v>
      </c>
      <c r="T26" s="724"/>
      <c r="U26" s="724"/>
      <c r="V26" s="724"/>
      <c r="W26" s="86" t="s">
        <v>46</v>
      </c>
      <c r="X26" s="724" t="s">
        <v>47</v>
      </c>
      <c r="Y26" s="151">
        <v>217</v>
      </c>
      <c r="Z26" s="151">
        <v>843</v>
      </c>
      <c r="AA26" s="92">
        <v>1</v>
      </c>
      <c r="AB26" s="92"/>
      <c r="AC26" s="92"/>
      <c r="AD26" s="86" t="s">
        <v>65</v>
      </c>
      <c r="AE26" s="86" t="s">
        <v>85</v>
      </c>
      <c r="AF26" s="438" t="s">
        <v>43</v>
      </c>
      <c r="AG26" s="92"/>
    </row>
    <row r="27" ht="24.95" customHeight="1" spans="1:33">
      <c r="A27" s="705"/>
      <c r="B27" s="711" t="s">
        <v>87</v>
      </c>
      <c r="C27" s="71"/>
      <c r="D27" s="71"/>
      <c r="E27" s="92">
        <f t="shared" ref="E27:V27" si="10">SUM(E28:E31)</f>
        <v>3</v>
      </c>
      <c r="F27" s="96" t="str">
        <f t="shared" si="7"/>
        <v>1.3.桃</v>
      </c>
      <c r="G27" s="92"/>
      <c r="H27" s="86">
        <f t="shared" si="10"/>
        <v>20464</v>
      </c>
      <c r="I27" s="86">
        <f t="shared" si="10"/>
        <v>20464</v>
      </c>
      <c r="J27" s="724">
        <f t="shared" si="10"/>
        <v>0</v>
      </c>
      <c r="K27" s="724">
        <f t="shared" si="10"/>
        <v>0</v>
      </c>
      <c r="L27" s="825"/>
      <c r="M27" s="724"/>
      <c r="N27" s="724">
        <f t="shared" si="10"/>
        <v>2436.551875</v>
      </c>
      <c r="O27" s="86">
        <f t="shared" si="10"/>
        <v>2436.551875</v>
      </c>
      <c r="P27" s="724">
        <f t="shared" si="10"/>
        <v>0</v>
      </c>
      <c r="Q27" s="724">
        <f t="shared" si="10"/>
        <v>0</v>
      </c>
      <c r="R27" s="724">
        <f t="shared" si="10"/>
        <v>0</v>
      </c>
      <c r="S27" s="86">
        <f t="shared" si="10"/>
        <v>2436.55</v>
      </c>
      <c r="T27" s="724">
        <f t="shared" si="10"/>
        <v>0</v>
      </c>
      <c r="U27" s="724">
        <f t="shared" si="10"/>
        <v>0</v>
      </c>
      <c r="V27" s="724">
        <f t="shared" si="10"/>
        <v>0</v>
      </c>
      <c r="W27" s="86" t="s">
        <v>46</v>
      </c>
      <c r="X27" s="724" t="s">
        <v>47</v>
      </c>
      <c r="Y27" s="151">
        <f t="shared" ref="Y27:AA27" si="11">SUM(Y28:Y31)</f>
        <v>3059</v>
      </c>
      <c r="Z27" s="151">
        <f t="shared" si="11"/>
        <v>55262</v>
      </c>
      <c r="AA27" s="92">
        <f t="shared" si="11"/>
        <v>3</v>
      </c>
      <c r="AB27" s="92"/>
      <c r="AC27" s="92"/>
      <c r="AD27" s="141" t="s">
        <v>68</v>
      </c>
      <c r="AE27" s="146" t="s">
        <v>50</v>
      </c>
      <c r="AF27" s="438" t="s">
        <v>43</v>
      </c>
      <c r="AG27" s="92"/>
    </row>
    <row r="28" ht="24.95" customHeight="1" spans="1:33">
      <c r="A28" s="705"/>
      <c r="B28" s="199" t="s">
        <v>69</v>
      </c>
      <c r="C28" s="71" t="s">
        <v>52</v>
      </c>
      <c r="D28" s="71" t="s">
        <v>45</v>
      </c>
      <c r="E28" s="92">
        <v>1</v>
      </c>
      <c r="F28" s="199" t="str">
        <f t="shared" si="7"/>
        <v>中安街道</v>
      </c>
      <c r="G28" s="92"/>
      <c r="H28" s="86">
        <v>304</v>
      </c>
      <c r="I28" s="86">
        <v>304</v>
      </c>
      <c r="J28" s="724"/>
      <c r="K28" s="724"/>
      <c r="L28" s="825">
        <v>2018.01</v>
      </c>
      <c r="M28" s="724">
        <v>2018.12</v>
      </c>
      <c r="N28" s="724">
        <v>19.32</v>
      </c>
      <c r="O28" s="86">
        <v>19.32</v>
      </c>
      <c r="P28" s="724"/>
      <c r="Q28" s="724"/>
      <c r="R28" s="724"/>
      <c r="S28" s="138">
        <v>19.32</v>
      </c>
      <c r="T28" s="724"/>
      <c r="U28" s="724"/>
      <c r="V28" s="724"/>
      <c r="W28" s="86" t="s">
        <v>46</v>
      </c>
      <c r="X28" s="724" t="s">
        <v>47</v>
      </c>
      <c r="Y28" s="151">
        <v>118</v>
      </c>
      <c r="Z28" s="151">
        <v>553</v>
      </c>
      <c r="AA28" s="92">
        <v>1</v>
      </c>
      <c r="AB28" s="92"/>
      <c r="AC28" s="92"/>
      <c r="AD28" s="745" t="s">
        <v>88</v>
      </c>
      <c r="AE28" s="746" t="s">
        <v>89</v>
      </c>
      <c r="AF28" s="438" t="s">
        <v>43</v>
      </c>
      <c r="AG28" s="92"/>
    </row>
    <row r="29" ht="24.95" customHeight="1" spans="1:33">
      <c r="A29" s="705"/>
      <c r="B29" s="199" t="s">
        <v>51</v>
      </c>
      <c r="C29" s="712" t="s">
        <v>52</v>
      </c>
      <c r="D29" s="713" t="s">
        <v>45</v>
      </c>
      <c r="E29" s="92"/>
      <c r="F29" s="199" t="str">
        <f t="shared" si="7"/>
        <v>胜境街道</v>
      </c>
      <c r="G29" s="92"/>
      <c r="H29" s="86"/>
      <c r="I29" s="86"/>
      <c r="J29" s="724"/>
      <c r="K29" s="724"/>
      <c r="L29" s="825"/>
      <c r="M29" s="724"/>
      <c r="N29" s="724"/>
      <c r="O29" s="86"/>
      <c r="P29" s="724"/>
      <c r="Q29" s="724"/>
      <c r="R29" s="724"/>
      <c r="S29" s="138"/>
      <c r="T29" s="724"/>
      <c r="U29" s="724"/>
      <c r="V29" s="724"/>
      <c r="W29" s="86" t="s">
        <v>46</v>
      </c>
      <c r="X29" s="724" t="s">
        <v>47</v>
      </c>
      <c r="Y29" s="151"/>
      <c r="Z29" s="151"/>
      <c r="AA29" s="92"/>
      <c r="AB29" s="92"/>
      <c r="AC29" s="92"/>
      <c r="AD29" s="101"/>
      <c r="AE29" s="712"/>
      <c r="AF29" s="438"/>
      <c r="AG29" s="92"/>
    </row>
    <row r="30" ht="24.95" customHeight="1" spans="1:33">
      <c r="A30" s="705"/>
      <c r="B30" s="714" t="s">
        <v>55</v>
      </c>
      <c r="C30" s="715" t="s">
        <v>52</v>
      </c>
      <c r="D30" s="716" t="s">
        <v>45</v>
      </c>
      <c r="E30" s="92">
        <v>1</v>
      </c>
      <c r="F30" s="714" t="str">
        <f t="shared" si="7"/>
        <v>大河镇</v>
      </c>
      <c r="G30" s="92"/>
      <c r="H30" s="86">
        <v>20060</v>
      </c>
      <c r="I30" s="86">
        <v>20060</v>
      </c>
      <c r="J30" s="724"/>
      <c r="K30" s="724"/>
      <c r="L30" s="825">
        <v>2018.01</v>
      </c>
      <c r="M30" s="724">
        <v>2018.12</v>
      </c>
      <c r="N30" s="724">
        <v>2407.231875</v>
      </c>
      <c r="O30" s="86">
        <v>2407.231875</v>
      </c>
      <c r="P30" s="724"/>
      <c r="Q30" s="724"/>
      <c r="R30" s="724"/>
      <c r="S30" s="715">
        <v>2407.23</v>
      </c>
      <c r="T30" s="724"/>
      <c r="U30" s="724"/>
      <c r="V30" s="724"/>
      <c r="W30" s="86" t="s">
        <v>46</v>
      </c>
      <c r="X30" s="724" t="s">
        <v>47</v>
      </c>
      <c r="Y30" s="151">
        <v>2774</v>
      </c>
      <c r="Z30" s="151">
        <v>53986</v>
      </c>
      <c r="AA30" s="92">
        <v>1</v>
      </c>
      <c r="AB30" s="92"/>
      <c r="AC30" s="92"/>
      <c r="AD30" s="747" t="s">
        <v>56</v>
      </c>
      <c r="AE30" s="715" t="s">
        <v>57</v>
      </c>
      <c r="AF30" s="438" t="s">
        <v>43</v>
      </c>
      <c r="AG30" s="92"/>
    </row>
    <row r="31" ht="24.95" customHeight="1" spans="1:33">
      <c r="A31" s="705"/>
      <c r="B31" s="199" t="s">
        <v>58</v>
      </c>
      <c r="C31" s="146" t="s">
        <v>52</v>
      </c>
      <c r="D31" s="152" t="s">
        <v>45</v>
      </c>
      <c r="E31" s="92">
        <v>1</v>
      </c>
      <c r="F31" s="199" t="str">
        <f t="shared" si="7"/>
        <v>竹园镇</v>
      </c>
      <c r="G31" s="92"/>
      <c r="H31" s="86">
        <v>100</v>
      </c>
      <c r="I31" s="86">
        <v>100</v>
      </c>
      <c r="J31" s="724"/>
      <c r="K31" s="724"/>
      <c r="L31" s="825">
        <v>2018.01</v>
      </c>
      <c r="M31" s="724">
        <v>2018.12</v>
      </c>
      <c r="N31" s="724">
        <v>10</v>
      </c>
      <c r="O31" s="86">
        <v>10</v>
      </c>
      <c r="P31" s="724"/>
      <c r="Q31" s="724"/>
      <c r="R31" s="724"/>
      <c r="S31" s="146">
        <v>10</v>
      </c>
      <c r="T31" s="724"/>
      <c r="U31" s="724"/>
      <c r="V31" s="724"/>
      <c r="W31" s="86" t="s">
        <v>46</v>
      </c>
      <c r="X31" s="724" t="s">
        <v>47</v>
      </c>
      <c r="Y31" s="151">
        <v>167</v>
      </c>
      <c r="Z31" s="151">
        <v>723</v>
      </c>
      <c r="AA31" s="92">
        <v>1</v>
      </c>
      <c r="AB31" s="92"/>
      <c r="AC31" s="92"/>
      <c r="AD31" s="146" t="s">
        <v>59</v>
      </c>
      <c r="AE31" s="146" t="s">
        <v>60</v>
      </c>
      <c r="AF31" s="438" t="s">
        <v>43</v>
      </c>
      <c r="AG31" s="92"/>
    </row>
    <row r="32" ht="24.95" customHeight="1" spans="1:33">
      <c r="A32" s="705"/>
      <c r="B32" s="711" t="s">
        <v>596</v>
      </c>
      <c r="C32" s="141" t="s">
        <v>52</v>
      </c>
      <c r="D32" s="141" t="s">
        <v>45</v>
      </c>
      <c r="E32" s="92">
        <f t="shared" ref="E32:V32" si="12">SUM(E33:E39)</f>
        <v>5</v>
      </c>
      <c r="F32" s="96"/>
      <c r="G32" s="92"/>
      <c r="H32" s="86">
        <f t="shared" si="12"/>
        <v>13398.2</v>
      </c>
      <c r="I32" s="86">
        <f t="shared" si="12"/>
        <v>13398.2</v>
      </c>
      <c r="J32" s="724">
        <f t="shared" si="12"/>
        <v>0</v>
      </c>
      <c r="K32" s="724">
        <f t="shared" si="12"/>
        <v>0</v>
      </c>
      <c r="L32" s="825"/>
      <c r="M32" s="724"/>
      <c r="N32" s="724">
        <f t="shared" si="12"/>
        <v>990.205</v>
      </c>
      <c r="O32" s="86">
        <f t="shared" si="12"/>
        <v>990.205</v>
      </c>
      <c r="P32" s="724">
        <f t="shared" si="12"/>
        <v>0</v>
      </c>
      <c r="Q32" s="724">
        <f t="shared" si="12"/>
        <v>0</v>
      </c>
      <c r="R32" s="724">
        <f t="shared" si="12"/>
        <v>0</v>
      </c>
      <c r="S32" s="146">
        <f t="shared" si="12"/>
        <v>990.205</v>
      </c>
      <c r="T32" s="724">
        <f t="shared" si="12"/>
        <v>0</v>
      </c>
      <c r="U32" s="724">
        <f t="shared" si="12"/>
        <v>0</v>
      </c>
      <c r="V32" s="724">
        <f t="shared" si="12"/>
        <v>0</v>
      </c>
      <c r="W32" s="86" t="s">
        <v>46</v>
      </c>
      <c r="X32" s="724" t="s">
        <v>47</v>
      </c>
      <c r="Y32" s="151">
        <f t="shared" ref="Y32:AA32" si="13">SUM(Y33:Y39)</f>
        <v>5922</v>
      </c>
      <c r="Z32" s="151">
        <f t="shared" si="13"/>
        <v>24605</v>
      </c>
      <c r="AA32" s="92">
        <f t="shared" si="13"/>
        <v>5</v>
      </c>
      <c r="AB32" s="92"/>
      <c r="AC32" s="92"/>
      <c r="AD32" s="141" t="s">
        <v>68</v>
      </c>
      <c r="AE32" s="146" t="s">
        <v>50</v>
      </c>
      <c r="AF32" s="438" t="s">
        <v>43</v>
      </c>
      <c r="AG32" s="92"/>
    </row>
    <row r="33" ht="24.95" customHeight="1" spans="1:33">
      <c r="A33" s="705"/>
      <c r="B33" s="199" t="s">
        <v>69</v>
      </c>
      <c r="C33" s="141" t="s">
        <v>52</v>
      </c>
      <c r="D33" s="141" t="s">
        <v>45</v>
      </c>
      <c r="E33" s="92">
        <v>1</v>
      </c>
      <c r="F33" s="199" t="str">
        <f t="shared" si="7"/>
        <v>中安街道</v>
      </c>
      <c r="G33" s="92"/>
      <c r="H33" s="86">
        <v>2440</v>
      </c>
      <c r="I33" s="86">
        <v>2440</v>
      </c>
      <c r="J33" s="724"/>
      <c r="K33" s="724"/>
      <c r="L33" s="825">
        <v>2018.01</v>
      </c>
      <c r="M33" s="724">
        <v>2018.12</v>
      </c>
      <c r="N33" s="724">
        <v>542.95</v>
      </c>
      <c r="O33" s="86">
        <v>542.95</v>
      </c>
      <c r="P33" s="724"/>
      <c r="Q33" s="724"/>
      <c r="R33" s="724"/>
      <c r="S33" s="146">
        <v>542.95</v>
      </c>
      <c r="T33" s="724"/>
      <c r="U33" s="724"/>
      <c r="V33" s="724"/>
      <c r="W33" s="86" t="s">
        <v>46</v>
      </c>
      <c r="X33" s="724" t="s">
        <v>47</v>
      </c>
      <c r="Y33" s="151">
        <v>1220</v>
      </c>
      <c r="Z33" s="151">
        <v>4204</v>
      </c>
      <c r="AA33" s="92">
        <v>1</v>
      </c>
      <c r="AB33" s="92"/>
      <c r="AC33" s="92"/>
      <c r="AD33" s="146" t="s">
        <v>70</v>
      </c>
      <c r="AE33" s="146" t="s">
        <v>71</v>
      </c>
      <c r="AF33" s="438" t="s">
        <v>43</v>
      </c>
      <c r="AG33" s="92"/>
    </row>
    <row r="34" ht="24.95" customHeight="1" spans="1:33">
      <c r="A34" s="705"/>
      <c r="B34" s="199" t="s">
        <v>51</v>
      </c>
      <c r="C34" s="141" t="s">
        <v>52</v>
      </c>
      <c r="D34" s="141" t="s">
        <v>45</v>
      </c>
      <c r="E34" s="92"/>
      <c r="F34" s="199" t="str">
        <f t="shared" si="7"/>
        <v>胜境街道</v>
      </c>
      <c r="G34" s="92"/>
      <c r="H34" s="86"/>
      <c r="I34" s="86"/>
      <c r="J34" s="724"/>
      <c r="K34" s="724"/>
      <c r="L34" s="825"/>
      <c r="M34" s="724"/>
      <c r="N34" s="724"/>
      <c r="O34" s="86"/>
      <c r="P34" s="724"/>
      <c r="Q34" s="724"/>
      <c r="R34" s="724"/>
      <c r="S34" s="727"/>
      <c r="T34" s="724"/>
      <c r="U34" s="724"/>
      <c r="V34" s="724"/>
      <c r="W34" s="86" t="s">
        <v>46</v>
      </c>
      <c r="X34" s="724" t="s">
        <v>47</v>
      </c>
      <c r="Y34" s="151"/>
      <c r="Z34" s="151"/>
      <c r="AA34" s="92"/>
      <c r="AB34" s="92"/>
      <c r="AC34" s="92"/>
      <c r="AD34" s="740"/>
      <c r="AE34" s="741"/>
      <c r="AF34" s="742"/>
      <c r="AG34" s="92"/>
    </row>
    <row r="35" ht="24.95" customHeight="1" spans="1:33">
      <c r="A35" s="705"/>
      <c r="B35" s="199" t="s">
        <v>91</v>
      </c>
      <c r="C35" s="146" t="s">
        <v>52</v>
      </c>
      <c r="D35" s="152" t="s">
        <v>45</v>
      </c>
      <c r="E35" s="92">
        <v>1</v>
      </c>
      <c r="F35" s="199" t="str">
        <f t="shared" si="7"/>
        <v>墨红镇</v>
      </c>
      <c r="G35" s="92"/>
      <c r="H35" s="86">
        <v>2901.2</v>
      </c>
      <c r="I35" s="86">
        <v>2901.2</v>
      </c>
      <c r="J35" s="724"/>
      <c r="K35" s="724"/>
      <c r="L35" s="825">
        <v>2018.01</v>
      </c>
      <c r="M35" s="724">
        <v>2018.12</v>
      </c>
      <c r="N35" s="724">
        <v>338.355</v>
      </c>
      <c r="O35" s="86">
        <v>338.355</v>
      </c>
      <c r="P35" s="724"/>
      <c r="Q35" s="724"/>
      <c r="R35" s="724"/>
      <c r="S35" s="146">
        <v>338.355</v>
      </c>
      <c r="T35" s="724"/>
      <c r="U35" s="724"/>
      <c r="V35" s="724"/>
      <c r="W35" s="86" t="s">
        <v>46</v>
      </c>
      <c r="X35" s="724" t="s">
        <v>47</v>
      </c>
      <c r="Y35" s="151">
        <v>1305</v>
      </c>
      <c r="Z35" s="151">
        <v>5172</v>
      </c>
      <c r="AA35" s="92">
        <v>1</v>
      </c>
      <c r="AB35" s="92"/>
      <c r="AC35" s="92"/>
      <c r="AD35" s="146" t="s">
        <v>82</v>
      </c>
      <c r="AE35" s="146" t="s">
        <v>83</v>
      </c>
      <c r="AF35" s="438" t="s">
        <v>43</v>
      </c>
      <c r="AG35" s="92"/>
    </row>
    <row r="36" ht="24.95" customHeight="1" spans="1:33">
      <c r="A36" s="705"/>
      <c r="B36" s="199" t="s">
        <v>75</v>
      </c>
      <c r="C36" s="141" t="s">
        <v>52</v>
      </c>
      <c r="D36" s="141" t="s">
        <v>45</v>
      </c>
      <c r="E36" s="92">
        <v>1</v>
      </c>
      <c r="F36" s="199" t="str">
        <f t="shared" si="7"/>
        <v>营上镇</v>
      </c>
      <c r="G36" s="92"/>
      <c r="H36" s="86">
        <v>2966</v>
      </c>
      <c r="I36" s="86">
        <v>2966</v>
      </c>
      <c r="J36" s="724"/>
      <c r="K36" s="724"/>
      <c r="L36" s="825">
        <v>2018.01</v>
      </c>
      <c r="M36" s="724">
        <v>2018.12</v>
      </c>
      <c r="N36" s="724">
        <v>40.04</v>
      </c>
      <c r="O36" s="86">
        <v>40.04</v>
      </c>
      <c r="P36" s="724"/>
      <c r="Q36" s="724"/>
      <c r="R36" s="724"/>
      <c r="S36" s="146">
        <v>40.04</v>
      </c>
      <c r="T36" s="724"/>
      <c r="U36" s="724"/>
      <c r="V36" s="724"/>
      <c r="W36" s="86" t="s">
        <v>46</v>
      </c>
      <c r="X36" s="724" t="s">
        <v>47</v>
      </c>
      <c r="Y36" s="151">
        <v>1246</v>
      </c>
      <c r="Z36" s="151">
        <v>5572</v>
      </c>
      <c r="AA36" s="92">
        <v>1</v>
      </c>
      <c r="AB36" s="92"/>
      <c r="AC36" s="92"/>
      <c r="AD36" s="146" t="s">
        <v>76</v>
      </c>
      <c r="AE36" s="146" t="s">
        <v>77</v>
      </c>
      <c r="AF36" s="438" t="s">
        <v>43</v>
      </c>
      <c r="AG36" s="92"/>
    </row>
    <row r="37" ht="24.95" customHeight="1" spans="1:33">
      <c r="A37" s="705"/>
      <c r="B37" s="199" t="s">
        <v>58</v>
      </c>
      <c r="C37" s="146" t="s">
        <v>52</v>
      </c>
      <c r="D37" s="152" t="s">
        <v>45</v>
      </c>
      <c r="E37" s="92">
        <v>1</v>
      </c>
      <c r="F37" s="199" t="str">
        <f t="shared" si="7"/>
        <v>竹园镇</v>
      </c>
      <c r="G37" s="92"/>
      <c r="H37" s="86">
        <v>2491</v>
      </c>
      <c r="I37" s="86">
        <v>2491</v>
      </c>
      <c r="J37" s="724"/>
      <c r="K37" s="724"/>
      <c r="L37" s="825">
        <v>2018.01</v>
      </c>
      <c r="M37" s="724">
        <v>2018.12</v>
      </c>
      <c r="N37" s="724">
        <v>56.34</v>
      </c>
      <c r="O37" s="86">
        <v>56.34</v>
      </c>
      <c r="P37" s="724"/>
      <c r="Q37" s="724"/>
      <c r="R37" s="724"/>
      <c r="S37" s="146">
        <v>56.34</v>
      </c>
      <c r="T37" s="724"/>
      <c r="U37" s="724"/>
      <c r="V37" s="724"/>
      <c r="W37" s="86" t="s">
        <v>46</v>
      </c>
      <c r="X37" s="724" t="s">
        <v>47</v>
      </c>
      <c r="Y37" s="151">
        <v>485</v>
      </c>
      <c r="Z37" s="151">
        <v>2154</v>
      </c>
      <c r="AA37" s="92">
        <v>1</v>
      </c>
      <c r="AB37" s="92"/>
      <c r="AC37" s="92"/>
      <c r="AD37" s="146" t="s">
        <v>59</v>
      </c>
      <c r="AE37" s="141" t="s">
        <v>60</v>
      </c>
      <c r="AF37" s="438" t="s">
        <v>43</v>
      </c>
      <c r="AG37" s="92"/>
    </row>
    <row r="38" ht="24.95" customHeight="1" spans="1:33">
      <c r="A38" s="705"/>
      <c r="B38" s="199" t="s">
        <v>61</v>
      </c>
      <c r="C38" s="146" t="s">
        <v>52</v>
      </c>
      <c r="D38" s="152" t="s">
        <v>45</v>
      </c>
      <c r="E38" s="92">
        <v>1</v>
      </c>
      <c r="F38" s="199" t="str">
        <f t="shared" si="7"/>
        <v>富村镇</v>
      </c>
      <c r="G38" s="92"/>
      <c r="H38" s="86">
        <v>2600</v>
      </c>
      <c r="I38" s="86">
        <v>2600</v>
      </c>
      <c r="J38" s="724"/>
      <c r="K38" s="724"/>
      <c r="L38" s="825">
        <v>2018.01</v>
      </c>
      <c r="M38" s="724">
        <v>2018.12</v>
      </c>
      <c r="N38" s="724">
        <v>12.52</v>
      </c>
      <c r="O38" s="86">
        <v>12.52</v>
      </c>
      <c r="P38" s="724"/>
      <c r="Q38" s="724"/>
      <c r="R38" s="724"/>
      <c r="S38" s="146">
        <v>12.52</v>
      </c>
      <c r="T38" s="724"/>
      <c r="U38" s="724"/>
      <c r="V38" s="724"/>
      <c r="W38" s="86" t="s">
        <v>46</v>
      </c>
      <c r="X38" s="724" t="s">
        <v>47</v>
      </c>
      <c r="Y38" s="151">
        <v>1666</v>
      </c>
      <c r="Z38" s="151">
        <v>7503</v>
      </c>
      <c r="AA38" s="92">
        <v>1</v>
      </c>
      <c r="AB38" s="92"/>
      <c r="AC38" s="92"/>
      <c r="AD38" s="146" t="s">
        <v>62</v>
      </c>
      <c r="AE38" s="146" t="s">
        <v>63</v>
      </c>
      <c r="AF38" s="438" t="s">
        <v>43</v>
      </c>
      <c r="AG38" s="92"/>
    </row>
    <row r="39" ht="24.95" customHeight="1" spans="1:33">
      <c r="A39" s="705"/>
      <c r="B39" s="199" t="s">
        <v>92</v>
      </c>
      <c r="C39" s="146" t="s">
        <v>52</v>
      </c>
      <c r="D39" s="152" t="s">
        <v>45</v>
      </c>
      <c r="E39" s="92"/>
      <c r="F39" s="199" t="str">
        <f t="shared" si="7"/>
        <v>老厂镇</v>
      </c>
      <c r="G39" s="92"/>
      <c r="H39" s="86"/>
      <c r="I39" s="86"/>
      <c r="J39" s="724"/>
      <c r="K39" s="724"/>
      <c r="L39" s="825"/>
      <c r="M39" s="724"/>
      <c r="N39" s="724"/>
      <c r="O39" s="86"/>
      <c r="P39" s="724"/>
      <c r="Q39" s="724"/>
      <c r="R39" s="724"/>
      <c r="S39" s="146"/>
      <c r="T39" s="724"/>
      <c r="U39" s="724"/>
      <c r="V39" s="724"/>
      <c r="W39" s="86" t="s">
        <v>46</v>
      </c>
      <c r="X39" s="724" t="s">
        <v>47</v>
      </c>
      <c r="Y39" s="151"/>
      <c r="Z39" s="151"/>
      <c r="AA39" s="92"/>
      <c r="AB39" s="92"/>
      <c r="AC39" s="92"/>
      <c r="AD39" s="146"/>
      <c r="AE39" s="146"/>
      <c r="AF39" s="438"/>
      <c r="AG39" s="92"/>
    </row>
    <row r="40" ht="24.95" customHeight="1" spans="1:33">
      <c r="A40" s="705"/>
      <c r="B40" s="711" t="s">
        <v>597</v>
      </c>
      <c r="C40" s="141" t="s">
        <v>52</v>
      </c>
      <c r="D40" s="141" t="s">
        <v>45</v>
      </c>
      <c r="E40" s="92">
        <f t="shared" ref="E40:V40" si="14">SUM(E41:E44)</f>
        <v>4</v>
      </c>
      <c r="F40" s="96"/>
      <c r="G40" s="92"/>
      <c r="H40" s="86">
        <f t="shared" si="14"/>
        <v>12554</v>
      </c>
      <c r="I40" s="86">
        <f t="shared" si="14"/>
        <v>12554</v>
      </c>
      <c r="J40" s="724">
        <f t="shared" si="14"/>
        <v>0</v>
      </c>
      <c r="K40" s="724">
        <f t="shared" si="14"/>
        <v>0</v>
      </c>
      <c r="L40" s="825"/>
      <c r="M40" s="724"/>
      <c r="N40" s="724">
        <f t="shared" si="14"/>
        <v>355.49</v>
      </c>
      <c r="O40" s="86">
        <f t="shared" si="14"/>
        <v>355.49</v>
      </c>
      <c r="P40" s="724">
        <f t="shared" si="14"/>
        <v>0</v>
      </c>
      <c r="Q40" s="724">
        <f t="shared" si="14"/>
        <v>0</v>
      </c>
      <c r="R40" s="724">
        <f t="shared" si="14"/>
        <v>0</v>
      </c>
      <c r="S40" s="146">
        <f t="shared" si="14"/>
        <v>55.49</v>
      </c>
      <c r="T40" s="724">
        <f t="shared" si="14"/>
        <v>0</v>
      </c>
      <c r="U40" s="724">
        <f t="shared" si="14"/>
        <v>300</v>
      </c>
      <c r="V40" s="724">
        <f t="shared" si="14"/>
        <v>0</v>
      </c>
      <c r="W40" s="86" t="s">
        <v>46</v>
      </c>
      <c r="X40" s="724" t="s">
        <v>47</v>
      </c>
      <c r="Y40" s="151">
        <f t="shared" ref="Y40:AA40" si="15">SUM(Y41:Y44)</f>
        <v>5461</v>
      </c>
      <c r="Z40" s="151">
        <f t="shared" si="15"/>
        <v>23269</v>
      </c>
      <c r="AA40" s="92">
        <f t="shared" si="15"/>
        <v>4</v>
      </c>
      <c r="AB40" s="92"/>
      <c r="AC40" s="92"/>
      <c r="AD40" s="141" t="s">
        <v>68</v>
      </c>
      <c r="AE40" s="146" t="s">
        <v>50</v>
      </c>
      <c r="AF40" s="438" t="s">
        <v>43</v>
      </c>
      <c r="AG40" s="92"/>
    </row>
    <row r="41" ht="24.95" customHeight="1" spans="1:33">
      <c r="A41" s="705"/>
      <c r="B41" s="199" t="s">
        <v>51</v>
      </c>
      <c r="C41" s="141" t="s">
        <v>52</v>
      </c>
      <c r="D41" s="141" t="s">
        <v>45</v>
      </c>
      <c r="E41" s="92">
        <v>1</v>
      </c>
      <c r="F41" s="199" t="str">
        <f t="shared" si="7"/>
        <v>胜境街道</v>
      </c>
      <c r="G41" s="92"/>
      <c r="H41" s="86">
        <v>926</v>
      </c>
      <c r="I41" s="86">
        <v>926</v>
      </c>
      <c r="J41" s="724"/>
      <c r="K41" s="724"/>
      <c r="L41" s="825">
        <v>2018.01</v>
      </c>
      <c r="M41" s="724">
        <v>2018.12</v>
      </c>
      <c r="N41" s="724">
        <v>24.09</v>
      </c>
      <c r="O41" s="86">
        <v>24.09</v>
      </c>
      <c r="P41" s="724"/>
      <c r="Q41" s="724"/>
      <c r="R41" s="724"/>
      <c r="S41" s="740">
        <v>24.09</v>
      </c>
      <c r="T41" s="724"/>
      <c r="U41" s="724"/>
      <c r="V41" s="724"/>
      <c r="W41" s="86" t="s">
        <v>46</v>
      </c>
      <c r="X41" s="724" t="s">
        <v>47</v>
      </c>
      <c r="Y41" s="151">
        <v>1760</v>
      </c>
      <c r="Z41" s="151">
        <v>7269</v>
      </c>
      <c r="AA41" s="92">
        <v>1</v>
      </c>
      <c r="AB41" s="92"/>
      <c r="AC41" s="92"/>
      <c r="AD41" s="740" t="s">
        <v>53</v>
      </c>
      <c r="AE41" s="741" t="s">
        <v>54</v>
      </c>
      <c r="AF41" s="742" t="s">
        <v>43</v>
      </c>
      <c r="AG41" s="92"/>
    </row>
    <row r="42" ht="24.95" customHeight="1" spans="1:33">
      <c r="A42" s="705"/>
      <c r="B42" s="199" t="s">
        <v>72</v>
      </c>
      <c r="C42" s="146" t="s">
        <v>52</v>
      </c>
      <c r="D42" s="152" t="s">
        <v>45</v>
      </c>
      <c r="E42" s="92">
        <v>1</v>
      </c>
      <c r="F42" s="199" t="str">
        <f t="shared" si="7"/>
        <v>后所镇</v>
      </c>
      <c r="G42" s="92"/>
      <c r="H42" s="86">
        <v>1200</v>
      </c>
      <c r="I42" s="86">
        <v>1200</v>
      </c>
      <c r="J42" s="724"/>
      <c r="K42" s="724"/>
      <c r="L42" s="825">
        <v>2018.01</v>
      </c>
      <c r="M42" s="724">
        <v>2018.12</v>
      </c>
      <c r="N42" s="724">
        <v>100</v>
      </c>
      <c r="O42" s="86">
        <v>100</v>
      </c>
      <c r="P42" s="724"/>
      <c r="Q42" s="724"/>
      <c r="R42" s="724"/>
      <c r="S42" s="146">
        <v>0</v>
      </c>
      <c r="T42" s="724"/>
      <c r="U42" s="724">
        <v>100</v>
      </c>
      <c r="V42" s="724"/>
      <c r="W42" s="86" t="s">
        <v>46</v>
      </c>
      <c r="X42" s="724" t="s">
        <v>47</v>
      </c>
      <c r="Y42" s="151">
        <v>599</v>
      </c>
      <c r="Z42" s="151">
        <v>2487</v>
      </c>
      <c r="AA42" s="92">
        <v>1</v>
      </c>
      <c r="AB42" s="92"/>
      <c r="AC42" s="92"/>
      <c r="AD42" s="146" t="s">
        <v>73</v>
      </c>
      <c r="AE42" s="438" t="s">
        <v>74</v>
      </c>
      <c r="AF42" s="438" t="s">
        <v>43</v>
      </c>
      <c r="AG42" s="92"/>
    </row>
    <row r="43" ht="24.95" customHeight="1" spans="1:33">
      <c r="A43" s="705"/>
      <c r="B43" s="199" t="s">
        <v>75</v>
      </c>
      <c r="C43" s="141" t="s">
        <v>52</v>
      </c>
      <c r="D43" s="141" t="s">
        <v>45</v>
      </c>
      <c r="E43" s="92">
        <v>1</v>
      </c>
      <c r="F43" s="199" t="str">
        <f t="shared" si="7"/>
        <v>营上镇</v>
      </c>
      <c r="G43" s="92"/>
      <c r="H43" s="86">
        <v>7888</v>
      </c>
      <c r="I43" s="86">
        <v>7888</v>
      </c>
      <c r="J43" s="724"/>
      <c r="K43" s="724"/>
      <c r="L43" s="825">
        <v>2018.01</v>
      </c>
      <c r="M43" s="724">
        <v>2018.12</v>
      </c>
      <c r="N43" s="724">
        <v>114.4</v>
      </c>
      <c r="O43" s="86">
        <v>114.4</v>
      </c>
      <c r="P43" s="724"/>
      <c r="Q43" s="724"/>
      <c r="R43" s="724"/>
      <c r="S43" s="146">
        <v>14.4</v>
      </c>
      <c r="T43" s="724"/>
      <c r="U43" s="724">
        <v>100</v>
      </c>
      <c r="V43" s="724"/>
      <c r="W43" s="86" t="s">
        <v>46</v>
      </c>
      <c r="X43" s="724" t="s">
        <v>47</v>
      </c>
      <c r="Y43" s="151">
        <v>2160</v>
      </c>
      <c r="Z43" s="151">
        <v>9662</v>
      </c>
      <c r="AA43" s="92">
        <v>1</v>
      </c>
      <c r="AB43" s="92"/>
      <c r="AC43" s="92"/>
      <c r="AD43" s="146" t="s">
        <v>76</v>
      </c>
      <c r="AE43" s="146" t="s">
        <v>77</v>
      </c>
      <c r="AF43" s="438" t="s">
        <v>43</v>
      </c>
      <c r="AG43" s="92"/>
    </row>
    <row r="44" ht="24.95" customHeight="1" spans="1:33">
      <c r="A44" s="705"/>
      <c r="B44" s="714" t="s">
        <v>84</v>
      </c>
      <c r="C44" s="141" t="s">
        <v>96</v>
      </c>
      <c r="D44" s="141" t="s">
        <v>45</v>
      </c>
      <c r="E44" s="92">
        <v>1</v>
      </c>
      <c r="F44" s="714" t="str">
        <f t="shared" si="7"/>
        <v>十八连山</v>
      </c>
      <c r="G44" s="92"/>
      <c r="H44" s="86">
        <v>2540</v>
      </c>
      <c r="I44" s="86">
        <v>2540</v>
      </c>
      <c r="J44" s="724"/>
      <c r="K44" s="724"/>
      <c r="L44" s="825">
        <v>2018.01</v>
      </c>
      <c r="M44" s="724">
        <v>2018.12</v>
      </c>
      <c r="N44" s="724">
        <v>117</v>
      </c>
      <c r="O44" s="86">
        <v>117</v>
      </c>
      <c r="P44" s="724"/>
      <c r="Q44" s="724"/>
      <c r="R44" s="724"/>
      <c r="S44" s="146">
        <v>17</v>
      </c>
      <c r="T44" s="724"/>
      <c r="U44" s="724">
        <v>100</v>
      </c>
      <c r="V44" s="724"/>
      <c r="W44" s="86" t="s">
        <v>46</v>
      </c>
      <c r="X44" s="724" t="s">
        <v>47</v>
      </c>
      <c r="Y44" s="151">
        <v>942</v>
      </c>
      <c r="Z44" s="151">
        <v>3851</v>
      </c>
      <c r="AA44" s="92">
        <v>1</v>
      </c>
      <c r="AB44" s="92"/>
      <c r="AC44" s="92"/>
      <c r="AD44" s="146" t="s">
        <v>65</v>
      </c>
      <c r="AE44" s="146" t="s">
        <v>85</v>
      </c>
      <c r="AF44" s="438" t="s">
        <v>43</v>
      </c>
      <c r="AG44" s="92"/>
    </row>
    <row r="45" ht="24.95" customHeight="1" spans="1:33">
      <c r="A45" s="705"/>
      <c r="B45" s="711" t="s">
        <v>598</v>
      </c>
      <c r="C45" s="71" t="s">
        <v>52</v>
      </c>
      <c r="D45" s="71" t="s">
        <v>45</v>
      </c>
      <c r="E45" s="92">
        <f t="shared" ref="E45:AA45" si="16">SUM(E46:E50)</f>
        <v>4</v>
      </c>
      <c r="F45" s="96"/>
      <c r="G45" s="92"/>
      <c r="H45" s="86">
        <f t="shared" si="16"/>
        <v>10642.5</v>
      </c>
      <c r="I45" s="86">
        <f t="shared" si="16"/>
        <v>10642.5</v>
      </c>
      <c r="J45" s="724">
        <f t="shared" si="16"/>
        <v>0</v>
      </c>
      <c r="K45" s="724">
        <f t="shared" si="16"/>
        <v>0</v>
      </c>
      <c r="L45" s="825"/>
      <c r="M45" s="724"/>
      <c r="N45" s="724">
        <f t="shared" si="16"/>
        <v>664.818</v>
      </c>
      <c r="O45" s="86">
        <f t="shared" si="16"/>
        <v>664.818</v>
      </c>
      <c r="P45" s="724">
        <f t="shared" si="16"/>
        <v>0</v>
      </c>
      <c r="Q45" s="724">
        <f t="shared" si="16"/>
        <v>0</v>
      </c>
      <c r="R45" s="724">
        <f t="shared" si="16"/>
        <v>0</v>
      </c>
      <c r="S45" s="146">
        <f t="shared" si="16"/>
        <v>664.818</v>
      </c>
      <c r="T45" s="724">
        <f t="shared" si="16"/>
        <v>0</v>
      </c>
      <c r="U45" s="724">
        <f t="shared" si="16"/>
        <v>0</v>
      </c>
      <c r="V45" s="724">
        <f t="shared" si="16"/>
        <v>0</v>
      </c>
      <c r="W45" s="86" t="s">
        <v>46</v>
      </c>
      <c r="X45" s="724" t="s">
        <v>47</v>
      </c>
      <c r="Y45" s="151">
        <f t="shared" si="16"/>
        <v>2299</v>
      </c>
      <c r="Z45" s="151">
        <f t="shared" si="16"/>
        <v>9270</v>
      </c>
      <c r="AA45" s="92">
        <f t="shared" si="16"/>
        <v>4</v>
      </c>
      <c r="AB45" s="92"/>
      <c r="AC45" s="92"/>
      <c r="AD45" s="141" t="s">
        <v>68</v>
      </c>
      <c r="AE45" s="146" t="s">
        <v>50</v>
      </c>
      <c r="AF45" s="438" t="s">
        <v>43</v>
      </c>
      <c r="AG45" s="92"/>
    </row>
    <row r="46" ht="24.95" customHeight="1" spans="1:33">
      <c r="A46" s="705"/>
      <c r="B46" s="199" t="s">
        <v>98</v>
      </c>
      <c r="C46" s="71" t="s">
        <v>52</v>
      </c>
      <c r="D46" s="71" t="s">
        <v>45</v>
      </c>
      <c r="E46" s="92">
        <v>1</v>
      </c>
      <c r="F46" s="199" t="str">
        <f t="shared" si="7"/>
        <v>大河</v>
      </c>
      <c r="G46" s="92"/>
      <c r="H46" s="86">
        <v>1061</v>
      </c>
      <c r="I46" s="86">
        <v>1061</v>
      </c>
      <c r="J46" s="724"/>
      <c r="K46" s="724"/>
      <c r="L46" s="825">
        <v>2018.01</v>
      </c>
      <c r="M46" s="724">
        <v>2018.12</v>
      </c>
      <c r="N46" s="724">
        <v>31.5</v>
      </c>
      <c r="O46" s="86">
        <v>31.5</v>
      </c>
      <c r="P46" s="724"/>
      <c r="Q46" s="724"/>
      <c r="R46" s="724"/>
      <c r="S46" s="86">
        <v>31.5</v>
      </c>
      <c r="T46" s="724"/>
      <c r="U46" s="724"/>
      <c r="V46" s="724"/>
      <c r="W46" s="86" t="s">
        <v>46</v>
      </c>
      <c r="X46" s="724" t="s">
        <v>47</v>
      </c>
      <c r="Y46" s="151">
        <v>474</v>
      </c>
      <c r="Z46" s="151">
        <v>2027</v>
      </c>
      <c r="AA46" s="92">
        <v>1</v>
      </c>
      <c r="AB46" s="92"/>
      <c r="AC46" s="92"/>
      <c r="AD46" s="746" t="s">
        <v>56</v>
      </c>
      <c r="AE46" s="746" t="s">
        <v>57</v>
      </c>
      <c r="AF46" s="438" t="s">
        <v>43</v>
      </c>
      <c r="AG46" s="92"/>
    </row>
    <row r="47" ht="24.95" customHeight="1" spans="1:33">
      <c r="A47" s="705"/>
      <c r="B47" s="199" t="s">
        <v>58</v>
      </c>
      <c r="C47" s="71" t="s">
        <v>52</v>
      </c>
      <c r="D47" s="71" t="s">
        <v>45</v>
      </c>
      <c r="E47" s="92"/>
      <c r="F47" s="199" t="str">
        <f t="shared" si="7"/>
        <v>竹园镇</v>
      </c>
      <c r="G47" s="92"/>
      <c r="H47" s="86"/>
      <c r="I47" s="86"/>
      <c r="J47" s="724"/>
      <c r="K47" s="724"/>
      <c r="L47" s="825"/>
      <c r="M47" s="724"/>
      <c r="N47" s="724"/>
      <c r="O47" s="86"/>
      <c r="P47" s="724"/>
      <c r="Q47" s="724"/>
      <c r="R47" s="724"/>
      <c r="S47" s="138"/>
      <c r="T47" s="724"/>
      <c r="U47" s="724"/>
      <c r="V47" s="724"/>
      <c r="W47" s="86" t="s">
        <v>46</v>
      </c>
      <c r="X47" s="724" t="s">
        <v>47</v>
      </c>
      <c r="Y47" s="151"/>
      <c r="Z47" s="151"/>
      <c r="AA47" s="92"/>
      <c r="AB47" s="92"/>
      <c r="AC47" s="92"/>
      <c r="AD47" s="744"/>
      <c r="AE47" s="744"/>
      <c r="AF47" s="438"/>
      <c r="AG47" s="92"/>
    </row>
    <row r="48" ht="24.95" customHeight="1" spans="1:33">
      <c r="A48" s="705"/>
      <c r="B48" s="199" t="s">
        <v>72</v>
      </c>
      <c r="C48" s="71" t="s">
        <v>52</v>
      </c>
      <c r="D48" s="71" t="s">
        <v>45</v>
      </c>
      <c r="E48" s="92">
        <v>1</v>
      </c>
      <c r="F48" s="199" t="str">
        <f t="shared" si="7"/>
        <v>后所镇</v>
      </c>
      <c r="G48" s="92"/>
      <c r="H48" s="86">
        <v>1000</v>
      </c>
      <c r="I48" s="86">
        <v>1000</v>
      </c>
      <c r="J48" s="724"/>
      <c r="K48" s="724"/>
      <c r="L48" s="825">
        <v>2018.01</v>
      </c>
      <c r="M48" s="724">
        <v>2018.12</v>
      </c>
      <c r="N48" s="724">
        <v>227.23</v>
      </c>
      <c r="O48" s="86">
        <v>227.23</v>
      </c>
      <c r="P48" s="724"/>
      <c r="Q48" s="724"/>
      <c r="R48" s="724"/>
      <c r="S48" s="138">
        <v>227.23</v>
      </c>
      <c r="T48" s="724"/>
      <c r="U48" s="724"/>
      <c r="V48" s="724"/>
      <c r="W48" s="86" t="s">
        <v>46</v>
      </c>
      <c r="X48" s="724" t="s">
        <v>47</v>
      </c>
      <c r="Y48" s="151">
        <v>1000</v>
      </c>
      <c r="Z48" s="151">
        <v>3860</v>
      </c>
      <c r="AA48" s="92">
        <v>1</v>
      </c>
      <c r="AB48" s="92"/>
      <c r="AC48" s="92"/>
      <c r="AD48" s="745" t="s">
        <v>73</v>
      </c>
      <c r="AE48" s="745" t="s">
        <v>74</v>
      </c>
      <c r="AF48" s="438" t="s">
        <v>43</v>
      </c>
      <c r="AG48" s="92"/>
    </row>
    <row r="49" ht="24.95" customHeight="1" spans="1:33">
      <c r="A49" s="705"/>
      <c r="B49" s="199" t="s">
        <v>78</v>
      </c>
      <c r="C49" s="71" t="s">
        <v>52</v>
      </c>
      <c r="D49" s="71" t="s">
        <v>45</v>
      </c>
      <c r="E49" s="92">
        <v>1</v>
      </c>
      <c r="F49" s="199" t="str">
        <f t="shared" si="7"/>
        <v>黄泥河镇</v>
      </c>
      <c r="G49" s="92"/>
      <c r="H49" s="86">
        <v>2511</v>
      </c>
      <c r="I49" s="86">
        <v>2511</v>
      </c>
      <c r="J49" s="724"/>
      <c r="K49" s="724"/>
      <c r="L49" s="825">
        <v>2018.01</v>
      </c>
      <c r="M49" s="724">
        <v>2018.12</v>
      </c>
      <c r="N49" s="724">
        <v>195.6</v>
      </c>
      <c r="O49" s="86">
        <v>195.6</v>
      </c>
      <c r="P49" s="724"/>
      <c r="Q49" s="724"/>
      <c r="R49" s="724"/>
      <c r="S49" s="138">
        <v>195.6</v>
      </c>
      <c r="T49" s="724"/>
      <c r="U49" s="724"/>
      <c r="V49" s="724"/>
      <c r="W49" s="86" t="s">
        <v>46</v>
      </c>
      <c r="X49" s="724" t="s">
        <v>47</v>
      </c>
      <c r="Y49" s="151">
        <v>368</v>
      </c>
      <c r="Z49" s="151">
        <v>1656</v>
      </c>
      <c r="AA49" s="92">
        <v>1</v>
      </c>
      <c r="AB49" s="92"/>
      <c r="AC49" s="92"/>
      <c r="AD49" s="86" t="s">
        <v>79</v>
      </c>
      <c r="AE49" s="86" t="s">
        <v>80</v>
      </c>
      <c r="AF49" s="438" t="s">
        <v>43</v>
      </c>
      <c r="AG49" s="92"/>
    </row>
    <row r="50" ht="24.95" customHeight="1" spans="1:33">
      <c r="A50" s="705"/>
      <c r="B50" s="199" t="s">
        <v>91</v>
      </c>
      <c r="C50" s="71" t="s">
        <v>52</v>
      </c>
      <c r="D50" s="71" t="s">
        <v>45</v>
      </c>
      <c r="E50" s="92">
        <v>1</v>
      </c>
      <c r="F50" s="199" t="str">
        <f t="shared" si="7"/>
        <v>墨红镇</v>
      </c>
      <c r="G50" s="92"/>
      <c r="H50" s="86">
        <v>6070.5</v>
      </c>
      <c r="I50" s="86">
        <v>6070.5</v>
      </c>
      <c r="J50" s="724"/>
      <c r="K50" s="724"/>
      <c r="L50" s="825">
        <v>2018.01</v>
      </c>
      <c r="M50" s="724">
        <v>2018.12</v>
      </c>
      <c r="N50" s="724">
        <v>210.488</v>
      </c>
      <c r="O50" s="86">
        <v>210.488</v>
      </c>
      <c r="P50" s="724"/>
      <c r="Q50" s="724"/>
      <c r="R50" s="724"/>
      <c r="S50" s="146">
        <v>210.488</v>
      </c>
      <c r="T50" s="724"/>
      <c r="U50" s="724"/>
      <c r="V50" s="724"/>
      <c r="W50" s="86" t="s">
        <v>46</v>
      </c>
      <c r="X50" s="724" t="s">
        <v>47</v>
      </c>
      <c r="Y50" s="151">
        <v>457</v>
      </c>
      <c r="Z50" s="151">
        <v>1727</v>
      </c>
      <c r="AA50" s="92">
        <v>1</v>
      </c>
      <c r="AB50" s="92"/>
      <c r="AC50" s="92"/>
      <c r="AD50" s="146" t="s">
        <v>82</v>
      </c>
      <c r="AE50" s="146" t="s">
        <v>83</v>
      </c>
      <c r="AF50" s="438" t="s">
        <v>43</v>
      </c>
      <c r="AG50" s="92"/>
    </row>
    <row r="51" ht="24.95" customHeight="1" spans="1:33">
      <c r="A51" s="705"/>
      <c r="B51" s="711" t="s">
        <v>599</v>
      </c>
      <c r="C51" s="146" t="s">
        <v>52</v>
      </c>
      <c r="D51" s="152" t="s">
        <v>45</v>
      </c>
      <c r="E51" s="92">
        <f t="shared" ref="E51:AA51" si="17">SUM(E52:E57)</f>
        <v>4</v>
      </c>
      <c r="F51" s="96"/>
      <c r="G51" s="92"/>
      <c r="H51" s="86">
        <f t="shared" si="17"/>
        <v>1335</v>
      </c>
      <c r="I51" s="86">
        <f t="shared" si="17"/>
        <v>1335</v>
      </c>
      <c r="J51" s="724">
        <f t="shared" si="17"/>
        <v>0</v>
      </c>
      <c r="K51" s="724">
        <f t="shared" si="17"/>
        <v>0</v>
      </c>
      <c r="L51" s="825"/>
      <c r="M51" s="724"/>
      <c r="N51" s="724">
        <f t="shared" si="17"/>
        <v>150.9405</v>
      </c>
      <c r="O51" s="86">
        <f t="shared" si="17"/>
        <v>150.9405</v>
      </c>
      <c r="P51" s="724">
        <f t="shared" si="17"/>
        <v>0</v>
      </c>
      <c r="Q51" s="724">
        <f t="shared" si="17"/>
        <v>0</v>
      </c>
      <c r="R51" s="724">
        <f t="shared" si="17"/>
        <v>0</v>
      </c>
      <c r="S51" s="146">
        <f t="shared" si="17"/>
        <v>100.9405</v>
      </c>
      <c r="T51" s="724">
        <f t="shared" si="17"/>
        <v>0</v>
      </c>
      <c r="U51" s="724">
        <f t="shared" si="17"/>
        <v>50</v>
      </c>
      <c r="V51" s="724">
        <f t="shared" si="17"/>
        <v>0</v>
      </c>
      <c r="W51" s="86" t="s">
        <v>46</v>
      </c>
      <c r="X51" s="724" t="s">
        <v>47</v>
      </c>
      <c r="Y51" s="151">
        <f t="shared" si="17"/>
        <v>1091</v>
      </c>
      <c r="Z51" s="151">
        <f t="shared" si="17"/>
        <v>4035</v>
      </c>
      <c r="AA51" s="92">
        <f t="shared" si="17"/>
        <v>4</v>
      </c>
      <c r="AB51" s="92"/>
      <c r="AC51" s="92"/>
      <c r="AD51" s="141" t="s">
        <v>68</v>
      </c>
      <c r="AE51" s="146" t="s">
        <v>50</v>
      </c>
      <c r="AF51" s="438" t="s">
        <v>43</v>
      </c>
      <c r="AG51" s="92"/>
    </row>
    <row r="52" ht="24.95" customHeight="1" spans="1:33">
      <c r="A52" s="705"/>
      <c r="B52" s="199" t="s">
        <v>51</v>
      </c>
      <c r="C52" s="71" t="s">
        <v>52</v>
      </c>
      <c r="D52" s="71" t="s">
        <v>45</v>
      </c>
      <c r="E52" s="92"/>
      <c r="F52" s="199" t="str">
        <f t="shared" si="7"/>
        <v>胜境街道</v>
      </c>
      <c r="G52" s="92"/>
      <c r="H52" s="86"/>
      <c r="I52" s="86"/>
      <c r="J52" s="724"/>
      <c r="K52" s="724"/>
      <c r="L52" s="825"/>
      <c r="M52" s="724"/>
      <c r="N52" s="724"/>
      <c r="O52" s="86"/>
      <c r="P52" s="724"/>
      <c r="Q52" s="724"/>
      <c r="R52" s="724"/>
      <c r="S52" s="146"/>
      <c r="T52" s="724"/>
      <c r="U52" s="724"/>
      <c r="V52" s="724"/>
      <c r="W52" s="86" t="s">
        <v>46</v>
      </c>
      <c r="X52" s="724" t="s">
        <v>47</v>
      </c>
      <c r="Y52" s="151"/>
      <c r="Z52" s="151"/>
      <c r="AA52" s="92"/>
      <c r="AB52" s="92"/>
      <c r="AC52" s="92"/>
      <c r="AD52" s="146"/>
      <c r="AE52" s="86"/>
      <c r="AF52" s="438"/>
      <c r="AG52" s="92"/>
    </row>
    <row r="53" ht="24.95" customHeight="1" spans="1:33">
      <c r="A53" s="705"/>
      <c r="B53" s="199" t="s">
        <v>100</v>
      </c>
      <c r="C53" s="146" t="s">
        <v>52</v>
      </c>
      <c r="D53" s="152" t="s">
        <v>45</v>
      </c>
      <c r="E53" s="92">
        <v>1</v>
      </c>
      <c r="F53" s="199" t="str">
        <f t="shared" si="7"/>
        <v>黄泥河</v>
      </c>
      <c r="G53" s="92"/>
      <c r="H53" s="86">
        <v>120</v>
      </c>
      <c r="I53" s="86">
        <v>120</v>
      </c>
      <c r="J53" s="724"/>
      <c r="K53" s="724"/>
      <c r="L53" s="825">
        <v>2018.01</v>
      </c>
      <c r="M53" s="724">
        <v>2018.12</v>
      </c>
      <c r="N53" s="724">
        <v>9.06</v>
      </c>
      <c r="O53" s="86">
        <v>9.06</v>
      </c>
      <c r="P53" s="724"/>
      <c r="Q53" s="724"/>
      <c r="R53" s="724"/>
      <c r="S53" s="146">
        <v>9.06</v>
      </c>
      <c r="T53" s="724"/>
      <c r="U53" s="724"/>
      <c r="V53" s="724"/>
      <c r="W53" s="86" t="s">
        <v>46</v>
      </c>
      <c r="X53" s="724" t="s">
        <v>47</v>
      </c>
      <c r="Y53" s="151">
        <v>71</v>
      </c>
      <c r="Z53" s="151">
        <v>282</v>
      </c>
      <c r="AA53" s="92">
        <v>1</v>
      </c>
      <c r="AB53" s="92"/>
      <c r="AC53" s="92"/>
      <c r="AD53" s="146" t="s">
        <v>79</v>
      </c>
      <c r="AE53" s="146" t="s">
        <v>80</v>
      </c>
      <c r="AF53" s="438" t="s">
        <v>43</v>
      </c>
      <c r="AG53" s="92"/>
    </row>
    <row r="54" ht="24.95" customHeight="1" spans="1:33">
      <c r="A54" s="705"/>
      <c r="B54" s="199" t="s">
        <v>91</v>
      </c>
      <c r="C54" s="146" t="s">
        <v>52</v>
      </c>
      <c r="D54" s="152" t="s">
        <v>45</v>
      </c>
      <c r="E54" s="92">
        <v>1</v>
      </c>
      <c r="F54" s="199" t="str">
        <f t="shared" si="7"/>
        <v>墨红镇</v>
      </c>
      <c r="G54" s="92"/>
      <c r="H54" s="86">
        <v>200</v>
      </c>
      <c r="I54" s="86">
        <v>200</v>
      </c>
      <c r="J54" s="724"/>
      <c r="K54" s="724"/>
      <c r="L54" s="825">
        <v>2018.01</v>
      </c>
      <c r="M54" s="724">
        <v>2018.12</v>
      </c>
      <c r="N54" s="724">
        <v>50</v>
      </c>
      <c r="O54" s="86">
        <v>50</v>
      </c>
      <c r="P54" s="724"/>
      <c r="Q54" s="724"/>
      <c r="R54" s="724"/>
      <c r="S54" s="146"/>
      <c r="T54" s="724"/>
      <c r="U54" s="724">
        <v>50</v>
      </c>
      <c r="V54" s="724"/>
      <c r="W54" s="86" t="s">
        <v>46</v>
      </c>
      <c r="X54" s="724" t="s">
        <v>47</v>
      </c>
      <c r="Y54" s="151">
        <v>284</v>
      </c>
      <c r="Z54" s="151">
        <v>1025</v>
      </c>
      <c r="AA54" s="92">
        <v>1</v>
      </c>
      <c r="AB54" s="92"/>
      <c r="AC54" s="92"/>
      <c r="AD54" s="146" t="s">
        <v>82</v>
      </c>
      <c r="AE54" s="146" t="s">
        <v>83</v>
      </c>
      <c r="AF54" s="438" t="s">
        <v>43</v>
      </c>
      <c r="AG54" s="92"/>
    </row>
    <row r="55" ht="24.95" customHeight="1" spans="1:33">
      <c r="A55" s="705"/>
      <c r="B55" s="199" t="s">
        <v>101</v>
      </c>
      <c r="C55" s="146" t="s">
        <v>52</v>
      </c>
      <c r="D55" s="152" t="s">
        <v>45</v>
      </c>
      <c r="E55" s="92">
        <v>1</v>
      </c>
      <c r="F55" s="199" t="str">
        <f t="shared" si="7"/>
        <v>中安</v>
      </c>
      <c r="G55" s="92"/>
      <c r="H55" s="86">
        <v>740</v>
      </c>
      <c r="I55" s="86">
        <v>740</v>
      </c>
      <c r="J55" s="724"/>
      <c r="K55" s="724"/>
      <c r="L55" s="825">
        <v>2018.01</v>
      </c>
      <c r="M55" s="724">
        <v>2018.12</v>
      </c>
      <c r="N55" s="724">
        <v>74</v>
      </c>
      <c r="O55" s="86">
        <v>74</v>
      </c>
      <c r="P55" s="724"/>
      <c r="Q55" s="724"/>
      <c r="R55" s="724"/>
      <c r="S55" s="146">
        <v>74</v>
      </c>
      <c r="T55" s="724"/>
      <c r="U55" s="724"/>
      <c r="V55" s="724"/>
      <c r="W55" s="86" t="s">
        <v>46</v>
      </c>
      <c r="X55" s="724" t="s">
        <v>47</v>
      </c>
      <c r="Y55" s="151">
        <v>367</v>
      </c>
      <c r="Z55" s="151">
        <v>1605</v>
      </c>
      <c r="AA55" s="92">
        <v>1</v>
      </c>
      <c r="AB55" s="92"/>
      <c r="AC55" s="92"/>
      <c r="AD55" s="146" t="s">
        <v>70</v>
      </c>
      <c r="AE55" s="146" t="s">
        <v>71</v>
      </c>
      <c r="AF55" s="438" t="s">
        <v>43</v>
      </c>
      <c r="AG55" s="92"/>
    </row>
    <row r="56" ht="24.95" customHeight="1" spans="1:33">
      <c r="A56" s="705"/>
      <c r="B56" s="199" t="s">
        <v>102</v>
      </c>
      <c r="C56" s="146" t="s">
        <v>52</v>
      </c>
      <c r="D56" s="152" t="s">
        <v>45</v>
      </c>
      <c r="E56" s="92"/>
      <c r="F56" s="199" t="str">
        <f t="shared" si="7"/>
        <v>富村</v>
      </c>
      <c r="G56" s="92"/>
      <c r="H56" s="86"/>
      <c r="I56" s="86"/>
      <c r="J56" s="724"/>
      <c r="K56" s="724"/>
      <c r="L56" s="825"/>
      <c r="M56" s="724"/>
      <c r="N56" s="724"/>
      <c r="O56" s="86"/>
      <c r="P56" s="724"/>
      <c r="Q56" s="724"/>
      <c r="R56" s="724"/>
      <c r="S56" s="146"/>
      <c r="T56" s="724"/>
      <c r="U56" s="724"/>
      <c r="V56" s="724"/>
      <c r="W56" s="86" t="s">
        <v>46</v>
      </c>
      <c r="X56" s="724" t="s">
        <v>47</v>
      </c>
      <c r="Y56" s="151"/>
      <c r="Z56" s="151"/>
      <c r="AA56" s="92"/>
      <c r="AB56" s="92"/>
      <c r="AC56" s="92"/>
      <c r="AD56" s="146"/>
      <c r="AE56" s="146"/>
      <c r="AF56" s="438"/>
      <c r="AG56" s="92"/>
    </row>
    <row r="57" ht="24.95" customHeight="1" spans="1:33">
      <c r="A57" s="705"/>
      <c r="B57" s="199" t="s">
        <v>58</v>
      </c>
      <c r="C57" s="146" t="s">
        <v>52</v>
      </c>
      <c r="D57" s="71" t="s">
        <v>45</v>
      </c>
      <c r="E57" s="92">
        <v>1</v>
      </c>
      <c r="F57" s="199" t="str">
        <f t="shared" si="7"/>
        <v>竹园镇</v>
      </c>
      <c r="G57" s="92"/>
      <c r="H57" s="86">
        <v>275</v>
      </c>
      <c r="I57" s="86">
        <v>275</v>
      </c>
      <c r="J57" s="724"/>
      <c r="K57" s="724"/>
      <c r="L57" s="825">
        <v>2018.01</v>
      </c>
      <c r="M57" s="724">
        <v>2018.12</v>
      </c>
      <c r="N57" s="724">
        <v>17.8805</v>
      </c>
      <c r="O57" s="86">
        <v>17.8805</v>
      </c>
      <c r="P57" s="724"/>
      <c r="Q57" s="724"/>
      <c r="R57" s="724"/>
      <c r="S57" s="146">
        <v>17.8805</v>
      </c>
      <c r="T57" s="724"/>
      <c r="U57" s="724"/>
      <c r="V57" s="724"/>
      <c r="W57" s="86" t="s">
        <v>46</v>
      </c>
      <c r="X57" s="724" t="s">
        <v>47</v>
      </c>
      <c r="Y57" s="151">
        <v>369</v>
      </c>
      <c r="Z57" s="151">
        <v>1123</v>
      </c>
      <c r="AA57" s="92">
        <v>1</v>
      </c>
      <c r="AB57" s="92"/>
      <c r="AC57" s="92"/>
      <c r="AD57" s="744" t="s">
        <v>59</v>
      </c>
      <c r="AE57" s="744" t="s">
        <v>60</v>
      </c>
      <c r="AF57" s="438" t="s">
        <v>43</v>
      </c>
      <c r="AG57" s="92"/>
    </row>
    <row r="58" ht="24.95" customHeight="1" spans="1:33">
      <c r="A58" s="705"/>
      <c r="B58" s="711" t="s">
        <v>600</v>
      </c>
      <c r="C58" s="141" t="s">
        <v>52</v>
      </c>
      <c r="D58" s="141" t="s">
        <v>45</v>
      </c>
      <c r="E58" s="92">
        <f t="shared" ref="E58:AA58" si="18">SUM(E59:E62)</f>
        <v>2</v>
      </c>
      <c r="F58" s="96"/>
      <c r="G58" s="92"/>
      <c r="H58" s="86">
        <f t="shared" si="18"/>
        <v>5333</v>
      </c>
      <c r="I58" s="86">
        <f t="shared" si="18"/>
        <v>5333</v>
      </c>
      <c r="J58" s="724">
        <f t="shared" si="18"/>
        <v>0</v>
      </c>
      <c r="K58" s="724">
        <f t="shared" si="18"/>
        <v>0</v>
      </c>
      <c r="L58" s="825"/>
      <c r="M58" s="724"/>
      <c r="N58" s="724">
        <f t="shared" si="18"/>
        <v>177.8</v>
      </c>
      <c r="O58" s="86">
        <f t="shared" si="18"/>
        <v>177.8</v>
      </c>
      <c r="P58" s="724">
        <f t="shared" si="18"/>
        <v>0</v>
      </c>
      <c r="Q58" s="724">
        <f t="shared" si="18"/>
        <v>0</v>
      </c>
      <c r="R58" s="724">
        <f t="shared" si="18"/>
        <v>0</v>
      </c>
      <c r="S58" s="146">
        <f t="shared" si="18"/>
        <v>177.8</v>
      </c>
      <c r="T58" s="724">
        <f t="shared" si="18"/>
        <v>0</v>
      </c>
      <c r="U58" s="724">
        <f t="shared" si="18"/>
        <v>0</v>
      </c>
      <c r="V58" s="724">
        <f t="shared" si="18"/>
        <v>0</v>
      </c>
      <c r="W58" s="86" t="s">
        <v>46</v>
      </c>
      <c r="X58" s="724" t="s">
        <v>47</v>
      </c>
      <c r="Y58" s="151">
        <f t="shared" si="18"/>
        <v>204</v>
      </c>
      <c r="Z58" s="151">
        <f t="shared" si="18"/>
        <v>917</v>
      </c>
      <c r="AA58" s="92">
        <f t="shared" si="18"/>
        <v>2</v>
      </c>
      <c r="AB58" s="92"/>
      <c r="AC58" s="92"/>
      <c r="AD58" s="141"/>
      <c r="AE58" s="146"/>
      <c r="AF58" s="748" t="s">
        <v>104</v>
      </c>
      <c r="AG58" s="92"/>
    </row>
    <row r="59" ht="24.95" customHeight="1" spans="1:33">
      <c r="A59" s="705"/>
      <c r="B59" s="199" t="s">
        <v>51</v>
      </c>
      <c r="C59" s="141" t="s">
        <v>52</v>
      </c>
      <c r="D59" s="141" t="s">
        <v>45</v>
      </c>
      <c r="E59" s="92"/>
      <c r="F59" s="199" t="str">
        <f t="shared" si="7"/>
        <v>胜境街道</v>
      </c>
      <c r="G59" s="92"/>
      <c r="H59" s="86"/>
      <c r="I59" s="86"/>
      <c r="J59" s="724"/>
      <c r="K59" s="724"/>
      <c r="L59" s="825"/>
      <c r="M59" s="724"/>
      <c r="N59" s="724"/>
      <c r="O59" s="86"/>
      <c r="P59" s="724"/>
      <c r="Q59" s="724"/>
      <c r="R59" s="724"/>
      <c r="S59" s="727"/>
      <c r="T59" s="724"/>
      <c r="U59" s="724"/>
      <c r="V59" s="724"/>
      <c r="W59" s="86" t="s">
        <v>46</v>
      </c>
      <c r="X59" s="724" t="s">
        <v>47</v>
      </c>
      <c r="Y59" s="151"/>
      <c r="Z59" s="151"/>
      <c r="AA59" s="92"/>
      <c r="AB59" s="92"/>
      <c r="AC59" s="92"/>
      <c r="AD59" s="740"/>
      <c r="AE59" s="741"/>
      <c r="AF59" s="748"/>
      <c r="AG59" s="92"/>
    </row>
    <row r="60" ht="24.95" customHeight="1" spans="1:33">
      <c r="A60" s="705"/>
      <c r="B60" s="199" t="s">
        <v>58</v>
      </c>
      <c r="C60" s="146" t="s">
        <v>52</v>
      </c>
      <c r="D60" s="152" t="s">
        <v>45</v>
      </c>
      <c r="E60" s="92">
        <v>1</v>
      </c>
      <c r="F60" s="199" t="str">
        <f t="shared" si="7"/>
        <v>竹园镇</v>
      </c>
      <c r="G60" s="92"/>
      <c r="H60" s="86">
        <v>1943</v>
      </c>
      <c r="I60" s="86">
        <v>1943</v>
      </c>
      <c r="J60" s="724"/>
      <c r="K60" s="724"/>
      <c r="L60" s="825">
        <v>2018.01</v>
      </c>
      <c r="M60" s="724">
        <v>2018.12</v>
      </c>
      <c r="N60" s="724">
        <v>18.47</v>
      </c>
      <c r="O60" s="86">
        <v>18.47</v>
      </c>
      <c r="P60" s="724"/>
      <c r="Q60" s="724"/>
      <c r="R60" s="724"/>
      <c r="S60" s="146">
        <v>18.47</v>
      </c>
      <c r="T60" s="724"/>
      <c r="U60" s="724"/>
      <c r="V60" s="724"/>
      <c r="W60" s="86" t="s">
        <v>46</v>
      </c>
      <c r="X60" s="724" t="s">
        <v>47</v>
      </c>
      <c r="Y60" s="151">
        <v>101</v>
      </c>
      <c r="Z60" s="151">
        <v>449</v>
      </c>
      <c r="AA60" s="92">
        <v>1</v>
      </c>
      <c r="AB60" s="92"/>
      <c r="AC60" s="92"/>
      <c r="AD60" s="146" t="s">
        <v>59</v>
      </c>
      <c r="AE60" s="146" t="s">
        <v>60</v>
      </c>
      <c r="AF60" s="748" t="s">
        <v>104</v>
      </c>
      <c r="AG60" s="92"/>
    </row>
    <row r="61" ht="24.95" customHeight="1" spans="1:33">
      <c r="A61" s="705"/>
      <c r="B61" s="199" t="s">
        <v>92</v>
      </c>
      <c r="C61" s="146" t="s">
        <v>52</v>
      </c>
      <c r="D61" s="152" t="s">
        <v>45</v>
      </c>
      <c r="E61" s="92"/>
      <c r="F61" s="199" t="str">
        <f t="shared" si="7"/>
        <v>老厂镇</v>
      </c>
      <c r="G61" s="92"/>
      <c r="H61" s="86"/>
      <c r="I61" s="86"/>
      <c r="J61" s="724"/>
      <c r="K61" s="724"/>
      <c r="L61" s="825"/>
      <c r="M61" s="724"/>
      <c r="N61" s="724"/>
      <c r="O61" s="86"/>
      <c r="P61" s="724"/>
      <c r="Q61" s="724"/>
      <c r="R61" s="724"/>
      <c r="S61" s="146"/>
      <c r="T61" s="724"/>
      <c r="U61" s="724"/>
      <c r="V61" s="724"/>
      <c r="W61" s="86" t="s">
        <v>46</v>
      </c>
      <c r="X61" s="724" t="s">
        <v>47</v>
      </c>
      <c r="Y61" s="151"/>
      <c r="Z61" s="151"/>
      <c r="AA61" s="92"/>
      <c r="AB61" s="92"/>
      <c r="AC61" s="92"/>
      <c r="AD61" s="146"/>
      <c r="AE61" s="146"/>
      <c r="AF61" s="748"/>
      <c r="AG61" s="92"/>
    </row>
    <row r="62" ht="24.95" customHeight="1" spans="1:33">
      <c r="A62" s="705"/>
      <c r="B62" s="199" t="s">
        <v>64</v>
      </c>
      <c r="C62" s="146" t="s">
        <v>52</v>
      </c>
      <c r="D62" s="152" t="s">
        <v>45</v>
      </c>
      <c r="E62" s="92">
        <v>1</v>
      </c>
      <c r="F62" s="199" t="str">
        <f t="shared" si="7"/>
        <v>十八连山镇</v>
      </c>
      <c r="G62" s="92"/>
      <c r="H62" s="86">
        <v>3390</v>
      </c>
      <c r="I62" s="86">
        <v>3390</v>
      </c>
      <c r="J62" s="724"/>
      <c r="K62" s="724"/>
      <c r="L62" s="825">
        <v>2018.01</v>
      </c>
      <c r="M62" s="724">
        <v>2018.12</v>
      </c>
      <c r="N62" s="724">
        <v>159.33</v>
      </c>
      <c r="O62" s="86">
        <v>159.33</v>
      </c>
      <c r="P62" s="724"/>
      <c r="Q62" s="724"/>
      <c r="R62" s="724"/>
      <c r="S62" s="146">
        <v>159.33</v>
      </c>
      <c r="T62" s="724"/>
      <c r="U62" s="724"/>
      <c r="V62" s="724"/>
      <c r="W62" s="86" t="s">
        <v>46</v>
      </c>
      <c r="X62" s="724" t="s">
        <v>47</v>
      </c>
      <c r="Y62" s="151">
        <v>103</v>
      </c>
      <c r="Z62" s="151">
        <v>468</v>
      </c>
      <c r="AA62" s="92">
        <v>1</v>
      </c>
      <c r="AB62" s="92"/>
      <c r="AC62" s="92"/>
      <c r="AD62" s="146" t="s">
        <v>106</v>
      </c>
      <c r="AE62" s="146" t="s">
        <v>107</v>
      </c>
      <c r="AF62" s="748" t="s">
        <v>104</v>
      </c>
      <c r="AG62" s="92"/>
    </row>
    <row r="63" ht="24.95" customHeight="1" spans="1:33">
      <c r="A63" s="705"/>
      <c r="B63" s="711" t="s">
        <v>601</v>
      </c>
      <c r="C63" s="141" t="s">
        <v>52</v>
      </c>
      <c r="D63" s="141" t="s">
        <v>45</v>
      </c>
      <c r="E63" s="92">
        <f t="shared" ref="E63:AA63" si="19">SUM(E64:E67)</f>
        <v>2</v>
      </c>
      <c r="F63" s="96"/>
      <c r="G63" s="92"/>
      <c r="H63" s="86">
        <f t="shared" si="19"/>
        <v>2302</v>
      </c>
      <c r="I63" s="86">
        <f t="shared" si="19"/>
        <v>2302</v>
      </c>
      <c r="J63" s="724">
        <f t="shared" si="19"/>
        <v>0</v>
      </c>
      <c r="K63" s="724">
        <f t="shared" si="19"/>
        <v>0</v>
      </c>
      <c r="L63" s="825"/>
      <c r="M63" s="724"/>
      <c r="N63" s="724">
        <f t="shared" si="19"/>
        <v>180.955</v>
      </c>
      <c r="O63" s="86">
        <f t="shared" si="19"/>
        <v>180.955</v>
      </c>
      <c r="P63" s="724">
        <f t="shared" si="19"/>
        <v>0</v>
      </c>
      <c r="Q63" s="724">
        <f t="shared" si="19"/>
        <v>0</v>
      </c>
      <c r="R63" s="724">
        <f t="shared" si="19"/>
        <v>0</v>
      </c>
      <c r="S63" s="146">
        <f t="shared" si="19"/>
        <v>180.955</v>
      </c>
      <c r="T63" s="724">
        <f t="shared" si="19"/>
        <v>0</v>
      </c>
      <c r="U63" s="724">
        <f t="shared" si="19"/>
        <v>0</v>
      </c>
      <c r="V63" s="724">
        <f t="shared" si="19"/>
        <v>0</v>
      </c>
      <c r="W63" s="86" t="s">
        <v>46</v>
      </c>
      <c r="X63" s="724" t="s">
        <v>47</v>
      </c>
      <c r="Y63" s="151">
        <f t="shared" si="19"/>
        <v>371</v>
      </c>
      <c r="Z63" s="151">
        <f t="shared" si="19"/>
        <v>1356</v>
      </c>
      <c r="AA63" s="92">
        <f t="shared" si="19"/>
        <v>2</v>
      </c>
      <c r="AB63" s="92"/>
      <c r="AC63" s="92"/>
      <c r="AD63" s="141" t="s">
        <v>68</v>
      </c>
      <c r="AE63" s="146" t="s">
        <v>50</v>
      </c>
      <c r="AF63" s="438" t="s">
        <v>43</v>
      </c>
      <c r="AG63" s="92"/>
    </row>
    <row r="64" ht="24.95" customHeight="1" spans="1:33">
      <c r="A64" s="705"/>
      <c r="B64" s="199" t="s">
        <v>51</v>
      </c>
      <c r="C64" s="141" t="s">
        <v>52</v>
      </c>
      <c r="D64" s="141" t="s">
        <v>45</v>
      </c>
      <c r="E64" s="92"/>
      <c r="F64" s="199" t="str">
        <f t="shared" si="7"/>
        <v>胜境街道</v>
      </c>
      <c r="G64" s="92"/>
      <c r="H64" s="86"/>
      <c r="I64" s="86"/>
      <c r="J64" s="724"/>
      <c r="K64" s="724"/>
      <c r="L64" s="825"/>
      <c r="M64" s="724"/>
      <c r="N64" s="724"/>
      <c r="O64" s="86"/>
      <c r="P64" s="724"/>
      <c r="Q64" s="724"/>
      <c r="R64" s="724"/>
      <c r="S64" s="146"/>
      <c r="T64" s="724"/>
      <c r="U64" s="724"/>
      <c r="V64" s="724"/>
      <c r="W64" s="86" t="s">
        <v>46</v>
      </c>
      <c r="X64" s="724" t="s">
        <v>47</v>
      </c>
      <c r="Y64" s="151"/>
      <c r="Z64" s="151"/>
      <c r="AA64" s="92"/>
      <c r="AB64" s="92"/>
      <c r="AC64" s="92"/>
      <c r="AD64" s="743"/>
      <c r="AE64" s="146"/>
      <c r="AF64" s="438"/>
      <c r="AG64" s="92"/>
    </row>
    <row r="65" ht="24.95" customHeight="1" spans="1:33">
      <c r="A65" s="705"/>
      <c r="B65" s="199" t="s">
        <v>91</v>
      </c>
      <c r="C65" s="141" t="s">
        <v>52</v>
      </c>
      <c r="D65" s="141" t="s">
        <v>45</v>
      </c>
      <c r="E65" s="92">
        <v>1</v>
      </c>
      <c r="F65" s="199" t="str">
        <f t="shared" si="7"/>
        <v>墨红镇</v>
      </c>
      <c r="G65" s="92"/>
      <c r="H65" s="86">
        <v>1870</v>
      </c>
      <c r="I65" s="86">
        <v>1870</v>
      </c>
      <c r="J65" s="724"/>
      <c r="K65" s="724"/>
      <c r="L65" s="825">
        <v>2018.01</v>
      </c>
      <c r="M65" s="724">
        <v>2018.12</v>
      </c>
      <c r="N65" s="724">
        <v>62.955</v>
      </c>
      <c r="O65" s="86">
        <v>62.955</v>
      </c>
      <c r="P65" s="724"/>
      <c r="Q65" s="724"/>
      <c r="R65" s="724"/>
      <c r="S65" s="146">
        <v>62.955</v>
      </c>
      <c r="T65" s="724"/>
      <c r="U65" s="724"/>
      <c r="V65" s="724"/>
      <c r="W65" s="86" t="s">
        <v>46</v>
      </c>
      <c r="X65" s="724" t="s">
        <v>47</v>
      </c>
      <c r="Y65" s="151">
        <v>237</v>
      </c>
      <c r="Z65" s="151">
        <v>864</v>
      </c>
      <c r="AA65" s="92">
        <v>1</v>
      </c>
      <c r="AB65" s="92"/>
      <c r="AC65" s="92"/>
      <c r="AD65" s="146" t="s">
        <v>82</v>
      </c>
      <c r="AE65" s="146" t="s">
        <v>83</v>
      </c>
      <c r="AF65" s="438" t="s">
        <v>43</v>
      </c>
      <c r="AG65" s="92"/>
    </row>
    <row r="66" ht="24.95" customHeight="1" spans="1:33">
      <c r="A66" s="705"/>
      <c r="B66" s="199" t="s">
        <v>102</v>
      </c>
      <c r="C66" s="141" t="s">
        <v>52</v>
      </c>
      <c r="D66" s="141" t="s">
        <v>45</v>
      </c>
      <c r="E66" s="92"/>
      <c r="F66" s="199" t="str">
        <f t="shared" si="7"/>
        <v>富村</v>
      </c>
      <c r="G66" s="92"/>
      <c r="H66" s="86"/>
      <c r="I66" s="86"/>
      <c r="J66" s="724"/>
      <c r="K66" s="724"/>
      <c r="L66" s="825"/>
      <c r="M66" s="724"/>
      <c r="N66" s="724"/>
      <c r="O66" s="86"/>
      <c r="P66" s="724"/>
      <c r="Q66" s="724"/>
      <c r="R66" s="724"/>
      <c r="S66" s="146"/>
      <c r="T66" s="724"/>
      <c r="U66" s="724"/>
      <c r="V66" s="724"/>
      <c r="W66" s="86" t="s">
        <v>46</v>
      </c>
      <c r="X66" s="724" t="s">
        <v>47</v>
      </c>
      <c r="Y66" s="151"/>
      <c r="Z66" s="151"/>
      <c r="AA66" s="92"/>
      <c r="AB66" s="92"/>
      <c r="AC66" s="92"/>
      <c r="AD66" s="146"/>
      <c r="AE66" s="146"/>
      <c r="AF66" s="438"/>
      <c r="AG66" s="92"/>
    </row>
    <row r="67" ht="24.95" customHeight="1" spans="1:33">
      <c r="A67" s="705"/>
      <c r="B67" s="199" t="s">
        <v>100</v>
      </c>
      <c r="C67" s="141" t="s">
        <v>52</v>
      </c>
      <c r="D67" s="141" t="s">
        <v>45</v>
      </c>
      <c r="E67" s="92">
        <v>1</v>
      </c>
      <c r="F67" s="199" t="str">
        <f t="shared" si="7"/>
        <v>黄泥河</v>
      </c>
      <c r="G67" s="92"/>
      <c r="H67" s="86">
        <v>432</v>
      </c>
      <c r="I67" s="86">
        <v>432</v>
      </c>
      <c r="J67" s="724"/>
      <c r="K67" s="724"/>
      <c r="L67" s="825">
        <v>2018.01</v>
      </c>
      <c r="M67" s="724">
        <v>2018.12</v>
      </c>
      <c r="N67" s="724">
        <v>118</v>
      </c>
      <c r="O67" s="86">
        <v>118</v>
      </c>
      <c r="P67" s="724"/>
      <c r="Q67" s="724"/>
      <c r="R67" s="724"/>
      <c r="S67" s="146">
        <v>118</v>
      </c>
      <c r="T67" s="724"/>
      <c r="U67" s="724"/>
      <c r="V67" s="724"/>
      <c r="W67" s="86" t="s">
        <v>46</v>
      </c>
      <c r="X67" s="724" t="s">
        <v>47</v>
      </c>
      <c r="Y67" s="151">
        <v>134</v>
      </c>
      <c r="Z67" s="151">
        <v>492</v>
      </c>
      <c r="AA67" s="92">
        <v>1</v>
      </c>
      <c r="AB67" s="92"/>
      <c r="AC67" s="92"/>
      <c r="AD67" s="146" t="s">
        <v>79</v>
      </c>
      <c r="AE67" s="146" t="s">
        <v>80</v>
      </c>
      <c r="AF67" s="438" t="s">
        <v>43</v>
      </c>
      <c r="AG67" s="92"/>
    </row>
    <row r="68" ht="24.95" customHeight="1" spans="1:33">
      <c r="A68" s="705"/>
      <c r="B68" s="711" t="s">
        <v>602</v>
      </c>
      <c r="C68" s="141" t="s">
        <v>52</v>
      </c>
      <c r="D68" s="141" t="s">
        <v>45</v>
      </c>
      <c r="E68" s="92">
        <f t="shared" ref="E68:AA68" si="20">SUM(E69:E77)</f>
        <v>9</v>
      </c>
      <c r="F68" s="96"/>
      <c r="G68" s="92"/>
      <c r="H68" s="86">
        <f t="shared" si="20"/>
        <v>5406</v>
      </c>
      <c r="I68" s="86">
        <f t="shared" si="20"/>
        <v>5406</v>
      </c>
      <c r="J68" s="724">
        <f t="shared" si="20"/>
        <v>0</v>
      </c>
      <c r="K68" s="724">
        <f t="shared" si="20"/>
        <v>0</v>
      </c>
      <c r="L68" s="825"/>
      <c r="M68" s="724"/>
      <c r="N68" s="724">
        <f t="shared" si="20"/>
        <v>1431.039539</v>
      </c>
      <c r="O68" s="86">
        <f t="shared" si="20"/>
        <v>1431.039539</v>
      </c>
      <c r="P68" s="724">
        <f t="shared" si="20"/>
        <v>0</v>
      </c>
      <c r="Q68" s="724">
        <f t="shared" si="20"/>
        <v>0</v>
      </c>
      <c r="R68" s="724">
        <f t="shared" si="20"/>
        <v>0</v>
      </c>
      <c r="S68" s="146">
        <f t="shared" si="20"/>
        <v>1431.039539</v>
      </c>
      <c r="T68" s="724">
        <f t="shared" si="20"/>
        <v>0</v>
      </c>
      <c r="U68" s="724">
        <f t="shared" si="20"/>
        <v>0</v>
      </c>
      <c r="V68" s="724">
        <f t="shared" si="20"/>
        <v>0</v>
      </c>
      <c r="W68" s="86" t="s">
        <v>46</v>
      </c>
      <c r="X68" s="724" t="s">
        <v>47</v>
      </c>
      <c r="Y68" s="151">
        <f t="shared" si="20"/>
        <v>6594</v>
      </c>
      <c r="Z68" s="151">
        <f t="shared" si="20"/>
        <v>26314</v>
      </c>
      <c r="AA68" s="92">
        <f t="shared" si="20"/>
        <v>9</v>
      </c>
      <c r="AB68" s="92"/>
      <c r="AC68" s="92"/>
      <c r="AD68" s="141" t="s">
        <v>68</v>
      </c>
      <c r="AE68" s="146" t="s">
        <v>50</v>
      </c>
      <c r="AF68" s="438" t="s">
        <v>43</v>
      </c>
      <c r="AG68" s="92"/>
    </row>
    <row r="69" ht="24.95" customHeight="1" spans="1:33">
      <c r="A69" s="705"/>
      <c r="B69" s="199" t="s">
        <v>69</v>
      </c>
      <c r="C69" s="141" t="s">
        <v>52</v>
      </c>
      <c r="D69" s="141" t="s">
        <v>45</v>
      </c>
      <c r="E69" s="92">
        <v>1</v>
      </c>
      <c r="F69" s="199" t="str">
        <f t="shared" si="7"/>
        <v>中安街道</v>
      </c>
      <c r="G69" s="92"/>
      <c r="H69" s="86">
        <v>456</v>
      </c>
      <c r="I69" s="86">
        <v>456</v>
      </c>
      <c r="J69" s="724"/>
      <c r="K69" s="724"/>
      <c r="L69" s="825">
        <v>2018.01</v>
      </c>
      <c r="M69" s="724">
        <v>2018.12</v>
      </c>
      <c r="N69" s="724">
        <v>36.48</v>
      </c>
      <c r="O69" s="86">
        <v>36.48</v>
      </c>
      <c r="P69" s="724"/>
      <c r="Q69" s="724"/>
      <c r="R69" s="724"/>
      <c r="S69" s="146">
        <v>36.48</v>
      </c>
      <c r="T69" s="724"/>
      <c r="U69" s="724"/>
      <c r="V69" s="724"/>
      <c r="W69" s="86" t="s">
        <v>46</v>
      </c>
      <c r="X69" s="724" t="s">
        <v>47</v>
      </c>
      <c r="Y69" s="151">
        <v>456</v>
      </c>
      <c r="Z69" s="151">
        <v>1892</v>
      </c>
      <c r="AA69" s="92">
        <v>1</v>
      </c>
      <c r="AB69" s="92"/>
      <c r="AC69" s="92"/>
      <c r="AD69" s="146" t="s">
        <v>70</v>
      </c>
      <c r="AE69" s="146" t="s">
        <v>71</v>
      </c>
      <c r="AF69" s="438" t="s">
        <v>43</v>
      </c>
      <c r="AG69" s="92"/>
    </row>
    <row r="70" ht="24.95" customHeight="1" spans="1:33">
      <c r="A70" s="705"/>
      <c r="B70" s="199" t="s">
        <v>51</v>
      </c>
      <c r="C70" s="146" t="s">
        <v>52</v>
      </c>
      <c r="D70" s="152" t="s">
        <v>45</v>
      </c>
      <c r="E70" s="92">
        <v>1</v>
      </c>
      <c r="F70" s="199" t="str">
        <f t="shared" si="7"/>
        <v>胜境街道</v>
      </c>
      <c r="G70" s="92"/>
      <c r="H70" s="86">
        <v>765</v>
      </c>
      <c r="I70" s="86">
        <v>765</v>
      </c>
      <c r="J70" s="724"/>
      <c r="K70" s="724"/>
      <c r="L70" s="825">
        <v>2018.01</v>
      </c>
      <c r="M70" s="724">
        <v>2018.12</v>
      </c>
      <c r="N70" s="724">
        <v>193.24</v>
      </c>
      <c r="O70" s="86">
        <v>193.24</v>
      </c>
      <c r="P70" s="724"/>
      <c r="Q70" s="724"/>
      <c r="R70" s="724"/>
      <c r="S70" s="146">
        <v>193.24</v>
      </c>
      <c r="T70" s="724"/>
      <c r="U70" s="724"/>
      <c r="V70" s="724"/>
      <c r="W70" s="86" t="s">
        <v>46</v>
      </c>
      <c r="X70" s="724" t="s">
        <v>47</v>
      </c>
      <c r="Y70" s="151">
        <v>1760</v>
      </c>
      <c r="Z70" s="151">
        <v>7269</v>
      </c>
      <c r="AA70" s="92">
        <v>1</v>
      </c>
      <c r="AB70" s="92"/>
      <c r="AC70" s="92"/>
      <c r="AD70" s="743" t="s">
        <v>53</v>
      </c>
      <c r="AE70" s="146" t="s">
        <v>54</v>
      </c>
      <c r="AF70" s="438" t="s">
        <v>43</v>
      </c>
      <c r="AG70" s="92"/>
    </row>
    <row r="71" ht="24.95" customHeight="1" spans="1:33">
      <c r="A71" s="705"/>
      <c r="B71" s="199" t="s">
        <v>72</v>
      </c>
      <c r="C71" s="146" t="s">
        <v>52</v>
      </c>
      <c r="D71" s="152" t="s">
        <v>45</v>
      </c>
      <c r="E71" s="92">
        <v>1</v>
      </c>
      <c r="F71" s="199" t="str">
        <f t="shared" si="7"/>
        <v>后所镇</v>
      </c>
      <c r="G71" s="92"/>
      <c r="H71" s="86">
        <v>551</v>
      </c>
      <c r="I71" s="86">
        <v>551</v>
      </c>
      <c r="J71" s="724"/>
      <c r="K71" s="724"/>
      <c r="L71" s="825">
        <v>2018.01</v>
      </c>
      <c r="M71" s="724">
        <v>2018.12</v>
      </c>
      <c r="N71" s="724">
        <v>142.98</v>
      </c>
      <c r="O71" s="86">
        <v>142.98</v>
      </c>
      <c r="P71" s="724"/>
      <c r="Q71" s="724"/>
      <c r="R71" s="724"/>
      <c r="S71" s="146">
        <v>142.98</v>
      </c>
      <c r="T71" s="724"/>
      <c r="U71" s="724"/>
      <c r="V71" s="724"/>
      <c r="W71" s="86" t="s">
        <v>46</v>
      </c>
      <c r="X71" s="724" t="s">
        <v>47</v>
      </c>
      <c r="Y71" s="151">
        <v>551</v>
      </c>
      <c r="Z71" s="151">
        <v>2192</v>
      </c>
      <c r="AA71" s="92">
        <v>1</v>
      </c>
      <c r="AB71" s="92"/>
      <c r="AC71" s="92"/>
      <c r="AD71" s="146" t="s">
        <v>73</v>
      </c>
      <c r="AE71" s="438" t="s">
        <v>74</v>
      </c>
      <c r="AF71" s="438" t="s">
        <v>43</v>
      </c>
      <c r="AG71" s="92"/>
    </row>
    <row r="72" ht="24.95" customHeight="1" spans="1:33">
      <c r="A72" s="705"/>
      <c r="B72" s="199" t="s">
        <v>91</v>
      </c>
      <c r="C72" s="146" t="s">
        <v>52</v>
      </c>
      <c r="D72" s="152" t="s">
        <v>45</v>
      </c>
      <c r="E72" s="92">
        <v>1</v>
      </c>
      <c r="F72" s="199" t="str">
        <f t="shared" si="7"/>
        <v>墨红镇</v>
      </c>
      <c r="G72" s="92"/>
      <c r="H72" s="86">
        <v>279</v>
      </c>
      <c r="I72" s="86">
        <v>279</v>
      </c>
      <c r="J72" s="724"/>
      <c r="K72" s="724"/>
      <c r="L72" s="825">
        <v>2018.01</v>
      </c>
      <c r="M72" s="724">
        <v>2018.12</v>
      </c>
      <c r="N72" s="724">
        <v>83.7</v>
      </c>
      <c r="O72" s="86">
        <v>83.7</v>
      </c>
      <c r="P72" s="724"/>
      <c r="Q72" s="724"/>
      <c r="R72" s="724"/>
      <c r="S72" s="146">
        <v>83.7</v>
      </c>
      <c r="T72" s="724"/>
      <c r="U72" s="724"/>
      <c r="V72" s="724"/>
      <c r="W72" s="86" t="s">
        <v>46</v>
      </c>
      <c r="X72" s="724" t="s">
        <v>47</v>
      </c>
      <c r="Y72" s="151">
        <v>279</v>
      </c>
      <c r="Z72" s="151">
        <v>1019</v>
      </c>
      <c r="AA72" s="92">
        <v>1</v>
      </c>
      <c r="AB72" s="92"/>
      <c r="AC72" s="92"/>
      <c r="AD72" s="146" t="s">
        <v>82</v>
      </c>
      <c r="AE72" s="146" t="s">
        <v>83</v>
      </c>
      <c r="AF72" s="438" t="s">
        <v>43</v>
      </c>
      <c r="AG72" s="92"/>
    </row>
    <row r="73" ht="24.95" customHeight="1" spans="1:33">
      <c r="A73" s="705"/>
      <c r="B73" s="199" t="s">
        <v>98</v>
      </c>
      <c r="C73" s="146" t="s">
        <v>52</v>
      </c>
      <c r="D73" s="152" t="s">
        <v>45</v>
      </c>
      <c r="E73" s="92">
        <v>1</v>
      </c>
      <c r="F73" s="199" t="str">
        <f t="shared" si="7"/>
        <v>大河</v>
      </c>
      <c r="G73" s="92"/>
      <c r="H73" s="86">
        <v>405</v>
      </c>
      <c r="I73" s="86">
        <v>405</v>
      </c>
      <c r="J73" s="724"/>
      <c r="K73" s="724"/>
      <c r="L73" s="825">
        <v>2018.01</v>
      </c>
      <c r="M73" s="724">
        <v>2018.12</v>
      </c>
      <c r="N73" s="724">
        <v>82.295</v>
      </c>
      <c r="O73" s="86">
        <v>82.295</v>
      </c>
      <c r="P73" s="724"/>
      <c r="Q73" s="724"/>
      <c r="R73" s="724"/>
      <c r="S73" s="146">
        <v>82.295</v>
      </c>
      <c r="T73" s="724"/>
      <c r="U73" s="724"/>
      <c r="V73" s="724"/>
      <c r="W73" s="86" t="s">
        <v>46</v>
      </c>
      <c r="X73" s="724" t="s">
        <v>47</v>
      </c>
      <c r="Y73" s="151">
        <v>443</v>
      </c>
      <c r="Z73" s="151">
        <v>1872</v>
      </c>
      <c r="AA73" s="92">
        <v>1</v>
      </c>
      <c r="AB73" s="92"/>
      <c r="AC73" s="92"/>
      <c r="AD73" s="141" t="s">
        <v>56</v>
      </c>
      <c r="AE73" s="146" t="s">
        <v>57</v>
      </c>
      <c r="AF73" s="438" t="s">
        <v>43</v>
      </c>
      <c r="AG73" s="92"/>
    </row>
    <row r="74" ht="24.95" customHeight="1" spans="1:33">
      <c r="A74" s="705"/>
      <c r="B74" s="199" t="s">
        <v>75</v>
      </c>
      <c r="C74" s="141" t="s">
        <v>52</v>
      </c>
      <c r="D74" s="141" t="s">
        <v>45</v>
      </c>
      <c r="E74" s="92">
        <v>1</v>
      </c>
      <c r="F74" s="199" t="str">
        <f t="shared" si="7"/>
        <v>营上镇</v>
      </c>
      <c r="G74" s="92"/>
      <c r="H74" s="86">
        <v>750</v>
      </c>
      <c r="I74" s="86">
        <v>750</v>
      </c>
      <c r="J74" s="724"/>
      <c r="K74" s="724"/>
      <c r="L74" s="825">
        <v>2018.01</v>
      </c>
      <c r="M74" s="724">
        <v>2018.12</v>
      </c>
      <c r="N74" s="724">
        <v>97.5</v>
      </c>
      <c r="O74" s="86">
        <v>97.5</v>
      </c>
      <c r="P74" s="724"/>
      <c r="Q74" s="724"/>
      <c r="R74" s="724"/>
      <c r="S74" s="146">
        <v>97.5</v>
      </c>
      <c r="T74" s="724"/>
      <c r="U74" s="724"/>
      <c r="V74" s="724"/>
      <c r="W74" s="86" t="s">
        <v>46</v>
      </c>
      <c r="X74" s="724" t="s">
        <v>47</v>
      </c>
      <c r="Y74" s="151">
        <v>1017</v>
      </c>
      <c r="Z74" s="151">
        <v>4248</v>
      </c>
      <c r="AA74" s="92">
        <v>1</v>
      </c>
      <c r="AB74" s="92"/>
      <c r="AC74" s="92"/>
      <c r="AD74" s="146" t="s">
        <v>76</v>
      </c>
      <c r="AE74" s="146" t="s">
        <v>77</v>
      </c>
      <c r="AF74" s="438" t="s">
        <v>43</v>
      </c>
      <c r="AG74" s="92"/>
    </row>
    <row r="75" ht="24.95" customHeight="1" spans="1:33">
      <c r="A75" s="705"/>
      <c r="B75" s="199" t="s">
        <v>61</v>
      </c>
      <c r="C75" s="141" t="s">
        <v>52</v>
      </c>
      <c r="D75" s="141" t="s">
        <v>45</v>
      </c>
      <c r="E75" s="92">
        <v>1</v>
      </c>
      <c r="F75" s="199" t="str">
        <f t="shared" si="7"/>
        <v>富村镇</v>
      </c>
      <c r="G75" s="92"/>
      <c r="H75" s="86">
        <v>1050</v>
      </c>
      <c r="I75" s="86">
        <v>1050</v>
      </c>
      <c r="J75" s="724"/>
      <c r="K75" s="724"/>
      <c r="L75" s="825">
        <v>2018.01</v>
      </c>
      <c r="M75" s="724">
        <v>2018.12</v>
      </c>
      <c r="N75" s="724">
        <v>619.524539</v>
      </c>
      <c r="O75" s="86">
        <v>619.524539</v>
      </c>
      <c r="P75" s="724"/>
      <c r="Q75" s="724"/>
      <c r="R75" s="724"/>
      <c r="S75" s="146">
        <v>619.524539</v>
      </c>
      <c r="T75" s="724"/>
      <c r="U75" s="724"/>
      <c r="V75" s="724"/>
      <c r="W75" s="86" t="s">
        <v>46</v>
      </c>
      <c r="X75" s="724" t="s">
        <v>47</v>
      </c>
      <c r="Y75" s="151">
        <v>936</v>
      </c>
      <c r="Z75" s="151">
        <v>3280</v>
      </c>
      <c r="AA75" s="92">
        <v>1</v>
      </c>
      <c r="AB75" s="92"/>
      <c r="AC75" s="92"/>
      <c r="AD75" s="146" t="s">
        <v>62</v>
      </c>
      <c r="AE75" s="146" t="s">
        <v>63</v>
      </c>
      <c r="AF75" s="438" t="s">
        <v>43</v>
      </c>
      <c r="AG75" s="92"/>
    </row>
    <row r="76" ht="24.95" customHeight="1" spans="1:33">
      <c r="A76" s="705"/>
      <c r="B76" s="199" t="s">
        <v>78</v>
      </c>
      <c r="C76" s="146" t="s">
        <v>52</v>
      </c>
      <c r="D76" s="152" t="s">
        <v>45</v>
      </c>
      <c r="E76" s="92">
        <v>1</v>
      </c>
      <c r="F76" s="199" t="str">
        <f t="shared" ref="F76:F139" si="21">B76</f>
        <v>黄泥河镇</v>
      </c>
      <c r="G76" s="92"/>
      <c r="H76" s="86">
        <v>500</v>
      </c>
      <c r="I76" s="86">
        <v>500</v>
      </c>
      <c r="J76" s="724"/>
      <c r="K76" s="724"/>
      <c r="L76" s="825">
        <v>2018.01</v>
      </c>
      <c r="M76" s="724">
        <v>2018.12</v>
      </c>
      <c r="N76" s="724">
        <v>106.42</v>
      </c>
      <c r="O76" s="86">
        <v>106.42</v>
      </c>
      <c r="P76" s="724"/>
      <c r="Q76" s="724"/>
      <c r="R76" s="724"/>
      <c r="S76" s="146">
        <v>106.42</v>
      </c>
      <c r="T76" s="724"/>
      <c r="U76" s="724"/>
      <c r="V76" s="724"/>
      <c r="W76" s="86" t="s">
        <v>46</v>
      </c>
      <c r="X76" s="724" t="s">
        <v>47</v>
      </c>
      <c r="Y76" s="151">
        <v>552</v>
      </c>
      <c r="Z76" s="151">
        <v>2222</v>
      </c>
      <c r="AA76" s="92">
        <v>1</v>
      </c>
      <c r="AB76" s="92"/>
      <c r="AC76" s="92"/>
      <c r="AD76" s="146" t="s">
        <v>79</v>
      </c>
      <c r="AE76" s="146" t="s">
        <v>80</v>
      </c>
      <c r="AF76" s="438" t="s">
        <v>43</v>
      </c>
      <c r="AG76" s="92"/>
    </row>
    <row r="77" ht="24.95" customHeight="1" spans="1:33">
      <c r="A77" s="705"/>
      <c r="B77" s="199" t="s">
        <v>84</v>
      </c>
      <c r="C77" s="146" t="s">
        <v>52</v>
      </c>
      <c r="D77" s="152" t="s">
        <v>45</v>
      </c>
      <c r="E77" s="92">
        <v>1</v>
      </c>
      <c r="F77" s="199" t="str">
        <f t="shared" si="21"/>
        <v>十八连山</v>
      </c>
      <c r="G77" s="92"/>
      <c r="H77" s="86">
        <v>650</v>
      </c>
      <c r="I77" s="86">
        <v>650</v>
      </c>
      <c r="J77" s="724"/>
      <c r="K77" s="724"/>
      <c r="L77" s="825">
        <v>2018.01</v>
      </c>
      <c r="M77" s="724">
        <v>2018.12</v>
      </c>
      <c r="N77" s="724">
        <v>68.9</v>
      </c>
      <c r="O77" s="86">
        <v>68.9</v>
      </c>
      <c r="P77" s="724"/>
      <c r="Q77" s="724"/>
      <c r="R77" s="724"/>
      <c r="S77" s="146">
        <v>68.9</v>
      </c>
      <c r="T77" s="724"/>
      <c r="U77" s="724"/>
      <c r="V77" s="724"/>
      <c r="W77" s="86" t="s">
        <v>46</v>
      </c>
      <c r="X77" s="724" t="s">
        <v>47</v>
      </c>
      <c r="Y77" s="151">
        <v>600</v>
      </c>
      <c r="Z77" s="151">
        <v>2320</v>
      </c>
      <c r="AA77" s="92">
        <v>1</v>
      </c>
      <c r="AB77" s="92"/>
      <c r="AC77" s="92"/>
      <c r="AD77" s="146" t="s">
        <v>65</v>
      </c>
      <c r="AE77" s="146" t="s">
        <v>85</v>
      </c>
      <c r="AF77" s="438" t="s">
        <v>43</v>
      </c>
      <c r="AG77" s="92"/>
    </row>
    <row r="78" ht="24.95" customHeight="1" spans="1:33">
      <c r="A78" s="705"/>
      <c r="B78" s="711" t="s">
        <v>603</v>
      </c>
      <c r="C78" s="71" t="s">
        <v>52</v>
      </c>
      <c r="D78" s="152"/>
      <c r="E78" s="92">
        <v>1</v>
      </c>
      <c r="F78" s="96"/>
      <c r="G78" s="92"/>
      <c r="H78" s="86">
        <v>4300</v>
      </c>
      <c r="I78" s="86">
        <v>4300</v>
      </c>
      <c r="J78" s="724"/>
      <c r="K78" s="724"/>
      <c r="L78" s="825">
        <v>2018.01</v>
      </c>
      <c r="M78" s="724">
        <v>2018.12</v>
      </c>
      <c r="N78" s="724">
        <v>9.9</v>
      </c>
      <c r="O78" s="86">
        <v>9.9</v>
      </c>
      <c r="P78" s="724"/>
      <c r="Q78" s="724"/>
      <c r="R78" s="724"/>
      <c r="S78" s="146">
        <v>9.9</v>
      </c>
      <c r="T78" s="724"/>
      <c r="U78" s="724"/>
      <c r="V78" s="724"/>
      <c r="W78" s="86" t="s">
        <v>46</v>
      </c>
      <c r="X78" s="724" t="s">
        <v>47</v>
      </c>
      <c r="Y78" s="151">
        <v>219</v>
      </c>
      <c r="Z78" s="151">
        <v>909</v>
      </c>
      <c r="AA78" s="92">
        <v>1</v>
      </c>
      <c r="AB78" s="92"/>
      <c r="AC78" s="92"/>
      <c r="AD78" s="141" t="s">
        <v>68</v>
      </c>
      <c r="AE78" s="146" t="s">
        <v>50</v>
      </c>
      <c r="AF78" s="438" t="s">
        <v>43</v>
      </c>
      <c r="AG78" s="92"/>
    </row>
    <row r="79" ht="24.95" customHeight="1" spans="1:33">
      <c r="A79" s="705"/>
      <c r="B79" s="199" t="s">
        <v>58</v>
      </c>
      <c r="C79" s="71" t="s">
        <v>52</v>
      </c>
      <c r="D79" s="71" t="s">
        <v>45</v>
      </c>
      <c r="E79" s="92">
        <v>1</v>
      </c>
      <c r="F79" s="199" t="str">
        <f t="shared" si="21"/>
        <v>竹园镇</v>
      </c>
      <c r="G79" s="92"/>
      <c r="H79" s="86">
        <v>4300</v>
      </c>
      <c r="I79" s="86">
        <v>4300</v>
      </c>
      <c r="J79" s="724"/>
      <c r="K79" s="724"/>
      <c r="L79" s="825">
        <v>2018.01</v>
      </c>
      <c r="M79" s="724">
        <v>2018.12</v>
      </c>
      <c r="N79" s="724">
        <v>9.9</v>
      </c>
      <c r="O79" s="86">
        <v>9.9</v>
      </c>
      <c r="P79" s="724"/>
      <c r="Q79" s="724"/>
      <c r="R79" s="724"/>
      <c r="S79" s="138">
        <v>9.9</v>
      </c>
      <c r="T79" s="724"/>
      <c r="U79" s="724"/>
      <c r="V79" s="724"/>
      <c r="W79" s="86" t="s">
        <v>46</v>
      </c>
      <c r="X79" s="724" t="s">
        <v>47</v>
      </c>
      <c r="Y79" s="151">
        <v>219</v>
      </c>
      <c r="Z79" s="151">
        <v>909</v>
      </c>
      <c r="AA79" s="92">
        <v>1</v>
      </c>
      <c r="AB79" s="92"/>
      <c r="AC79" s="92"/>
      <c r="AD79" s="744" t="s">
        <v>59</v>
      </c>
      <c r="AE79" s="744" t="s">
        <v>60</v>
      </c>
      <c r="AF79" s="438" t="s">
        <v>43</v>
      </c>
      <c r="AG79" s="92"/>
    </row>
    <row r="80" ht="24.95" customHeight="1" spans="1:33">
      <c r="A80" s="705"/>
      <c r="B80" s="711" t="s">
        <v>604</v>
      </c>
      <c r="C80" s="146"/>
      <c r="D80" s="141" t="s">
        <v>45</v>
      </c>
      <c r="E80" s="92">
        <f t="shared" ref="E80:AA80" si="22">SUM(E81:E83)</f>
        <v>2</v>
      </c>
      <c r="G80" s="92"/>
      <c r="H80" s="86">
        <f t="shared" si="22"/>
        <v>3438.5</v>
      </c>
      <c r="I80" s="86">
        <f t="shared" si="22"/>
        <v>3438.5</v>
      </c>
      <c r="J80" s="724">
        <f t="shared" si="22"/>
        <v>0</v>
      </c>
      <c r="K80" s="724">
        <f t="shared" si="22"/>
        <v>0</v>
      </c>
      <c r="L80" s="825"/>
      <c r="M80" s="724"/>
      <c r="N80" s="724">
        <f t="shared" si="22"/>
        <v>311.44</v>
      </c>
      <c r="O80" s="86">
        <f t="shared" si="22"/>
        <v>311.44</v>
      </c>
      <c r="P80" s="724">
        <f t="shared" si="22"/>
        <v>0</v>
      </c>
      <c r="Q80" s="724">
        <f t="shared" si="22"/>
        <v>0</v>
      </c>
      <c r="R80" s="724">
        <f t="shared" si="22"/>
        <v>0</v>
      </c>
      <c r="S80" s="146">
        <f t="shared" si="22"/>
        <v>311.44</v>
      </c>
      <c r="T80" s="724">
        <f t="shared" si="22"/>
        <v>0</v>
      </c>
      <c r="U80" s="724">
        <f t="shared" si="22"/>
        <v>0</v>
      </c>
      <c r="V80" s="724">
        <f t="shared" si="22"/>
        <v>0</v>
      </c>
      <c r="W80" s="86" t="s">
        <v>46</v>
      </c>
      <c r="X80" s="724" t="s">
        <v>47</v>
      </c>
      <c r="Y80" s="151">
        <f t="shared" si="22"/>
        <v>618</v>
      </c>
      <c r="Z80" s="151">
        <f t="shared" si="22"/>
        <v>2599</v>
      </c>
      <c r="AA80" s="92">
        <f t="shared" si="22"/>
        <v>2</v>
      </c>
      <c r="AB80" s="92"/>
      <c r="AC80" s="92"/>
      <c r="AD80" s="141" t="s">
        <v>68</v>
      </c>
      <c r="AE80" s="146" t="s">
        <v>50</v>
      </c>
      <c r="AF80" s="438" t="s">
        <v>43</v>
      </c>
      <c r="AG80" s="92"/>
    </row>
    <row r="81" ht="24.95" customHeight="1" spans="1:33">
      <c r="A81" s="705"/>
      <c r="B81" s="199" t="s">
        <v>78</v>
      </c>
      <c r="C81" s="146" t="s">
        <v>52</v>
      </c>
      <c r="D81" s="152" t="s">
        <v>45</v>
      </c>
      <c r="E81" s="92">
        <v>1</v>
      </c>
      <c r="F81" s="199" t="str">
        <f t="shared" si="21"/>
        <v>黄泥河镇</v>
      </c>
      <c r="G81" s="92"/>
      <c r="H81" s="86">
        <v>136</v>
      </c>
      <c r="I81" s="86">
        <v>136</v>
      </c>
      <c r="J81" s="724"/>
      <c r="K81" s="724"/>
      <c r="L81" s="825">
        <v>2018.01</v>
      </c>
      <c r="M81" s="724">
        <v>2018.12</v>
      </c>
      <c r="N81" s="724">
        <v>13.6</v>
      </c>
      <c r="O81" s="86">
        <v>13.6</v>
      </c>
      <c r="P81" s="724"/>
      <c r="Q81" s="724"/>
      <c r="R81" s="724"/>
      <c r="S81" s="146">
        <v>13.6</v>
      </c>
      <c r="T81" s="724"/>
      <c r="U81" s="724"/>
      <c r="V81" s="724"/>
      <c r="W81" s="86" t="s">
        <v>46</v>
      </c>
      <c r="X81" s="724" t="s">
        <v>47</v>
      </c>
      <c r="Y81" s="151">
        <v>36</v>
      </c>
      <c r="Z81" s="151">
        <v>136</v>
      </c>
      <c r="AA81" s="92">
        <v>1</v>
      </c>
      <c r="AB81" s="92"/>
      <c r="AC81" s="92"/>
      <c r="AD81" s="146" t="s">
        <v>79</v>
      </c>
      <c r="AE81" s="146" t="s">
        <v>80</v>
      </c>
      <c r="AF81" s="438" t="s">
        <v>43</v>
      </c>
      <c r="AG81" s="92"/>
    </row>
    <row r="82" ht="24.95" customHeight="1" spans="1:33">
      <c r="A82" s="705"/>
      <c r="B82" s="199" t="s">
        <v>92</v>
      </c>
      <c r="C82" s="146" t="s">
        <v>52</v>
      </c>
      <c r="D82" s="152" t="s">
        <v>45</v>
      </c>
      <c r="E82" s="92"/>
      <c r="F82" s="199" t="str">
        <f t="shared" si="21"/>
        <v>老厂镇</v>
      </c>
      <c r="G82" s="92"/>
      <c r="H82" s="86"/>
      <c r="I82" s="86"/>
      <c r="J82" s="724"/>
      <c r="K82" s="724"/>
      <c r="L82" s="825"/>
      <c r="M82" s="724"/>
      <c r="N82" s="724"/>
      <c r="O82" s="86"/>
      <c r="P82" s="724"/>
      <c r="Q82" s="724"/>
      <c r="R82" s="724"/>
      <c r="S82" s="146"/>
      <c r="T82" s="724"/>
      <c r="U82" s="724"/>
      <c r="V82" s="724"/>
      <c r="W82" s="86" t="s">
        <v>46</v>
      </c>
      <c r="X82" s="724" t="s">
        <v>47</v>
      </c>
      <c r="Y82" s="151"/>
      <c r="Z82" s="151"/>
      <c r="AA82" s="92"/>
      <c r="AB82" s="92"/>
      <c r="AC82" s="92"/>
      <c r="AD82" s="146"/>
      <c r="AE82" s="146"/>
      <c r="AF82" s="438"/>
      <c r="AG82" s="92"/>
    </row>
    <row r="83" ht="24.95" customHeight="1" spans="1:33">
      <c r="A83" s="705"/>
      <c r="B83" s="199" t="s">
        <v>64</v>
      </c>
      <c r="C83" s="141" t="s">
        <v>96</v>
      </c>
      <c r="D83" s="141" t="s">
        <v>45</v>
      </c>
      <c r="E83" s="92">
        <v>1</v>
      </c>
      <c r="F83" s="199" t="str">
        <f t="shared" si="21"/>
        <v>十八连山镇</v>
      </c>
      <c r="G83" s="92"/>
      <c r="H83" s="86">
        <v>3302.5</v>
      </c>
      <c r="I83" s="86">
        <v>3302.5</v>
      </c>
      <c r="J83" s="724"/>
      <c r="K83" s="724"/>
      <c r="L83" s="825">
        <v>2018.01</v>
      </c>
      <c r="M83" s="724">
        <v>2018.12</v>
      </c>
      <c r="N83" s="724">
        <v>297.84</v>
      </c>
      <c r="O83" s="86">
        <v>297.84</v>
      </c>
      <c r="P83" s="724"/>
      <c r="Q83" s="724"/>
      <c r="R83" s="724"/>
      <c r="S83" s="146">
        <v>297.84</v>
      </c>
      <c r="T83" s="724"/>
      <c r="U83" s="724"/>
      <c r="V83" s="724"/>
      <c r="W83" s="86" t="s">
        <v>46</v>
      </c>
      <c r="X83" s="724" t="s">
        <v>47</v>
      </c>
      <c r="Y83" s="151">
        <v>582</v>
      </c>
      <c r="Z83" s="151">
        <v>2463</v>
      </c>
      <c r="AA83" s="92">
        <v>1</v>
      </c>
      <c r="AB83" s="92"/>
      <c r="AC83" s="92"/>
      <c r="AD83" s="146" t="s">
        <v>65</v>
      </c>
      <c r="AE83" s="146" t="s">
        <v>66</v>
      </c>
      <c r="AF83" s="438" t="s">
        <v>43</v>
      </c>
      <c r="AG83" s="92"/>
    </row>
    <row r="84" ht="24.95" customHeight="1" spans="1:33">
      <c r="A84" s="705"/>
      <c r="B84" s="711" t="s">
        <v>605</v>
      </c>
      <c r="C84" s="141" t="s">
        <v>52</v>
      </c>
      <c r="D84" s="141" t="s">
        <v>45</v>
      </c>
      <c r="E84" s="92">
        <v>1</v>
      </c>
      <c r="F84" s="96"/>
      <c r="G84" s="92"/>
      <c r="H84" s="86">
        <v>3126</v>
      </c>
      <c r="I84" s="86">
        <v>3126</v>
      </c>
      <c r="J84" s="724"/>
      <c r="K84" s="724"/>
      <c r="L84" s="825">
        <v>2018.01</v>
      </c>
      <c r="M84" s="724">
        <v>2018.12</v>
      </c>
      <c r="N84" s="724">
        <v>22.68</v>
      </c>
      <c r="O84" s="86">
        <v>22.68</v>
      </c>
      <c r="P84" s="724"/>
      <c r="Q84" s="724"/>
      <c r="R84" s="724"/>
      <c r="S84" s="146">
        <v>22.68</v>
      </c>
      <c r="T84" s="724"/>
      <c r="U84" s="724"/>
      <c r="V84" s="724"/>
      <c r="W84" s="86" t="s">
        <v>46</v>
      </c>
      <c r="X84" s="724" t="s">
        <v>47</v>
      </c>
      <c r="Y84" s="151">
        <v>116</v>
      </c>
      <c r="Z84" s="151">
        <v>432</v>
      </c>
      <c r="AA84" s="92">
        <v>1</v>
      </c>
      <c r="AB84" s="92"/>
      <c r="AC84" s="92"/>
      <c r="AD84" s="141" t="s">
        <v>68</v>
      </c>
      <c r="AE84" s="146" t="s">
        <v>50</v>
      </c>
      <c r="AF84" s="438" t="s">
        <v>43</v>
      </c>
      <c r="AG84" s="92"/>
    </row>
    <row r="85" ht="24.95" customHeight="1" spans="1:33">
      <c r="A85" s="705"/>
      <c r="B85" s="714" t="s">
        <v>81</v>
      </c>
      <c r="C85" s="141" t="s">
        <v>52</v>
      </c>
      <c r="D85" s="152" t="s">
        <v>45</v>
      </c>
      <c r="E85" s="92">
        <v>1</v>
      </c>
      <c r="F85" s="714" t="str">
        <f t="shared" si="21"/>
        <v>墨红</v>
      </c>
      <c r="G85" s="92"/>
      <c r="H85" s="86">
        <v>3126</v>
      </c>
      <c r="I85" s="86">
        <v>3126</v>
      </c>
      <c r="J85" s="724"/>
      <c r="K85" s="724"/>
      <c r="L85" s="825">
        <v>2018.01</v>
      </c>
      <c r="M85" s="724">
        <v>2018.12</v>
      </c>
      <c r="N85" s="724">
        <v>22.68</v>
      </c>
      <c r="O85" s="86">
        <v>22.68</v>
      </c>
      <c r="P85" s="724"/>
      <c r="Q85" s="724"/>
      <c r="R85" s="724"/>
      <c r="S85" s="146">
        <v>22.68</v>
      </c>
      <c r="T85" s="724"/>
      <c r="U85" s="724"/>
      <c r="V85" s="724"/>
      <c r="W85" s="86" t="s">
        <v>46</v>
      </c>
      <c r="X85" s="724" t="s">
        <v>47</v>
      </c>
      <c r="Y85" s="151">
        <v>116</v>
      </c>
      <c r="Z85" s="151">
        <v>432</v>
      </c>
      <c r="AA85" s="92">
        <v>1</v>
      </c>
      <c r="AB85" s="92"/>
      <c r="AC85" s="92"/>
      <c r="AD85" s="146" t="s">
        <v>82</v>
      </c>
      <c r="AE85" s="146" t="s">
        <v>83</v>
      </c>
      <c r="AF85" s="752" t="s">
        <v>43</v>
      </c>
      <c r="AG85" s="92"/>
    </row>
    <row r="86" ht="24.95" customHeight="1" spans="1:33">
      <c r="A86" s="705"/>
      <c r="B86" s="750" t="s">
        <v>606</v>
      </c>
      <c r="C86" s="146" t="str">
        <f>C87</f>
        <v>新建</v>
      </c>
      <c r="D86" s="146" t="str">
        <f>D87</f>
        <v>亩</v>
      </c>
      <c r="E86" s="92"/>
      <c r="F86" s="96"/>
      <c r="G86" s="92"/>
      <c r="H86" s="86"/>
      <c r="I86" s="86"/>
      <c r="J86" s="724"/>
      <c r="K86" s="724"/>
      <c r="L86" s="825"/>
      <c r="M86" s="724"/>
      <c r="N86" s="724"/>
      <c r="O86" s="86"/>
      <c r="P86" s="724"/>
      <c r="Q86" s="724"/>
      <c r="R86" s="724"/>
      <c r="S86" s="146"/>
      <c r="T86" s="724"/>
      <c r="U86" s="724"/>
      <c r="V86" s="724"/>
      <c r="W86" s="86" t="s">
        <v>46</v>
      </c>
      <c r="X86" s="724" t="s">
        <v>47</v>
      </c>
      <c r="Y86" s="151"/>
      <c r="Z86" s="151"/>
      <c r="AA86" s="92"/>
      <c r="AB86" s="92"/>
      <c r="AC86" s="92"/>
      <c r="AD86" s="141"/>
      <c r="AE86" s="146"/>
      <c r="AF86" s="438"/>
      <c r="AG86" s="92"/>
    </row>
    <row r="87" ht="24.95" customHeight="1" spans="1:33">
      <c r="A87" s="705"/>
      <c r="B87" s="199" t="s">
        <v>114</v>
      </c>
      <c r="C87" s="141" t="s">
        <v>52</v>
      </c>
      <c r="D87" s="141" t="s">
        <v>45</v>
      </c>
      <c r="E87" s="92"/>
      <c r="F87" s="199" t="str">
        <f t="shared" si="21"/>
        <v>古敢乡</v>
      </c>
      <c r="G87" s="92"/>
      <c r="H87" s="86"/>
      <c r="I87" s="86"/>
      <c r="J87" s="724"/>
      <c r="K87" s="724"/>
      <c r="L87" s="825"/>
      <c r="M87" s="724"/>
      <c r="N87" s="724"/>
      <c r="O87" s="86"/>
      <c r="P87" s="724"/>
      <c r="Q87" s="724"/>
      <c r="R87" s="724"/>
      <c r="S87" s="146"/>
      <c r="T87" s="724"/>
      <c r="U87" s="724"/>
      <c r="V87" s="724"/>
      <c r="W87" s="86" t="s">
        <v>46</v>
      </c>
      <c r="X87" s="724" t="s">
        <v>47</v>
      </c>
      <c r="Y87" s="151"/>
      <c r="Z87" s="151"/>
      <c r="AA87" s="92"/>
      <c r="AB87" s="92"/>
      <c r="AC87" s="92"/>
      <c r="AD87" s="193"/>
      <c r="AE87" s="146"/>
      <c r="AF87" s="752"/>
      <c r="AG87" s="92"/>
    </row>
    <row r="88" ht="24.95" customHeight="1" spans="1:33">
      <c r="A88" s="705"/>
      <c r="B88" s="711" t="s">
        <v>607</v>
      </c>
      <c r="C88" s="712"/>
      <c r="D88" s="713"/>
      <c r="E88" s="92">
        <v>1</v>
      </c>
      <c r="F88" s="96"/>
      <c r="G88" s="92"/>
      <c r="H88" s="86">
        <v>1020</v>
      </c>
      <c r="I88" s="86">
        <v>1020</v>
      </c>
      <c r="J88" s="724"/>
      <c r="K88" s="724"/>
      <c r="L88" s="825">
        <v>2018.01</v>
      </c>
      <c r="M88" s="724">
        <v>2018.12</v>
      </c>
      <c r="N88" s="724">
        <v>30</v>
      </c>
      <c r="O88" s="86">
        <v>30</v>
      </c>
      <c r="P88" s="724"/>
      <c r="Q88" s="724"/>
      <c r="R88" s="724"/>
      <c r="S88" s="138">
        <v>0</v>
      </c>
      <c r="T88" s="724"/>
      <c r="U88" s="724">
        <v>30</v>
      </c>
      <c r="V88" s="724"/>
      <c r="W88" s="86" t="s">
        <v>46</v>
      </c>
      <c r="X88" s="724" t="s">
        <v>47</v>
      </c>
      <c r="Y88" s="151">
        <v>159</v>
      </c>
      <c r="Z88" s="151">
        <v>620</v>
      </c>
      <c r="AA88" s="92">
        <v>1</v>
      </c>
      <c r="AB88" s="92"/>
      <c r="AC88" s="92"/>
      <c r="AD88" s="141" t="s">
        <v>68</v>
      </c>
      <c r="AE88" s="146" t="s">
        <v>50</v>
      </c>
      <c r="AF88" s="438" t="s">
        <v>43</v>
      </c>
      <c r="AG88" s="92"/>
    </row>
    <row r="89" ht="24.95" customHeight="1" spans="1:33">
      <c r="A89" s="705"/>
      <c r="B89" s="199" t="s">
        <v>72</v>
      </c>
      <c r="C89" s="712" t="s">
        <v>52</v>
      </c>
      <c r="D89" s="713" t="s">
        <v>45</v>
      </c>
      <c r="E89" s="92">
        <v>1</v>
      </c>
      <c r="F89" s="199" t="str">
        <f t="shared" si="21"/>
        <v>后所镇</v>
      </c>
      <c r="G89" s="92"/>
      <c r="H89" s="86">
        <v>1020</v>
      </c>
      <c r="I89" s="86">
        <v>1020</v>
      </c>
      <c r="J89" s="724"/>
      <c r="K89" s="724"/>
      <c r="L89" s="825">
        <v>2018.01</v>
      </c>
      <c r="M89" s="724">
        <v>2018.12</v>
      </c>
      <c r="N89" s="724">
        <v>30</v>
      </c>
      <c r="O89" s="86">
        <v>30</v>
      </c>
      <c r="P89" s="724"/>
      <c r="Q89" s="724"/>
      <c r="R89" s="724"/>
      <c r="S89" s="138"/>
      <c r="U89" s="724">
        <v>30</v>
      </c>
      <c r="V89" s="724"/>
      <c r="W89" s="86" t="s">
        <v>46</v>
      </c>
      <c r="X89" s="724" t="s">
        <v>47</v>
      </c>
      <c r="Y89" s="151">
        <v>159</v>
      </c>
      <c r="Z89" s="151">
        <v>620</v>
      </c>
      <c r="AA89" s="92">
        <v>1</v>
      </c>
      <c r="AB89" s="92"/>
      <c r="AC89" s="92"/>
      <c r="AD89" s="101" t="s">
        <v>73</v>
      </c>
      <c r="AE89" s="601" t="s">
        <v>74</v>
      </c>
      <c r="AF89" s="438" t="s">
        <v>43</v>
      </c>
      <c r="AG89" s="92"/>
    </row>
    <row r="90" ht="24.95" customHeight="1" spans="1:33">
      <c r="A90" s="705"/>
      <c r="B90" s="711" t="s">
        <v>608</v>
      </c>
      <c r="C90" s="141" t="s">
        <v>52</v>
      </c>
      <c r="D90" s="141" t="s">
        <v>45</v>
      </c>
      <c r="E90" s="92">
        <f t="shared" ref="E90:AA90" si="23">SUM(E91:E92)</f>
        <v>1</v>
      </c>
      <c r="F90" s="96"/>
      <c r="G90" s="92"/>
      <c r="H90" s="86">
        <f t="shared" si="23"/>
        <v>637</v>
      </c>
      <c r="I90" s="86">
        <f t="shared" si="23"/>
        <v>637</v>
      </c>
      <c r="J90" s="724">
        <f t="shared" si="23"/>
        <v>0</v>
      </c>
      <c r="K90" s="724">
        <f t="shared" si="23"/>
        <v>0</v>
      </c>
      <c r="L90" s="825"/>
      <c r="M90" s="724"/>
      <c r="N90" s="724">
        <f t="shared" si="23"/>
        <v>18.2724</v>
      </c>
      <c r="O90" s="86">
        <f t="shared" si="23"/>
        <v>18.2724</v>
      </c>
      <c r="P90" s="724">
        <f t="shared" si="23"/>
        <v>0</v>
      </c>
      <c r="Q90" s="724">
        <f t="shared" si="23"/>
        <v>0</v>
      </c>
      <c r="R90" s="724">
        <f t="shared" si="23"/>
        <v>0</v>
      </c>
      <c r="S90" s="146">
        <f t="shared" si="23"/>
        <v>18.2724</v>
      </c>
      <c r="T90" s="724">
        <f t="shared" si="23"/>
        <v>0</v>
      </c>
      <c r="U90" s="724">
        <f t="shared" si="23"/>
        <v>0</v>
      </c>
      <c r="V90" s="724">
        <f t="shared" si="23"/>
        <v>0</v>
      </c>
      <c r="W90" s="86" t="s">
        <v>46</v>
      </c>
      <c r="X90" s="724" t="s">
        <v>47</v>
      </c>
      <c r="Y90" s="151">
        <f t="shared" si="23"/>
        <v>156</v>
      </c>
      <c r="Z90" s="151">
        <f t="shared" si="23"/>
        <v>628</v>
      </c>
      <c r="AA90" s="92">
        <f t="shared" si="23"/>
        <v>1</v>
      </c>
      <c r="AB90" s="92"/>
      <c r="AC90" s="92"/>
      <c r="AD90" s="141" t="s">
        <v>68</v>
      </c>
      <c r="AE90" s="146" t="s">
        <v>50</v>
      </c>
      <c r="AF90" s="438" t="s">
        <v>43</v>
      </c>
      <c r="AG90" s="92"/>
    </row>
    <row r="91" ht="24.95" customHeight="1" spans="1:33">
      <c r="A91" s="705"/>
      <c r="B91" s="199" t="s">
        <v>98</v>
      </c>
      <c r="C91" s="146" t="s">
        <v>52</v>
      </c>
      <c r="D91" s="152" t="s">
        <v>45</v>
      </c>
      <c r="E91" s="92">
        <v>1</v>
      </c>
      <c r="F91" s="199" t="str">
        <f t="shared" si="21"/>
        <v>大河</v>
      </c>
      <c r="G91" s="92"/>
      <c r="H91" s="86">
        <v>637</v>
      </c>
      <c r="I91" s="86">
        <v>637</v>
      </c>
      <c r="J91" s="724"/>
      <c r="K91" s="724"/>
      <c r="L91" s="825">
        <v>2018.01</v>
      </c>
      <c r="M91" s="724">
        <v>2018.12</v>
      </c>
      <c r="N91" s="724">
        <v>18.2724</v>
      </c>
      <c r="O91" s="86">
        <v>18.2724</v>
      </c>
      <c r="P91" s="724"/>
      <c r="Q91" s="724"/>
      <c r="R91" s="724"/>
      <c r="S91" s="146">
        <v>18.2724</v>
      </c>
      <c r="T91" s="724"/>
      <c r="U91" s="724"/>
      <c r="V91" s="724"/>
      <c r="W91" s="86" t="s">
        <v>46</v>
      </c>
      <c r="X91" s="724" t="s">
        <v>47</v>
      </c>
      <c r="Y91" s="151">
        <v>156</v>
      </c>
      <c r="Z91" s="151">
        <v>628</v>
      </c>
      <c r="AA91" s="92">
        <v>1</v>
      </c>
      <c r="AB91" s="92"/>
      <c r="AC91" s="92"/>
      <c r="AD91" s="146" t="s">
        <v>56</v>
      </c>
      <c r="AE91" s="146" t="s">
        <v>137</v>
      </c>
      <c r="AF91" s="438" t="s">
        <v>43</v>
      </c>
      <c r="AG91" s="92"/>
    </row>
    <row r="92" ht="24.95" customHeight="1" spans="1:33">
      <c r="A92" s="705"/>
      <c r="B92" s="199" t="s">
        <v>114</v>
      </c>
      <c r="C92" s="141" t="s">
        <v>52</v>
      </c>
      <c r="D92" s="141" t="s">
        <v>45</v>
      </c>
      <c r="E92" s="92"/>
      <c r="F92" s="199" t="str">
        <f t="shared" si="21"/>
        <v>古敢乡</v>
      </c>
      <c r="G92" s="92"/>
      <c r="H92" s="86"/>
      <c r="I92" s="86"/>
      <c r="J92" s="724"/>
      <c r="K92" s="724"/>
      <c r="L92" s="825"/>
      <c r="M92" s="724"/>
      <c r="N92" s="724"/>
      <c r="O92" s="86"/>
      <c r="P92" s="724"/>
      <c r="Q92" s="724"/>
      <c r="R92" s="724"/>
      <c r="S92" s="146"/>
      <c r="T92" s="724"/>
      <c r="U92" s="724"/>
      <c r="V92" s="724"/>
      <c r="W92" s="86" t="s">
        <v>46</v>
      </c>
      <c r="X92" s="724" t="s">
        <v>47</v>
      </c>
      <c r="Y92" s="151"/>
      <c r="Z92" s="151"/>
      <c r="AA92" s="92"/>
      <c r="AB92" s="92"/>
      <c r="AC92" s="92"/>
      <c r="AD92" s="146"/>
      <c r="AE92" s="146"/>
      <c r="AF92" s="438"/>
      <c r="AG92" s="92"/>
    </row>
    <row r="93" ht="24.95" customHeight="1" spans="1:33">
      <c r="A93" s="705"/>
      <c r="B93" s="711" t="s">
        <v>609</v>
      </c>
      <c r="C93" s="141" t="s">
        <v>52</v>
      </c>
      <c r="D93" s="141" t="s">
        <v>45</v>
      </c>
      <c r="E93" s="92">
        <v>1</v>
      </c>
      <c r="F93" s="96"/>
      <c r="G93" s="92"/>
      <c r="H93" s="86">
        <v>835</v>
      </c>
      <c r="I93" s="86">
        <v>835</v>
      </c>
      <c r="J93" s="724"/>
      <c r="K93" s="724"/>
      <c r="L93" s="825">
        <v>2018.01</v>
      </c>
      <c r="M93" s="724">
        <v>2018.12</v>
      </c>
      <c r="N93" s="724">
        <v>20.04</v>
      </c>
      <c r="O93" s="86">
        <v>20.04</v>
      </c>
      <c r="P93" s="724"/>
      <c r="Q93" s="724"/>
      <c r="R93" s="724"/>
      <c r="S93" s="146">
        <v>20.04</v>
      </c>
      <c r="T93" s="724"/>
      <c r="U93" s="724"/>
      <c r="V93" s="724"/>
      <c r="W93" s="86" t="s">
        <v>46</v>
      </c>
      <c r="X93" s="724" t="s">
        <v>47</v>
      </c>
      <c r="Y93" s="151">
        <v>471</v>
      </c>
      <c r="Z93" s="151">
        <v>2070</v>
      </c>
      <c r="AA93" s="92">
        <v>1</v>
      </c>
      <c r="AB93" s="92"/>
      <c r="AC93" s="92"/>
      <c r="AD93" s="141" t="s">
        <v>68</v>
      </c>
      <c r="AE93" s="146" t="s">
        <v>50</v>
      </c>
      <c r="AF93" s="438" t="s">
        <v>43</v>
      </c>
      <c r="AG93" s="92"/>
    </row>
    <row r="94" ht="24.95" customHeight="1" spans="1:33">
      <c r="A94" s="705"/>
      <c r="B94" s="199" t="s">
        <v>58</v>
      </c>
      <c r="C94" s="146" t="s">
        <v>52</v>
      </c>
      <c r="D94" s="152" t="s">
        <v>45</v>
      </c>
      <c r="E94" s="92">
        <v>1</v>
      </c>
      <c r="F94" s="199" t="str">
        <f t="shared" si="21"/>
        <v>竹园镇</v>
      </c>
      <c r="G94" s="92"/>
      <c r="H94" s="86">
        <v>835</v>
      </c>
      <c r="I94" s="86">
        <v>835</v>
      </c>
      <c r="J94" s="724"/>
      <c r="K94" s="724"/>
      <c r="L94" s="825">
        <v>2018.01</v>
      </c>
      <c r="M94" s="724">
        <v>2018.12</v>
      </c>
      <c r="N94" s="724">
        <v>20.04</v>
      </c>
      <c r="O94" s="86">
        <v>20.04</v>
      </c>
      <c r="P94" s="724"/>
      <c r="Q94" s="724"/>
      <c r="R94" s="724"/>
      <c r="S94" s="146">
        <v>20.04</v>
      </c>
      <c r="T94" s="724"/>
      <c r="U94" s="724"/>
      <c r="V94" s="724"/>
      <c r="W94" s="86" t="s">
        <v>46</v>
      </c>
      <c r="X94" s="724" t="s">
        <v>47</v>
      </c>
      <c r="Y94" s="151">
        <v>471</v>
      </c>
      <c r="Z94" s="151">
        <v>2070</v>
      </c>
      <c r="AA94" s="92">
        <v>1</v>
      </c>
      <c r="AB94" s="92"/>
      <c r="AC94" s="92"/>
      <c r="AD94" s="744" t="s">
        <v>59</v>
      </c>
      <c r="AE94" s="744" t="s">
        <v>60</v>
      </c>
      <c r="AF94" s="438" t="s">
        <v>43</v>
      </c>
      <c r="AG94" s="92"/>
    </row>
    <row r="95" ht="24.95" customHeight="1" spans="1:33">
      <c r="A95" s="705"/>
      <c r="B95" s="711" t="s">
        <v>610</v>
      </c>
      <c r="C95" s="712" t="s">
        <v>52</v>
      </c>
      <c r="D95" s="713" t="s">
        <v>45</v>
      </c>
      <c r="E95" s="92">
        <v>1</v>
      </c>
      <c r="F95" s="96"/>
      <c r="G95" s="92"/>
      <c r="H95" s="86">
        <v>570</v>
      </c>
      <c r="I95" s="86">
        <v>570</v>
      </c>
      <c r="J95" s="724"/>
      <c r="K95" s="724"/>
      <c r="L95" s="825">
        <v>2018.01</v>
      </c>
      <c r="M95" s="724">
        <v>2018.12</v>
      </c>
      <c r="N95" s="724">
        <v>85.5</v>
      </c>
      <c r="O95" s="86">
        <v>85.5</v>
      </c>
      <c r="P95" s="724"/>
      <c r="Q95" s="724"/>
      <c r="R95" s="724"/>
      <c r="S95" s="138">
        <v>85.5</v>
      </c>
      <c r="T95" s="724"/>
      <c r="U95" s="724"/>
      <c r="V95" s="724"/>
      <c r="W95" s="86" t="s">
        <v>46</v>
      </c>
      <c r="X95" s="724" t="s">
        <v>47</v>
      </c>
      <c r="Y95" s="151">
        <v>35</v>
      </c>
      <c r="Z95" s="151">
        <v>128</v>
      </c>
      <c r="AA95" s="92">
        <v>1</v>
      </c>
      <c r="AB95" s="92"/>
      <c r="AC95" s="92"/>
      <c r="AD95" s="101" t="s">
        <v>425</v>
      </c>
      <c r="AE95" s="712" t="s">
        <v>426</v>
      </c>
      <c r="AF95" s="601" t="s">
        <v>417</v>
      </c>
      <c r="AG95" s="92"/>
    </row>
    <row r="96" ht="24.95" customHeight="1" spans="1:33">
      <c r="A96" s="705"/>
      <c r="B96" s="199" t="s">
        <v>69</v>
      </c>
      <c r="C96" s="712" t="s">
        <v>52</v>
      </c>
      <c r="D96" s="713" t="s">
        <v>45</v>
      </c>
      <c r="E96" s="92">
        <v>1</v>
      </c>
      <c r="F96" s="199" t="str">
        <f t="shared" si="21"/>
        <v>中安街道</v>
      </c>
      <c r="G96" s="92"/>
      <c r="H96" s="86">
        <v>570</v>
      </c>
      <c r="I96" s="86">
        <v>570</v>
      </c>
      <c r="J96" s="724"/>
      <c r="K96" s="724"/>
      <c r="L96" s="825">
        <v>2018.01</v>
      </c>
      <c r="M96" s="724">
        <v>2018.12</v>
      </c>
      <c r="N96" s="724">
        <v>85.5</v>
      </c>
      <c r="O96" s="86">
        <v>85.5</v>
      </c>
      <c r="P96" s="724"/>
      <c r="Q96" s="724"/>
      <c r="R96" s="724"/>
      <c r="S96" s="138">
        <v>85.5</v>
      </c>
      <c r="T96" s="724"/>
      <c r="U96" s="724"/>
      <c r="V96" s="724"/>
      <c r="W96" s="86" t="s">
        <v>46</v>
      </c>
      <c r="X96" s="724" t="s">
        <v>47</v>
      </c>
      <c r="Y96" s="151">
        <v>35</v>
      </c>
      <c r="Z96" s="151">
        <v>128</v>
      </c>
      <c r="AA96" s="92">
        <v>1</v>
      </c>
      <c r="AB96" s="92"/>
      <c r="AC96" s="92"/>
      <c r="AD96" s="101" t="s">
        <v>425</v>
      </c>
      <c r="AE96" s="712" t="s">
        <v>426</v>
      </c>
      <c r="AF96" s="601" t="s">
        <v>417</v>
      </c>
      <c r="AG96" s="92"/>
    </row>
    <row r="97" ht="24.95" customHeight="1" spans="1:33">
      <c r="A97" s="705"/>
      <c r="B97" s="711" t="s">
        <v>611</v>
      </c>
      <c r="C97" s="712"/>
      <c r="D97" s="713"/>
      <c r="E97" s="92"/>
      <c r="F97" s="96"/>
      <c r="G97" s="92"/>
      <c r="H97" s="86"/>
      <c r="I97" s="86"/>
      <c r="J97" s="724"/>
      <c r="K97" s="724"/>
      <c r="L97" s="825"/>
      <c r="M97" s="724"/>
      <c r="N97" s="724"/>
      <c r="O97" s="86"/>
      <c r="P97" s="724"/>
      <c r="Q97" s="724"/>
      <c r="R97" s="724"/>
      <c r="S97" s="138"/>
      <c r="T97" s="724"/>
      <c r="U97" s="724"/>
      <c r="V97" s="724"/>
      <c r="W97" s="86" t="s">
        <v>46</v>
      </c>
      <c r="X97" s="724" t="s">
        <v>47</v>
      </c>
      <c r="Y97" s="151"/>
      <c r="Z97" s="151"/>
      <c r="AA97" s="92"/>
      <c r="AB97" s="92"/>
      <c r="AC97" s="92"/>
      <c r="AD97" s="141"/>
      <c r="AE97" s="146"/>
      <c r="AF97" s="438"/>
      <c r="AG97" s="92"/>
    </row>
    <row r="98" ht="24.95" customHeight="1" spans="1:33">
      <c r="A98" s="705"/>
      <c r="B98" s="199" t="s">
        <v>51</v>
      </c>
      <c r="C98" s="712" t="s">
        <v>52</v>
      </c>
      <c r="D98" s="713" t="s">
        <v>45</v>
      </c>
      <c r="E98" s="92"/>
      <c r="F98" s="199" t="str">
        <f t="shared" si="21"/>
        <v>胜境街道</v>
      </c>
      <c r="G98" s="92"/>
      <c r="H98" s="86"/>
      <c r="I98" s="86"/>
      <c r="J98" s="724"/>
      <c r="K98" s="724"/>
      <c r="L98" s="825"/>
      <c r="M98" s="724"/>
      <c r="N98" s="724"/>
      <c r="O98" s="86"/>
      <c r="P98" s="724"/>
      <c r="Q98" s="724"/>
      <c r="R98" s="724"/>
      <c r="S98" s="138"/>
      <c r="T98" s="724"/>
      <c r="U98" s="724"/>
      <c r="V98" s="724"/>
      <c r="W98" s="86" t="s">
        <v>46</v>
      </c>
      <c r="X98" s="724" t="s">
        <v>47</v>
      </c>
      <c r="Y98" s="151"/>
      <c r="Z98" s="151"/>
      <c r="AA98" s="92"/>
      <c r="AB98" s="92"/>
      <c r="AC98" s="92"/>
      <c r="AD98" s="712"/>
      <c r="AE98" s="753"/>
      <c r="AF98" s="438"/>
      <c r="AG98" s="92"/>
    </row>
    <row r="99" ht="24.95" customHeight="1" spans="1:33">
      <c r="A99" s="705"/>
      <c r="B99" s="711" t="s">
        <v>612</v>
      </c>
      <c r="C99" s="146" t="s">
        <v>52</v>
      </c>
      <c r="D99" s="152" t="s">
        <v>45</v>
      </c>
      <c r="E99" s="92"/>
      <c r="F99" s="96"/>
      <c r="G99" s="92"/>
      <c r="H99" s="86"/>
      <c r="I99" s="86"/>
      <c r="J99" s="724"/>
      <c r="K99" s="724"/>
      <c r="L99" s="825"/>
      <c r="M99" s="724"/>
      <c r="N99" s="724"/>
      <c r="O99" s="86"/>
      <c r="P99" s="724"/>
      <c r="Q99" s="724"/>
      <c r="R99" s="724"/>
      <c r="S99" s="146"/>
      <c r="T99" s="724"/>
      <c r="U99" s="724"/>
      <c r="V99" s="724"/>
      <c r="W99" s="86" t="s">
        <v>46</v>
      </c>
      <c r="X99" s="724" t="s">
        <v>47</v>
      </c>
      <c r="Y99" s="151"/>
      <c r="Z99" s="151"/>
      <c r="AA99" s="92"/>
      <c r="AB99" s="92"/>
      <c r="AC99" s="92"/>
      <c r="AD99" s="141"/>
      <c r="AE99" s="146"/>
      <c r="AF99" s="438"/>
      <c r="AG99" s="92"/>
    </row>
    <row r="100" ht="24.95" customHeight="1" spans="1:33">
      <c r="A100" s="705"/>
      <c r="B100" s="199" t="s">
        <v>114</v>
      </c>
      <c r="C100" s="146" t="s">
        <v>52</v>
      </c>
      <c r="D100" s="152" t="s">
        <v>45</v>
      </c>
      <c r="E100" s="92"/>
      <c r="F100" s="199" t="str">
        <f t="shared" si="21"/>
        <v>古敢乡</v>
      </c>
      <c r="G100" s="92"/>
      <c r="H100" s="86"/>
      <c r="I100" s="86"/>
      <c r="J100" s="724"/>
      <c r="K100" s="724"/>
      <c r="L100" s="825"/>
      <c r="M100" s="724"/>
      <c r="N100" s="724"/>
      <c r="O100" s="86"/>
      <c r="P100" s="724"/>
      <c r="Q100" s="724"/>
      <c r="R100" s="724"/>
      <c r="S100" s="146"/>
      <c r="T100" s="724"/>
      <c r="U100" s="724"/>
      <c r="V100" s="724"/>
      <c r="W100" s="86" t="s">
        <v>46</v>
      </c>
      <c r="X100" s="724" t="s">
        <v>47</v>
      </c>
      <c r="Y100" s="151"/>
      <c r="Z100" s="151"/>
      <c r="AA100" s="92"/>
      <c r="AB100" s="92"/>
      <c r="AC100" s="92"/>
      <c r="AD100" s="146"/>
      <c r="AE100" s="146"/>
      <c r="AF100" s="438"/>
      <c r="AG100" s="92"/>
    </row>
    <row r="101" ht="24.95" customHeight="1" spans="1:33">
      <c r="A101" s="705"/>
      <c r="B101" s="711" t="s">
        <v>613</v>
      </c>
      <c r="C101" s="141" t="s">
        <v>52</v>
      </c>
      <c r="D101" s="141" t="s">
        <v>45</v>
      </c>
      <c r="E101" s="92"/>
      <c r="F101" s="96"/>
      <c r="G101" s="92"/>
      <c r="H101" s="86"/>
      <c r="I101" s="86"/>
      <c r="J101" s="724"/>
      <c r="K101" s="724"/>
      <c r="L101" s="825"/>
      <c r="M101" s="724"/>
      <c r="N101" s="724"/>
      <c r="O101" s="86"/>
      <c r="P101" s="724"/>
      <c r="Q101" s="724"/>
      <c r="R101" s="724"/>
      <c r="S101" s="146"/>
      <c r="T101" s="724"/>
      <c r="U101" s="724"/>
      <c r="V101" s="724"/>
      <c r="W101" s="86" t="s">
        <v>46</v>
      </c>
      <c r="X101" s="724" t="s">
        <v>47</v>
      </c>
      <c r="Y101" s="151"/>
      <c r="Z101" s="151"/>
      <c r="AA101" s="92"/>
      <c r="AB101" s="92"/>
      <c r="AC101" s="92"/>
      <c r="AD101" s="141"/>
      <c r="AE101" s="146"/>
      <c r="AF101" s="438"/>
      <c r="AG101" s="92"/>
    </row>
    <row r="102" ht="24.95" customHeight="1" spans="1:33">
      <c r="A102" s="705"/>
      <c r="B102" s="199" t="s">
        <v>114</v>
      </c>
      <c r="C102" s="141" t="s">
        <v>52</v>
      </c>
      <c r="D102" s="141" t="s">
        <v>45</v>
      </c>
      <c r="E102" s="92"/>
      <c r="F102" s="199" t="str">
        <f t="shared" si="21"/>
        <v>古敢乡</v>
      </c>
      <c r="G102" s="92"/>
      <c r="H102" s="86"/>
      <c r="I102" s="86"/>
      <c r="J102" s="724"/>
      <c r="K102" s="724"/>
      <c r="L102" s="825"/>
      <c r="M102" s="724"/>
      <c r="N102" s="724"/>
      <c r="O102" s="86"/>
      <c r="P102" s="724"/>
      <c r="Q102" s="724"/>
      <c r="R102" s="724"/>
      <c r="S102" s="146"/>
      <c r="T102" s="724"/>
      <c r="U102" s="724"/>
      <c r="V102" s="724"/>
      <c r="W102" s="86" t="s">
        <v>46</v>
      </c>
      <c r="X102" s="724" t="s">
        <v>47</v>
      </c>
      <c r="Y102" s="151"/>
      <c r="Z102" s="151"/>
      <c r="AA102" s="92"/>
      <c r="AB102" s="92"/>
      <c r="AC102" s="92"/>
      <c r="AD102" s="193"/>
      <c r="AE102" s="146"/>
      <c r="AF102" s="438"/>
      <c r="AG102" s="92"/>
    </row>
    <row r="103" ht="24.95" customHeight="1" spans="1:33">
      <c r="A103" s="705"/>
      <c r="B103" s="711" t="s">
        <v>614</v>
      </c>
      <c r="C103" s="712"/>
      <c r="D103" s="713"/>
      <c r="E103" s="92">
        <v>1</v>
      </c>
      <c r="F103" s="96"/>
      <c r="G103" s="92"/>
      <c r="H103" s="86">
        <v>210</v>
      </c>
      <c r="I103" s="86">
        <v>210</v>
      </c>
      <c r="J103" s="724"/>
      <c r="K103" s="724"/>
      <c r="L103" s="825">
        <v>2018.01</v>
      </c>
      <c r="M103" s="724">
        <v>2018.12</v>
      </c>
      <c r="N103" s="724">
        <v>97.8</v>
      </c>
      <c r="O103" s="86">
        <v>97.8</v>
      </c>
      <c r="P103" s="724"/>
      <c r="Q103" s="724"/>
      <c r="R103" s="724"/>
      <c r="S103" s="138">
        <v>97.8</v>
      </c>
      <c r="T103" s="724"/>
      <c r="U103" s="724"/>
      <c r="V103" s="724"/>
      <c r="W103" s="86" t="s">
        <v>46</v>
      </c>
      <c r="X103" s="724" t="s">
        <v>47</v>
      </c>
      <c r="Y103" s="151">
        <v>402</v>
      </c>
      <c r="Z103" s="151">
        <v>1601</v>
      </c>
      <c r="AA103" s="92">
        <v>1</v>
      </c>
      <c r="AB103" s="92"/>
      <c r="AC103" s="92"/>
      <c r="AD103" s="141" t="s">
        <v>68</v>
      </c>
      <c r="AE103" s="146" t="s">
        <v>50</v>
      </c>
      <c r="AF103" s="438" t="s">
        <v>43</v>
      </c>
      <c r="AG103" s="92"/>
    </row>
    <row r="104" ht="24.95" customHeight="1" spans="1:33">
      <c r="A104" s="705"/>
      <c r="B104" s="199" t="s">
        <v>72</v>
      </c>
      <c r="C104" s="712" t="s">
        <v>52</v>
      </c>
      <c r="D104" s="713" t="s">
        <v>45</v>
      </c>
      <c r="E104" s="92">
        <v>1</v>
      </c>
      <c r="F104" s="199" t="str">
        <f t="shared" si="21"/>
        <v>后所镇</v>
      </c>
      <c r="G104" s="92"/>
      <c r="H104" s="86">
        <v>210</v>
      </c>
      <c r="I104" s="86">
        <v>210</v>
      </c>
      <c r="J104" s="724"/>
      <c r="K104" s="724"/>
      <c r="L104" s="825">
        <v>2018.01</v>
      </c>
      <c r="M104" s="724">
        <v>2018.12</v>
      </c>
      <c r="N104" s="724">
        <v>97.8</v>
      </c>
      <c r="O104" s="86">
        <v>97.8</v>
      </c>
      <c r="P104" s="724"/>
      <c r="Q104" s="724"/>
      <c r="R104" s="724"/>
      <c r="S104" s="138">
        <v>97.8</v>
      </c>
      <c r="T104" s="724"/>
      <c r="U104" s="724"/>
      <c r="V104" s="724"/>
      <c r="W104" s="86" t="s">
        <v>46</v>
      </c>
      <c r="X104" s="724" t="s">
        <v>47</v>
      </c>
      <c r="Y104" s="151">
        <v>402</v>
      </c>
      <c r="Z104" s="151">
        <v>1601</v>
      </c>
      <c r="AA104" s="92">
        <v>1</v>
      </c>
      <c r="AB104" s="92"/>
      <c r="AC104" s="92"/>
      <c r="AD104" s="101" t="s">
        <v>73</v>
      </c>
      <c r="AE104" s="601" t="s">
        <v>74</v>
      </c>
      <c r="AF104" s="438" t="s">
        <v>43</v>
      </c>
      <c r="AG104" s="92"/>
    </row>
    <row r="105" ht="24.95" customHeight="1" spans="1:33">
      <c r="A105" s="705"/>
      <c r="B105" s="711" t="s">
        <v>615</v>
      </c>
      <c r="C105" s="712" t="s">
        <v>52</v>
      </c>
      <c r="D105" s="713" t="s">
        <v>45</v>
      </c>
      <c r="E105" s="92">
        <v>1</v>
      </c>
      <c r="F105" s="96"/>
      <c r="G105" s="92"/>
      <c r="H105" s="86">
        <v>180</v>
      </c>
      <c r="I105" s="86">
        <v>180</v>
      </c>
      <c r="J105" s="724"/>
      <c r="K105" s="724"/>
      <c r="L105" s="825">
        <v>2018.01</v>
      </c>
      <c r="M105" s="724">
        <v>2018.12</v>
      </c>
      <c r="N105" s="724">
        <v>27</v>
      </c>
      <c r="O105" s="86">
        <v>27</v>
      </c>
      <c r="P105" s="724"/>
      <c r="Q105" s="724"/>
      <c r="R105" s="724"/>
      <c r="S105" s="138">
        <v>27</v>
      </c>
      <c r="T105" s="724"/>
      <c r="U105" s="724"/>
      <c r="V105" s="724"/>
      <c r="W105" s="86" t="s">
        <v>46</v>
      </c>
      <c r="X105" s="724" t="s">
        <v>47</v>
      </c>
      <c r="Y105" s="151">
        <v>90</v>
      </c>
      <c r="Z105" s="151">
        <v>383</v>
      </c>
      <c r="AA105" s="92">
        <v>1</v>
      </c>
      <c r="AB105" s="92"/>
      <c r="AC105" s="92"/>
      <c r="AD105" s="101" t="s">
        <v>425</v>
      </c>
      <c r="AE105" s="712" t="s">
        <v>426</v>
      </c>
      <c r="AF105" s="601" t="s">
        <v>417</v>
      </c>
      <c r="AG105" s="92"/>
    </row>
    <row r="106" ht="24.95" customHeight="1" spans="1:33">
      <c r="A106" s="705"/>
      <c r="B106" s="199" t="s">
        <v>69</v>
      </c>
      <c r="C106" s="712" t="s">
        <v>52</v>
      </c>
      <c r="D106" s="713" t="s">
        <v>45</v>
      </c>
      <c r="E106" s="92">
        <v>1</v>
      </c>
      <c r="F106" s="199" t="str">
        <f t="shared" si="21"/>
        <v>中安街道</v>
      </c>
      <c r="G106" s="92"/>
      <c r="H106" s="86">
        <v>180</v>
      </c>
      <c r="I106" s="86">
        <v>180</v>
      </c>
      <c r="J106" s="724"/>
      <c r="K106" s="724"/>
      <c r="L106" s="825">
        <v>2018.01</v>
      </c>
      <c r="M106" s="724">
        <v>2018.12</v>
      </c>
      <c r="N106" s="724">
        <v>27</v>
      </c>
      <c r="O106" s="86">
        <v>27</v>
      </c>
      <c r="P106" s="724"/>
      <c r="Q106" s="724"/>
      <c r="R106" s="724"/>
      <c r="S106" s="138">
        <v>27</v>
      </c>
      <c r="T106" s="724"/>
      <c r="U106" s="724"/>
      <c r="V106" s="724"/>
      <c r="W106" s="86" t="s">
        <v>46</v>
      </c>
      <c r="X106" s="724" t="s">
        <v>47</v>
      </c>
      <c r="Y106" s="151">
        <v>90</v>
      </c>
      <c r="Z106" s="151">
        <v>383</v>
      </c>
      <c r="AA106" s="92">
        <v>1</v>
      </c>
      <c r="AB106" s="92"/>
      <c r="AC106" s="92"/>
      <c r="AD106" s="101" t="s">
        <v>425</v>
      </c>
      <c r="AE106" s="712" t="s">
        <v>426</v>
      </c>
      <c r="AF106" s="601" t="s">
        <v>417</v>
      </c>
      <c r="AG106" s="92"/>
    </row>
    <row r="107" ht="24.95" customHeight="1" spans="1:33">
      <c r="A107" s="705"/>
      <c r="B107" s="711" t="s">
        <v>127</v>
      </c>
      <c r="C107" s="713" t="s">
        <v>52</v>
      </c>
      <c r="D107" s="56" t="s">
        <v>45</v>
      </c>
      <c r="E107" s="92">
        <v>1</v>
      </c>
      <c r="F107" s="96" t="str">
        <f t="shared" si="21"/>
        <v>1.24.杨梅</v>
      </c>
      <c r="G107" s="92"/>
      <c r="H107" s="86">
        <v>150</v>
      </c>
      <c r="I107" s="86">
        <v>150</v>
      </c>
      <c r="J107" s="724"/>
      <c r="K107" s="724"/>
      <c r="L107" s="825">
        <v>2018.01</v>
      </c>
      <c r="M107" s="724">
        <v>2018.12</v>
      </c>
      <c r="N107" s="724">
        <v>22.5</v>
      </c>
      <c r="O107" s="86">
        <v>22.5</v>
      </c>
      <c r="P107" s="724"/>
      <c r="Q107" s="724"/>
      <c r="R107" s="724"/>
      <c r="S107" s="138">
        <v>22.5</v>
      </c>
      <c r="T107" s="724"/>
      <c r="U107" s="724"/>
      <c r="V107" s="724"/>
      <c r="W107" s="86" t="s">
        <v>46</v>
      </c>
      <c r="X107" s="724" t="s">
        <v>47</v>
      </c>
      <c r="Y107" s="151">
        <v>118</v>
      </c>
      <c r="Z107" s="151">
        <v>556</v>
      </c>
      <c r="AA107" s="92">
        <v>1</v>
      </c>
      <c r="AB107" s="92"/>
      <c r="AC107" s="92"/>
      <c r="AD107" s="141" t="s">
        <v>68</v>
      </c>
      <c r="AE107" s="146" t="s">
        <v>50</v>
      </c>
      <c r="AF107" s="438" t="s">
        <v>43</v>
      </c>
      <c r="AG107" s="92"/>
    </row>
    <row r="108" ht="24.95" customHeight="1" spans="1:33">
      <c r="A108" s="705"/>
      <c r="B108" s="199" t="s">
        <v>69</v>
      </c>
      <c r="C108" s="713" t="s">
        <v>52</v>
      </c>
      <c r="D108" s="56" t="s">
        <v>45</v>
      </c>
      <c r="E108" s="92">
        <v>1</v>
      </c>
      <c r="F108" s="199" t="str">
        <f t="shared" si="21"/>
        <v>中安街道</v>
      </c>
      <c r="G108" s="92"/>
      <c r="H108" s="86">
        <v>150</v>
      </c>
      <c r="I108" s="86">
        <v>150</v>
      </c>
      <c r="J108" s="724"/>
      <c r="K108" s="724"/>
      <c r="L108" s="825">
        <v>2018.01</v>
      </c>
      <c r="M108" s="724">
        <v>2018.12</v>
      </c>
      <c r="N108" s="724">
        <v>22.5</v>
      </c>
      <c r="O108" s="86">
        <v>22.5</v>
      </c>
      <c r="P108" s="724"/>
      <c r="Q108" s="724"/>
      <c r="R108" s="724"/>
      <c r="S108" s="138">
        <v>22.5</v>
      </c>
      <c r="T108" s="724"/>
      <c r="U108" s="724"/>
      <c r="V108" s="724"/>
      <c r="W108" s="86" t="s">
        <v>46</v>
      </c>
      <c r="X108" s="724" t="s">
        <v>47</v>
      </c>
      <c r="Y108" s="151">
        <v>118</v>
      </c>
      <c r="Z108" s="151">
        <v>556</v>
      </c>
      <c r="AA108" s="92">
        <v>1</v>
      </c>
      <c r="AB108" s="92"/>
      <c r="AC108" s="92"/>
      <c r="AD108" s="712" t="s">
        <v>425</v>
      </c>
      <c r="AE108" s="753" t="s">
        <v>426</v>
      </c>
      <c r="AF108" s="601" t="s">
        <v>417</v>
      </c>
      <c r="AG108" s="92"/>
    </row>
    <row r="109" ht="24.95" customHeight="1" spans="1:33">
      <c r="A109" s="705"/>
      <c r="B109" s="711" t="s">
        <v>616</v>
      </c>
      <c r="C109" s="712" t="s">
        <v>52</v>
      </c>
      <c r="D109" s="713" t="s">
        <v>129</v>
      </c>
      <c r="E109" s="92">
        <v>1</v>
      </c>
      <c r="F109" s="96"/>
      <c r="G109" s="92"/>
      <c r="H109" s="86">
        <v>40</v>
      </c>
      <c r="I109" s="86">
        <v>40</v>
      </c>
      <c r="J109" s="724"/>
      <c r="K109" s="724"/>
      <c r="L109" s="825">
        <v>2018.01</v>
      </c>
      <c r="M109" s="724">
        <v>2018.12</v>
      </c>
      <c r="N109" s="724">
        <v>24.84</v>
      </c>
      <c r="O109" s="86">
        <v>24.84</v>
      </c>
      <c r="P109" s="724"/>
      <c r="Q109" s="724"/>
      <c r="R109" s="724"/>
      <c r="S109" s="138">
        <v>24.84</v>
      </c>
      <c r="T109" s="724"/>
      <c r="U109" s="724"/>
      <c r="V109" s="724"/>
      <c r="W109" s="86" t="s">
        <v>46</v>
      </c>
      <c r="X109" s="724" t="s">
        <v>47</v>
      </c>
      <c r="Y109" s="151">
        <v>133</v>
      </c>
      <c r="Z109" s="151">
        <v>520</v>
      </c>
      <c r="AA109" s="92">
        <v>1</v>
      </c>
      <c r="AB109" s="92"/>
      <c r="AC109" s="92"/>
      <c r="AD109" s="101" t="s">
        <v>70</v>
      </c>
      <c r="AE109" s="712" t="s">
        <v>71</v>
      </c>
      <c r="AF109" s="438" t="s">
        <v>43</v>
      </c>
      <c r="AG109" s="92"/>
    </row>
    <row r="110" ht="24.95" customHeight="1" spans="1:33">
      <c r="A110" s="705"/>
      <c r="B110" s="199" t="s">
        <v>69</v>
      </c>
      <c r="C110" s="712" t="s">
        <v>52</v>
      </c>
      <c r="D110" s="713" t="s">
        <v>129</v>
      </c>
      <c r="E110" s="92">
        <v>1</v>
      </c>
      <c r="F110" s="199" t="str">
        <f t="shared" si="21"/>
        <v>中安街道</v>
      </c>
      <c r="G110" s="92"/>
      <c r="H110" s="86">
        <v>40</v>
      </c>
      <c r="I110" s="86">
        <v>40</v>
      </c>
      <c r="J110" s="724"/>
      <c r="K110" s="724"/>
      <c r="L110" s="825">
        <v>2018.01</v>
      </c>
      <c r="M110" s="724">
        <v>2018.12</v>
      </c>
      <c r="N110" s="724">
        <v>24.84</v>
      </c>
      <c r="O110" s="86">
        <v>24.84</v>
      </c>
      <c r="P110" s="724"/>
      <c r="Q110" s="724"/>
      <c r="R110" s="724"/>
      <c r="S110" s="138">
        <v>24.84</v>
      </c>
      <c r="T110" s="724"/>
      <c r="U110" s="724"/>
      <c r="V110" s="724"/>
      <c r="W110" s="86" t="s">
        <v>46</v>
      </c>
      <c r="X110" s="724" t="s">
        <v>47</v>
      </c>
      <c r="Y110" s="151">
        <v>133</v>
      </c>
      <c r="Z110" s="151">
        <v>520</v>
      </c>
      <c r="AA110" s="92">
        <v>1</v>
      </c>
      <c r="AB110" s="92"/>
      <c r="AC110" s="92"/>
      <c r="AD110" s="101" t="s">
        <v>70</v>
      </c>
      <c r="AE110" s="712" t="s">
        <v>71</v>
      </c>
      <c r="AF110" s="438" t="s">
        <v>43</v>
      </c>
      <c r="AG110" s="92"/>
    </row>
    <row r="111" ht="24.95" customHeight="1" spans="1:33">
      <c r="A111" s="705">
        <v>5</v>
      </c>
      <c r="B111" s="708" t="s">
        <v>130</v>
      </c>
      <c r="C111" s="708"/>
      <c r="D111" s="709" t="s">
        <v>131</v>
      </c>
      <c r="E111" s="708">
        <f>E112</f>
        <v>10</v>
      </c>
      <c r="F111" s="708"/>
      <c r="G111" s="708"/>
      <c r="H111" s="726">
        <f t="shared" ref="F111:AA111" si="24">H112</f>
        <v>59230</v>
      </c>
      <c r="I111" s="726">
        <f t="shared" si="24"/>
        <v>59230</v>
      </c>
      <c r="J111" s="726">
        <f t="shared" si="24"/>
        <v>0</v>
      </c>
      <c r="K111" s="726">
        <f t="shared" si="24"/>
        <v>0</v>
      </c>
      <c r="L111" s="726">
        <f t="shared" si="24"/>
        <v>0</v>
      </c>
      <c r="M111" s="726">
        <f t="shared" si="24"/>
        <v>0</v>
      </c>
      <c r="N111" s="726">
        <f t="shared" si="24"/>
        <v>661.199</v>
      </c>
      <c r="O111" s="726">
        <f t="shared" si="24"/>
        <v>661.199</v>
      </c>
      <c r="P111" s="726">
        <f t="shared" si="24"/>
        <v>0</v>
      </c>
      <c r="Q111" s="726">
        <f t="shared" si="24"/>
        <v>0</v>
      </c>
      <c r="R111" s="726">
        <f t="shared" si="24"/>
        <v>0</v>
      </c>
      <c r="S111" s="726">
        <f t="shared" si="24"/>
        <v>661.199</v>
      </c>
      <c r="T111" s="726">
        <f t="shared" si="24"/>
        <v>0</v>
      </c>
      <c r="U111" s="726">
        <f t="shared" si="24"/>
        <v>0</v>
      </c>
      <c r="V111" s="726">
        <f t="shared" si="24"/>
        <v>0</v>
      </c>
      <c r="W111" s="86" t="s">
        <v>46</v>
      </c>
      <c r="X111" s="724" t="s">
        <v>47</v>
      </c>
      <c r="Y111" s="763">
        <f t="shared" si="24"/>
        <v>4360</v>
      </c>
      <c r="Z111" s="763">
        <f t="shared" si="24"/>
        <v>18081.069</v>
      </c>
      <c r="AA111" s="708">
        <f t="shared" si="24"/>
        <v>10</v>
      </c>
      <c r="AB111" s="708"/>
      <c r="AC111" s="708"/>
      <c r="AD111" s="708"/>
      <c r="AE111" s="708"/>
      <c r="AF111" s="708" t="s">
        <v>43</v>
      </c>
      <c r="AG111" s="708"/>
    </row>
    <row r="112" ht="42" customHeight="1" spans="1:33">
      <c r="A112" s="705">
        <v>7</v>
      </c>
      <c r="B112" s="92" t="s">
        <v>617</v>
      </c>
      <c r="C112" s="92"/>
      <c r="D112" s="76"/>
      <c r="E112" s="92">
        <f>E113+E118+E120+E124+E128</f>
        <v>10</v>
      </c>
      <c r="F112" s="92"/>
      <c r="G112" s="92"/>
      <c r="H112" s="724">
        <f t="shared" ref="F112:AA112" si="25">H113+H118+H120+H124+H128</f>
        <v>59230</v>
      </c>
      <c r="I112" s="724">
        <f t="shared" si="25"/>
        <v>59230</v>
      </c>
      <c r="J112" s="724">
        <f t="shared" si="25"/>
        <v>0</v>
      </c>
      <c r="K112" s="724">
        <f t="shared" si="25"/>
        <v>0</v>
      </c>
      <c r="L112" s="724">
        <f t="shared" si="25"/>
        <v>0</v>
      </c>
      <c r="M112" s="724">
        <f t="shared" si="25"/>
        <v>0</v>
      </c>
      <c r="N112" s="724">
        <f t="shared" si="25"/>
        <v>661.199</v>
      </c>
      <c r="O112" s="724">
        <f t="shared" si="25"/>
        <v>661.199</v>
      </c>
      <c r="P112" s="724">
        <f t="shared" si="25"/>
        <v>0</v>
      </c>
      <c r="Q112" s="724">
        <f t="shared" si="25"/>
        <v>0</v>
      </c>
      <c r="R112" s="724">
        <f t="shared" si="25"/>
        <v>0</v>
      </c>
      <c r="S112" s="724">
        <f t="shared" si="25"/>
        <v>661.199</v>
      </c>
      <c r="T112" s="724">
        <f t="shared" si="25"/>
        <v>0</v>
      </c>
      <c r="U112" s="724">
        <f t="shared" si="25"/>
        <v>0</v>
      </c>
      <c r="V112" s="724">
        <f t="shared" si="25"/>
        <v>0</v>
      </c>
      <c r="W112" s="86" t="s">
        <v>46</v>
      </c>
      <c r="X112" s="724" t="s">
        <v>47</v>
      </c>
      <c r="Y112" s="738">
        <f t="shared" si="25"/>
        <v>4360</v>
      </c>
      <c r="Z112" s="738">
        <f t="shared" si="25"/>
        <v>18081.069</v>
      </c>
      <c r="AA112" s="92">
        <f t="shared" si="25"/>
        <v>10</v>
      </c>
      <c r="AB112" s="92"/>
      <c r="AC112" s="92"/>
      <c r="AD112" s="92"/>
      <c r="AE112" s="92"/>
      <c r="AF112" s="92" t="s">
        <v>43</v>
      </c>
      <c r="AG112" s="92"/>
    </row>
    <row r="113" ht="33" customHeight="1" spans="1:33">
      <c r="A113" s="705" t="s">
        <v>48</v>
      </c>
      <c r="B113" s="751" t="s">
        <v>133</v>
      </c>
      <c r="C113" s="146" t="s">
        <v>52</v>
      </c>
      <c r="D113" s="434" t="s">
        <v>134</v>
      </c>
      <c r="E113" s="92">
        <f t="shared" ref="E113:AA113" si="26">SUM(E114:E117)</f>
        <v>3</v>
      </c>
      <c r="F113" s="92"/>
      <c r="G113" s="92"/>
      <c r="H113" s="724">
        <f t="shared" si="26"/>
        <v>49653</v>
      </c>
      <c r="I113" s="724">
        <f t="shared" si="26"/>
        <v>49653</v>
      </c>
      <c r="J113" s="724">
        <f t="shared" si="26"/>
        <v>0</v>
      </c>
      <c r="K113" s="724">
        <f t="shared" si="26"/>
        <v>0</v>
      </c>
      <c r="L113" s="825"/>
      <c r="M113" s="724"/>
      <c r="N113" s="724">
        <f t="shared" si="26"/>
        <v>393.29</v>
      </c>
      <c r="O113" s="724">
        <f t="shared" si="26"/>
        <v>393.29</v>
      </c>
      <c r="P113" s="724">
        <f t="shared" si="26"/>
        <v>0</v>
      </c>
      <c r="Q113" s="724">
        <f t="shared" si="26"/>
        <v>0</v>
      </c>
      <c r="R113" s="724">
        <f t="shared" si="26"/>
        <v>0</v>
      </c>
      <c r="S113" s="724">
        <f t="shared" si="26"/>
        <v>393.29</v>
      </c>
      <c r="T113" s="724">
        <f t="shared" si="26"/>
        <v>0</v>
      </c>
      <c r="U113" s="724">
        <f t="shared" si="26"/>
        <v>0</v>
      </c>
      <c r="V113" s="724">
        <f t="shared" si="26"/>
        <v>0</v>
      </c>
      <c r="W113" s="86" t="s">
        <v>46</v>
      </c>
      <c r="X113" s="724" t="s">
        <v>47</v>
      </c>
      <c r="Y113" s="92">
        <f t="shared" si="26"/>
        <v>3111</v>
      </c>
      <c r="Z113" s="92">
        <f t="shared" si="26"/>
        <v>13137</v>
      </c>
      <c r="AA113" s="92">
        <f t="shared" si="26"/>
        <v>3</v>
      </c>
      <c r="AB113" s="92"/>
      <c r="AC113" s="92"/>
      <c r="AD113" s="92"/>
      <c r="AE113" s="141" t="s">
        <v>68</v>
      </c>
      <c r="AF113" s="146" t="s">
        <v>50</v>
      </c>
      <c r="AG113" s="438" t="s">
        <v>43</v>
      </c>
    </row>
    <row r="114" ht="33" customHeight="1" spans="1:33">
      <c r="A114" s="705"/>
      <c r="B114" s="714" t="s">
        <v>81</v>
      </c>
      <c r="C114" s="146" t="s">
        <v>52</v>
      </c>
      <c r="D114" s="141" t="s">
        <v>134</v>
      </c>
      <c r="E114" s="92">
        <v>1</v>
      </c>
      <c r="F114" s="714" t="str">
        <f t="shared" si="21"/>
        <v>墨红</v>
      </c>
      <c r="G114" s="92"/>
      <c r="H114" s="724">
        <v>778</v>
      </c>
      <c r="I114" s="724">
        <v>778</v>
      </c>
      <c r="J114" s="724"/>
      <c r="K114" s="724"/>
      <c r="L114" s="825">
        <v>2018.01</v>
      </c>
      <c r="M114" s="724">
        <v>2018.12</v>
      </c>
      <c r="N114" s="724">
        <v>22.4</v>
      </c>
      <c r="O114" s="724">
        <v>22.4</v>
      </c>
      <c r="P114" s="724"/>
      <c r="Q114" s="724"/>
      <c r="R114" s="724"/>
      <c r="S114" s="724">
        <v>22.4</v>
      </c>
      <c r="T114" s="724"/>
      <c r="U114" s="724"/>
      <c r="V114" s="724"/>
      <c r="W114" s="86" t="s">
        <v>46</v>
      </c>
      <c r="X114" s="724" t="s">
        <v>47</v>
      </c>
      <c r="Y114" s="92">
        <v>406</v>
      </c>
      <c r="Z114" s="92">
        <v>1689</v>
      </c>
      <c r="AA114" s="92">
        <v>1</v>
      </c>
      <c r="AB114" s="92"/>
      <c r="AC114" s="92"/>
      <c r="AD114" s="92"/>
      <c r="AE114" s="193" t="s">
        <v>82</v>
      </c>
      <c r="AF114" s="146" t="s">
        <v>135</v>
      </c>
      <c r="AG114" s="438" t="s">
        <v>43</v>
      </c>
    </row>
    <row r="115" ht="33" customHeight="1" spans="1:33">
      <c r="A115" s="705"/>
      <c r="B115" s="199" t="s">
        <v>75</v>
      </c>
      <c r="C115" s="146" t="s">
        <v>52</v>
      </c>
      <c r="D115" s="141" t="s">
        <v>134</v>
      </c>
      <c r="E115" s="92">
        <v>1</v>
      </c>
      <c r="F115" s="199" t="str">
        <f t="shared" si="21"/>
        <v>营上镇</v>
      </c>
      <c r="G115" s="92"/>
      <c r="H115" s="724">
        <v>6986</v>
      </c>
      <c r="I115" s="724">
        <v>6986</v>
      </c>
      <c r="J115" s="724"/>
      <c r="K115" s="724"/>
      <c r="L115" s="825">
        <v>2018.01</v>
      </c>
      <c r="M115" s="724">
        <v>2018.12</v>
      </c>
      <c r="N115" s="724">
        <v>170.59</v>
      </c>
      <c r="O115" s="724">
        <v>170.59</v>
      </c>
      <c r="P115" s="724"/>
      <c r="Q115" s="724"/>
      <c r="R115" s="724"/>
      <c r="S115" s="724">
        <v>170.59</v>
      </c>
      <c r="T115" s="724"/>
      <c r="U115" s="724"/>
      <c r="V115" s="724"/>
      <c r="W115" s="86" t="s">
        <v>46</v>
      </c>
      <c r="X115" s="724" t="s">
        <v>47</v>
      </c>
      <c r="Y115" s="92">
        <v>579</v>
      </c>
      <c r="Z115" s="92">
        <v>2546</v>
      </c>
      <c r="AA115" s="92">
        <v>1</v>
      </c>
      <c r="AB115" s="92"/>
      <c r="AC115" s="92"/>
      <c r="AD115" s="92"/>
      <c r="AE115" s="146" t="s">
        <v>76</v>
      </c>
      <c r="AF115" s="146" t="s">
        <v>136</v>
      </c>
      <c r="AG115" s="438" t="s">
        <v>43</v>
      </c>
    </row>
    <row r="116" ht="33" customHeight="1" spans="1:33">
      <c r="A116" s="705"/>
      <c r="B116" s="714" t="s">
        <v>98</v>
      </c>
      <c r="C116" s="141" t="s">
        <v>52</v>
      </c>
      <c r="D116" s="141" t="s">
        <v>134</v>
      </c>
      <c r="E116" s="92">
        <v>1</v>
      </c>
      <c r="F116" s="714" t="str">
        <f t="shared" si="21"/>
        <v>大河</v>
      </c>
      <c r="G116" s="92"/>
      <c r="H116" s="724">
        <v>41889</v>
      </c>
      <c r="I116" s="724">
        <v>41889</v>
      </c>
      <c r="J116" s="724"/>
      <c r="K116" s="724"/>
      <c r="L116" s="825">
        <v>2018.01</v>
      </c>
      <c r="M116" s="724">
        <v>2018.12</v>
      </c>
      <c r="N116" s="724">
        <v>200.3</v>
      </c>
      <c r="O116" s="724">
        <v>200.3</v>
      </c>
      <c r="P116" s="724"/>
      <c r="Q116" s="724"/>
      <c r="R116" s="724"/>
      <c r="S116" s="724">
        <v>200.3</v>
      </c>
      <c r="T116" s="724"/>
      <c r="U116" s="724"/>
      <c r="V116" s="724"/>
      <c r="W116" s="86" t="s">
        <v>46</v>
      </c>
      <c r="X116" s="724" t="s">
        <v>47</v>
      </c>
      <c r="Y116" s="92">
        <v>2126</v>
      </c>
      <c r="Z116" s="92">
        <v>8902</v>
      </c>
      <c r="AA116" s="92">
        <v>1</v>
      </c>
      <c r="AB116" s="92"/>
      <c r="AC116" s="92"/>
      <c r="AD116" s="92"/>
      <c r="AE116" s="146" t="s">
        <v>56</v>
      </c>
      <c r="AF116" s="141" t="s">
        <v>137</v>
      </c>
      <c r="AG116" s="438" t="s">
        <v>43</v>
      </c>
    </row>
    <row r="117" ht="33" customHeight="1" spans="1:33">
      <c r="A117" s="705"/>
      <c r="B117" s="199" t="s">
        <v>69</v>
      </c>
      <c r="C117" s="141" t="s">
        <v>52</v>
      </c>
      <c r="D117" s="141" t="s">
        <v>134</v>
      </c>
      <c r="E117" s="92"/>
      <c r="F117" s="199" t="str">
        <f t="shared" si="21"/>
        <v>中安街道</v>
      </c>
      <c r="G117" s="92"/>
      <c r="H117" s="724"/>
      <c r="I117" s="724"/>
      <c r="J117" s="724"/>
      <c r="K117" s="724"/>
      <c r="L117" s="825"/>
      <c r="M117" s="724"/>
      <c r="N117" s="724"/>
      <c r="O117" s="724"/>
      <c r="P117" s="724"/>
      <c r="Q117" s="724"/>
      <c r="R117" s="724"/>
      <c r="S117" s="724"/>
      <c r="T117" s="724"/>
      <c r="U117" s="724"/>
      <c r="V117" s="724"/>
      <c r="W117" s="86" t="s">
        <v>46</v>
      </c>
      <c r="X117" s="724" t="s">
        <v>47</v>
      </c>
      <c r="Y117" s="92"/>
      <c r="Z117" s="92"/>
      <c r="AA117" s="92"/>
      <c r="AB117" s="92"/>
      <c r="AC117" s="92"/>
      <c r="AD117" s="92"/>
      <c r="AE117" s="146"/>
      <c r="AF117" s="146"/>
      <c r="AG117" s="438"/>
    </row>
    <row r="118" ht="33" customHeight="1" spans="1:33">
      <c r="A118" s="705"/>
      <c r="B118" s="711" t="s">
        <v>139</v>
      </c>
      <c r="C118" s="146" t="s">
        <v>52</v>
      </c>
      <c r="D118" s="152" t="s">
        <v>140</v>
      </c>
      <c r="E118" s="92">
        <f>E119</f>
        <v>1</v>
      </c>
      <c r="F118" s="92"/>
      <c r="G118" s="92"/>
      <c r="H118" s="724">
        <f t="shared" ref="F118:AA118" si="27">H119</f>
        <v>7520</v>
      </c>
      <c r="I118" s="724">
        <f t="shared" si="27"/>
        <v>7520</v>
      </c>
      <c r="J118" s="724">
        <f t="shared" si="27"/>
        <v>0</v>
      </c>
      <c r="K118" s="724">
        <f t="shared" si="27"/>
        <v>0</v>
      </c>
      <c r="L118" s="724"/>
      <c r="M118" s="724"/>
      <c r="N118" s="724">
        <f t="shared" si="27"/>
        <v>8.78</v>
      </c>
      <c r="O118" s="724">
        <f t="shared" si="27"/>
        <v>8.78</v>
      </c>
      <c r="P118" s="724">
        <f t="shared" si="27"/>
        <v>0</v>
      </c>
      <c r="Q118" s="724">
        <f t="shared" si="27"/>
        <v>0</v>
      </c>
      <c r="R118" s="724">
        <f t="shared" si="27"/>
        <v>0</v>
      </c>
      <c r="S118" s="724">
        <f t="shared" si="27"/>
        <v>8.78</v>
      </c>
      <c r="T118" s="724">
        <f t="shared" si="27"/>
        <v>0</v>
      </c>
      <c r="U118" s="724">
        <f t="shared" si="27"/>
        <v>0</v>
      </c>
      <c r="V118" s="724">
        <f t="shared" si="27"/>
        <v>0</v>
      </c>
      <c r="W118" s="86" t="s">
        <v>46</v>
      </c>
      <c r="X118" s="724" t="s">
        <v>47</v>
      </c>
      <c r="Y118" s="92">
        <f t="shared" si="27"/>
        <v>127</v>
      </c>
      <c r="Z118" s="92">
        <f t="shared" si="27"/>
        <v>501</v>
      </c>
      <c r="AA118" s="92">
        <f t="shared" si="27"/>
        <v>1</v>
      </c>
      <c r="AB118" s="92"/>
      <c r="AC118" s="92"/>
      <c r="AD118" s="92"/>
      <c r="AE118" s="141" t="s">
        <v>68</v>
      </c>
      <c r="AF118" s="146" t="s">
        <v>50</v>
      </c>
      <c r="AG118" s="438" t="s">
        <v>43</v>
      </c>
    </row>
    <row r="119" ht="33" customHeight="1" spans="1:33">
      <c r="A119" s="705"/>
      <c r="B119" s="714" t="s">
        <v>81</v>
      </c>
      <c r="C119" s="146" t="s">
        <v>52</v>
      </c>
      <c r="D119" s="152" t="s">
        <v>140</v>
      </c>
      <c r="E119" s="92">
        <v>1</v>
      </c>
      <c r="F119" s="714" t="str">
        <f t="shared" si="21"/>
        <v>墨红</v>
      </c>
      <c r="G119" s="92"/>
      <c r="H119" s="724">
        <v>7520</v>
      </c>
      <c r="I119" s="724">
        <v>7520</v>
      </c>
      <c r="J119" s="724"/>
      <c r="K119" s="724"/>
      <c r="L119" s="825">
        <v>2018.01</v>
      </c>
      <c r="M119" s="724">
        <v>2018.12</v>
      </c>
      <c r="N119" s="724">
        <v>8.78</v>
      </c>
      <c r="O119" s="724">
        <v>8.78</v>
      </c>
      <c r="P119" s="724"/>
      <c r="Q119" s="724"/>
      <c r="R119" s="724"/>
      <c r="S119" s="724">
        <v>8.78</v>
      </c>
      <c r="T119" s="724"/>
      <c r="U119" s="724"/>
      <c r="V119" s="724"/>
      <c r="W119" s="86" t="s">
        <v>46</v>
      </c>
      <c r="X119" s="724" t="s">
        <v>47</v>
      </c>
      <c r="Y119" s="92">
        <v>127</v>
      </c>
      <c r="Z119" s="92">
        <v>501</v>
      </c>
      <c r="AA119" s="92">
        <v>1</v>
      </c>
      <c r="AB119" s="92"/>
      <c r="AC119" s="92"/>
      <c r="AD119" s="92"/>
      <c r="AE119" s="146" t="s">
        <v>68</v>
      </c>
      <c r="AF119" s="146" t="s">
        <v>50</v>
      </c>
      <c r="AG119" s="438" t="s">
        <v>43</v>
      </c>
    </row>
    <row r="120" ht="33" customHeight="1" spans="1:33">
      <c r="A120" s="705"/>
      <c r="B120" s="751" t="s">
        <v>141</v>
      </c>
      <c r="C120" s="146" t="s">
        <v>52</v>
      </c>
      <c r="D120" s="434"/>
      <c r="E120" s="92">
        <f>SUM(E121:E123)</f>
        <v>2</v>
      </c>
      <c r="F120" s="92"/>
      <c r="G120" s="92"/>
      <c r="H120" s="724">
        <f t="shared" ref="F120:AB120" si="28">SUM(H121:H123)</f>
        <v>857</v>
      </c>
      <c r="I120" s="724">
        <f t="shared" si="28"/>
        <v>857</v>
      </c>
      <c r="J120" s="724">
        <f t="shared" si="28"/>
        <v>0</v>
      </c>
      <c r="K120" s="724">
        <f t="shared" si="28"/>
        <v>0</v>
      </c>
      <c r="L120" s="724"/>
      <c r="M120" s="724"/>
      <c r="N120" s="724">
        <f t="shared" si="28"/>
        <v>32.9</v>
      </c>
      <c r="O120" s="724">
        <f t="shared" si="28"/>
        <v>32.9</v>
      </c>
      <c r="P120" s="724">
        <f t="shared" si="28"/>
        <v>0</v>
      </c>
      <c r="Q120" s="724">
        <f t="shared" si="28"/>
        <v>0</v>
      </c>
      <c r="R120" s="724">
        <f t="shared" si="28"/>
        <v>0</v>
      </c>
      <c r="S120" s="724">
        <f t="shared" si="28"/>
        <v>32.9</v>
      </c>
      <c r="T120" s="724">
        <f t="shared" si="28"/>
        <v>0</v>
      </c>
      <c r="U120" s="724">
        <f t="shared" si="28"/>
        <v>0</v>
      </c>
      <c r="V120" s="724">
        <f t="shared" si="28"/>
        <v>0</v>
      </c>
      <c r="W120" s="86" t="s">
        <v>46</v>
      </c>
      <c r="X120" s="724" t="s">
        <v>47</v>
      </c>
      <c r="Y120" s="92">
        <f t="shared" si="28"/>
        <v>205</v>
      </c>
      <c r="Z120" s="92">
        <f t="shared" si="28"/>
        <v>805</v>
      </c>
      <c r="AA120" s="92">
        <f t="shared" si="28"/>
        <v>2</v>
      </c>
      <c r="AB120" s="92">
        <f t="shared" si="28"/>
        <v>0</v>
      </c>
      <c r="AC120" s="92"/>
      <c r="AD120" s="92"/>
      <c r="AE120" s="141" t="s">
        <v>68</v>
      </c>
      <c r="AF120" s="146" t="s">
        <v>50</v>
      </c>
      <c r="AG120" s="438" t="s">
        <v>43</v>
      </c>
    </row>
    <row r="121" ht="33" customHeight="1" spans="1:33">
      <c r="A121" s="705"/>
      <c r="B121" s="714" t="s">
        <v>81</v>
      </c>
      <c r="C121" s="146" t="s">
        <v>52</v>
      </c>
      <c r="D121" s="152" t="s">
        <v>140</v>
      </c>
      <c r="E121" s="92">
        <v>1</v>
      </c>
      <c r="F121" s="714" t="str">
        <f t="shared" si="21"/>
        <v>墨红</v>
      </c>
      <c r="G121" s="92"/>
      <c r="H121" s="724">
        <v>795</v>
      </c>
      <c r="I121" s="724">
        <v>795</v>
      </c>
      <c r="J121" s="724"/>
      <c r="K121" s="724"/>
      <c r="L121" s="825">
        <v>2018.01</v>
      </c>
      <c r="M121" s="724">
        <v>2018.12</v>
      </c>
      <c r="N121" s="724">
        <v>27.72</v>
      </c>
      <c r="O121" s="724">
        <v>27.72</v>
      </c>
      <c r="P121" s="724"/>
      <c r="Q121" s="724"/>
      <c r="R121" s="724"/>
      <c r="S121" s="724">
        <v>27.72</v>
      </c>
      <c r="T121" s="724"/>
      <c r="U121" s="724"/>
      <c r="V121" s="724"/>
      <c r="W121" s="86" t="s">
        <v>46</v>
      </c>
      <c r="X121" s="724" t="s">
        <v>47</v>
      </c>
      <c r="Y121" s="92">
        <v>191</v>
      </c>
      <c r="Z121" s="92">
        <v>738</v>
      </c>
      <c r="AA121" s="92">
        <v>1</v>
      </c>
      <c r="AB121" s="92"/>
      <c r="AC121" s="92"/>
      <c r="AD121" s="92"/>
      <c r="AE121" s="146" t="s">
        <v>82</v>
      </c>
      <c r="AF121" s="146" t="s">
        <v>135</v>
      </c>
      <c r="AG121" s="438" t="s">
        <v>43</v>
      </c>
    </row>
    <row r="122" ht="33" customHeight="1" spans="1:33">
      <c r="A122" s="705"/>
      <c r="B122" s="714" t="s">
        <v>98</v>
      </c>
      <c r="C122" s="146" t="s">
        <v>52</v>
      </c>
      <c r="D122" s="152" t="s">
        <v>140</v>
      </c>
      <c r="E122" s="92">
        <v>1</v>
      </c>
      <c r="F122" s="714" t="str">
        <f t="shared" si="21"/>
        <v>大河</v>
      </c>
      <c r="G122" s="92"/>
      <c r="H122" s="724">
        <v>62</v>
      </c>
      <c r="I122" s="724">
        <v>62</v>
      </c>
      <c r="J122" s="724"/>
      <c r="K122" s="724"/>
      <c r="L122" s="825">
        <v>2018.01</v>
      </c>
      <c r="M122" s="724">
        <v>2018.12</v>
      </c>
      <c r="N122" s="724">
        <v>5.18</v>
      </c>
      <c r="O122" s="724">
        <v>5.18</v>
      </c>
      <c r="P122" s="724"/>
      <c r="Q122" s="724"/>
      <c r="R122" s="724"/>
      <c r="S122" s="724">
        <v>5.18</v>
      </c>
      <c r="T122" s="724"/>
      <c r="U122" s="724"/>
      <c r="V122" s="724"/>
      <c r="W122" s="86" t="s">
        <v>46</v>
      </c>
      <c r="X122" s="724" t="s">
        <v>47</v>
      </c>
      <c r="Y122" s="92">
        <v>14</v>
      </c>
      <c r="Z122" s="92">
        <v>67</v>
      </c>
      <c r="AA122" s="92">
        <v>1</v>
      </c>
      <c r="AB122" s="92"/>
      <c r="AC122" s="92"/>
      <c r="AD122" s="92"/>
      <c r="AE122" s="146" t="s">
        <v>56</v>
      </c>
      <c r="AF122" s="141" t="s">
        <v>137</v>
      </c>
      <c r="AG122" s="438" t="s">
        <v>43</v>
      </c>
    </row>
    <row r="123" ht="33" customHeight="1" spans="1:33">
      <c r="A123" s="705"/>
      <c r="B123" s="199" t="s">
        <v>69</v>
      </c>
      <c r="C123" s="146" t="s">
        <v>52</v>
      </c>
      <c r="D123" s="152" t="s">
        <v>140</v>
      </c>
      <c r="E123" s="92"/>
      <c r="F123" s="199" t="str">
        <f t="shared" si="21"/>
        <v>中安街道</v>
      </c>
      <c r="G123" s="92"/>
      <c r="H123" s="724"/>
      <c r="I123" s="724"/>
      <c r="J123" s="724"/>
      <c r="K123" s="724"/>
      <c r="L123" s="825"/>
      <c r="M123" s="724"/>
      <c r="N123" s="724"/>
      <c r="O123" s="724"/>
      <c r="P123" s="724"/>
      <c r="Q123" s="724"/>
      <c r="R123" s="724"/>
      <c r="S123" s="724"/>
      <c r="T123" s="724"/>
      <c r="U123" s="724"/>
      <c r="V123" s="724"/>
      <c r="W123" s="86" t="s">
        <v>46</v>
      </c>
      <c r="X123" s="724" t="s">
        <v>47</v>
      </c>
      <c r="Y123" s="92"/>
      <c r="Z123" s="92"/>
      <c r="AA123" s="92"/>
      <c r="AB123" s="92"/>
      <c r="AC123" s="92"/>
      <c r="AD123" s="92"/>
      <c r="AE123" s="146"/>
      <c r="AF123" s="146"/>
      <c r="AG123" s="438"/>
    </row>
    <row r="124" ht="33" customHeight="1" spans="1:33">
      <c r="A124" s="705"/>
      <c r="B124" s="750" t="s">
        <v>142</v>
      </c>
      <c r="C124" s="141" t="s">
        <v>52</v>
      </c>
      <c r="D124" s="141" t="s">
        <v>134</v>
      </c>
      <c r="E124" s="92">
        <f>SUM(E125:E127)</f>
        <v>3</v>
      </c>
      <c r="F124" s="92"/>
      <c r="G124" s="92"/>
      <c r="H124" s="724">
        <f t="shared" ref="F124:AA124" si="29">SUM(H125:H127)</f>
        <v>858</v>
      </c>
      <c r="I124" s="724">
        <f t="shared" si="29"/>
        <v>858</v>
      </c>
      <c r="J124" s="724">
        <f t="shared" si="29"/>
        <v>0</v>
      </c>
      <c r="K124" s="724">
        <f t="shared" si="29"/>
        <v>0</v>
      </c>
      <c r="L124" s="724"/>
      <c r="M124" s="724"/>
      <c r="N124" s="724">
        <f t="shared" si="29"/>
        <v>192.029</v>
      </c>
      <c r="O124" s="724">
        <f t="shared" si="29"/>
        <v>192.029</v>
      </c>
      <c r="P124" s="724">
        <f t="shared" si="29"/>
        <v>0</v>
      </c>
      <c r="Q124" s="724">
        <f t="shared" si="29"/>
        <v>0</v>
      </c>
      <c r="R124" s="724">
        <f t="shared" si="29"/>
        <v>0</v>
      </c>
      <c r="S124" s="724">
        <f t="shared" si="29"/>
        <v>192.029</v>
      </c>
      <c r="T124" s="724">
        <f t="shared" si="29"/>
        <v>0</v>
      </c>
      <c r="U124" s="724">
        <f t="shared" si="29"/>
        <v>0</v>
      </c>
      <c r="V124" s="724">
        <f t="shared" si="29"/>
        <v>0</v>
      </c>
      <c r="W124" s="86" t="s">
        <v>46</v>
      </c>
      <c r="X124" s="724" t="s">
        <v>47</v>
      </c>
      <c r="Y124" s="92">
        <f t="shared" si="29"/>
        <v>746</v>
      </c>
      <c r="Z124" s="92">
        <f t="shared" si="29"/>
        <v>2909.069</v>
      </c>
      <c r="AA124" s="92">
        <f t="shared" si="29"/>
        <v>3</v>
      </c>
      <c r="AB124" s="92"/>
      <c r="AC124" s="92"/>
      <c r="AD124" s="92"/>
      <c r="AE124" s="141" t="s">
        <v>68</v>
      </c>
      <c r="AF124" s="146" t="s">
        <v>50</v>
      </c>
      <c r="AG124" s="438" t="s">
        <v>43</v>
      </c>
    </row>
    <row r="125" ht="33" customHeight="1" spans="1:33">
      <c r="A125" s="705"/>
      <c r="B125" s="714" t="s">
        <v>143</v>
      </c>
      <c r="C125" s="146" t="s">
        <v>52</v>
      </c>
      <c r="D125" s="152" t="s">
        <v>134</v>
      </c>
      <c r="E125" s="92">
        <v>1</v>
      </c>
      <c r="F125" s="714" t="str">
        <f t="shared" si="21"/>
        <v>老厂</v>
      </c>
      <c r="G125" s="92"/>
      <c r="H125" s="724">
        <v>106</v>
      </c>
      <c r="I125" s="724">
        <v>106</v>
      </c>
      <c r="J125" s="724"/>
      <c r="K125" s="724"/>
      <c r="L125" s="825">
        <v>2018.01</v>
      </c>
      <c r="M125" s="724">
        <v>2018.12</v>
      </c>
      <c r="N125" s="724">
        <v>17.069</v>
      </c>
      <c r="O125" s="724">
        <v>17.069</v>
      </c>
      <c r="P125" s="724"/>
      <c r="Q125" s="724"/>
      <c r="R125" s="724"/>
      <c r="S125" s="724">
        <v>17.069</v>
      </c>
      <c r="T125" s="724"/>
      <c r="U125" s="724"/>
      <c r="V125" s="724"/>
      <c r="W125" s="86" t="s">
        <v>46</v>
      </c>
      <c r="X125" s="724" t="s">
        <v>47</v>
      </c>
      <c r="Y125" s="92">
        <v>33</v>
      </c>
      <c r="Z125" s="92">
        <v>17.069</v>
      </c>
      <c r="AA125" s="92">
        <v>1</v>
      </c>
      <c r="AB125" s="92"/>
      <c r="AC125" s="92"/>
      <c r="AD125" s="92"/>
      <c r="AE125" s="141" t="s">
        <v>93</v>
      </c>
      <c r="AF125" s="146" t="s">
        <v>94</v>
      </c>
      <c r="AG125" s="438" t="s">
        <v>43</v>
      </c>
    </row>
    <row r="126" ht="33" customHeight="1" spans="1:33">
      <c r="A126" s="705"/>
      <c r="B126" s="714" t="s">
        <v>81</v>
      </c>
      <c r="C126" s="146" t="s">
        <v>52</v>
      </c>
      <c r="D126" s="152" t="s">
        <v>134</v>
      </c>
      <c r="E126" s="92">
        <v>1</v>
      </c>
      <c r="F126" s="714" t="str">
        <f t="shared" si="21"/>
        <v>墨红</v>
      </c>
      <c r="G126" s="92"/>
      <c r="H126" s="724">
        <v>176</v>
      </c>
      <c r="I126" s="724">
        <v>176</v>
      </c>
      <c r="J126" s="724"/>
      <c r="K126" s="724"/>
      <c r="L126" s="825">
        <v>2018.01</v>
      </c>
      <c r="M126" s="724">
        <v>2018.12</v>
      </c>
      <c r="N126" s="724">
        <v>31</v>
      </c>
      <c r="O126" s="724">
        <v>31</v>
      </c>
      <c r="P126" s="724"/>
      <c r="Q126" s="724"/>
      <c r="R126" s="724"/>
      <c r="S126" s="724">
        <v>31</v>
      </c>
      <c r="T126" s="724"/>
      <c r="U126" s="724"/>
      <c r="V126" s="724"/>
      <c r="W126" s="86" t="s">
        <v>46</v>
      </c>
      <c r="X126" s="724" t="s">
        <v>47</v>
      </c>
      <c r="Y126" s="92">
        <v>151</v>
      </c>
      <c r="Z126" s="92">
        <v>600</v>
      </c>
      <c r="AA126" s="92">
        <v>1</v>
      </c>
      <c r="AB126" s="92"/>
      <c r="AC126" s="92"/>
      <c r="AD126" s="92"/>
      <c r="AE126" s="146" t="s">
        <v>68</v>
      </c>
      <c r="AF126" s="146" t="s">
        <v>50</v>
      </c>
      <c r="AG126" s="438" t="s">
        <v>43</v>
      </c>
    </row>
    <row r="127" ht="33" customHeight="1" spans="1:33">
      <c r="A127" s="705"/>
      <c r="B127" s="714" t="s">
        <v>98</v>
      </c>
      <c r="C127" s="146" t="s">
        <v>52</v>
      </c>
      <c r="D127" s="152" t="s">
        <v>134</v>
      </c>
      <c r="E127" s="92">
        <v>1</v>
      </c>
      <c r="F127" s="714" t="str">
        <f t="shared" si="21"/>
        <v>大河</v>
      </c>
      <c r="G127" s="92"/>
      <c r="H127" s="724">
        <v>576</v>
      </c>
      <c r="I127" s="724">
        <v>576</v>
      </c>
      <c r="J127" s="724"/>
      <c r="K127" s="724"/>
      <c r="L127" s="825">
        <v>2018.01</v>
      </c>
      <c r="M127" s="724">
        <v>2018.12</v>
      </c>
      <c r="N127" s="724">
        <v>143.96</v>
      </c>
      <c r="O127" s="724">
        <v>143.96</v>
      </c>
      <c r="P127" s="724"/>
      <c r="Q127" s="724"/>
      <c r="R127" s="724"/>
      <c r="S127" s="724">
        <v>143.96</v>
      </c>
      <c r="T127" s="724"/>
      <c r="U127" s="724"/>
      <c r="V127" s="724"/>
      <c r="W127" s="86" t="s">
        <v>46</v>
      </c>
      <c r="X127" s="724" t="s">
        <v>47</v>
      </c>
      <c r="Y127" s="92">
        <v>562</v>
      </c>
      <c r="Z127" s="92">
        <v>2292</v>
      </c>
      <c r="AA127" s="92">
        <v>1</v>
      </c>
      <c r="AB127" s="92"/>
      <c r="AC127" s="92"/>
      <c r="AD127" s="92"/>
      <c r="AE127" s="146" t="s">
        <v>56</v>
      </c>
      <c r="AF127" s="141" t="s">
        <v>137</v>
      </c>
      <c r="AG127" s="438" t="s">
        <v>43</v>
      </c>
    </row>
    <row r="128" ht="33" customHeight="1" spans="1:33">
      <c r="A128" s="705"/>
      <c r="B128" s="750" t="s">
        <v>144</v>
      </c>
      <c r="C128" s="141" t="s">
        <v>52</v>
      </c>
      <c r="D128" s="434" t="s">
        <v>145</v>
      </c>
      <c r="E128" s="92">
        <f>E129</f>
        <v>1</v>
      </c>
      <c r="F128" s="92"/>
      <c r="G128" s="92"/>
      <c r="H128" s="724">
        <f t="shared" ref="F128:AA128" si="30">H129</f>
        <v>342</v>
      </c>
      <c r="I128" s="724">
        <f t="shared" si="30"/>
        <v>342</v>
      </c>
      <c r="J128" s="724">
        <f t="shared" si="30"/>
        <v>0</v>
      </c>
      <c r="K128" s="724">
        <f t="shared" si="30"/>
        <v>0</v>
      </c>
      <c r="L128" s="724"/>
      <c r="M128" s="724"/>
      <c r="N128" s="724">
        <f t="shared" si="30"/>
        <v>34.2</v>
      </c>
      <c r="O128" s="724">
        <f t="shared" si="30"/>
        <v>34.2</v>
      </c>
      <c r="P128" s="724">
        <f t="shared" si="30"/>
        <v>0</v>
      </c>
      <c r="Q128" s="724">
        <f t="shared" si="30"/>
        <v>0</v>
      </c>
      <c r="R128" s="724">
        <f t="shared" si="30"/>
        <v>0</v>
      </c>
      <c r="S128" s="724">
        <f t="shared" si="30"/>
        <v>34.2</v>
      </c>
      <c r="T128" s="724">
        <f t="shared" si="30"/>
        <v>0</v>
      </c>
      <c r="U128" s="724">
        <f t="shared" si="30"/>
        <v>0</v>
      </c>
      <c r="V128" s="724">
        <f t="shared" si="30"/>
        <v>0</v>
      </c>
      <c r="W128" s="86" t="s">
        <v>46</v>
      </c>
      <c r="X128" s="724" t="s">
        <v>47</v>
      </c>
      <c r="Y128" s="92">
        <f t="shared" si="30"/>
        <v>171</v>
      </c>
      <c r="Z128" s="92">
        <f t="shared" si="30"/>
        <v>729</v>
      </c>
      <c r="AA128" s="92">
        <f t="shared" si="30"/>
        <v>1</v>
      </c>
      <c r="AB128" s="92"/>
      <c r="AC128" s="92"/>
      <c r="AD128" s="92"/>
      <c r="AE128" s="141" t="s">
        <v>68</v>
      </c>
      <c r="AF128" s="146" t="s">
        <v>50</v>
      </c>
      <c r="AG128" s="438" t="s">
        <v>43</v>
      </c>
    </row>
    <row r="129" ht="33" customHeight="1" spans="1:33">
      <c r="A129" s="705"/>
      <c r="B129" s="714" t="s">
        <v>72</v>
      </c>
      <c r="C129" s="141" t="s">
        <v>52</v>
      </c>
      <c r="D129" s="434" t="s">
        <v>145</v>
      </c>
      <c r="E129" s="92">
        <v>1</v>
      </c>
      <c r="F129" s="714" t="str">
        <f t="shared" si="21"/>
        <v>后所镇</v>
      </c>
      <c r="G129" s="92"/>
      <c r="H129" s="724">
        <v>342</v>
      </c>
      <c r="I129" s="724">
        <v>342</v>
      </c>
      <c r="J129" s="724"/>
      <c r="K129" s="724"/>
      <c r="L129" s="825">
        <v>2018.01</v>
      </c>
      <c r="M129" s="724">
        <v>2018.12</v>
      </c>
      <c r="N129" s="724">
        <v>34.2</v>
      </c>
      <c r="O129" s="724">
        <v>34.2</v>
      </c>
      <c r="P129" s="724"/>
      <c r="Q129" s="724"/>
      <c r="R129" s="724"/>
      <c r="S129" s="724">
        <v>34.2</v>
      </c>
      <c r="T129" s="724"/>
      <c r="U129" s="724"/>
      <c r="V129" s="724"/>
      <c r="W129" s="86" t="s">
        <v>46</v>
      </c>
      <c r="X129" s="724" t="s">
        <v>47</v>
      </c>
      <c r="Y129" s="92">
        <v>171</v>
      </c>
      <c r="Z129" s="92">
        <v>729</v>
      </c>
      <c r="AA129" s="92">
        <v>1</v>
      </c>
      <c r="AB129" s="92"/>
      <c r="AC129" s="92"/>
      <c r="AD129" s="92"/>
      <c r="AE129" s="146" t="s">
        <v>73</v>
      </c>
      <c r="AF129" s="438" t="s">
        <v>74</v>
      </c>
      <c r="AG129" s="438" t="s">
        <v>43</v>
      </c>
    </row>
    <row r="130" ht="69" customHeight="1" spans="1:33">
      <c r="A130" s="705">
        <v>8</v>
      </c>
      <c r="B130" s="708" t="s">
        <v>146</v>
      </c>
      <c r="C130" s="141" t="s">
        <v>52</v>
      </c>
      <c r="D130" s="709" t="s">
        <v>147</v>
      </c>
      <c r="E130" s="708"/>
      <c r="F130" s="708"/>
      <c r="G130" s="708"/>
      <c r="H130" s="726"/>
      <c r="I130" s="726"/>
      <c r="J130" s="726"/>
      <c r="K130" s="726"/>
      <c r="L130" s="726"/>
      <c r="M130" s="726"/>
      <c r="N130" s="726"/>
      <c r="O130" s="726"/>
      <c r="P130" s="726"/>
      <c r="Q130" s="726"/>
      <c r="R130" s="726"/>
      <c r="S130" s="726"/>
      <c r="T130" s="726"/>
      <c r="U130" s="726"/>
      <c r="V130" s="726"/>
      <c r="W130" s="86"/>
      <c r="X130" s="724"/>
      <c r="Y130" s="726"/>
      <c r="Z130" s="726"/>
      <c r="AA130" s="708"/>
      <c r="AB130" s="708"/>
      <c r="AC130" s="708"/>
      <c r="AD130" s="708"/>
      <c r="AE130" s="708"/>
      <c r="AF130" s="708"/>
      <c r="AG130" s="708"/>
    </row>
    <row r="131" s="570" customFormat="1" ht="24" customHeight="1" spans="1:33">
      <c r="A131" s="705" t="s">
        <v>48</v>
      </c>
      <c r="B131" s="92" t="s">
        <v>191</v>
      </c>
      <c r="C131" s="141" t="s">
        <v>52</v>
      </c>
      <c r="D131" s="76"/>
      <c r="E131" s="92"/>
      <c r="F131" s="92"/>
      <c r="G131" s="92"/>
      <c r="H131" s="724"/>
      <c r="I131" s="724"/>
      <c r="J131" s="724"/>
      <c r="K131" s="724"/>
      <c r="L131" s="724"/>
      <c r="M131" s="724"/>
      <c r="N131" s="724"/>
      <c r="O131" s="724"/>
      <c r="P131" s="724"/>
      <c r="Q131" s="724"/>
      <c r="R131" s="724"/>
      <c r="S131" s="724"/>
      <c r="T131" s="724"/>
      <c r="U131" s="724"/>
      <c r="V131" s="724"/>
      <c r="W131" s="86" t="s">
        <v>46</v>
      </c>
      <c r="X131" s="724" t="s">
        <v>47</v>
      </c>
      <c r="Y131" s="92"/>
      <c r="Z131" s="92"/>
      <c r="AA131" s="92"/>
      <c r="AB131" s="92"/>
      <c r="AC131" s="92"/>
      <c r="AD131" s="92"/>
      <c r="AE131" s="92"/>
      <c r="AF131" s="92"/>
      <c r="AG131" s="92"/>
    </row>
    <row r="132" ht="51" customHeight="1" spans="1:33">
      <c r="A132" s="705">
        <v>9</v>
      </c>
      <c r="B132" s="708" t="s">
        <v>149</v>
      </c>
      <c r="C132" s="141" t="s">
        <v>52</v>
      </c>
      <c r="D132" s="709" t="s">
        <v>150</v>
      </c>
      <c r="E132" s="152">
        <f>SUM(E133:E144)</f>
        <v>86</v>
      </c>
      <c r="F132" s="152"/>
      <c r="G132" s="152"/>
      <c r="H132" s="146">
        <f t="shared" ref="F132:AA132" si="31">SUM(H133:H144)</f>
        <v>86</v>
      </c>
      <c r="I132" s="146">
        <f t="shared" si="31"/>
        <v>86</v>
      </c>
      <c r="J132" s="146">
        <f t="shared" si="31"/>
        <v>0</v>
      </c>
      <c r="K132" s="146">
        <f t="shared" si="31"/>
        <v>0</v>
      </c>
      <c r="L132" s="146"/>
      <c r="M132" s="146"/>
      <c r="N132" s="146">
        <f t="shared" si="31"/>
        <v>3180</v>
      </c>
      <c r="O132" s="146">
        <f t="shared" si="31"/>
        <v>3180</v>
      </c>
      <c r="P132" s="146">
        <f t="shared" si="31"/>
        <v>0</v>
      </c>
      <c r="Q132" s="146">
        <f t="shared" si="31"/>
        <v>0</v>
      </c>
      <c r="R132" s="146">
        <f t="shared" si="31"/>
        <v>0</v>
      </c>
      <c r="S132" s="146">
        <f t="shared" si="31"/>
        <v>1760</v>
      </c>
      <c r="T132" s="146">
        <f t="shared" si="31"/>
        <v>0</v>
      </c>
      <c r="U132" s="146">
        <f t="shared" si="31"/>
        <v>1420</v>
      </c>
      <c r="V132" s="146">
        <f t="shared" si="31"/>
        <v>0</v>
      </c>
      <c r="W132" s="86" t="s">
        <v>46</v>
      </c>
      <c r="X132" s="724" t="s">
        <v>47</v>
      </c>
      <c r="Y132" s="152">
        <f t="shared" si="31"/>
        <v>6091</v>
      </c>
      <c r="Z132" s="152">
        <f t="shared" si="31"/>
        <v>24212</v>
      </c>
      <c r="AA132" s="152">
        <f t="shared" si="31"/>
        <v>86</v>
      </c>
      <c r="AB132" s="708"/>
      <c r="AC132" s="708"/>
      <c r="AD132" s="141" t="s">
        <v>68</v>
      </c>
      <c r="AE132" s="146" t="s">
        <v>50</v>
      </c>
      <c r="AF132" s="438" t="s">
        <v>43</v>
      </c>
      <c r="AG132" s="708" t="s">
        <v>41</v>
      </c>
    </row>
    <row r="133" ht="27" customHeight="1" spans="1:33">
      <c r="A133" s="705"/>
      <c r="B133" s="199" t="s">
        <v>69</v>
      </c>
      <c r="C133" s="146" t="s">
        <v>52</v>
      </c>
      <c r="D133" s="152" t="s">
        <v>150</v>
      </c>
      <c r="E133" s="152">
        <v>2</v>
      </c>
      <c r="F133" s="199" t="str">
        <f t="shared" si="21"/>
        <v>中安街道</v>
      </c>
      <c r="G133" s="708"/>
      <c r="H133" s="146">
        <v>2</v>
      </c>
      <c r="I133" s="146">
        <v>2</v>
      </c>
      <c r="J133" s="726"/>
      <c r="K133" s="726"/>
      <c r="L133" s="825">
        <v>2018.01</v>
      </c>
      <c r="M133" s="724">
        <v>2018.12</v>
      </c>
      <c r="N133" s="726">
        <v>40</v>
      </c>
      <c r="O133" s="726">
        <v>40</v>
      </c>
      <c r="P133" s="726"/>
      <c r="Q133" s="726"/>
      <c r="R133" s="726"/>
      <c r="S133" s="726">
        <v>20</v>
      </c>
      <c r="T133" s="726"/>
      <c r="U133" s="726">
        <v>20</v>
      </c>
      <c r="V133" s="726"/>
      <c r="W133" s="86" t="s">
        <v>46</v>
      </c>
      <c r="X133" s="724" t="s">
        <v>47</v>
      </c>
      <c r="Y133" s="763">
        <v>73</v>
      </c>
      <c r="Z133" s="763">
        <v>338</v>
      </c>
      <c r="AA133" s="152">
        <v>2</v>
      </c>
      <c r="AB133" s="708"/>
      <c r="AC133" s="708"/>
      <c r="AD133" s="146" t="s">
        <v>70</v>
      </c>
      <c r="AE133" s="146" t="s">
        <v>138</v>
      </c>
      <c r="AF133" s="146" t="s">
        <v>43</v>
      </c>
      <c r="AG133" s="708"/>
    </row>
    <row r="134" ht="27" customHeight="1" spans="1:33">
      <c r="A134" s="705"/>
      <c r="B134" s="714" t="s">
        <v>151</v>
      </c>
      <c r="C134" s="146" t="s">
        <v>52</v>
      </c>
      <c r="D134" s="152" t="s">
        <v>150</v>
      </c>
      <c r="E134" s="152">
        <v>2</v>
      </c>
      <c r="F134" s="714" t="str">
        <f t="shared" si="21"/>
        <v>胜境</v>
      </c>
      <c r="G134" s="708"/>
      <c r="H134" s="146">
        <v>2</v>
      </c>
      <c r="I134" s="146">
        <v>2</v>
      </c>
      <c r="J134" s="726"/>
      <c r="K134" s="726"/>
      <c r="L134" s="825">
        <v>2018.01</v>
      </c>
      <c r="M134" s="724">
        <v>2018.12</v>
      </c>
      <c r="N134" s="726">
        <v>570</v>
      </c>
      <c r="O134" s="726">
        <v>570</v>
      </c>
      <c r="P134" s="726"/>
      <c r="Q134" s="726"/>
      <c r="R134" s="726"/>
      <c r="S134" s="726">
        <v>570</v>
      </c>
      <c r="T134" s="726"/>
      <c r="U134" s="726">
        <v>0</v>
      </c>
      <c r="V134" s="726"/>
      <c r="W134" s="86" t="s">
        <v>46</v>
      </c>
      <c r="X134" s="724" t="s">
        <v>47</v>
      </c>
      <c r="Y134" s="763">
        <v>1760</v>
      </c>
      <c r="Z134" s="763">
        <v>7269</v>
      </c>
      <c r="AA134" s="152">
        <v>2</v>
      </c>
      <c r="AB134" s="708"/>
      <c r="AC134" s="708"/>
      <c r="AD134" s="743" t="s">
        <v>152</v>
      </c>
      <c r="AE134" s="146" t="s">
        <v>153</v>
      </c>
      <c r="AF134" s="146" t="s">
        <v>43</v>
      </c>
      <c r="AG134" s="708"/>
    </row>
    <row r="135" ht="27" customHeight="1" spans="1:33">
      <c r="A135" s="705"/>
      <c r="B135" s="714" t="s">
        <v>154</v>
      </c>
      <c r="C135" s="146" t="s">
        <v>52</v>
      </c>
      <c r="D135" s="152" t="s">
        <v>150</v>
      </c>
      <c r="E135" s="152">
        <v>14</v>
      </c>
      <c r="F135" s="714" t="str">
        <f t="shared" si="21"/>
        <v>后所</v>
      </c>
      <c r="G135" s="708"/>
      <c r="H135" s="146">
        <v>14</v>
      </c>
      <c r="I135" s="146">
        <v>14</v>
      </c>
      <c r="J135" s="726"/>
      <c r="K135" s="726"/>
      <c r="L135" s="825">
        <v>2018.01</v>
      </c>
      <c r="M135" s="724">
        <v>2018.12</v>
      </c>
      <c r="N135" s="726">
        <v>300</v>
      </c>
      <c r="O135" s="726">
        <v>300</v>
      </c>
      <c r="P135" s="726"/>
      <c r="Q135" s="726"/>
      <c r="R135" s="726"/>
      <c r="S135" s="726">
        <v>240</v>
      </c>
      <c r="T135" s="726"/>
      <c r="U135" s="726">
        <v>60</v>
      </c>
      <c r="V135" s="726"/>
      <c r="W135" s="86" t="s">
        <v>46</v>
      </c>
      <c r="X135" s="724" t="s">
        <v>47</v>
      </c>
      <c r="Y135" s="763">
        <v>228</v>
      </c>
      <c r="Z135" s="763">
        <v>885</v>
      </c>
      <c r="AA135" s="152">
        <v>14</v>
      </c>
      <c r="AB135" s="708"/>
      <c r="AC135" s="708"/>
      <c r="AD135" s="146" t="s">
        <v>73</v>
      </c>
      <c r="AE135" s="438" t="s">
        <v>74</v>
      </c>
      <c r="AF135" s="146" t="s">
        <v>43</v>
      </c>
      <c r="AG135" s="708"/>
    </row>
    <row r="136" ht="27" customHeight="1" spans="1:33">
      <c r="A136" s="705"/>
      <c r="B136" s="714" t="s">
        <v>81</v>
      </c>
      <c r="C136" s="146" t="s">
        <v>52</v>
      </c>
      <c r="D136" s="152" t="s">
        <v>150</v>
      </c>
      <c r="E136" s="152">
        <v>11</v>
      </c>
      <c r="F136" s="714" t="str">
        <f t="shared" si="21"/>
        <v>墨红</v>
      </c>
      <c r="G136" s="708"/>
      <c r="H136" s="146">
        <v>11</v>
      </c>
      <c r="I136" s="146">
        <v>11</v>
      </c>
      <c r="J136" s="726"/>
      <c r="K136" s="726"/>
      <c r="L136" s="825">
        <v>2018.01</v>
      </c>
      <c r="M136" s="724">
        <v>2018.12</v>
      </c>
      <c r="N136" s="726">
        <v>220</v>
      </c>
      <c r="O136" s="726">
        <v>220</v>
      </c>
      <c r="P136" s="726"/>
      <c r="Q136" s="726"/>
      <c r="R136" s="726"/>
      <c r="S136" s="726">
        <v>140</v>
      </c>
      <c r="T136" s="726"/>
      <c r="U136" s="726">
        <v>80</v>
      </c>
      <c r="V136" s="726"/>
      <c r="W136" s="86" t="s">
        <v>46</v>
      </c>
      <c r="X136" s="724" t="s">
        <v>47</v>
      </c>
      <c r="Y136" s="763">
        <v>1977</v>
      </c>
      <c r="Z136" s="763">
        <v>7676</v>
      </c>
      <c r="AA136" s="152">
        <v>11</v>
      </c>
      <c r="AB136" s="708"/>
      <c r="AC136" s="708"/>
      <c r="AD136" s="146" t="s">
        <v>82</v>
      </c>
      <c r="AE136" s="146" t="s">
        <v>135</v>
      </c>
      <c r="AF136" s="146" t="s">
        <v>43</v>
      </c>
      <c r="AG136" s="708"/>
    </row>
    <row r="137" ht="27" customHeight="1" spans="1:33">
      <c r="A137" s="705"/>
      <c r="B137" s="714" t="s">
        <v>98</v>
      </c>
      <c r="C137" s="146" t="s">
        <v>52</v>
      </c>
      <c r="D137" s="152" t="s">
        <v>150</v>
      </c>
      <c r="E137" s="152">
        <v>9</v>
      </c>
      <c r="F137" s="714" t="str">
        <f t="shared" si="21"/>
        <v>大河</v>
      </c>
      <c r="G137" s="708"/>
      <c r="H137" s="146">
        <v>9</v>
      </c>
      <c r="I137" s="146">
        <v>9</v>
      </c>
      <c r="J137" s="726"/>
      <c r="K137" s="726"/>
      <c r="L137" s="825">
        <v>2018.01</v>
      </c>
      <c r="M137" s="724">
        <v>2018.12</v>
      </c>
      <c r="N137" s="726">
        <v>310</v>
      </c>
      <c r="O137" s="726">
        <v>310</v>
      </c>
      <c r="P137" s="726"/>
      <c r="Q137" s="726"/>
      <c r="R137" s="726"/>
      <c r="S137" s="726">
        <v>250</v>
      </c>
      <c r="T137" s="726"/>
      <c r="U137" s="726">
        <v>60</v>
      </c>
      <c r="V137" s="726"/>
      <c r="W137" s="86" t="s">
        <v>46</v>
      </c>
      <c r="X137" s="724" t="s">
        <v>47</v>
      </c>
      <c r="Y137" s="763">
        <v>360</v>
      </c>
      <c r="Z137" s="763">
        <v>1615</v>
      </c>
      <c r="AA137" s="152">
        <v>9</v>
      </c>
      <c r="AB137" s="708"/>
      <c r="AC137" s="708"/>
      <c r="AD137" s="146" t="s">
        <v>56</v>
      </c>
      <c r="AE137" s="146" t="s">
        <v>137</v>
      </c>
      <c r="AF137" s="146" t="s">
        <v>43</v>
      </c>
      <c r="AG137" s="708"/>
    </row>
    <row r="138" ht="27" customHeight="1" spans="1:33">
      <c r="A138" s="705"/>
      <c r="B138" s="199" t="s">
        <v>75</v>
      </c>
      <c r="C138" s="146" t="s">
        <v>52</v>
      </c>
      <c r="D138" s="152" t="s">
        <v>150</v>
      </c>
      <c r="E138" s="152">
        <v>6</v>
      </c>
      <c r="F138" s="199" t="str">
        <f t="shared" si="21"/>
        <v>营上镇</v>
      </c>
      <c r="G138" s="708"/>
      <c r="H138" s="146">
        <v>6</v>
      </c>
      <c r="I138" s="146">
        <v>6</v>
      </c>
      <c r="J138" s="726"/>
      <c r="K138" s="726"/>
      <c r="L138" s="825">
        <v>2018.01</v>
      </c>
      <c r="M138" s="724">
        <v>2018.12</v>
      </c>
      <c r="N138" s="726">
        <v>120</v>
      </c>
      <c r="O138" s="726">
        <v>120</v>
      </c>
      <c r="P138" s="726"/>
      <c r="Q138" s="726"/>
      <c r="R138" s="726"/>
      <c r="S138" s="726">
        <v>100</v>
      </c>
      <c r="T138" s="726"/>
      <c r="U138" s="726">
        <v>20</v>
      </c>
      <c r="V138" s="726"/>
      <c r="W138" s="86" t="s">
        <v>46</v>
      </c>
      <c r="X138" s="724" t="s">
        <v>47</v>
      </c>
      <c r="Y138" s="763">
        <v>216</v>
      </c>
      <c r="Z138" s="763">
        <v>659</v>
      </c>
      <c r="AA138" s="152">
        <v>6</v>
      </c>
      <c r="AB138" s="708"/>
      <c r="AC138" s="708"/>
      <c r="AD138" s="146" t="s">
        <v>76</v>
      </c>
      <c r="AE138" s="753" t="s">
        <v>136</v>
      </c>
      <c r="AF138" s="146" t="s">
        <v>43</v>
      </c>
      <c r="AG138" s="708"/>
    </row>
    <row r="139" ht="27" customHeight="1" spans="1:33">
      <c r="A139" s="705"/>
      <c r="B139" s="714" t="s">
        <v>155</v>
      </c>
      <c r="C139" s="146" t="s">
        <v>52</v>
      </c>
      <c r="D139" s="152" t="s">
        <v>150</v>
      </c>
      <c r="E139" s="152">
        <v>2</v>
      </c>
      <c r="F139" s="714" t="str">
        <f t="shared" si="21"/>
        <v>竹园</v>
      </c>
      <c r="G139" s="708"/>
      <c r="H139" s="146">
        <v>2</v>
      </c>
      <c r="I139" s="146">
        <v>2</v>
      </c>
      <c r="J139" s="726"/>
      <c r="K139" s="726"/>
      <c r="L139" s="825">
        <v>2018.01</v>
      </c>
      <c r="M139" s="724">
        <v>2018.12</v>
      </c>
      <c r="N139" s="726">
        <v>40</v>
      </c>
      <c r="O139" s="726">
        <v>40</v>
      </c>
      <c r="P139" s="726"/>
      <c r="Q139" s="726"/>
      <c r="R139" s="726"/>
      <c r="S139" s="726">
        <v>40</v>
      </c>
      <c r="T139" s="726"/>
      <c r="U139" s="726"/>
      <c r="V139" s="726"/>
      <c r="W139" s="86" t="s">
        <v>46</v>
      </c>
      <c r="X139" s="724" t="s">
        <v>47</v>
      </c>
      <c r="Y139" s="763">
        <v>153</v>
      </c>
      <c r="Z139" s="763">
        <v>445</v>
      </c>
      <c r="AA139" s="152">
        <v>2</v>
      </c>
      <c r="AB139" s="708"/>
      <c r="AC139" s="708"/>
      <c r="AD139" s="146" t="s">
        <v>59</v>
      </c>
      <c r="AE139" s="146" t="s">
        <v>156</v>
      </c>
      <c r="AF139" s="146" t="s">
        <v>43</v>
      </c>
      <c r="AG139" s="708"/>
    </row>
    <row r="140" ht="27" customHeight="1" spans="1:33">
      <c r="A140" s="705"/>
      <c r="B140" s="714" t="s">
        <v>102</v>
      </c>
      <c r="C140" s="146" t="s">
        <v>52</v>
      </c>
      <c r="D140" s="152" t="s">
        <v>150</v>
      </c>
      <c r="E140" s="754">
        <v>23</v>
      </c>
      <c r="F140" s="714" t="str">
        <f t="shared" ref="F140:F203" si="32">B140</f>
        <v>富村</v>
      </c>
      <c r="G140" s="708"/>
      <c r="H140" s="792">
        <v>23</v>
      </c>
      <c r="I140" s="792">
        <v>23</v>
      </c>
      <c r="J140" s="726"/>
      <c r="K140" s="726"/>
      <c r="L140" s="825">
        <v>2018.01</v>
      </c>
      <c r="M140" s="724">
        <v>2018.12</v>
      </c>
      <c r="N140" s="726">
        <v>1132.42</v>
      </c>
      <c r="O140" s="726">
        <v>1132.42</v>
      </c>
      <c r="P140" s="726"/>
      <c r="Q140" s="726"/>
      <c r="R140" s="726"/>
      <c r="S140" s="696">
        <v>260</v>
      </c>
      <c r="T140" s="726"/>
      <c r="U140" s="726">
        <v>872.42</v>
      </c>
      <c r="V140" s="726"/>
      <c r="W140" s="86" t="s">
        <v>46</v>
      </c>
      <c r="X140" s="724" t="s">
        <v>47</v>
      </c>
      <c r="Y140" s="763">
        <v>818</v>
      </c>
      <c r="Z140" s="763">
        <v>3248</v>
      </c>
      <c r="AA140" s="754">
        <v>23</v>
      </c>
      <c r="AB140" s="708"/>
      <c r="AC140" s="708"/>
      <c r="AD140" s="792" t="s">
        <v>62</v>
      </c>
      <c r="AE140" s="146" t="s">
        <v>63</v>
      </c>
      <c r="AF140" s="146" t="s">
        <v>43</v>
      </c>
      <c r="AG140" s="708"/>
    </row>
    <row r="141" ht="27" customHeight="1" spans="1:33">
      <c r="A141" s="705"/>
      <c r="B141" s="714" t="s">
        <v>100</v>
      </c>
      <c r="C141" s="146" t="s">
        <v>52</v>
      </c>
      <c r="D141" s="152" t="s">
        <v>150</v>
      </c>
      <c r="E141" s="152">
        <v>5</v>
      </c>
      <c r="F141" s="714" t="str">
        <f t="shared" si="32"/>
        <v>黄泥河</v>
      </c>
      <c r="G141" s="708"/>
      <c r="H141" s="146">
        <v>5</v>
      </c>
      <c r="I141" s="146">
        <v>5</v>
      </c>
      <c r="J141" s="726"/>
      <c r="K141" s="726"/>
      <c r="L141" s="825">
        <v>2018.01</v>
      </c>
      <c r="M141" s="724">
        <v>2018.12</v>
      </c>
      <c r="N141" s="726">
        <v>100</v>
      </c>
      <c r="O141" s="726">
        <v>100</v>
      </c>
      <c r="P141" s="726"/>
      <c r="Q141" s="726"/>
      <c r="R141" s="726"/>
      <c r="S141" s="726">
        <v>60</v>
      </c>
      <c r="T141" s="726"/>
      <c r="U141" s="726">
        <v>40</v>
      </c>
      <c r="V141" s="726"/>
      <c r="W141" s="86" t="s">
        <v>46</v>
      </c>
      <c r="X141" s="724" t="s">
        <v>47</v>
      </c>
      <c r="Y141" s="763">
        <v>71</v>
      </c>
      <c r="Z141" s="763">
        <v>255</v>
      </c>
      <c r="AA141" s="152">
        <v>5</v>
      </c>
      <c r="AB141" s="708"/>
      <c r="AC141" s="708"/>
      <c r="AD141" s="146" t="s">
        <v>79</v>
      </c>
      <c r="AE141" s="146" t="s">
        <v>157</v>
      </c>
      <c r="AF141" s="146" t="s">
        <v>43</v>
      </c>
      <c r="AG141" s="708"/>
    </row>
    <row r="142" ht="27" customHeight="1" spans="1:33">
      <c r="A142" s="705"/>
      <c r="B142" s="714" t="s">
        <v>84</v>
      </c>
      <c r="C142" s="146" t="s">
        <v>52</v>
      </c>
      <c r="D142" s="152" t="s">
        <v>150</v>
      </c>
      <c r="E142" s="152">
        <v>6</v>
      </c>
      <c r="F142" s="714" t="str">
        <f t="shared" si="32"/>
        <v>十八连山</v>
      </c>
      <c r="G142" s="708"/>
      <c r="H142" s="146">
        <v>6</v>
      </c>
      <c r="I142" s="146">
        <v>6</v>
      </c>
      <c r="J142" s="726"/>
      <c r="K142" s="726"/>
      <c r="L142" s="825">
        <v>2018.01</v>
      </c>
      <c r="M142" s="724">
        <v>2018.12</v>
      </c>
      <c r="N142" s="726">
        <v>227.58</v>
      </c>
      <c r="O142" s="726">
        <v>227.58</v>
      </c>
      <c r="P142" s="726"/>
      <c r="Q142" s="726"/>
      <c r="R142" s="726"/>
      <c r="T142" s="726"/>
      <c r="U142" s="726">
        <v>227.58</v>
      </c>
      <c r="V142" s="726"/>
      <c r="W142" s="86" t="s">
        <v>46</v>
      </c>
      <c r="X142" s="724" t="s">
        <v>47</v>
      </c>
      <c r="Y142" s="763">
        <v>216</v>
      </c>
      <c r="Z142" s="763">
        <v>895</v>
      </c>
      <c r="AA142" s="152">
        <v>6</v>
      </c>
      <c r="AB142" s="708"/>
      <c r="AC142" s="708"/>
      <c r="AD142" s="146" t="s">
        <v>65</v>
      </c>
      <c r="AE142" s="146" t="s">
        <v>66</v>
      </c>
      <c r="AF142" s="146" t="s">
        <v>43</v>
      </c>
      <c r="AG142" s="708"/>
    </row>
    <row r="143" ht="27" customHeight="1" spans="1:33">
      <c r="A143" s="705"/>
      <c r="B143" s="199" t="s">
        <v>114</v>
      </c>
      <c r="C143" s="146" t="s">
        <v>52</v>
      </c>
      <c r="D143" s="152" t="s">
        <v>150</v>
      </c>
      <c r="E143" s="152">
        <v>3</v>
      </c>
      <c r="F143" s="199" t="str">
        <f t="shared" si="32"/>
        <v>古敢乡</v>
      </c>
      <c r="G143" s="708"/>
      <c r="H143" s="146">
        <v>3</v>
      </c>
      <c r="I143" s="146">
        <v>3</v>
      </c>
      <c r="J143" s="726"/>
      <c r="K143" s="726"/>
      <c r="L143" s="825">
        <v>2018.01</v>
      </c>
      <c r="M143" s="724">
        <v>2018.12</v>
      </c>
      <c r="N143" s="726">
        <v>60</v>
      </c>
      <c r="O143" s="726">
        <v>60</v>
      </c>
      <c r="P143" s="726"/>
      <c r="Q143" s="726"/>
      <c r="R143" s="726"/>
      <c r="S143" s="726">
        <v>60</v>
      </c>
      <c r="T143" s="726"/>
      <c r="U143" s="726"/>
      <c r="V143" s="726"/>
      <c r="W143" s="86" t="s">
        <v>46</v>
      </c>
      <c r="X143" s="724" t="s">
        <v>47</v>
      </c>
      <c r="Y143" s="763">
        <v>108</v>
      </c>
      <c r="Z143" s="763">
        <v>464</v>
      </c>
      <c r="AA143" s="152">
        <v>3</v>
      </c>
      <c r="AB143" s="708"/>
      <c r="AC143" s="708"/>
      <c r="AD143" s="146" t="s">
        <v>237</v>
      </c>
      <c r="AE143" s="146" t="s">
        <v>116</v>
      </c>
      <c r="AF143" s="146" t="s">
        <v>43</v>
      </c>
      <c r="AG143" s="708"/>
    </row>
    <row r="144" ht="27" customHeight="1" spans="1:33">
      <c r="A144" s="705"/>
      <c r="B144" s="714" t="s">
        <v>143</v>
      </c>
      <c r="C144" s="146" t="s">
        <v>52</v>
      </c>
      <c r="D144" s="152" t="s">
        <v>150</v>
      </c>
      <c r="E144" s="152">
        <v>3</v>
      </c>
      <c r="F144" s="714" t="str">
        <f t="shared" si="32"/>
        <v>老厂</v>
      </c>
      <c r="G144" s="708"/>
      <c r="H144" s="146">
        <v>3</v>
      </c>
      <c r="I144" s="146">
        <v>3</v>
      </c>
      <c r="J144" s="726"/>
      <c r="K144" s="726"/>
      <c r="L144" s="825">
        <v>2018.01</v>
      </c>
      <c r="M144" s="724">
        <v>2018.12</v>
      </c>
      <c r="N144" s="726">
        <v>60</v>
      </c>
      <c r="O144" s="726">
        <v>60</v>
      </c>
      <c r="P144" s="726"/>
      <c r="Q144" s="726"/>
      <c r="R144" s="726"/>
      <c r="S144" s="726">
        <v>20</v>
      </c>
      <c r="T144" s="726"/>
      <c r="U144" s="726">
        <v>40</v>
      </c>
      <c r="V144" s="726"/>
      <c r="W144" s="86" t="s">
        <v>46</v>
      </c>
      <c r="X144" s="724" t="s">
        <v>47</v>
      </c>
      <c r="Y144" s="763">
        <v>111</v>
      </c>
      <c r="Z144" s="763">
        <v>463</v>
      </c>
      <c r="AA144" s="152">
        <v>3</v>
      </c>
      <c r="AB144" s="708"/>
      <c r="AC144" s="708"/>
      <c r="AD144" s="146" t="s">
        <v>93</v>
      </c>
      <c r="AE144" s="146" t="s">
        <v>618</v>
      </c>
      <c r="AF144" s="146" t="s">
        <v>43</v>
      </c>
      <c r="AG144" s="708"/>
    </row>
    <row r="145" ht="24.95" customHeight="1" spans="1:33">
      <c r="A145" s="705">
        <v>10</v>
      </c>
      <c r="B145" s="708" t="s">
        <v>158</v>
      </c>
      <c r="C145" s="708"/>
      <c r="D145" s="709" t="s">
        <v>159</v>
      </c>
      <c r="E145" s="708">
        <f>E146+E147</f>
        <v>13</v>
      </c>
      <c r="F145" s="708"/>
      <c r="G145" s="708"/>
      <c r="H145" s="726">
        <f t="shared" ref="F145:AA145" si="33">H146+H147</f>
        <v>30911.5</v>
      </c>
      <c r="I145" s="726">
        <f t="shared" si="33"/>
        <v>30911.5</v>
      </c>
      <c r="J145" s="726">
        <f t="shared" si="33"/>
        <v>0</v>
      </c>
      <c r="K145" s="726">
        <f t="shared" si="33"/>
        <v>0</v>
      </c>
      <c r="L145" s="726"/>
      <c r="M145" s="726"/>
      <c r="N145" s="726">
        <f t="shared" si="33"/>
        <v>2017.5</v>
      </c>
      <c r="O145" s="726">
        <f t="shared" si="33"/>
        <v>2017.5</v>
      </c>
      <c r="P145" s="726">
        <f t="shared" si="33"/>
        <v>0</v>
      </c>
      <c r="Q145" s="726">
        <f t="shared" si="33"/>
        <v>0</v>
      </c>
      <c r="R145" s="726">
        <f t="shared" si="33"/>
        <v>0</v>
      </c>
      <c r="S145" s="726">
        <f t="shared" si="33"/>
        <v>2017.5</v>
      </c>
      <c r="T145" s="726">
        <f t="shared" si="33"/>
        <v>0</v>
      </c>
      <c r="U145" s="726">
        <f t="shared" si="33"/>
        <v>0</v>
      </c>
      <c r="V145" s="726">
        <f t="shared" si="33"/>
        <v>0</v>
      </c>
      <c r="W145" s="86"/>
      <c r="X145" s="724"/>
      <c r="Y145" s="763">
        <f t="shared" si="33"/>
        <v>8182</v>
      </c>
      <c r="Z145" s="763">
        <f t="shared" si="33"/>
        <v>34261.4</v>
      </c>
      <c r="AA145" s="763">
        <f t="shared" si="33"/>
        <v>13</v>
      </c>
      <c r="AB145" s="708"/>
      <c r="AC145" s="708"/>
      <c r="AD145" s="141" t="s">
        <v>165</v>
      </c>
      <c r="AE145" s="146" t="s">
        <v>166</v>
      </c>
      <c r="AF145" s="708" t="s">
        <v>160</v>
      </c>
      <c r="AG145" s="708" t="s">
        <v>41</v>
      </c>
    </row>
    <row r="146" ht="50" customHeight="1" spans="1:33">
      <c r="A146" s="705"/>
      <c r="B146" s="755" t="s">
        <v>161</v>
      </c>
      <c r="C146" s="146" t="s">
        <v>162</v>
      </c>
      <c r="D146" s="152" t="s">
        <v>163</v>
      </c>
      <c r="E146" s="708">
        <v>1</v>
      </c>
      <c r="F146" s="708"/>
      <c r="G146" s="708"/>
      <c r="H146" s="726">
        <v>870</v>
      </c>
      <c r="I146" s="726">
        <v>870</v>
      </c>
      <c r="J146" s="726"/>
      <c r="K146" s="726"/>
      <c r="L146" s="825">
        <v>2018.01</v>
      </c>
      <c r="M146" s="724">
        <v>2018.12</v>
      </c>
      <c r="N146" s="726">
        <v>870</v>
      </c>
      <c r="O146" s="726">
        <v>870</v>
      </c>
      <c r="P146" s="726"/>
      <c r="Q146" s="726"/>
      <c r="R146" s="726"/>
      <c r="S146" s="726">
        <v>870</v>
      </c>
      <c r="T146" s="726"/>
      <c r="U146" s="726"/>
      <c r="V146" s="726"/>
      <c r="W146" s="86"/>
      <c r="X146" s="724"/>
      <c r="Y146" s="763">
        <v>1844</v>
      </c>
      <c r="Z146" s="763">
        <v>7008</v>
      </c>
      <c r="AA146" s="763">
        <v>1</v>
      </c>
      <c r="AB146" s="708"/>
      <c r="AC146" s="708"/>
      <c r="AD146" s="141" t="s">
        <v>165</v>
      </c>
      <c r="AE146" s="146" t="s">
        <v>166</v>
      </c>
      <c r="AF146" s="708" t="s">
        <v>160</v>
      </c>
      <c r="AG146" s="92"/>
    </row>
    <row r="147" ht="41" customHeight="1" spans="1:33">
      <c r="A147" s="705" t="s">
        <v>48</v>
      </c>
      <c r="B147" s="755" t="s">
        <v>164</v>
      </c>
      <c r="C147" s="146" t="s">
        <v>162</v>
      </c>
      <c r="D147" s="152" t="s">
        <v>163</v>
      </c>
      <c r="E147" s="92">
        <f>SUM(E148:E159)</f>
        <v>12</v>
      </c>
      <c r="F147" s="92"/>
      <c r="G147" s="92"/>
      <c r="H147" s="724">
        <f t="shared" ref="F147:AA147" si="34">SUM(H148:H159)</f>
        <v>30041.5</v>
      </c>
      <c r="I147" s="724">
        <f t="shared" si="34"/>
        <v>30041.5</v>
      </c>
      <c r="J147" s="724">
        <f t="shared" si="34"/>
        <v>0</v>
      </c>
      <c r="K147" s="724">
        <f t="shared" si="34"/>
        <v>0</v>
      </c>
      <c r="L147" s="724"/>
      <c r="M147" s="724"/>
      <c r="N147" s="724">
        <f t="shared" si="34"/>
        <v>1147.5</v>
      </c>
      <c r="O147" s="724">
        <f t="shared" si="34"/>
        <v>1147.5</v>
      </c>
      <c r="P147" s="724">
        <f t="shared" si="34"/>
        <v>0</v>
      </c>
      <c r="Q147" s="724">
        <f t="shared" si="34"/>
        <v>0</v>
      </c>
      <c r="R147" s="724">
        <f t="shared" si="34"/>
        <v>0</v>
      </c>
      <c r="S147" s="724">
        <f t="shared" si="34"/>
        <v>1147.5</v>
      </c>
      <c r="T147" s="724">
        <f t="shared" si="34"/>
        <v>0</v>
      </c>
      <c r="U147" s="724">
        <f t="shared" si="34"/>
        <v>0</v>
      </c>
      <c r="V147" s="724">
        <f t="shared" si="34"/>
        <v>0</v>
      </c>
      <c r="W147" s="86" t="s">
        <v>46</v>
      </c>
      <c r="X147" s="724" t="s">
        <v>47</v>
      </c>
      <c r="Y147" s="738">
        <f t="shared" si="34"/>
        <v>6338</v>
      </c>
      <c r="Z147" s="738">
        <f t="shared" si="34"/>
        <v>27253.4</v>
      </c>
      <c r="AA147" s="92">
        <f t="shared" si="34"/>
        <v>12</v>
      </c>
      <c r="AB147" s="92"/>
      <c r="AC147" s="92"/>
      <c r="AD147" s="141" t="s">
        <v>165</v>
      </c>
      <c r="AE147" s="146" t="s">
        <v>166</v>
      </c>
      <c r="AF147" s="708" t="s">
        <v>160</v>
      </c>
      <c r="AG147" s="92"/>
    </row>
    <row r="148" ht="41" customHeight="1" spans="1:33">
      <c r="A148" s="705"/>
      <c r="B148" s="822" t="s">
        <v>69</v>
      </c>
      <c r="C148" s="146" t="s">
        <v>162</v>
      </c>
      <c r="D148" s="152" t="s">
        <v>163</v>
      </c>
      <c r="E148" s="92">
        <v>1</v>
      </c>
      <c r="F148" s="822" t="str">
        <f t="shared" si="32"/>
        <v>中安街道</v>
      </c>
      <c r="G148" s="92"/>
      <c r="H148" s="724">
        <v>1143</v>
      </c>
      <c r="I148" s="724">
        <v>1143</v>
      </c>
      <c r="J148" s="724"/>
      <c r="K148" s="724"/>
      <c r="L148" s="825">
        <v>2018.01</v>
      </c>
      <c r="M148" s="724">
        <v>2018.12</v>
      </c>
      <c r="N148" s="724">
        <v>43.5</v>
      </c>
      <c r="O148" s="724">
        <v>43.5</v>
      </c>
      <c r="P148" s="724"/>
      <c r="Q148" s="724"/>
      <c r="R148" s="724"/>
      <c r="S148" s="724">
        <v>43.5</v>
      </c>
      <c r="T148" s="724"/>
      <c r="U148" s="724"/>
      <c r="V148" s="724"/>
      <c r="W148" s="86" t="s">
        <v>46</v>
      </c>
      <c r="X148" s="724" t="s">
        <v>47</v>
      </c>
      <c r="Y148" s="92">
        <v>243</v>
      </c>
      <c r="Z148" s="738">
        <f t="shared" ref="Z148:Z159" si="35">Y148*4.3</f>
        <v>1044.9</v>
      </c>
      <c r="AA148" s="92">
        <v>1</v>
      </c>
      <c r="AB148" s="92"/>
      <c r="AC148" s="92"/>
      <c r="AD148" s="141" t="s">
        <v>167</v>
      </c>
      <c r="AE148" s="146" t="s">
        <v>168</v>
      </c>
      <c r="AF148" s="708" t="s">
        <v>160</v>
      </c>
      <c r="AG148" s="92"/>
    </row>
    <row r="149" ht="41" customHeight="1" spans="1:33">
      <c r="A149" s="705"/>
      <c r="B149" s="822" t="s">
        <v>51</v>
      </c>
      <c r="C149" s="146" t="s">
        <v>162</v>
      </c>
      <c r="D149" s="152" t="s">
        <v>163</v>
      </c>
      <c r="E149" s="92">
        <v>1</v>
      </c>
      <c r="F149" s="822" t="str">
        <f t="shared" si="32"/>
        <v>胜境街道</v>
      </c>
      <c r="G149" s="92"/>
      <c r="H149" s="724">
        <v>1795.1</v>
      </c>
      <c r="I149" s="724">
        <v>1795.1</v>
      </c>
      <c r="J149" s="724"/>
      <c r="K149" s="724"/>
      <c r="L149" s="825">
        <v>2018.01</v>
      </c>
      <c r="M149" s="724">
        <v>2018.12</v>
      </c>
      <c r="N149" s="724">
        <v>81.4</v>
      </c>
      <c r="O149" s="724">
        <v>81.4</v>
      </c>
      <c r="P149" s="724"/>
      <c r="Q149" s="724"/>
      <c r="R149" s="724"/>
      <c r="S149" s="724">
        <v>81.4</v>
      </c>
      <c r="T149" s="724"/>
      <c r="U149" s="724"/>
      <c r="V149" s="724"/>
      <c r="W149" s="86" t="s">
        <v>46</v>
      </c>
      <c r="X149" s="724" t="s">
        <v>47</v>
      </c>
      <c r="Y149" s="92">
        <v>380</v>
      </c>
      <c r="Z149" s="738">
        <f t="shared" si="35"/>
        <v>1634</v>
      </c>
      <c r="AA149" s="92">
        <v>1</v>
      </c>
      <c r="AB149" s="92"/>
      <c r="AC149" s="92"/>
      <c r="AD149" s="141" t="s">
        <v>169</v>
      </c>
      <c r="AE149" s="146" t="s">
        <v>170</v>
      </c>
      <c r="AF149" s="708" t="s">
        <v>160</v>
      </c>
      <c r="AG149" s="92"/>
    </row>
    <row r="150" ht="41" customHeight="1" spans="1:33">
      <c r="A150" s="705"/>
      <c r="B150" s="822" t="s">
        <v>72</v>
      </c>
      <c r="C150" s="146" t="s">
        <v>162</v>
      </c>
      <c r="D150" s="152" t="s">
        <v>163</v>
      </c>
      <c r="E150" s="92">
        <v>1</v>
      </c>
      <c r="F150" s="822" t="str">
        <f t="shared" si="32"/>
        <v>后所镇</v>
      </c>
      <c r="G150" s="92"/>
      <c r="H150" s="724">
        <v>3285.6</v>
      </c>
      <c r="I150" s="724">
        <v>3285.6</v>
      </c>
      <c r="J150" s="724"/>
      <c r="K150" s="724"/>
      <c r="L150" s="825">
        <v>2018.01</v>
      </c>
      <c r="M150" s="724">
        <v>2018.12</v>
      </c>
      <c r="N150" s="724">
        <v>121.9</v>
      </c>
      <c r="O150" s="724">
        <v>121.9</v>
      </c>
      <c r="P150" s="724"/>
      <c r="Q150" s="724"/>
      <c r="R150" s="724"/>
      <c r="S150" s="724">
        <v>121.9</v>
      </c>
      <c r="T150" s="724"/>
      <c r="U150" s="724"/>
      <c r="V150" s="724"/>
      <c r="W150" s="86" t="s">
        <v>46</v>
      </c>
      <c r="X150" s="724" t="s">
        <v>47</v>
      </c>
      <c r="Y150" s="92">
        <v>724</v>
      </c>
      <c r="Z150" s="738">
        <f t="shared" si="35"/>
        <v>3113.2</v>
      </c>
      <c r="AA150" s="92">
        <v>1</v>
      </c>
      <c r="AB150" s="92"/>
      <c r="AC150" s="92"/>
      <c r="AD150" s="141" t="s">
        <v>171</v>
      </c>
      <c r="AE150" s="146" t="s">
        <v>172</v>
      </c>
      <c r="AF150" s="708" t="s">
        <v>160</v>
      </c>
      <c r="AG150" s="92"/>
    </row>
    <row r="151" ht="41" customHeight="1" spans="1:33">
      <c r="A151" s="705"/>
      <c r="B151" s="822" t="s">
        <v>91</v>
      </c>
      <c r="C151" s="146" t="s">
        <v>162</v>
      </c>
      <c r="D151" s="152" t="s">
        <v>163</v>
      </c>
      <c r="E151" s="92">
        <v>1</v>
      </c>
      <c r="F151" s="822" t="str">
        <f t="shared" si="32"/>
        <v>墨红镇</v>
      </c>
      <c r="G151" s="92"/>
      <c r="H151" s="724">
        <v>3356.7</v>
      </c>
      <c r="I151" s="724">
        <v>3356.7</v>
      </c>
      <c r="J151" s="724"/>
      <c r="K151" s="724"/>
      <c r="L151" s="825">
        <v>2018.01</v>
      </c>
      <c r="M151" s="724">
        <v>2018.12</v>
      </c>
      <c r="N151" s="724">
        <v>129.4</v>
      </c>
      <c r="O151" s="724">
        <v>129.4</v>
      </c>
      <c r="P151" s="724"/>
      <c r="Q151" s="724"/>
      <c r="R151" s="724"/>
      <c r="S151" s="724">
        <v>129.4</v>
      </c>
      <c r="T151" s="724"/>
      <c r="U151" s="724"/>
      <c r="V151" s="724"/>
      <c r="W151" s="86" t="s">
        <v>46</v>
      </c>
      <c r="X151" s="724" t="s">
        <v>47</v>
      </c>
      <c r="Y151" s="92">
        <v>717</v>
      </c>
      <c r="Z151" s="738">
        <f t="shared" si="35"/>
        <v>3083.1</v>
      </c>
      <c r="AA151" s="92">
        <v>1</v>
      </c>
      <c r="AB151" s="92"/>
      <c r="AC151" s="92"/>
      <c r="AD151" s="141" t="s">
        <v>82</v>
      </c>
      <c r="AE151" s="146" t="s">
        <v>173</v>
      </c>
      <c r="AF151" s="708" t="s">
        <v>160</v>
      </c>
      <c r="AG151" s="92"/>
    </row>
    <row r="152" ht="41" customHeight="1" spans="1:33">
      <c r="A152" s="705"/>
      <c r="B152" s="822" t="s">
        <v>55</v>
      </c>
      <c r="C152" s="146" t="s">
        <v>162</v>
      </c>
      <c r="D152" s="152" t="s">
        <v>163</v>
      </c>
      <c r="E152" s="92">
        <v>1</v>
      </c>
      <c r="F152" s="822" t="str">
        <f t="shared" si="32"/>
        <v>大河镇</v>
      </c>
      <c r="G152" s="92"/>
      <c r="H152" s="724">
        <v>2982.7</v>
      </c>
      <c r="I152" s="724">
        <v>2982.7</v>
      </c>
      <c r="J152" s="724"/>
      <c r="K152" s="724"/>
      <c r="L152" s="825">
        <v>2018.01</v>
      </c>
      <c r="M152" s="724">
        <v>2018.12</v>
      </c>
      <c r="N152" s="724">
        <v>108.9</v>
      </c>
      <c r="O152" s="724">
        <v>108.9</v>
      </c>
      <c r="P152" s="724"/>
      <c r="Q152" s="724"/>
      <c r="R152" s="724"/>
      <c r="S152" s="724">
        <v>108.9</v>
      </c>
      <c r="T152" s="724"/>
      <c r="U152" s="724"/>
      <c r="V152" s="724"/>
      <c r="W152" s="86" t="s">
        <v>46</v>
      </c>
      <c r="X152" s="724" t="s">
        <v>47</v>
      </c>
      <c r="Y152" s="92">
        <v>722</v>
      </c>
      <c r="Z152" s="738">
        <f t="shared" si="35"/>
        <v>3104.6</v>
      </c>
      <c r="AA152" s="92">
        <v>1</v>
      </c>
      <c r="AB152" s="92"/>
      <c r="AC152" s="92"/>
      <c r="AD152" s="141" t="s">
        <v>174</v>
      </c>
      <c r="AE152" s="146" t="s">
        <v>175</v>
      </c>
      <c r="AF152" s="708" t="s">
        <v>160</v>
      </c>
      <c r="AG152" s="92"/>
    </row>
    <row r="153" ht="41" customHeight="1" spans="1:33">
      <c r="A153" s="705"/>
      <c r="B153" s="822" t="s">
        <v>75</v>
      </c>
      <c r="C153" s="146" t="s">
        <v>162</v>
      </c>
      <c r="D153" s="152" t="s">
        <v>163</v>
      </c>
      <c r="E153" s="92">
        <v>1</v>
      </c>
      <c r="F153" s="822" t="str">
        <f t="shared" si="32"/>
        <v>营上镇</v>
      </c>
      <c r="G153" s="92"/>
      <c r="H153" s="724">
        <v>3661.5</v>
      </c>
      <c r="I153" s="724">
        <v>3661.5</v>
      </c>
      <c r="J153" s="724"/>
      <c r="K153" s="724"/>
      <c r="L153" s="825">
        <v>2018.01</v>
      </c>
      <c r="M153" s="724">
        <v>2018.12</v>
      </c>
      <c r="N153" s="724">
        <v>148.4</v>
      </c>
      <c r="O153" s="724">
        <v>148.4</v>
      </c>
      <c r="P153" s="724"/>
      <c r="Q153" s="724"/>
      <c r="R153" s="724"/>
      <c r="S153" s="724">
        <v>148.4</v>
      </c>
      <c r="T153" s="724"/>
      <c r="U153" s="724"/>
      <c r="V153" s="724"/>
      <c r="W153" s="86" t="s">
        <v>46</v>
      </c>
      <c r="X153" s="724" t="s">
        <v>47</v>
      </c>
      <c r="Y153" s="92">
        <v>741</v>
      </c>
      <c r="Z153" s="738">
        <f t="shared" si="35"/>
        <v>3186.3</v>
      </c>
      <c r="AA153" s="92">
        <v>1</v>
      </c>
      <c r="AB153" s="92"/>
      <c r="AC153" s="92"/>
      <c r="AD153" s="141" t="s">
        <v>176</v>
      </c>
      <c r="AE153" s="146" t="s">
        <v>177</v>
      </c>
      <c r="AF153" s="708" t="s">
        <v>160</v>
      </c>
      <c r="AG153" s="92"/>
    </row>
    <row r="154" ht="41" customHeight="1" spans="1:33">
      <c r="A154" s="705"/>
      <c r="B154" s="822" t="s">
        <v>58</v>
      </c>
      <c r="C154" s="146" t="s">
        <v>162</v>
      </c>
      <c r="D154" s="152" t="s">
        <v>163</v>
      </c>
      <c r="E154" s="92">
        <v>1</v>
      </c>
      <c r="F154" s="822" t="str">
        <f t="shared" si="32"/>
        <v>竹园镇</v>
      </c>
      <c r="G154" s="92"/>
      <c r="H154" s="724">
        <v>1108</v>
      </c>
      <c r="I154" s="724">
        <v>1108</v>
      </c>
      <c r="J154" s="724"/>
      <c r="K154" s="724"/>
      <c r="L154" s="825">
        <v>2018.01</v>
      </c>
      <c r="M154" s="724">
        <v>2018.12</v>
      </c>
      <c r="N154" s="724">
        <v>41.1</v>
      </c>
      <c r="O154" s="724">
        <v>41.1</v>
      </c>
      <c r="P154" s="724"/>
      <c r="Q154" s="724"/>
      <c r="R154" s="724"/>
      <c r="S154" s="724">
        <v>41.1</v>
      </c>
      <c r="T154" s="724"/>
      <c r="U154" s="724"/>
      <c r="V154" s="724"/>
      <c r="W154" s="86" t="s">
        <v>46</v>
      </c>
      <c r="X154" s="724" t="s">
        <v>47</v>
      </c>
      <c r="Y154" s="92">
        <v>225</v>
      </c>
      <c r="Z154" s="738">
        <f t="shared" si="35"/>
        <v>967.5</v>
      </c>
      <c r="AA154" s="92">
        <v>1</v>
      </c>
      <c r="AB154" s="92"/>
      <c r="AC154" s="92"/>
      <c r="AD154" s="141" t="s">
        <v>178</v>
      </c>
      <c r="AE154" s="146" t="s">
        <v>179</v>
      </c>
      <c r="AF154" s="708" t="s">
        <v>160</v>
      </c>
      <c r="AG154" s="92"/>
    </row>
    <row r="155" ht="41" customHeight="1" spans="1:33">
      <c r="A155" s="705"/>
      <c r="B155" s="822" t="s">
        <v>61</v>
      </c>
      <c r="C155" s="146" t="s">
        <v>162</v>
      </c>
      <c r="D155" s="152" t="s">
        <v>163</v>
      </c>
      <c r="E155" s="92">
        <v>1</v>
      </c>
      <c r="F155" s="822" t="str">
        <f t="shared" si="32"/>
        <v>富村镇</v>
      </c>
      <c r="G155" s="92"/>
      <c r="H155" s="724">
        <v>6485.5</v>
      </c>
      <c r="I155" s="724">
        <v>6485.5</v>
      </c>
      <c r="J155" s="724"/>
      <c r="K155" s="724"/>
      <c r="L155" s="825">
        <v>2018.01</v>
      </c>
      <c r="M155" s="724">
        <v>2018.12</v>
      </c>
      <c r="N155" s="724">
        <v>218.5</v>
      </c>
      <c r="O155" s="724">
        <v>218.5</v>
      </c>
      <c r="P155" s="724"/>
      <c r="Q155" s="724"/>
      <c r="R155" s="724"/>
      <c r="S155" s="724">
        <v>218.5</v>
      </c>
      <c r="T155" s="724"/>
      <c r="U155" s="724"/>
      <c r="V155" s="724"/>
      <c r="W155" s="86" t="s">
        <v>46</v>
      </c>
      <c r="X155" s="724" t="s">
        <v>47</v>
      </c>
      <c r="Y155" s="92">
        <v>1312</v>
      </c>
      <c r="Z155" s="738">
        <f t="shared" si="35"/>
        <v>5641.6</v>
      </c>
      <c r="AA155" s="92">
        <v>1</v>
      </c>
      <c r="AB155" s="92"/>
      <c r="AC155" s="92"/>
      <c r="AD155" s="141" t="s">
        <v>180</v>
      </c>
      <c r="AE155" s="146" t="s">
        <v>181</v>
      </c>
      <c r="AF155" s="708" t="s">
        <v>160</v>
      </c>
      <c r="AG155" s="92"/>
    </row>
    <row r="156" ht="41" customHeight="1" spans="1:33">
      <c r="A156" s="705"/>
      <c r="B156" s="822" t="s">
        <v>78</v>
      </c>
      <c r="C156" s="146" t="s">
        <v>162</v>
      </c>
      <c r="D156" s="152" t="s">
        <v>163</v>
      </c>
      <c r="E156" s="92">
        <v>1</v>
      </c>
      <c r="F156" s="822" t="str">
        <f t="shared" si="32"/>
        <v>黄泥河镇</v>
      </c>
      <c r="G156" s="92"/>
      <c r="H156" s="724">
        <v>1870</v>
      </c>
      <c r="I156" s="724">
        <v>1870</v>
      </c>
      <c r="J156" s="724"/>
      <c r="K156" s="724"/>
      <c r="L156" s="825">
        <v>2018.01</v>
      </c>
      <c r="M156" s="724">
        <v>2018.12</v>
      </c>
      <c r="N156" s="724">
        <v>73.1</v>
      </c>
      <c r="O156" s="724">
        <v>73.1</v>
      </c>
      <c r="P156" s="724"/>
      <c r="Q156" s="724"/>
      <c r="R156" s="724"/>
      <c r="S156" s="724">
        <v>73.1</v>
      </c>
      <c r="T156" s="724"/>
      <c r="U156" s="724"/>
      <c r="V156" s="724"/>
      <c r="W156" s="86" t="s">
        <v>46</v>
      </c>
      <c r="X156" s="724" t="s">
        <v>47</v>
      </c>
      <c r="Y156" s="92">
        <v>385</v>
      </c>
      <c r="Z156" s="738">
        <f t="shared" si="35"/>
        <v>1655.5</v>
      </c>
      <c r="AA156" s="92">
        <v>1</v>
      </c>
      <c r="AB156" s="92"/>
      <c r="AC156" s="92"/>
      <c r="AD156" s="141" t="s">
        <v>79</v>
      </c>
      <c r="AE156" s="146" t="s">
        <v>182</v>
      </c>
      <c r="AF156" s="708" t="s">
        <v>160</v>
      </c>
      <c r="AG156" s="92"/>
    </row>
    <row r="157" ht="41" customHeight="1" spans="1:33">
      <c r="A157" s="705"/>
      <c r="B157" s="822" t="s">
        <v>114</v>
      </c>
      <c r="C157" s="146" t="s">
        <v>162</v>
      </c>
      <c r="D157" s="152" t="s">
        <v>163</v>
      </c>
      <c r="E157" s="92">
        <v>1</v>
      </c>
      <c r="F157" s="822" t="str">
        <f t="shared" si="32"/>
        <v>古敢乡</v>
      </c>
      <c r="G157" s="92"/>
      <c r="H157" s="724">
        <v>625</v>
      </c>
      <c r="I157" s="724">
        <v>625</v>
      </c>
      <c r="J157" s="724"/>
      <c r="K157" s="724"/>
      <c r="L157" s="825">
        <v>2018.01</v>
      </c>
      <c r="M157" s="724">
        <v>2018.12</v>
      </c>
      <c r="N157" s="724">
        <v>25.6</v>
      </c>
      <c r="O157" s="724">
        <v>25.6</v>
      </c>
      <c r="P157" s="724"/>
      <c r="Q157" s="724"/>
      <c r="R157" s="724"/>
      <c r="S157" s="724">
        <v>25.6</v>
      </c>
      <c r="T157" s="724"/>
      <c r="U157" s="724"/>
      <c r="V157" s="724"/>
      <c r="W157" s="86" t="s">
        <v>46</v>
      </c>
      <c r="X157" s="724" t="s">
        <v>47</v>
      </c>
      <c r="Y157" s="92">
        <v>126</v>
      </c>
      <c r="Z157" s="738">
        <f t="shared" si="35"/>
        <v>541.8</v>
      </c>
      <c r="AA157" s="92">
        <v>1</v>
      </c>
      <c r="AB157" s="92"/>
      <c r="AC157" s="92"/>
      <c r="AD157" s="141" t="s">
        <v>183</v>
      </c>
      <c r="AE157" s="146" t="s">
        <v>184</v>
      </c>
      <c r="AF157" s="708" t="s">
        <v>160</v>
      </c>
      <c r="AG157" s="92"/>
    </row>
    <row r="158" ht="41" customHeight="1" spans="1:33">
      <c r="A158" s="705"/>
      <c r="B158" s="822" t="s">
        <v>64</v>
      </c>
      <c r="C158" s="146" t="s">
        <v>162</v>
      </c>
      <c r="D158" s="152" t="s">
        <v>163</v>
      </c>
      <c r="E158" s="92">
        <v>1</v>
      </c>
      <c r="F158" s="822" t="str">
        <f t="shared" si="32"/>
        <v>十八连山镇</v>
      </c>
      <c r="G158" s="92"/>
      <c r="H158" s="724">
        <v>2553.4</v>
      </c>
      <c r="I158" s="724">
        <v>2553.4</v>
      </c>
      <c r="J158" s="724"/>
      <c r="K158" s="724"/>
      <c r="L158" s="825">
        <v>2018.01</v>
      </c>
      <c r="M158" s="724">
        <v>2018.12</v>
      </c>
      <c r="N158" s="724">
        <v>105.4</v>
      </c>
      <c r="O158" s="724">
        <v>105.4</v>
      </c>
      <c r="P158" s="724"/>
      <c r="Q158" s="724"/>
      <c r="R158" s="724"/>
      <c r="S158" s="724">
        <v>105.4</v>
      </c>
      <c r="T158" s="724"/>
      <c r="U158" s="724"/>
      <c r="V158" s="724"/>
      <c r="W158" s="86" t="s">
        <v>46</v>
      </c>
      <c r="X158" s="724" t="s">
        <v>47</v>
      </c>
      <c r="Y158" s="92">
        <v>527</v>
      </c>
      <c r="Z158" s="738">
        <f t="shared" si="35"/>
        <v>2266.1</v>
      </c>
      <c r="AA158" s="92">
        <v>1</v>
      </c>
      <c r="AB158" s="92"/>
      <c r="AC158" s="92"/>
      <c r="AD158" s="141" t="s">
        <v>185</v>
      </c>
      <c r="AE158" s="146" t="s">
        <v>186</v>
      </c>
      <c r="AF158" s="708" t="s">
        <v>160</v>
      </c>
      <c r="AG158" s="92"/>
    </row>
    <row r="159" ht="41" customHeight="1" spans="1:33">
      <c r="A159" s="705"/>
      <c r="B159" s="822" t="s">
        <v>92</v>
      </c>
      <c r="C159" s="146" t="s">
        <v>162</v>
      </c>
      <c r="D159" s="152" t="s">
        <v>163</v>
      </c>
      <c r="E159" s="92">
        <v>1</v>
      </c>
      <c r="F159" s="822" t="str">
        <f t="shared" si="32"/>
        <v>老厂镇</v>
      </c>
      <c r="G159" s="92"/>
      <c r="H159" s="724">
        <v>1175</v>
      </c>
      <c r="I159" s="724">
        <v>1175</v>
      </c>
      <c r="J159" s="724"/>
      <c r="K159" s="724"/>
      <c r="L159" s="825">
        <v>2018.01</v>
      </c>
      <c r="M159" s="724">
        <v>2018.12</v>
      </c>
      <c r="N159" s="724">
        <v>50.3</v>
      </c>
      <c r="O159" s="724">
        <v>50.3</v>
      </c>
      <c r="P159" s="724"/>
      <c r="Q159" s="724"/>
      <c r="R159" s="724"/>
      <c r="S159" s="724">
        <v>50.3</v>
      </c>
      <c r="T159" s="724"/>
      <c r="U159" s="724"/>
      <c r="V159" s="724"/>
      <c r="W159" s="86" t="s">
        <v>46</v>
      </c>
      <c r="X159" s="724" t="s">
        <v>47</v>
      </c>
      <c r="Y159" s="92">
        <v>236</v>
      </c>
      <c r="Z159" s="738">
        <f t="shared" si="35"/>
        <v>1014.8</v>
      </c>
      <c r="AA159" s="92">
        <v>1</v>
      </c>
      <c r="AB159" s="92"/>
      <c r="AC159" s="92"/>
      <c r="AD159" s="141" t="s">
        <v>187</v>
      </c>
      <c r="AE159" s="146" t="s">
        <v>188</v>
      </c>
      <c r="AF159" s="708" t="s">
        <v>160</v>
      </c>
      <c r="AG159" s="92"/>
    </row>
    <row r="160" s="570" customFormat="1" ht="24.95" customHeight="1" spans="1:33">
      <c r="A160" s="705" t="s">
        <v>48</v>
      </c>
      <c r="B160" s="823" t="s">
        <v>189</v>
      </c>
      <c r="C160" s="146" t="s">
        <v>162</v>
      </c>
      <c r="D160" s="76" t="s">
        <v>163</v>
      </c>
      <c r="E160" s="92"/>
      <c r="F160" s="92"/>
      <c r="G160" s="92"/>
      <c r="H160" s="92"/>
      <c r="I160" s="92"/>
      <c r="J160" s="738"/>
      <c r="K160" s="738"/>
      <c r="L160" s="92"/>
      <c r="M160" s="92"/>
      <c r="N160" s="724"/>
      <c r="O160" s="724"/>
      <c r="P160" s="724"/>
      <c r="Q160" s="724"/>
      <c r="R160" s="92"/>
      <c r="S160" s="92"/>
      <c r="T160" s="92"/>
      <c r="U160" s="92"/>
      <c r="V160" s="92"/>
      <c r="W160" s="92"/>
      <c r="X160" s="92"/>
      <c r="Y160" s="92"/>
      <c r="Z160" s="92"/>
      <c r="AA160" s="92"/>
      <c r="AB160" s="92"/>
      <c r="AC160" s="92"/>
      <c r="AD160" s="141"/>
      <c r="AE160" s="146"/>
      <c r="AF160" s="708"/>
      <c r="AG160" s="92"/>
    </row>
    <row r="161" ht="24.95" customHeight="1" spans="1:33">
      <c r="A161" s="705">
        <v>11</v>
      </c>
      <c r="B161" s="708" t="s">
        <v>190</v>
      </c>
      <c r="C161" s="708"/>
      <c r="D161" s="709"/>
      <c r="E161" s="708"/>
      <c r="F161" s="708"/>
      <c r="G161" s="708"/>
      <c r="H161" s="726"/>
      <c r="I161" s="726"/>
      <c r="J161" s="726"/>
      <c r="K161" s="726"/>
      <c r="L161" s="726"/>
      <c r="M161" s="726"/>
      <c r="N161" s="726"/>
      <c r="O161" s="726"/>
      <c r="P161" s="726"/>
      <c r="Q161" s="726"/>
      <c r="R161" s="726"/>
      <c r="S161" s="726"/>
      <c r="T161" s="726"/>
      <c r="U161" s="726"/>
      <c r="V161" s="726"/>
      <c r="W161" s="86"/>
      <c r="X161" s="724"/>
      <c r="Y161" s="726"/>
      <c r="Z161" s="726"/>
      <c r="AA161" s="708"/>
      <c r="AB161" s="708"/>
      <c r="AC161" s="708"/>
      <c r="AD161" s="708"/>
      <c r="AE161" s="708"/>
      <c r="AF161" s="708"/>
      <c r="AG161" s="708"/>
    </row>
    <row r="162" ht="28" customHeight="1" spans="1:33">
      <c r="A162" s="705" t="s">
        <v>48</v>
      </c>
      <c r="B162" s="92" t="s">
        <v>191</v>
      </c>
      <c r="C162" s="92"/>
      <c r="D162" s="76" t="s">
        <v>192</v>
      </c>
      <c r="E162" s="92"/>
      <c r="F162" s="92"/>
      <c r="G162" s="92"/>
      <c r="H162" s="724"/>
      <c r="I162" s="724"/>
      <c r="J162" s="724"/>
      <c r="K162" s="724"/>
      <c r="L162" s="724"/>
      <c r="M162" s="724"/>
      <c r="N162" s="724"/>
      <c r="O162" s="724"/>
      <c r="P162" s="724"/>
      <c r="Q162" s="724"/>
      <c r="R162" s="724"/>
      <c r="S162" s="724"/>
      <c r="T162" s="724"/>
      <c r="U162" s="724"/>
      <c r="V162" s="724"/>
      <c r="W162" s="86"/>
      <c r="X162" s="724"/>
      <c r="Y162" s="92"/>
      <c r="Z162" s="92"/>
      <c r="AA162" s="92"/>
      <c r="AB162" s="92"/>
      <c r="AC162" s="92"/>
      <c r="AD162" s="92"/>
      <c r="AE162" s="92"/>
      <c r="AF162" s="92"/>
      <c r="AG162" s="92"/>
    </row>
    <row r="163" ht="24.95" customHeight="1" spans="1:33">
      <c r="A163" s="705">
        <v>13</v>
      </c>
      <c r="B163" s="708" t="s">
        <v>193</v>
      </c>
      <c r="C163" s="708"/>
      <c r="D163" s="709" t="s">
        <v>194</v>
      </c>
      <c r="E163" s="708"/>
      <c r="F163" s="708"/>
      <c r="G163" s="708"/>
      <c r="H163" s="726"/>
      <c r="I163" s="726"/>
      <c r="J163" s="726"/>
      <c r="K163" s="726"/>
      <c r="L163" s="726"/>
      <c r="M163" s="726"/>
      <c r="N163" s="726"/>
      <c r="O163" s="726"/>
      <c r="P163" s="726"/>
      <c r="Q163" s="726"/>
      <c r="R163" s="726"/>
      <c r="S163" s="726"/>
      <c r="T163" s="726"/>
      <c r="U163" s="726"/>
      <c r="V163" s="726"/>
      <c r="W163" s="86"/>
      <c r="X163" s="724"/>
      <c r="Y163" s="761"/>
      <c r="Z163" s="761"/>
      <c r="AA163" s="764"/>
      <c r="AB163" s="708"/>
      <c r="AC163" s="708"/>
      <c r="AD163" s="708"/>
      <c r="AE163" s="708"/>
      <c r="AF163" s="708" t="s">
        <v>195</v>
      </c>
      <c r="AG163" s="708"/>
    </row>
    <row r="164" ht="32.1" customHeight="1" spans="1:33">
      <c r="A164" s="705">
        <v>19</v>
      </c>
      <c r="B164" s="708" t="s">
        <v>196</v>
      </c>
      <c r="C164" s="708"/>
      <c r="D164" s="709"/>
      <c r="E164" s="708"/>
      <c r="F164" s="708"/>
      <c r="G164" s="708"/>
      <c r="H164" s="726"/>
      <c r="I164" s="726"/>
      <c r="J164" s="726"/>
      <c r="K164" s="726"/>
      <c r="L164" s="726"/>
      <c r="M164" s="726"/>
      <c r="N164" s="726"/>
      <c r="O164" s="726"/>
      <c r="P164" s="726"/>
      <c r="Q164" s="726"/>
      <c r="R164" s="726"/>
      <c r="S164" s="726"/>
      <c r="T164" s="726"/>
      <c r="U164" s="726"/>
      <c r="V164" s="726"/>
      <c r="W164" s="86"/>
      <c r="X164" s="724"/>
      <c r="Y164" s="708"/>
      <c r="Z164" s="708"/>
      <c r="AA164" s="708"/>
      <c r="AB164" s="708"/>
      <c r="AC164" s="708"/>
      <c r="AD164" s="708"/>
      <c r="AE164" s="708"/>
      <c r="AF164" s="708"/>
      <c r="AG164" s="708" t="s">
        <v>41</v>
      </c>
    </row>
    <row r="165" ht="24.95" customHeight="1" spans="1:33">
      <c r="A165" s="705">
        <v>20</v>
      </c>
      <c r="B165" s="756" t="s">
        <v>197</v>
      </c>
      <c r="C165" s="757"/>
      <c r="D165" s="705" t="s">
        <v>150</v>
      </c>
      <c r="E165" s="757"/>
      <c r="F165" s="757"/>
      <c r="G165" s="757"/>
      <c r="H165" s="759"/>
      <c r="I165" s="759"/>
      <c r="J165" s="759"/>
      <c r="K165" s="759"/>
      <c r="L165" s="759"/>
      <c r="M165" s="759"/>
      <c r="N165" s="759"/>
      <c r="O165" s="759"/>
      <c r="P165" s="759"/>
      <c r="Q165" s="759"/>
      <c r="R165" s="759"/>
      <c r="S165" s="759"/>
      <c r="T165" s="759"/>
      <c r="U165" s="759"/>
      <c r="V165" s="759"/>
      <c r="W165" s="827" t="s">
        <v>46</v>
      </c>
      <c r="X165" s="724" t="s">
        <v>47</v>
      </c>
      <c r="Y165" s="759"/>
      <c r="Z165" s="759"/>
      <c r="AA165" s="757"/>
      <c r="AB165" s="757"/>
      <c r="AC165" s="757"/>
      <c r="AD165" s="757"/>
      <c r="AE165" s="757"/>
      <c r="AF165" s="757"/>
      <c r="AG165" s="757" t="s">
        <v>41</v>
      </c>
    </row>
    <row r="166" ht="24.95" customHeight="1" spans="1:33">
      <c r="A166" s="705">
        <v>21</v>
      </c>
      <c r="B166" s="756" t="s">
        <v>198</v>
      </c>
      <c r="C166" s="757"/>
      <c r="D166" s="705" t="s">
        <v>150</v>
      </c>
      <c r="E166" s="757"/>
      <c r="F166" s="757"/>
      <c r="G166" s="757"/>
      <c r="H166" s="759"/>
      <c r="I166" s="759"/>
      <c r="J166" s="759"/>
      <c r="K166" s="759"/>
      <c r="L166" s="759"/>
      <c r="M166" s="759"/>
      <c r="N166" s="759"/>
      <c r="O166" s="759"/>
      <c r="P166" s="759"/>
      <c r="Q166" s="759"/>
      <c r="R166" s="759"/>
      <c r="S166" s="759"/>
      <c r="T166" s="759"/>
      <c r="U166" s="759"/>
      <c r="V166" s="759"/>
      <c r="W166" s="86" t="s">
        <v>46</v>
      </c>
      <c r="X166" s="724" t="s">
        <v>47</v>
      </c>
      <c r="Y166" s="762"/>
      <c r="Z166" s="762"/>
      <c r="AA166" s="757"/>
      <c r="AB166" s="757"/>
      <c r="AC166" s="757"/>
      <c r="AD166" s="757"/>
      <c r="AE166" s="757"/>
      <c r="AF166" s="757" t="s">
        <v>497</v>
      </c>
      <c r="AG166" s="757" t="s">
        <v>41</v>
      </c>
    </row>
    <row r="167" ht="24.95" customHeight="1" spans="1:33">
      <c r="A167" s="705"/>
      <c r="B167" s="714" t="s">
        <v>101</v>
      </c>
      <c r="C167" s="146"/>
      <c r="D167" s="152"/>
      <c r="E167" s="152"/>
      <c r="F167" s="714" t="str">
        <f t="shared" si="32"/>
        <v>中安</v>
      </c>
      <c r="G167" s="757"/>
      <c r="H167" s="759"/>
      <c r="I167" s="759"/>
      <c r="J167" s="759"/>
      <c r="K167" s="759"/>
      <c r="L167" s="759"/>
      <c r="M167" s="759"/>
      <c r="N167" s="759"/>
      <c r="O167" s="759"/>
      <c r="P167" s="759"/>
      <c r="Q167" s="759"/>
      <c r="R167" s="759"/>
      <c r="S167" s="759"/>
      <c r="T167" s="759"/>
      <c r="U167" s="759"/>
      <c r="V167" s="759"/>
      <c r="W167" s="86" t="s">
        <v>46</v>
      </c>
      <c r="X167" s="724" t="s">
        <v>47</v>
      </c>
      <c r="Y167" s="762"/>
      <c r="Z167" s="762"/>
      <c r="AA167" s="757"/>
      <c r="AB167" s="757"/>
      <c r="AC167" s="757"/>
      <c r="AD167" s="757"/>
      <c r="AE167" s="757"/>
      <c r="AF167" s="757"/>
      <c r="AG167" s="757"/>
    </row>
    <row r="168" ht="24.95" customHeight="1" spans="1:33">
      <c r="A168" s="705"/>
      <c r="B168" s="714" t="s">
        <v>151</v>
      </c>
      <c r="C168" s="146"/>
      <c r="D168" s="152"/>
      <c r="E168" s="152"/>
      <c r="F168" s="714" t="str">
        <f t="shared" si="32"/>
        <v>胜境</v>
      </c>
      <c r="G168" s="757"/>
      <c r="H168" s="759"/>
      <c r="I168" s="759"/>
      <c r="J168" s="759"/>
      <c r="K168" s="759"/>
      <c r="L168" s="759"/>
      <c r="M168" s="759"/>
      <c r="N168" s="759"/>
      <c r="O168" s="759"/>
      <c r="P168" s="759"/>
      <c r="Q168" s="759"/>
      <c r="R168" s="759"/>
      <c r="S168" s="759"/>
      <c r="T168" s="759"/>
      <c r="U168" s="759"/>
      <c r="V168" s="759"/>
      <c r="W168" s="86" t="s">
        <v>46</v>
      </c>
      <c r="X168" s="724" t="s">
        <v>47</v>
      </c>
      <c r="Y168" s="762"/>
      <c r="Z168" s="762"/>
      <c r="AA168" s="757"/>
      <c r="AB168" s="757"/>
      <c r="AC168" s="757"/>
      <c r="AD168" s="757"/>
      <c r="AE168" s="757"/>
      <c r="AF168" s="757"/>
      <c r="AG168" s="757"/>
    </row>
    <row r="169" ht="24.95" customHeight="1" spans="1:33">
      <c r="A169" s="705"/>
      <c r="B169" s="714" t="s">
        <v>154</v>
      </c>
      <c r="C169" s="146"/>
      <c r="D169" s="152"/>
      <c r="E169" s="152"/>
      <c r="F169" s="714" t="str">
        <f t="shared" si="32"/>
        <v>后所</v>
      </c>
      <c r="G169" s="757"/>
      <c r="H169" s="759"/>
      <c r="I169" s="759"/>
      <c r="J169" s="759"/>
      <c r="K169" s="759"/>
      <c r="L169" s="759"/>
      <c r="M169" s="759"/>
      <c r="N169" s="759"/>
      <c r="O169" s="759"/>
      <c r="P169" s="759"/>
      <c r="Q169" s="759"/>
      <c r="R169" s="759"/>
      <c r="S169" s="759"/>
      <c r="T169" s="759"/>
      <c r="U169" s="759"/>
      <c r="V169" s="759"/>
      <c r="W169" s="86" t="s">
        <v>46</v>
      </c>
      <c r="X169" s="724" t="s">
        <v>47</v>
      </c>
      <c r="Y169" s="762"/>
      <c r="Z169" s="762"/>
      <c r="AA169" s="757"/>
      <c r="AB169" s="757"/>
      <c r="AC169" s="757"/>
      <c r="AD169" s="757"/>
      <c r="AE169" s="757"/>
      <c r="AF169" s="757"/>
      <c r="AG169" s="757"/>
    </row>
    <row r="170" ht="24.95" customHeight="1" spans="1:33">
      <c r="A170" s="705"/>
      <c r="B170" s="714" t="s">
        <v>81</v>
      </c>
      <c r="C170" s="146"/>
      <c r="D170" s="152"/>
      <c r="E170" s="152"/>
      <c r="F170" s="714" t="str">
        <f t="shared" si="32"/>
        <v>墨红</v>
      </c>
      <c r="G170" s="757"/>
      <c r="H170" s="759"/>
      <c r="I170" s="759"/>
      <c r="J170" s="759"/>
      <c r="K170" s="759"/>
      <c r="L170" s="759"/>
      <c r="M170" s="759"/>
      <c r="N170" s="759"/>
      <c r="O170" s="759"/>
      <c r="P170" s="759"/>
      <c r="Q170" s="759"/>
      <c r="R170" s="759"/>
      <c r="S170" s="759"/>
      <c r="T170" s="759"/>
      <c r="U170" s="759"/>
      <c r="V170" s="759"/>
      <c r="W170" s="86" t="s">
        <v>46</v>
      </c>
      <c r="X170" s="724" t="s">
        <v>47</v>
      </c>
      <c r="Y170" s="762"/>
      <c r="Z170" s="762"/>
      <c r="AA170" s="757"/>
      <c r="AB170" s="757"/>
      <c r="AC170" s="757"/>
      <c r="AD170" s="757"/>
      <c r="AE170" s="757"/>
      <c r="AF170" s="757"/>
      <c r="AG170" s="757"/>
    </row>
    <row r="171" ht="24.95" customHeight="1" spans="1:33">
      <c r="A171" s="705"/>
      <c r="B171" s="714" t="s">
        <v>98</v>
      </c>
      <c r="C171" s="146"/>
      <c r="D171" s="152"/>
      <c r="E171" s="152"/>
      <c r="F171" s="714" t="str">
        <f t="shared" si="32"/>
        <v>大河</v>
      </c>
      <c r="G171" s="757"/>
      <c r="H171" s="759"/>
      <c r="I171" s="759"/>
      <c r="J171" s="759"/>
      <c r="K171" s="759"/>
      <c r="L171" s="759"/>
      <c r="M171" s="759"/>
      <c r="N171" s="759"/>
      <c r="O171" s="759"/>
      <c r="P171" s="759"/>
      <c r="Q171" s="759"/>
      <c r="R171" s="759"/>
      <c r="S171" s="759"/>
      <c r="T171" s="759"/>
      <c r="U171" s="759"/>
      <c r="V171" s="759"/>
      <c r="W171" s="86" t="s">
        <v>46</v>
      </c>
      <c r="X171" s="724" t="s">
        <v>47</v>
      </c>
      <c r="Y171" s="762"/>
      <c r="Z171" s="762"/>
      <c r="AA171" s="757"/>
      <c r="AB171" s="757"/>
      <c r="AC171" s="757"/>
      <c r="AD171" s="757"/>
      <c r="AE171" s="757"/>
      <c r="AF171" s="757"/>
      <c r="AG171" s="757"/>
    </row>
    <row r="172" ht="24.95" customHeight="1" spans="1:33">
      <c r="A172" s="705"/>
      <c r="B172" s="714" t="s">
        <v>211</v>
      </c>
      <c r="C172" s="146"/>
      <c r="D172" s="152"/>
      <c r="E172" s="152"/>
      <c r="F172" s="714" t="str">
        <f t="shared" si="32"/>
        <v>营上</v>
      </c>
      <c r="G172" s="757"/>
      <c r="H172" s="759"/>
      <c r="I172" s="759"/>
      <c r="J172" s="759"/>
      <c r="K172" s="759"/>
      <c r="L172" s="759"/>
      <c r="M172" s="759"/>
      <c r="N172" s="759"/>
      <c r="O172" s="759"/>
      <c r="P172" s="759"/>
      <c r="Q172" s="759"/>
      <c r="R172" s="759"/>
      <c r="S172" s="759"/>
      <c r="T172" s="759"/>
      <c r="U172" s="759"/>
      <c r="V172" s="759"/>
      <c r="W172" s="86" t="s">
        <v>46</v>
      </c>
      <c r="X172" s="724" t="s">
        <v>47</v>
      </c>
      <c r="Y172" s="762"/>
      <c r="Z172" s="762"/>
      <c r="AA172" s="757"/>
      <c r="AB172" s="757"/>
      <c r="AC172" s="757"/>
      <c r="AD172" s="757"/>
      <c r="AE172" s="757"/>
      <c r="AF172" s="757"/>
      <c r="AG172" s="757"/>
    </row>
    <row r="173" ht="24.95" customHeight="1" spans="1:33">
      <c r="A173" s="705"/>
      <c r="B173" s="714" t="s">
        <v>155</v>
      </c>
      <c r="C173" s="146"/>
      <c r="D173" s="152"/>
      <c r="E173" s="152"/>
      <c r="F173" s="714" t="str">
        <f t="shared" si="32"/>
        <v>竹园</v>
      </c>
      <c r="G173" s="757"/>
      <c r="H173" s="759"/>
      <c r="I173" s="759"/>
      <c r="J173" s="759"/>
      <c r="K173" s="759"/>
      <c r="L173" s="759"/>
      <c r="M173" s="759"/>
      <c r="N173" s="759"/>
      <c r="O173" s="759"/>
      <c r="P173" s="759"/>
      <c r="Q173" s="759"/>
      <c r="R173" s="759"/>
      <c r="S173" s="759"/>
      <c r="T173" s="759"/>
      <c r="U173" s="759"/>
      <c r="V173" s="759"/>
      <c r="W173" s="86" t="s">
        <v>46</v>
      </c>
      <c r="X173" s="724" t="s">
        <v>47</v>
      </c>
      <c r="Y173" s="762"/>
      <c r="Z173" s="762"/>
      <c r="AA173" s="757"/>
      <c r="AB173" s="757"/>
      <c r="AC173" s="757"/>
      <c r="AD173" s="757"/>
      <c r="AE173" s="757"/>
      <c r="AF173" s="757"/>
      <c r="AG173" s="757"/>
    </row>
    <row r="174" ht="24.95" customHeight="1" spans="1:33">
      <c r="A174" s="705"/>
      <c r="B174" s="714" t="s">
        <v>102</v>
      </c>
      <c r="C174" s="146"/>
      <c r="D174" s="152"/>
      <c r="E174" s="152"/>
      <c r="F174" s="714" t="str">
        <f t="shared" si="32"/>
        <v>富村</v>
      </c>
      <c r="G174" s="757"/>
      <c r="H174" s="759"/>
      <c r="I174" s="759"/>
      <c r="J174" s="759"/>
      <c r="K174" s="759"/>
      <c r="L174" s="759"/>
      <c r="M174" s="759"/>
      <c r="N174" s="759"/>
      <c r="O174" s="759"/>
      <c r="P174" s="759"/>
      <c r="Q174" s="759"/>
      <c r="R174" s="759"/>
      <c r="S174" s="759"/>
      <c r="T174" s="759"/>
      <c r="U174" s="759"/>
      <c r="V174" s="759"/>
      <c r="W174" s="86" t="s">
        <v>46</v>
      </c>
      <c r="X174" s="724" t="s">
        <v>47</v>
      </c>
      <c r="Y174" s="762"/>
      <c r="Z174" s="762"/>
      <c r="AA174" s="757"/>
      <c r="AB174" s="757"/>
      <c r="AC174" s="757"/>
      <c r="AD174" s="757"/>
      <c r="AE174" s="757"/>
      <c r="AF174" s="757"/>
      <c r="AG174" s="757"/>
    </row>
    <row r="175" ht="24.95" customHeight="1" spans="1:33">
      <c r="A175" s="705"/>
      <c r="B175" s="714" t="s">
        <v>100</v>
      </c>
      <c r="C175" s="146"/>
      <c r="D175" s="152"/>
      <c r="E175" s="152"/>
      <c r="F175" s="714" t="str">
        <f t="shared" si="32"/>
        <v>黄泥河</v>
      </c>
      <c r="G175" s="757"/>
      <c r="H175" s="759"/>
      <c r="I175" s="759"/>
      <c r="J175" s="759"/>
      <c r="K175" s="759"/>
      <c r="L175" s="759"/>
      <c r="M175" s="759"/>
      <c r="N175" s="759"/>
      <c r="O175" s="759"/>
      <c r="P175" s="759"/>
      <c r="Q175" s="759"/>
      <c r="R175" s="759"/>
      <c r="S175" s="759"/>
      <c r="T175" s="759"/>
      <c r="U175" s="759"/>
      <c r="V175" s="759"/>
      <c r="W175" s="86" t="s">
        <v>46</v>
      </c>
      <c r="X175" s="724" t="s">
        <v>47</v>
      </c>
      <c r="Y175" s="762"/>
      <c r="Z175" s="762"/>
      <c r="AA175" s="757"/>
      <c r="AB175" s="757"/>
      <c r="AC175" s="757"/>
      <c r="AD175" s="757"/>
      <c r="AE175" s="757"/>
      <c r="AF175" s="757"/>
      <c r="AG175" s="757"/>
    </row>
    <row r="176" ht="24.95" customHeight="1" spans="1:33">
      <c r="A176" s="705"/>
      <c r="B176" s="714" t="s">
        <v>84</v>
      </c>
      <c r="C176" s="146"/>
      <c r="D176" s="152"/>
      <c r="E176" s="152"/>
      <c r="F176" s="714" t="str">
        <f t="shared" si="32"/>
        <v>十八连山</v>
      </c>
      <c r="G176" s="757"/>
      <c r="H176" s="759"/>
      <c r="I176" s="759"/>
      <c r="J176" s="759"/>
      <c r="K176" s="759"/>
      <c r="L176" s="759"/>
      <c r="M176" s="759"/>
      <c r="N176" s="759"/>
      <c r="O176" s="759"/>
      <c r="P176" s="759"/>
      <c r="Q176" s="759"/>
      <c r="R176" s="759"/>
      <c r="S176" s="759"/>
      <c r="T176" s="759"/>
      <c r="U176" s="759"/>
      <c r="V176" s="759"/>
      <c r="W176" s="86" t="s">
        <v>46</v>
      </c>
      <c r="X176" s="724" t="s">
        <v>47</v>
      </c>
      <c r="Y176" s="762"/>
      <c r="Z176" s="762"/>
      <c r="AA176" s="757"/>
      <c r="AB176" s="757"/>
      <c r="AC176" s="757"/>
      <c r="AD176" s="757"/>
      <c r="AE176" s="757"/>
      <c r="AF176" s="757"/>
      <c r="AG176" s="757"/>
    </row>
    <row r="177" ht="24.95" customHeight="1" spans="1:33">
      <c r="A177" s="705"/>
      <c r="B177" s="714" t="s">
        <v>143</v>
      </c>
      <c r="C177" s="146"/>
      <c r="D177" s="152"/>
      <c r="E177" s="152"/>
      <c r="F177" s="714" t="str">
        <f t="shared" si="32"/>
        <v>老厂</v>
      </c>
      <c r="G177" s="757"/>
      <c r="H177" s="759"/>
      <c r="I177" s="759"/>
      <c r="J177" s="759"/>
      <c r="K177" s="759"/>
      <c r="L177" s="759"/>
      <c r="M177" s="759"/>
      <c r="N177" s="759"/>
      <c r="O177" s="759"/>
      <c r="P177" s="759"/>
      <c r="Q177" s="759"/>
      <c r="R177" s="759"/>
      <c r="S177" s="759"/>
      <c r="T177" s="759"/>
      <c r="U177" s="759"/>
      <c r="V177" s="759"/>
      <c r="W177" s="86" t="s">
        <v>46</v>
      </c>
      <c r="X177" s="724" t="s">
        <v>47</v>
      </c>
      <c r="Y177" s="762"/>
      <c r="Z177" s="762"/>
      <c r="AA177" s="757"/>
      <c r="AB177" s="757"/>
      <c r="AC177" s="757"/>
      <c r="AD177" s="757"/>
      <c r="AE177" s="757"/>
      <c r="AF177" s="757"/>
      <c r="AG177" s="757"/>
    </row>
    <row r="178" ht="24.95" customHeight="1" spans="1:33">
      <c r="A178" s="705">
        <v>22</v>
      </c>
      <c r="B178" s="757" t="s">
        <v>223</v>
      </c>
      <c r="C178" s="757"/>
      <c r="D178" s="705"/>
      <c r="E178" s="757"/>
      <c r="F178" s="757"/>
      <c r="G178" s="757"/>
      <c r="H178" s="759"/>
      <c r="I178" s="759"/>
      <c r="J178" s="759"/>
      <c r="K178" s="759"/>
      <c r="L178" s="759"/>
      <c r="M178" s="759"/>
      <c r="N178" s="759"/>
      <c r="O178" s="759"/>
      <c r="P178" s="759"/>
      <c r="Q178" s="759"/>
      <c r="R178" s="759"/>
      <c r="S178" s="759"/>
      <c r="T178" s="759"/>
      <c r="U178" s="759"/>
      <c r="V178" s="759"/>
      <c r="W178" s="86"/>
      <c r="X178" s="724"/>
      <c r="Y178" s="759"/>
      <c r="Z178" s="759"/>
      <c r="AA178" s="757"/>
      <c r="AB178" s="757"/>
      <c r="AC178" s="757"/>
      <c r="AD178" s="757"/>
      <c r="AE178" s="757"/>
      <c r="AF178" s="757" t="s">
        <v>160</v>
      </c>
      <c r="AG178" s="757" t="s">
        <v>41</v>
      </c>
    </row>
    <row r="179" ht="24.95" customHeight="1" spans="1:33">
      <c r="A179" s="705" t="s">
        <v>48</v>
      </c>
      <c r="B179" s="757" t="s">
        <v>148</v>
      </c>
      <c r="C179" s="757"/>
      <c r="D179" s="705"/>
      <c r="E179" s="757"/>
      <c r="F179" s="757"/>
      <c r="G179" s="757"/>
      <c r="H179" s="759"/>
      <c r="I179" s="759"/>
      <c r="J179" s="759"/>
      <c r="K179" s="759"/>
      <c r="L179" s="759"/>
      <c r="M179" s="759"/>
      <c r="N179" s="759"/>
      <c r="O179" s="759"/>
      <c r="P179" s="759"/>
      <c r="Q179" s="759"/>
      <c r="R179" s="759"/>
      <c r="S179" s="759"/>
      <c r="T179" s="759"/>
      <c r="U179" s="759"/>
      <c r="V179" s="759"/>
      <c r="W179" s="86"/>
      <c r="X179" s="724"/>
      <c r="Y179" s="759"/>
      <c r="Z179" s="759"/>
      <c r="AA179" s="757"/>
      <c r="AB179" s="757"/>
      <c r="AC179" s="757"/>
      <c r="AD179" s="757"/>
      <c r="AE179" s="757"/>
      <c r="AF179" s="757"/>
      <c r="AG179" s="757"/>
    </row>
    <row r="180" ht="44.25" customHeight="1" spans="1:33">
      <c r="A180" s="705">
        <v>23</v>
      </c>
      <c r="B180" s="757" t="s">
        <v>224</v>
      </c>
      <c r="C180" s="757"/>
      <c r="D180" s="705" t="s">
        <v>150</v>
      </c>
      <c r="E180" s="757"/>
      <c r="F180" s="757"/>
      <c r="G180" s="757"/>
      <c r="H180" s="759"/>
      <c r="I180" s="759"/>
      <c r="J180" s="759"/>
      <c r="K180" s="759"/>
      <c r="L180" s="759"/>
      <c r="M180" s="759"/>
      <c r="N180" s="759"/>
      <c r="O180" s="759"/>
      <c r="P180" s="759"/>
      <c r="Q180" s="759"/>
      <c r="R180" s="759"/>
      <c r="S180" s="759"/>
      <c r="T180" s="759"/>
      <c r="U180" s="759"/>
      <c r="V180" s="759"/>
      <c r="W180" s="86"/>
      <c r="X180" s="724"/>
      <c r="Y180" s="759"/>
      <c r="Z180" s="759"/>
      <c r="AA180" s="757"/>
      <c r="AB180" s="757"/>
      <c r="AC180" s="757"/>
      <c r="AD180" s="765"/>
      <c r="AE180" s="757"/>
      <c r="AF180" s="757" t="s">
        <v>43</v>
      </c>
      <c r="AG180" s="757" t="s">
        <v>41</v>
      </c>
    </row>
    <row r="181" ht="24.95" customHeight="1" spans="1:33">
      <c r="A181" s="705" t="s">
        <v>48</v>
      </c>
      <c r="B181" s="757" t="s">
        <v>148</v>
      </c>
      <c r="C181" s="757"/>
      <c r="D181" s="705"/>
      <c r="E181" s="757"/>
      <c r="F181" s="757"/>
      <c r="G181" s="757"/>
      <c r="H181" s="759"/>
      <c r="I181" s="759"/>
      <c r="J181" s="759"/>
      <c r="K181" s="759"/>
      <c r="L181" s="759"/>
      <c r="M181" s="759"/>
      <c r="N181" s="759"/>
      <c r="O181" s="759"/>
      <c r="P181" s="759"/>
      <c r="Q181" s="759"/>
      <c r="R181" s="759"/>
      <c r="S181" s="759"/>
      <c r="T181" s="759"/>
      <c r="U181" s="759"/>
      <c r="V181" s="759"/>
      <c r="W181" s="86"/>
      <c r="X181" s="724"/>
      <c r="Y181" s="757"/>
      <c r="Z181" s="757"/>
      <c r="AA181" s="757"/>
      <c r="AB181" s="757"/>
      <c r="AC181" s="757"/>
      <c r="AD181" s="757"/>
      <c r="AE181" s="757"/>
      <c r="AF181" s="757"/>
      <c r="AG181" s="757"/>
    </row>
    <row r="182" ht="24.95" customHeight="1" spans="1:33">
      <c r="A182" s="705">
        <v>24</v>
      </c>
      <c r="B182" s="757" t="s">
        <v>225</v>
      </c>
      <c r="C182" s="757"/>
      <c r="D182" s="705" t="s">
        <v>150</v>
      </c>
      <c r="E182" s="757"/>
      <c r="F182" s="757"/>
      <c r="G182" s="757"/>
      <c r="H182" s="759"/>
      <c r="I182" s="759"/>
      <c r="J182" s="759"/>
      <c r="K182" s="759"/>
      <c r="L182" s="759"/>
      <c r="M182" s="759"/>
      <c r="N182" s="759"/>
      <c r="O182" s="759"/>
      <c r="P182" s="759"/>
      <c r="Q182" s="759"/>
      <c r="R182" s="759"/>
      <c r="S182" s="759"/>
      <c r="T182" s="759"/>
      <c r="U182" s="759"/>
      <c r="V182" s="759"/>
      <c r="W182" s="86"/>
      <c r="X182" s="724"/>
      <c r="Y182" s="759"/>
      <c r="Z182" s="759"/>
      <c r="AA182" s="757"/>
      <c r="AB182" s="757"/>
      <c r="AC182" s="757"/>
      <c r="AD182" s="765"/>
      <c r="AE182" s="757"/>
      <c r="AF182" s="757" t="s">
        <v>43</v>
      </c>
      <c r="AG182" s="757" t="s">
        <v>41</v>
      </c>
    </row>
    <row r="183" ht="24.95" customHeight="1" spans="1:33">
      <c r="A183" s="705" t="s">
        <v>48</v>
      </c>
      <c r="B183" s="757" t="s">
        <v>148</v>
      </c>
      <c r="C183" s="757"/>
      <c r="D183" s="705"/>
      <c r="E183" s="757"/>
      <c r="F183" s="757"/>
      <c r="G183" s="757"/>
      <c r="H183" s="759"/>
      <c r="I183" s="759"/>
      <c r="J183" s="759"/>
      <c r="K183" s="759"/>
      <c r="L183" s="759"/>
      <c r="M183" s="759"/>
      <c r="N183" s="759"/>
      <c r="O183" s="759"/>
      <c r="P183" s="759"/>
      <c r="Q183" s="759"/>
      <c r="R183" s="759"/>
      <c r="S183" s="759"/>
      <c r="T183" s="759"/>
      <c r="U183" s="759"/>
      <c r="V183" s="759"/>
      <c r="W183" s="86"/>
      <c r="X183" s="724"/>
      <c r="Y183" s="757"/>
      <c r="Z183" s="757"/>
      <c r="AA183" s="757"/>
      <c r="AB183" s="757"/>
      <c r="AC183" s="757"/>
      <c r="AD183" s="757"/>
      <c r="AE183" s="757"/>
      <c r="AF183" s="757"/>
      <c r="AG183" s="757"/>
    </row>
    <row r="184" ht="29.1" customHeight="1" spans="1:33">
      <c r="A184" s="705">
        <v>25</v>
      </c>
      <c r="B184" s="757" t="s">
        <v>226</v>
      </c>
      <c r="C184" s="757"/>
      <c r="D184" s="705" t="s">
        <v>202</v>
      </c>
      <c r="E184" s="757"/>
      <c r="F184" s="757"/>
      <c r="G184" s="757"/>
      <c r="H184" s="759"/>
      <c r="I184" s="759"/>
      <c r="J184" s="759"/>
      <c r="K184" s="759"/>
      <c r="L184" s="759"/>
      <c r="M184" s="759"/>
      <c r="N184" s="759"/>
      <c r="O184" s="759"/>
      <c r="P184" s="759"/>
      <c r="Q184" s="759"/>
      <c r="R184" s="759"/>
      <c r="S184" s="759"/>
      <c r="T184" s="759"/>
      <c r="U184" s="759"/>
      <c r="V184" s="759"/>
      <c r="W184" s="86"/>
      <c r="X184" s="724"/>
      <c r="Y184" s="759"/>
      <c r="Z184" s="759"/>
      <c r="AA184" s="757"/>
      <c r="AB184" s="757"/>
      <c r="AC184" s="757"/>
      <c r="AD184" s="757"/>
      <c r="AE184" s="757"/>
      <c r="AF184" s="757"/>
      <c r="AG184" s="757" t="s">
        <v>41</v>
      </c>
    </row>
    <row r="185" ht="24.95" customHeight="1" spans="1:33">
      <c r="A185" s="705" t="s">
        <v>48</v>
      </c>
      <c r="B185" s="757" t="s">
        <v>148</v>
      </c>
      <c r="C185" s="757"/>
      <c r="D185" s="705"/>
      <c r="E185" s="757"/>
      <c r="F185" s="757"/>
      <c r="G185" s="757"/>
      <c r="H185" s="759"/>
      <c r="I185" s="759"/>
      <c r="J185" s="759"/>
      <c r="K185" s="759"/>
      <c r="L185" s="759"/>
      <c r="M185" s="759"/>
      <c r="N185" s="759"/>
      <c r="O185" s="759"/>
      <c r="P185" s="759"/>
      <c r="Q185" s="759"/>
      <c r="R185" s="759"/>
      <c r="S185" s="759"/>
      <c r="T185" s="759"/>
      <c r="U185" s="759"/>
      <c r="V185" s="759"/>
      <c r="W185" s="86"/>
      <c r="X185" s="724"/>
      <c r="Y185" s="757"/>
      <c r="Z185" s="757"/>
      <c r="AA185" s="757"/>
      <c r="AB185" s="757"/>
      <c r="AC185" s="757"/>
      <c r="AD185" s="757"/>
      <c r="AE185" s="757"/>
      <c r="AF185" s="757"/>
      <c r="AG185" s="757"/>
    </row>
    <row r="186" s="570" customFormat="1" ht="24.95" customHeight="1" spans="1:33">
      <c r="A186" s="705"/>
      <c r="B186" s="757" t="s">
        <v>227</v>
      </c>
      <c r="C186" s="757"/>
      <c r="D186" s="705"/>
      <c r="E186" s="757"/>
      <c r="F186" s="757"/>
      <c r="G186" s="757"/>
      <c r="H186" s="759"/>
      <c r="I186" s="759"/>
      <c r="J186" s="759"/>
      <c r="K186" s="759"/>
      <c r="L186" s="759"/>
      <c r="M186" s="759"/>
      <c r="N186" s="759"/>
      <c r="O186" s="759"/>
      <c r="P186" s="759"/>
      <c r="Q186" s="759"/>
      <c r="R186" s="759"/>
      <c r="S186" s="759"/>
      <c r="T186" s="759"/>
      <c r="U186" s="759"/>
      <c r="V186" s="759"/>
      <c r="W186" s="827"/>
      <c r="X186" s="724"/>
      <c r="Y186" s="757"/>
      <c r="Z186" s="757"/>
      <c r="AA186" s="757"/>
      <c r="AB186" s="757"/>
      <c r="AC186" s="757"/>
      <c r="AD186" s="757"/>
      <c r="AE186" s="757"/>
      <c r="AF186" s="757"/>
      <c r="AG186" s="757"/>
    </row>
    <row r="187" s="570" customFormat="1" ht="24.95" customHeight="1" spans="1:33">
      <c r="A187" s="705"/>
      <c r="B187" s="757" t="s">
        <v>228</v>
      </c>
      <c r="C187" s="146" t="s">
        <v>52</v>
      </c>
      <c r="D187" s="705" t="s">
        <v>150</v>
      </c>
      <c r="E187" s="757"/>
      <c r="F187" s="757"/>
      <c r="G187" s="757"/>
      <c r="H187" s="759"/>
      <c r="I187" s="759"/>
      <c r="J187" s="759"/>
      <c r="K187" s="759"/>
      <c r="L187" s="759"/>
      <c r="M187" s="759"/>
      <c r="N187" s="759"/>
      <c r="O187" s="759"/>
      <c r="P187" s="759"/>
      <c r="Q187" s="759"/>
      <c r="R187" s="759"/>
      <c r="S187" s="759"/>
      <c r="T187" s="759"/>
      <c r="U187" s="759"/>
      <c r="V187" s="759"/>
      <c r="W187" s="86"/>
      <c r="X187" s="724" t="s">
        <v>47</v>
      </c>
      <c r="Y187" s="766"/>
      <c r="Z187" s="766"/>
      <c r="AA187" s="757"/>
      <c r="AB187" s="757"/>
      <c r="AC187" s="757"/>
      <c r="AD187" s="141"/>
      <c r="AE187" s="146"/>
      <c r="AF187" s="438"/>
      <c r="AG187" s="757"/>
    </row>
    <row r="188" s="570" customFormat="1" ht="24.95" customHeight="1" spans="1:33">
      <c r="A188" s="705"/>
      <c r="B188" s="758" t="s">
        <v>55</v>
      </c>
      <c r="C188" s="146" t="s">
        <v>52</v>
      </c>
      <c r="D188" s="705" t="s">
        <v>150</v>
      </c>
      <c r="E188" s="757"/>
      <c r="F188" s="757" t="str">
        <f t="shared" si="32"/>
        <v>大河镇</v>
      </c>
      <c r="G188" s="757"/>
      <c r="H188" s="759"/>
      <c r="I188" s="759"/>
      <c r="J188" s="759"/>
      <c r="K188" s="759"/>
      <c r="L188" s="759"/>
      <c r="M188" s="759"/>
      <c r="N188" s="826"/>
      <c r="O188" s="759"/>
      <c r="P188" s="826"/>
      <c r="Q188" s="759"/>
      <c r="R188" s="759"/>
      <c r="S188" s="826"/>
      <c r="T188" s="759"/>
      <c r="U188" s="759"/>
      <c r="V188" s="759"/>
      <c r="W188" s="86"/>
      <c r="X188" s="724" t="s">
        <v>47</v>
      </c>
      <c r="Y188" s="766"/>
      <c r="Z188" s="766"/>
      <c r="AA188" s="757"/>
      <c r="AB188" s="757"/>
      <c r="AC188" s="757"/>
      <c r="AD188" s="146"/>
      <c r="AE188" s="146"/>
      <c r="AF188" s="146"/>
      <c r="AG188" s="757"/>
    </row>
    <row r="189" s="570" customFormat="1" ht="24.95" customHeight="1" spans="1:33">
      <c r="A189" s="705"/>
      <c r="B189" s="758" t="s">
        <v>69</v>
      </c>
      <c r="C189" s="146" t="s">
        <v>52</v>
      </c>
      <c r="D189" s="705" t="s">
        <v>150</v>
      </c>
      <c r="E189" s="757"/>
      <c r="F189" s="757" t="str">
        <f t="shared" si="32"/>
        <v>中安街道</v>
      </c>
      <c r="G189" s="757"/>
      <c r="H189" s="759"/>
      <c r="I189" s="759"/>
      <c r="J189" s="759"/>
      <c r="K189" s="759"/>
      <c r="L189" s="759"/>
      <c r="M189" s="759"/>
      <c r="N189" s="826"/>
      <c r="O189" s="759"/>
      <c r="P189" s="826"/>
      <c r="Q189" s="759"/>
      <c r="R189" s="759"/>
      <c r="S189" s="826"/>
      <c r="T189" s="759"/>
      <c r="U189" s="759"/>
      <c r="V189" s="759"/>
      <c r="W189" s="86"/>
      <c r="X189" s="724" t="s">
        <v>47</v>
      </c>
      <c r="Y189" s="766"/>
      <c r="Z189" s="766"/>
      <c r="AA189" s="757"/>
      <c r="AB189" s="757"/>
      <c r="AC189" s="757"/>
      <c r="AD189" s="146"/>
      <c r="AE189" s="146"/>
      <c r="AF189" s="146"/>
      <c r="AG189" s="757"/>
    </row>
    <row r="190" s="570" customFormat="1" ht="24.95" customHeight="1" spans="1:33">
      <c r="A190" s="705"/>
      <c r="B190" s="758" t="s">
        <v>75</v>
      </c>
      <c r="C190" s="146" t="s">
        <v>52</v>
      </c>
      <c r="D190" s="705" t="s">
        <v>150</v>
      </c>
      <c r="E190" s="757"/>
      <c r="F190" s="757" t="str">
        <f t="shared" si="32"/>
        <v>营上镇</v>
      </c>
      <c r="G190" s="757"/>
      <c r="H190" s="759"/>
      <c r="I190" s="759"/>
      <c r="J190" s="759"/>
      <c r="K190" s="759"/>
      <c r="L190" s="759"/>
      <c r="M190" s="759"/>
      <c r="N190" s="826"/>
      <c r="O190" s="759"/>
      <c r="P190" s="826"/>
      <c r="Q190" s="759"/>
      <c r="R190" s="759"/>
      <c r="S190" s="826"/>
      <c r="T190" s="759"/>
      <c r="U190" s="759"/>
      <c r="V190" s="759"/>
      <c r="W190" s="86"/>
      <c r="X190" s="724" t="s">
        <v>47</v>
      </c>
      <c r="Y190" s="766"/>
      <c r="Z190" s="766"/>
      <c r="AA190" s="757"/>
      <c r="AB190" s="757"/>
      <c r="AC190" s="757"/>
      <c r="AD190" s="146"/>
      <c r="AE190" s="753"/>
      <c r="AF190" s="146"/>
      <c r="AG190" s="757"/>
    </row>
    <row r="191" s="570" customFormat="1" ht="24.95" customHeight="1" spans="1:33">
      <c r="A191" s="705"/>
      <c r="B191" s="758" t="s">
        <v>64</v>
      </c>
      <c r="C191" s="146" t="s">
        <v>52</v>
      </c>
      <c r="D191" s="705" t="s">
        <v>150</v>
      </c>
      <c r="E191" s="757"/>
      <c r="F191" s="757" t="str">
        <f t="shared" si="32"/>
        <v>十八连山镇</v>
      </c>
      <c r="G191" s="757"/>
      <c r="H191" s="759"/>
      <c r="I191" s="759"/>
      <c r="J191" s="759"/>
      <c r="K191" s="759"/>
      <c r="L191" s="759"/>
      <c r="M191" s="759"/>
      <c r="N191" s="826"/>
      <c r="O191" s="759"/>
      <c r="P191" s="826"/>
      <c r="Q191" s="759"/>
      <c r="R191" s="759"/>
      <c r="S191" s="826"/>
      <c r="T191" s="759"/>
      <c r="U191" s="759"/>
      <c r="V191" s="759"/>
      <c r="W191" s="86"/>
      <c r="X191" s="724" t="s">
        <v>47</v>
      </c>
      <c r="Y191" s="766"/>
      <c r="Z191" s="766"/>
      <c r="AA191" s="757"/>
      <c r="AB191" s="757"/>
      <c r="AC191" s="757"/>
      <c r="AD191" s="146"/>
      <c r="AE191" s="146"/>
      <c r="AF191" s="146"/>
      <c r="AG191" s="757"/>
    </row>
    <row r="192" s="570" customFormat="1" ht="34" customHeight="1" spans="1:33">
      <c r="A192" s="705"/>
      <c r="B192" s="758" t="s">
        <v>229</v>
      </c>
      <c r="C192" s="146" t="s">
        <v>52</v>
      </c>
      <c r="D192" s="705" t="s">
        <v>150</v>
      </c>
      <c r="E192" s="757"/>
      <c r="F192" s="757"/>
      <c r="G192" s="757"/>
      <c r="H192" s="759"/>
      <c r="I192" s="759"/>
      <c r="J192" s="759"/>
      <c r="K192" s="759"/>
      <c r="L192" s="759"/>
      <c r="M192" s="759"/>
      <c r="N192" s="826"/>
      <c r="O192" s="759"/>
      <c r="P192" s="826"/>
      <c r="Q192" s="759"/>
      <c r="R192" s="759"/>
      <c r="S192" s="826"/>
      <c r="T192" s="759"/>
      <c r="U192" s="759"/>
      <c r="V192" s="759"/>
      <c r="W192" s="86"/>
      <c r="X192" s="724" t="s">
        <v>47</v>
      </c>
      <c r="Y192" s="766"/>
      <c r="Z192" s="766"/>
      <c r="AA192" s="757"/>
      <c r="AB192" s="757"/>
      <c r="AC192" s="757"/>
      <c r="AD192" s="146"/>
      <c r="AE192" s="146"/>
      <c r="AF192" s="146"/>
      <c r="AG192" s="757"/>
    </row>
    <row r="193" s="570" customFormat="1" ht="24.95" customHeight="1" spans="1:33">
      <c r="A193" s="705"/>
      <c r="B193" s="767" t="s">
        <v>58</v>
      </c>
      <c r="C193" s="146" t="s">
        <v>52</v>
      </c>
      <c r="D193" s="705" t="s">
        <v>150</v>
      </c>
      <c r="E193" s="757"/>
      <c r="F193" s="757" t="str">
        <f t="shared" si="32"/>
        <v>竹园镇</v>
      </c>
      <c r="G193" s="757"/>
      <c r="H193" s="759"/>
      <c r="I193" s="759"/>
      <c r="J193" s="759"/>
      <c r="K193" s="759"/>
      <c r="L193" s="724"/>
      <c r="M193" s="724"/>
      <c r="N193" s="826"/>
      <c r="O193" s="759"/>
      <c r="P193" s="826"/>
      <c r="Q193" s="759"/>
      <c r="R193" s="759"/>
      <c r="S193" s="826"/>
      <c r="T193" s="759"/>
      <c r="U193" s="759"/>
      <c r="V193" s="759"/>
      <c r="W193" s="86"/>
      <c r="X193" s="724" t="s">
        <v>47</v>
      </c>
      <c r="Y193" s="766"/>
      <c r="Z193" s="766"/>
      <c r="AA193" s="757"/>
      <c r="AB193" s="757"/>
      <c r="AC193" s="757"/>
      <c r="AD193" s="744"/>
      <c r="AE193" s="744"/>
      <c r="AF193" s="438"/>
      <c r="AG193" s="757"/>
    </row>
    <row r="194" s="570" customFormat="1" ht="24.95" customHeight="1" spans="1:33">
      <c r="A194" s="705"/>
      <c r="B194" s="767" t="s">
        <v>64</v>
      </c>
      <c r="C194" s="146" t="s">
        <v>52</v>
      </c>
      <c r="D194" s="705" t="s">
        <v>150</v>
      </c>
      <c r="E194" s="757"/>
      <c r="F194" s="757" t="str">
        <f t="shared" si="32"/>
        <v>十八连山镇</v>
      </c>
      <c r="G194" s="757"/>
      <c r="H194" s="759"/>
      <c r="I194" s="759"/>
      <c r="J194" s="759"/>
      <c r="K194" s="759"/>
      <c r="L194" s="724"/>
      <c r="M194" s="724"/>
      <c r="N194" s="826"/>
      <c r="O194" s="759"/>
      <c r="P194" s="826"/>
      <c r="Q194" s="759"/>
      <c r="R194" s="759"/>
      <c r="S194" s="826"/>
      <c r="T194" s="759"/>
      <c r="U194" s="759"/>
      <c r="V194" s="759"/>
      <c r="W194" s="86"/>
      <c r="X194" s="724" t="s">
        <v>47</v>
      </c>
      <c r="Y194" s="766"/>
      <c r="Z194" s="766"/>
      <c r="AA194" s="757"/>
      <c r="AB194" s="757"/>
      <c r="AC194" s="757"/>
      <c r="AD194" s="146"/>
      <c r="AE194" s="146"/>
      <c r="AF194" s="438"/>
      <c r="AG194" s="757"/>
    </row>
    <row r="195" s="570" customFormat="1" ht="24.95" customHeight="1" spans="1:33">
      <c r="A195" s="705"/>
      <c r="B195" s="767" t="s">
        <v>75</v>
      </c>
      <c r="C195" s="146" t="s">
        <v>52</v>
      </c>
      <c r="D195" s="705" t="s">
        <v>150</v>
      </c>
      <c r="E195" s="757"/>
      <c r="F195" s="757" t="str">
        <f t="shared" si="32"/>
        <v>营上镇</v>
      </c>
      <c r="G195" s="757"/>
      <c r="H195" s="759"/>
      <c r="I195" s="759"/>
      <c r="J195" s="759"/>
      <c r="K195" s="759"/>
      <c r="L195" s="724"/>
      <c r="M195" s="724"/>
      <c r="N195" s="826"/>
      <c r="O195" s="759"/>
      <c r="P195" s="826"/>
      <c r="Q195" s="759"/>
      <c r="R195" s="759"/>
      <c r="S195" s="826"/>
      <c r="T195" s="759"/>
      <c r="U195" s="759"/>
      <c r="V195" s="759"/>
      <c r="W195" s="86"/>
      <c r="X195" s="724" t="s">
        <v>47</v>
      </c>
      <c r="Y195" s="766"/>
      <c r="Z195" s="766"/>
      <c r="AA195" s="757"/>
      <c r="AB195" s="757"/>
      <c r="AC195" s="757"/>
      <c r="AD195" s="146"/>
      <c r="AE195" s="146"/>
      <c r="AF195" s="438"/>
      <c r="AG195" s="757"/>
    </row>
    <row r="196" s="570" customFormat="1" ht="24.95" customHeight="1" spans="1:33">
      <c r="A196" s="705"/>
      <c r="B196" s="767" t="s">
        <v>91</v>
      </c>
      <c r="C196" s="146" t="s">
        <v>52</v>
      </c>
      <c r="D196" s="705" t="s">
        <v>150</v>
      </c>
      <c r="E196" s="757"/>
      <c r="F196" s="757" t="str">
        <f t="shared" si="32"/>
        <v>墨红镇</v>
      </c>
      <c r="G196" s="757"/>
      <c r="H196" s="759"/>
      <c r="I196" s="759"/>
      <c r="J196" s="759"/>
      <c r="K196" s="759"/>
      <c r="L196" s="724"/>
      <c r="M196" s="724"/>
      <c r="N196" s="826"/>
      <c r="O196" s="759"/>
      <c r="P196" s="826"/>
      <c r="Q196" s="759"/>
      <c r="R196" s="759"/>
      <c r="S196" s="826"/>
      <c r="T196" s="759"/>
      <c r="U196" s="759"/>
      <c r="V196" s="759"/>
      <c r="W196" s="86"/>
      <c r="X196" s="724" t="s">
        <v>47</v>
      </c>
      <c r="Y196" s="766"/>
      <c r="Z196" s="766"/>
      <c r="AA196" s="757"/>
      <c r="AB196" s="757"/>
      <c r="AC196" s="757"/>
      <c r="AD196" s="146"/>
      <c r="AE196" s="146"/>
      <c r="AF196" s="438"/>
      <c r="AG196" s="757"/>
    </row>
    <row r="197" s="570" customFormat="1" ht="34" customHeight="1" spans="1:33">
      <c r="A197" s="705"/>
      <c r="B197" s="768" t="s">
        <v>230</v>
      </c>
      <c r="C197" s="146" t="s">
        <v>52</v>
      </c>
      <c r="D197" s="705" t="s">
        <v>150</v>
      </c>
      <c r="E197" s="757"/>
      <c r="F197" s="757"/>
      <c r="G197" s="757"/>
      <c r="H197" s="759"/>
      <c r="I197" s="759"/>
      <c r="J197" s="759"/>
      <c r="K197" s="759"/>
      <c r="L197" s="759"/>
      <c r="M197" s="759"/>
      <c r="N197" s="826"/>
      <c r="O197" s="826"/>
      <c r="P197" s="826"/>
      <c r="Q197" s="826"/>
      <c r="R197" s="826"/>
      <c r="S197" s="826"/>
      <c r="T197" s="826"/>
      <c r="U197" s="826"/>
      <c r="V197" s="826"/>
      <c r="W197" s="86"/>
      <c r="X197" s="724" t="s">
        <v>47</v>
      </c>
      <c r="Y197" s="766"/>
      <c r="Z197" s="766"/>
      <c r="AA197" s="757"/>
      <c r="AB197" s="757"/>
      <c r="AC197" s="757"/>
      <c r="AD197" s="146"/>
      <c r="AE197" s="146"/>
      <c r="AF197" s="146"/>
      <c r="AG197" s="757"/>
    </row>
    <row r="198" s="570" customFormat="1" ht="24.95" customHeight="1" spans="1:33">
      <c r="A198" s="705"/>
      <c r="B198" s="758" t="s">
        <v>75</v>
      </c>
      <c r="C198" s="146" t="s">
        <v>52</v>
      </c>
      <c r="D198" s="705" t="s">
        <v>150</v>
      </c>
      <c r="E198" s="757"/>
      <c r="F198" s="757" t="str">
        <f t="shared" si="32"/>
        <v>营上镇</v>
      </c>
      <c r="G198" s="757"/>
      <c r="H198" s="759"/>
      <c r="I198" s="759"/>
      <c r="J198" s="759"/>
      <c r="K198" s="759"/>
      <c r="L198" s="724"/>
      <c r="M198" s="724"/>
      <c r="N198" s="826"/>
      <c r="O198" s="759"/>
      <c r="P198" s="826"/>
      <c r="Q198" s="759"/>
      <c r="R198" s="759"/>
      <c r="S198" s="826"/>
      <c r="T198" s="759"/>
      <c r="U198" s="759"/>
      <c r="V198" s="759"/>
      <c r="W198" s="86"/>
      <c r="X198" s="724" t="s">
        <v>47</v>
      </c>
      <c r="Y198" s="766"/>
      <c r="Z198" s="766"/>
      <c r="AA198" s="757"/>
      <c r="AB198" s="757"/>
      <c r="AC198" s="757"/>
      <c r="AD198" s="146"/>
      <c r="AE198" s="146"/>
      <c r="AF198" s="438"/>
      <c r="AG198" s="757"/>
    </row>
    <row r="199" s="570" customFormat="1" ht="24.95" customHeight="1" spans="1:33">
      <c r="A199" s="705"/>
      <c r="B199" s="758" t="s">
        <v>64</v>
      </c>
      <c r="C199" s="146" t="s">
        <v>52</v>
      </c>
      <c r="D199" s="705" t="s">
        <v>150</v>
      </c>
      <c r="E199" s="757"/>
      <c r="F199" s="757" t="str">
        <f t="shared" si="32"/>
        <v>十八连山镇</v>
      </c>
      <c r="G199" s="757"/>
      <c r="H199" s="759"/>
      <c r="I199" s="759"/>
      <c r="J199" s="759"/>
      <c r="K199" s="759"/>
      <c r="L199" s="724"/>
      <c r="M199" s="724"/>
      <c r="N199" s="826"/>
      <c r="O199" s="759"/>
      <c r="P199" s="826"/>
      <c r="Q199" s="759"/>
      <c r="R199" s="759"/>
      <c r="S199" s="826"/>
      <c r="T199" s="759"/>
      <c r="U199" s="759"/>
      <c r="V199" s="759"/>
      <c r="W199" s="86"/>
      <c r="X199" s="724" t="s">
        <v>47</v>
      </c>
      <c r="Y199" s="766"/>
      <c r="Z199" s="766"/>
      <c r="AA199" s="757"/>
      <c r="AB199" s="757"/>
      <c r="AC199" s="757"/>
      <c r="AD199" s="146"/>
      <c r="AE199" s="146"/>
      <c r="AF199" s="438"/>
      <c r="AG199" s="757"/>
    </row>
    <row r="200" s="570" customFormat="1" ht="24.95" customHeight="1" spans="1:33">
      <c r="A200" s="705"/>
      <c r="B200" s="758" t="s">
        <v>231</v>
      </c>
      <c r="C200" s="146" t="s">
        <v>52</v>
      </c>
      <c r="D200" s="705" t="s">
        <v>150</v>
      </c>
      <c r="E200" s="757"/>
      <c r="F200" s="757"/>
      <c r="G200" s="769"/>
      <c r="H200" s="759"/>
      <c r="I200" s="759"/>
      <c r="J200" s="759"/>
      <c r="K200" s="759"/>
      <c r="L200" s="759"/>
      <c r="M200" s="759"/>
      <c r="N200" s="826"/>
      <c r="O200" s="826"/>
      <c r="P200" s="826"/>
      <c r="Q200" s="826"/>
      <c r="R200" s="826"/>
      <c r="S200" s="826"/>
      <c r="T200" s="826"/>
      <c r="U200" s="826"/>
      <c r="V200" s="826"/>
      <c r="W200" s="86"/>
      <c r="X200" s="724" t="s">
        <v>47</v>
      </c>
      <c r="Y200" s="766"/>
      <c r="Z200" s="766"/>
      <c r="AA200" s="757"/>
      <c r="AB200" s="757"/>
      <c r="AC200" s="757"/>
      <c r="AD200" s="146"/>
      <c r="AE200" s="146"/>
      <c r="AF200" s="146"/>
      <c r="AG200" s="757"/>
    </row>
    <row r="201" s="570" customFormat="1" ht="48" customHeight="1" spans="1:33">
      <c r="A201" s="705"/>
      <c r="B201" s="769" t="s">
        <v>91</v>
      </c>
      <c r="C201" s="146" t="s">
        <v>52</v>
      </c>
      <c r="D201" s="705" t="s">
        <v>150</v>
      </c>
      <c r="E201" s="757"/>
      <c r="F201" s="757" t="str">
        <f t="shared" si="32"/>
        <v>墨红镇</v>
      </c>
      <c r="G201" s="757"/>
      <c r="H201" s="759"/>
      <c r="I201" s="759"/>
      <c r="J201" s="759"/>
      <c r="K201" s="759"/>
      <c r="L201" s="724"/>
      <c r="M201" s="724"/>
      <c r="N201" s="826"/>
      <c r="O201" s="759"/>
      <c r="P201" s="826"/>
      <c r="Q201" s="759"/>
      <c r="R201" s="759"/>
      <c r="S201" s="826"/>
      <c r="T201" s="759"/>
      <c r="U201" s="759"/>
      <c r="V201" s="759"/>
      <c r="W201" s="86"/>
      <c r="X201" s="724" t="s">
        <v>47</v>
      </c>
      <c r="Y201" s="766"/>
      <c r="Z201" s="766"/>
      <c r="AA201" s="757"/>
      <c r="AB201" s="757"/>
      <c r="AC201" s="757"/>
      <c r="AD201" s="146"/>
      <c r="AE201" s="146"/>
      <c r="AF201" s="438"/>
      <c r="AG201" s="757"/>
    </row>
    <row r="202" s="570" customFormat="1" ht="24.95" customHeight="1" spans="1:33">
      <c r="A202" s="705"/>
      <c r="B202" s="758" t="s">
        <v>64</v>
      </c>
      <c r="C202" s="146" t="s">
        <v>52</v>
      </c>
      <c r="D202" s="705" t="s">
        <v>150</v>
      </c>
      <c r="E202" s="757"/>
      <c r="F202" s="757" t="str">
        <f t="shared" si="32"/>
        <v>十八连山镇</v>
      </c>
      <c r="G202" s="757"/>
      <c r="H202" s="759"/>
      <c r="I202" s="759"/>
      <c r="J202" s="759"/>
      <c r="K202" s="759"/>
      <c r="L202" s="724"/>
      <c r="M202" s="724"/>
      <c r="N202" s="826"/>
      <c r="O202" s="759"/>
      <c r="P202" s="826"/>
      <c r="Q202" s="759"/>
      <c r="R202" s="759"/>
      <c r="S202" s="826"/>
      <c r="T202" s="759"/>
      <c r="U202" s="759"/>
      <c r="V202" s="759"/>
      <c r="W202" s="86"/>
      <c r="X202" s="724" t="s">
        <v>47</v>
      </c>
      <c r="Y202" s="766"/>
      <c r="Z202" s="766"/>
      <c r="AA202" s="757"/>
      <c r="AB202" s="757"/>
      <c r="AC202" s="757"/>
      <c r="AD202" s="146"/>
      <c r="AE202" s="146"/>
      <c r="AF202" s="438"/>
      <c r="AG202" s="757"/>
    </row>
    <row r="203" s="570" customFormat="1" ht="24.95" customHeight="1" spans="1:33">
      <c r="A203" s="705"/>
      <c r="B203" s="758" t="s">
        <v>55</v>
      </c>
      <c r="C203" s="146" t="s">
        <v>52</v>
      </c>
      <c r="D203" s="705" t="s">
        <v>150</v>
      </c>
      <c r="E203" s="757"/>
      <c r="F203" s="757" t="str">
        <f t="shared" si="32"/>
        <v>大河镇</v>
      </c>
      <c r="G203" s="757"/>
      <c r="H203" s="759"/>
      <c r="I203" s="759"/>
      <c r="J203" s="759"/>
      <c r="K203" s="759"/>
      <c r="L203" s="724"/>
      <c r="M203" s="724"/>
      <c r="N203" s="826"/>
      <c r="O203" s="759"/>
      <c r="P203" s="826"/>
      <c r="Q203" s="759"/>
      <c r="R203" s="759"/>
      <c r="S203" s="826"/>
      <c r="T203" s="759"/>
      <c r="U203" s="759"/>
      <c r="V203" s="759"/>
      <c r="W203" s="86"/>
      <c r="X203" s="724" t="s">
        <v>47</v>
      </c>
      <c r="Y203" s="766"/>
      <c r="Z203" s="766"/>
      <c r="AA203" s="757"/>
      <c r="AB203" s="757"/>
      <c r="AC203" s="757"/>
      <c r="AD203" s="141"/>
      <c r="AE203" s="146"/>
      <c r="AF203" s="438"/>
      <c r="AG203" s="757"/>
    </row>
    <row r="204" s="570" customFormat="1" ht="24.95" customHeight="1" spans="1:33">
      <c r="A204" s="705"/>
      <c r="B204" s="758" t="s">
        <v>232</v>
      </c>
      <c r="C204" s="146" t="s">
        <v>52</v>
      </c>
      <c r="D204" s="705" t="s">
        <v>150</v>
      </c>
      <c r="E204" s="757"/>
      <c r="F204" s="757"/>
      <c r="G204" s="757"/>
      <c r="H204" s="759"/>
      <c r="I204" s="759"/>
      <c r="J204" s="759"/>
      <c r="K204" s="759"/>
      <c r="L204" s="759"/>
      <c r="M204" s="759"/>
      <c r="N204" s="759"/>
      <c r="O204" s="759"/>
      <c r="P204" s="759"/>
      <c r="Q204" s="759"/>
      <c r="R204" s="759"/>
      <c r="S204" s="759"/>
      <c r="T204" s="759"/>
      <c r="U204" s="759"/>
      <c r="V204" s="759"/>
      <c r="W204" s="86"/>
      <c r="X204" s="724" t="s">
        <v>47</v>
      </c>
      <c r="Y204" s="766"/>
      <c r="Z204" s="766"/>
      <c r="AA204" s="757"/>
      <c r="AB204" s="757"/>
      <c r="AC204" s="757"/>
      <c r="AD204" s="146"/>
      <c r="AE204" s="146"/>
      <c r="AF204" s="146"/>
      <c r="AG204" s="757"/>
    </row>
    <row r="205" s="570" customFormat="1" ht="24.95" customHeight="1" spans="1:33">
      <c r="A205" s="705"/>
      <c r="B205" s="758" t="s">
        <v>69</v>
      </c>
      <c r="C205" s="146" t="s">
        <v>52</v>
      </c>
      <c r="D205" s="705" t="s">
        <v>150</v>
      </c>
      <c r="E205" s="757"/>
      <c r="F205" s="757" t="str">
        <f t="shared" ref="F204:F267" si="36">B205</f>
        <v>中安街道</v>
      </c>
      <c r="G205" s="757"/>
      <c r="H205" s="759"/>
      <c r="I205" s="759"/>
      <c r="J205" s="759"/>
      <c r="K205" s="759"/>
      <c r="L205" s="724"/>
      <c r="M205" s="724"/>
      <c r="N205" s="826"/>
      <c r="O205" s="759"/>
      <c r="P205" s="826"/>
      <c r="Q205" s="759"/>
      <c r="R205" s="759"/>
      <c r="S205" s="826"/>
      <c r="T205" s="759"/>
      <c r="U205" s="759"/>
      <c r="V205" s="759"/>
      <c r="W205" s="86"/>
      <c r="X205" s="724" t="s">
        <v>47</v>
      </c>
      <c r="Y205" s="766"/>
      <c r="Z205" s="766"/>
      <c r="AA205" s="757"/>
      <c r="AB205" s="757"/>
      <c r="AC205" s="757"/>
      <c r="AD205" s="141"/>
      <c r="AE205" s="146"/>
      <c r="AF205" s="438"/>
      <c r="AG205" s="757"/>
    </row>
    <row r="206" s="570" customFormat="1" ht="24.95" customHeight="1" spans="1:33">
      <c r="A206" s="705"/>
      <c r="B206" s="767" t="s">
        <v>51</v>
      </c>
      <c r="C206" s="146" t="s">
        <v>52</v>
      </c>
      <c r="D206" s="705" t="s">
        <v>150</v>
      </c>
      <c r="E206" s="757"/>
      <c r="F206" s="757" t="str">
        <f t="shared" si="36"/>
        <v>胜境街道</v>
      </c>
      <c r="G206" s="769"/>
      <c r="H206" s="759"/>
      <c r="I206" s="759"/>
      <c r="J206" s="759"/>
      <c r="K206" s="759"/>
      <c r="L206" s="724"/>
      <c r="M206" s="724"/>
      <c r="N206" s="826"/>
      <c r="O206" s="759"/>
      <c r="P206" s="826"/>
      <c r="Q206" s="759"/>
      <c r="R206" s="759"/>
      <c r="S206" s="826"/>
      <c r="T206" s="759"/>
      <c r="U206" s="759"/>
      <c r="V206" s="759"/>
      <c r="W206" s="86"/>
      <c r="X206" s="724" t="s">
        <v>47</v>
      </c>
      <c r="Y206" s="766"/>
      <c r="Z206" s="766"/>
      <c r="AA206" s="757"/>
      <c r="AB206" s="757"/>
      <c r="AC206" s="757"/>
      <c r="AD206" s="743"/>
      <c r="AE206" s="146"/>
      <c r="AF206" s="438"/>
      <c r="AG206" s="757"/>
    </row>
    <row r="207" s="570" customFormat="1" ht="25" customHeight="1" spans="1:33">
      <c r="A207" s="705"/>
      <c r="B207" s="767" t="s">
        <v>72</v>
      </c>
      <c r="C207" s="146" t="s">
        <v>52</v>
      </c>
      <c r="D207" s="705" t="s">
        <v>150</v>
      </c>
      <c r="E207" s="757"/>
      <c r="F207" s="757" t="str">
        <f t="shared" si="36"/>
        <v>后所镇</v>
      </c>
      <c r="G207" s="769"/>
      <c r="H207" s="759"/>
      <c r="I207" s="759"/>
      <c r="J207" s="759"/>
      <c r="K207" s="759"/>
      <c r="L207" s="724"/>
      <c r="M207" s="724"/>
      <c r="N207" s="826"/>
      <c r="O207" s="759"/>
      <c r="P207" s="826"/>
      <c r="Q207" s="759"/>
      <c r="R207" s="759"/>
      <c r="S207" s="826"/>
      <c r="T207" s="759"/>
      <c r="U207" s="759"/>
      <c r="V207" s="759"/>
      <c r="W207" s="86"/>
      <c r="X207" s="724" t="s">
        <v>47</v>
      </c>
      <c r="Y207" s="766"/>
      <c r="Z207" s="766"/>
      <c r="AA207" s="757"/>
      <c r="AB207" s="757"/>
      <c r="AC207" s="757"/>
      <c r="AD207" s="146"/>
      <c r="AE207" s="438"/>
      <c r="AF207" s="438"/>
      <c r="AG207" s="757"/>
    </row>
    <row r="208" s="570" customFormat="1" ht="24.95" customHeight="1" spans="1:33">
      <c r="A208" s="705"/>
      <c r="B208" s="767" t="s">
        <v>91</v>
      </c>
      <c r="C208" s="146" t="s">
        <v>52</v>
      </c>
      <c r="D208" s="705" t="s">
        <v>150</v>
      </c>
      <c r="E208" s="757"/>
      <c r="F208" s="757" t="str">
        <f t="shared" si="36"/>
        <v>墨红镇</v>
      </c>
      <c r="G208" s="769"/>
      <c r="H208" s="759"/>
      <c r="I208" s="759"/>
      <c r="J208" s="759"/>
      <c r="K208" s="759"/>
      <c r="L208" s="724"/>
      <c r="M208" s="724"/>
      <c r="N208" s="826"/>
      <c r="O208" s="759"/>
      <c r="P208" s="826"/>
      <c r="Q208" s="759"/>
      <c r="R208" s="759"/>
      <c r="S208" s="826"/>
      <c r="T208" s="759"/>
      <c r="U208" s="759"/>
      <c r="V208" s="759"/>
      <c r="W208" s="86"/>
      <c r="X208" s="724" t="s">
        <v>47</v>
      </c>
      <c r="Y208" s="766"/>
      <c r="Z208" s="766"/>
      <c r="AA208" s="757"/>
      <c r="AB208" s="757"/>
      <c r="AC208" s="757"/>
      <c r="AD208" s="146"/>
      <c r="AE208" s="146"/>
      <c r="AF208" s="438"/>
      <c r="AG208" s="757"/>
    </row>
    <row r="209" s="570" customFormat="1" ht="24.95" customHeight="1" spans="1:33">
      <c r="A209" s="705"/>
      <c r="B209" s="767" t="s">
        <v>55</v>
      </c>
      <c r="C209" s="146" t="s">
        <v>52</v>
      </c>
      <c r="D209" s="705" t="s">
        <v>150</v>
      </c>
      <c r="E209" s="757"/>
      <c r="F209" s="757" t="str">
        <f t="shared" si="36"/>
        <v>大河镇</v>
      </c>
      <c r="G209" s="769"/>
      <c r="H209" s="759"/>
      <c r="I209" s="759"/>
      <c r="J209" s="759"/>
      <c r="K209" s="759"/>
      <c r="L209" s="724"/>
      <c r="M209" s="724"/>
      <c r="N209" s="826"/>
      <c r="O209" s="759"/>
      <c r="P209" s="826"/>
      <c r="Q209" s="759"/>
      <c r="R209" s="759"/>
      <c r="S209" s="826"/>
      <c r="T209" s="759"/>
      <c r="U209" s="759"/>
      <c r="V209" s="759"/>
      <c r="W209" s="86"/>
      <c r="X209" s="724" t="s">
        <v>47</v>
      </c>
      <c r="Y209" s="766"/>
      <c r="Z209" s="766"/>
      <c r="AA209" s="757"/>
      <c r="AB209" s="757"/>
      <c r="AC209" s="757"/>
      <c r="AD209" s="141"/>
      <c r="AE209" s="146"/>
      <c r="AF209" s="438"/>
      <c r="AG209" s="757"/>
    </row>
    <row r="210" s="570" customFormat="1" ht="24.95" customHeight="1" spans="1:33">
      <c r="A210" s="705"/>
      <c r="B210" s="767" t="s">
        <v>75</v>
      </c>
      <c r="C210" s="146" t="s">
        <v>52</v>
      </c>
      <c r="D210" s="705" t="s">
        <v>150</v>
      </c>
      <c r="E210" s="757"/>
      <c r="F210" s="757" t="str">
        <f t="shared" si="36"/>
        <v>营上镇</v>
      </c>
      <c r="G210" s="769"/>
      <c r="H210" s="759"/>
      <c r="I210" s="759"/>
      <c r="J210" s="759"/>
      <c r="K210" s="759"/>
      <c r="L210" s="724"/>
      <c r="M210" s="724"/>
      <c r="N210" s="826"/>
      <c r="O210" s="759"/>
      <c r="P210" s="826"/>
      <c r="Q210" s="759"/>
      <c r="R210" s="759"/>
      <c r="S210" s="826"/>
      <c r="T210" s="759"/>
      <c r="U210" s="759"/>
      <c r="V210" s="759"/>
      <c r="W210" s="86"/>
      <c r="X210" s="724" t="s">
        <v>47</v>
      </c>
      <c r="Y210" s="766"/>
      <c r="Z210" s="766"/>
      <c r="AA210" s="757"/>
      <c r="AB210" s="757"/>
      <c r="AC210" s="757"/>
      <c r="AD210" s="146"/>
      <c r="AE210" s="146"/>
      <c r="AF210" s="438"/>
      <c r="AG210" s="757"/>
    </row>
    <row r="211" s="570" customFormat="1" ht="37" customHeight="1" spans="1:33">
      <c r="A211" s="705"/>
      <c r="B211" s="767" t="s">
        <v>58</v>
      </c>
      <c r="C211" s="146" t="s">
        <v>52</v>
      </c>
      <c r="D211" s="705" t="s">
        <v>150</v>
      </c>
      <c r="E211" s="757"/>
      <c r="F211" s="757" t="str">
        <f t="shared" si="36"/>
        <v>竹园镇</v>
      </c>
      <c r="G211" s="757"/>
      <c r="H211" s="759"/>
      <c r="I211" s="759"/>
      <c r="J211" s="759"/>
      <c r="K211" s="759"/>
      <c r="L211" s="724"/>
      <c r="M211" s="724"/>
      <c r="N211" s="826"/>
      <c r="O211" s="759"/>
      <c r="P211" s="826"/>
      <c r="Q211" s="759"/>
      <c r="R211" s="759"/>
      <c r="S211" s="826"/>
      <c r="T211" s="759"/>
      <c r="U211" s="759"/>
      <c r="V211" s="759"/>
      <c r="W211" s="86"/>
      <c r="X211" s="724" t="s">
        <v>47</v>
      </c>
      <c r="Y211" s="766"/>
      <c r="Z211" s="766"/>
      <c r="AA211" s="757"/>
      <c r="AB211" s="757"/>
      <c r="AC211" s="757"/>
      <c r="AD211" s="744"/>
      <c r="AE211" s="744"/>
      <c r="AF211" s="438"/>
      <c r="AG211" s="757"/>
    </row>
    <row r="212" s="570" customFormat="1" ht="24.95" customHeight="1" spans="1:33">
      <c r="A212" s="705"/>
      <c r="B212" s="767" t="s">
        <v>61</v>
      </c>
      <c r="C212" s="146" t="s">
        <v>52</v>
      </c>
      <c r="D212" s="705" t="s">
        <v>150</v>
      </c>
      <c r="E212" s="757"/>
      <c r="F212" s="757" t="str">
        <f t="shared" si="36"/>
        <v>富村镇</v>
      </c>
      <c r="G212" s="757"/>
      <c r="H212" s="759"/>
      <c r="I212" s="759"/>
      <c r="J212" s="759"/>
      <c r="K212" s="759"/>
      <c r="L212" s="724"/>
      <c r="M212" s="724"/>
      <c r="N212" s="759"/>
      <c r="O212" s="759"/>
      <c r="P212" s="759"/>
      <c r="Q212" s="759"/>
      <c r="R212" s="759"/>
      <c r="S212" s="759"/>
      <c r="T212" s="759"/>
      <c r="U212" s="759"/>
      <c r="V212" s="759"/>
      <c r="W212" s="86"/>
      <c r="X212" s="724" t="s">
        <v>47</v>
      </c>
      <c r="Y212" s="766"/>
      <c r="Z212" s="766"/>
      <c r="AA212" s="757"/>
      <c r="AB212" s="757"/>
      <c r="AC212" s="757"/>
      <c r="AD212" s="146"/>
      <c r="AE212" s="146"/>
      <c r="AF212" s="438"/>
      <c r="AG212" s="757"/>
    </row>
    <row r="213" s="570" customFormat="1" ht="24.95" customHeight="1" spans="1:33">
      <c r="A213" s="705"/>
      <c r="B213" s="767" t="s">
        <v>78</v>
      </c>
      <c r="C213" s="146" t="s">
        <v>52</v>
      </c>
      <c r="D213" s="705" t="s">
        <v>150</v>
      </c>
      <c r="E213" s="757"/>
      <c r="F213" s="757" t="str">
        <f t="shared" si="36"/>
        <v>黄泥河镇</v>
      </c>
      <c r="G213" s="769"/>
      <c r="H213" s="759"/>
      <c r="I213" s="759"/>
      <c r="J213" s="759"/>
      <c r="K213" s="759"/>
      <c r="L213" s="724"/>
      <c r="M213" s="724"/>
      <c r="N213" s="826"/>
      <c r="O213" s="759"/>
      <c r="P213" s="826"/>
      <c r="Q213" s="759"/>
      <c r="R213" s="759"/>
      <c r="S213" s="826"/>
      <c r="T213" s="759"/>
      <c r="U213" s="759"/>
      <c r="V213" s="759"/>
      <c r="W213" s="86"/>
      <c r="X213" s="724" t="s">
        <v>47</v>
      </c>
      <c r="Y213" s="766"/>
      <c r="Z213" s="766"/>
      <c r="AA213" s="757"/>
      <c r="AB213" s="757"/>
      <c r="AC213" s="757"/>
      <c r="AD213" s="146"/>
      <c r="AE213" s="146"/>
      <c r="AF213" s="438"/>
      <c r="AG213" s="757"/>
    </row>
    <row r="214" s="570" customFormat="1" ht="24.95" customHeight="1" spans="1:33">
      <c r="A214" s="705"/>
      <c r="B214" s="767" t="s">
        <v>64</v>
      </c>
      <c r="C214" s="146" t="s">
        <v>52</v>
      </c>
      <c r="D214" s="705" t="s">
        <v>150</v>
      </c>
      <c r="E214" s="757"/>
      <c r="F214" s="757" t="str">
        <f t="shared" si="36"/>
        <v>十八连山镇</v>
      </c>
      <c r="G214" s="769"/>
      <c r="H214" s="759"/>
      <c r="I214" s="759"/>
      <c r="J214" s="759"/>
      <c r="K214" s="759"/>
      <c r="L214" s="724"/>
      <c r="M214" s="724"/>
      <c r="N214" s="826"/>
      <c r="O214" s="759"/>
      <c r="P214" s="826"/>
      <c r="Q214" s="759"/>
      <c r="R214" s="759"/>
      <c r="S214" s="826"/>
      <c r="T214" s="759"/>
      <c r="U214" s="759"/>
      <c r="V214" s="759"/>
      <c r="W214" s="86"/>
      <c r="X214" s="724" t="s">
        <v>47</v>
      </c>
      <c r="Y214" s="766"/>
      <c r="Z214" s="766"/>
      <c r="AA214" s="757"/>
      <c r="AB214" s="757"/>
      <c r="AC214" s="757"/>
      <c r="AD214" s="146"/>
      <c r="AE214" s="146"/>
      <c r="AF214" s="438"/>
      <c r="AG214" s="757"/>
    </row>
    <row r="215" s="570" customFormat="1" ht="24.95" customHeight="1" spans="1:33">
      <c r="A215" s="705"/>
      <c r="B215" s="767" t="s">
        <v>92</v>
      </c>
      <c r="C215" s="146" t="s">
        <v>52</v>
      </c>
      <c r="D215" s="705" t="s">
        <v>150</v>
      </c>
      <c r="E215" s="757"/>
      <c r="F215" s="757" t="str">
        <f t="shared" si="36"/>
        <v>老厂镇</v>
      </c>
      <c r="G215" s="757"/>
      <c r="H215" s="759"/>
      <c r="I215" s="759"/>
      <c r="J215" s="759"/>
      <c r="K215" s="759"/>
      <c r="L215" s="724"/>
      <c r="M215" s="724"/>
      <c r="N215" s="759"/>
      <c r="O215" s="759"/>
      <c r="P215" s="759"/>
      <c r="Q215" s="759"/>
      <c r="R215" s="759"/>
      <c r="S215" s="759"/>
      <c r="T215" s="759"/>
      <c r="U215" s="759"/>
      <c r="V215" s="759"/>
      <c r="W215" s="86"/>
      <c r="X215" s="724" t="s">
        <v>47</v>
      </c>
      <c r="Y215" s="766"/>
      <c r="Z215" s="766"/>
      <c r="AA215" s="757"/>
      <c r="AB215" s="757"/>
      <c r="AC215" s="757"/>
      <c r="AD215" s="146"/>
      <c r="AE215" s="146"/>
      <c r="AF215" s="748"/>
      <c r="AG215" s="757"/>
    </row>
    <row r="216" s="570" customFormat="1" ht="24.95" customHeight="1" spans="1:33">
      <c r="A216" s="705"/>
      <c r="B216" s="767" t="s">
        <v>233</v>
      </c>
      <c r="C216" s="146" t="s">
        <v>52</v>
      </c>
      <c r="D216" s="705" t="s">
        <v>150</v>
      </c>
      <c r="E216" s="757"/>
      <c r="F216" s="758"/>
      <c r="G216" s="769"/>
      <c r="H216" s="759"/>
      <c r="I216" s="759"/>
      <c r="J216" s="759"/>
      <c r="K216" s="759"/>
      <c r="L216" s="724"/>
      <c r="M216" s="724"/>
      <c r="N216" s="826"/>
      <c r="O216" s="759"/>
      <c r="P216" s="826"/>
      <c r="Q216" s="759"/>
      <c r="R216" s="759"/>
      <c r="S216" s="826"/>
      <c r="T216" s="759"/>
      <c r="U216" s="759"/>
      <c r="V216" s="759"/>
      <c r="W216" s="86"/>
      <c r="X216" s="724" t="s">
        <v>47</v>
      </c>
      <c r="Y216" s="766"/>
      <c r="Z216" s="766"/>
      <c r="AA216" s="757"/>
      <c r="AB216" s="757"/>
      <c r="AC216" s="757"/>
      <c r="AD216" s="146"/>
      <c r="AE216" s="438"/>
      <c r="AF216" s="438"/>
      <c r="AG216" s="757"/>
    </row>
    <row r="217" s="570" customFormat="1" ht="24.95" customHeight="1" spans="1:33">
      <c r="A217" s="705"/>
      <c r="B217" s="767" t="s">
        <v>234</v>
      </c>
      <c r="C217" s="146" t="s">
        <v>52</v>
      </c>
      <c r="D217" s="705" t="s">
        <v>150</v>
      </c>
      <c r="E217" s="757"/>
      <c r="F217" s="758"/>
      <c r="G217" s="757"/>
      <c r="H217" s="759"/>
      <c r="I217" s="759"/>
      <c r="J217" s="759"/>
      <c r="K217" s="759"/>
      <c r="L217" s="724"/>
      <c r="M217" s="724"/>
      <c r="N217" s="759"/>
      <c r="O217" s="759"/>
      <c r="P217" s="759"/>
      <c r="Q217" s="759"/>
      <c r="R217" s="759"/>
      <c r="S217" s="759"/>
      <c r="T217" s="759"/>
      <c r="U217" s="759"/>
      <c r="V217" s="759"/>
      <c r="W217" s="86"/>
      <c r="X217" s="724" t="s">
        <v>47</v>
      </c>
      <c r="Y217" s="766"/>
      <c r="Z217" s="766"/>
      <c r="AA217" s="757"/>
      <c r="AB217" s="757"/>
      <c r="AC217" s="757"/>
      <c r="AD217" s="146"/>
      <c r="AE217" s="146"/>
      <c r="AF217" s="438"/>
      <c r="AG217" s="757"/>
    </row>
    <row r="218" s="570" customFormat="1" ht="40" customHeight="1" spans="1:33">
      <c r="A218" s="705"/>
      <c r="B218" s="768" t="s">
        <v>235</v>
      </c>
      <c r="C218" s="146" t="s">
        <v>52</v>
      </c>
      <c r="D218" s="705" t="s">
        <v>150</v>
      </c>
      <c r="E218" s="757"/>
      <c r="F218" s="757"/>
      <c r="G218" s="757"/>
      <c r="H218" s="759"/>
      <c r="I218" s="759"/>
      <c r="J218" s="759"/>
      <c r="K218" s="759"/>
      <c r="L218" s="759"/>
      <c r="M218" s="759"/>
      <c r="N218" s="759"/>
      <c r="O218" s="759"/>
      <c r="P218" s="759"/>
      <c r="Q218" s="759"/>
      <c r="R218" s="759"/>
      <c r="S218" s="759"/>
      <c r="T218" s="759"/>
      <c r="U218" s="759"/>
      <c r="V218" s="759"/>
      <c r="W218" s="86"/>
      <c r="X218" s="724" t="s">
        <v>47</v>
      </c>
      <c r="Y218" s="757"/>
      <c r="Z218" s="757"/>
      <c r="AA218" s="757"/>
      <c r="AB218" s="757"/>
      <c r="AC218" s="757"/>
      <c r="AD218" s="757"/>
      <c r="AE218" s="757"/>
      <c r="AF218" s="757"/>
      <c r="AG218" s="757"/>
    </row>
    <row r="219" s="570" customFormat="1" ht="24.95" customHeight="1" spans="1:33">
      <c r="A219" s="705"/>
      <c r="B219" s="758" t="s">
        <v>91</v>
      </c>
      <c r="C219" s="146" t="s">
        <v>52</v>
      </c>
      <c r="D219" s="705" t="s">
        <v>202</v>
      </c>
      <c r="E219" s="757"/>
      <c r="F219" s="757" t="str">
        <f t="shared" si="36"/>
        <v>墨红镇</v>
      </c>
      <c r="G219" s="769"/>
      <c r="H219" s="759"/>
      <c r="I219" s="759"/>
      <c r="J219" s="759"/>
      <c r="K219" s="759"/>
      <c r="L219" s="724"/>
      <c r="M219" s="724"/>
      <c r="N219" s="826"/>
      <c r="O219" s="759"/>
      <c r="P219" s="826"/>
      <c r="Q219" s="759"/>
      <c r="R219" s="759"/>
      <c r="S219" s="826"/>
      <c r="T219" s="759"/>
      <c r="U219" s="759"/>
      <c r="V219" s="759"/>
      <c r="W219" s="86"/>
      <c r="X219" s="724" t="s">
        <v>47</v>
      </c>
      <c r="Y219" s="766"/>
      <c r="Z219" s="766"/>
      <c r="AA219" s="757"/>
      <c r="AB219" s="757"/>
      <c r="AC219" s="757"/>
      <c r="AD219" s="146"/>
      <c r="AE219" s="146"/>
      <c r="AF219" s="438"/>
      <c r="AG219" s="757"/>
    </row>
    <row r="220" s="570" customFormat="1" ht="24.95" customHeight="1" spans="1:33">
      <c r="A220" s="705"/>
      <c r="B220" s="758" t="s">
        <v>51</v>
      </c>
      <c r="C220" s="146" t="s">
        <v>52</v>
      </c>
      <c r="D220" s="705" t="s">
        <v>202</v>
      </c>
      <c r="E220" s="757"/>
      <c r="F220" s="757" t="str">
        <f t="shared" si="36"/>
        <v>胜境街道</v>
      </c>
      <c r="G220" s="769"/>
      <c r="H220" s="759"/>
      <c r="I220" s="759"/>
      <c r="J220" s="759"/>
      <c r="K220" s="759"/>
      <c r="L220" s="724"/>
      <c r="M220" s="724"/>
      <c r="N220" s="826"/>
      <c r="O220" s="759"/>
      <c r="P220" s="826"/>
      <c r="Q220" s="759"/>
      <c r="R220" s="759"/>
      <c r="S220" s="826"/>
      <c r="T220" s="759"/>
      <c r="U220" s="759"/>
      <c r="V220" s="759"/>
      <c r="W220" s="86"/>
      <c r="X220" s="724" t="s">
        <v>47</v>
      </c>
      <c r="Y220" s="766"/>
      <c r="Z220" s="766"/>
      <c r="AA220" s="757"/>
      <c r="AB220" s="757"/>
      <c r="AC220" s="757"/>
      <c r="AD220" s="743"/>
      <c r="AE220" s="146"/>
      <c r="AF220" s="438"/>
      <c r="AG220" s="757"/>
    </row>
    <row r="221" s="570" customFormat="1" ht="24.95" customHeight="1" spans="1:33">
      <c r="A221" s="705"/>
      <c r="B221" s="758" t="s">
        <v>75</v>
      </c>
      <c r="C221" s="146" t="s">
        <v>52</v>
      </c>
      <c r="D221" s="705" t="s">
        <v>202</v>
      </c>
      <c r="E221" s="757"/>
      <c r="F221" s="757" t="str">
        <f t="shared" si="36"/>
        <v>营上镇</v>
      </c>
      <c r="G221" s="769"/>
      <c r="H221" s="759"/>
      <c r="I221" s="759"/>
      <c r="J221" s="759"/>
      <c r="K221" s="759"/>
      <c r="L221" s="724"/>
      <c r="M221" s="724"/>
      <c r="N221" s="826"/>
      <c r="O221" s="759"/>
      <c r="P221" s="826"/>
      <c r="Q221" s="759"/>
      <c r="R221" s="759"/>
      <c r="S221" s="826"/>
      <c r="T221" s="759"/>
      <c r="U221" s="759"/>
      <c r="V221" s="759"/>
      <c r="W221" s="86"/>
      <c r="X221" s="724" t="s">
        <v>47</v>
      </c>
      <c r="Y221" s="766"/>
      <c r="Z221" s="766"/>
      <c r="AA221" s="757"/>
      <c r="AB221" s="757"/>
      <c r="AC221" s="757"/>
      <c r="AD221" s="146"/>
      <c r="AE221" s="146"/>
      <c r="AF221" s="438"/>
      <c r="AG221" s="757"/>
    </row>
    <row r="222" s="570" customFormat="1" ht="24.95" customHeight="1" spans="1:33">
      <c r="A222" s="705"/>
      <c r="B222" s="758" t="s">
        <v>55</v>
      </c>
      <c r="C222" s="146" t="s">
        <v>52</v>
      </c>
      <c r="D222" s="705" t="s">
        <v>202</v>
      </c>
      <c r="E222" s="757"/>
      <c r="F222" s="757" t="str">
        <f t="shared" si="36"/>
        <v>大河镇</v>
      </c>
      <c r="G222" s="769"/>
      <c r="H222" s="759"/>
      <c r="I222" s="759"/>
      <c r="J222" s="759"/>
      <c r="K222" s="759"/>
      <c r="L222" s="724"/>
      <c r="M222" s="724"/>
      <c r="N222" s="826"/>
      <c r="O222" s="759"/>
      <c r="P222" s="826"/>
      <c r="Q222" s="759"/>
      <c r="R222" s="759"/>
      <c r="S222" s="826"/>
      <c r="T222" s="759"/>
      <c r="U222" s="759"/>
      <c r="V222" s="759"/>
      <c r="W222" s="86"/>
      <c r="X222" s="724" t="s">
        <v>47</v>
      </c>
      <c r="Y222" s="766"/>
      <c r="Z222" s="766"/>
      <c r="AA222" s="757"/>
      <c r="AB222" s="757"/>
      <c r="AC222" s="757"/>
      <c r="AD222" s="141"/>
      <c r="AE222" s="146"/>
      <c r="AF222" s="438"/>
      <c r="AG222" s="757"/>
    </row>
    <row r="223" s="570" customFormat="1" ht="24.95" customHeight="1" spans="1:33">
      <c r="A223" s="705"/>
      <c r="B223" s="758" t="s">
        <v>69</v>
      </c>
      <c r="C223" s="146" t="s">
        <v>52</v>
      </c>
      <c r="D223" s="705" t="s">
        <v>202</v>
      </c>
      <c r="E223" s="757"/>
      <c r="F223" s="757" t="str">
        <f t="shared" si="36"/>
        <v>中安街道</v>
      </c>
      <c r="G223" s="769"/>
      <c r="H223" s="759"/>
      <c r="I223" s="759"/>
      <c r="J223" s="759"/>
      <c r="K223" s="759"/>
      <c r="L223" s="724"/>
      <c r="M223" s="724"/>
      <c r="N223" s="826"/>
      <c r="O223" s="759"/>
      <c r="P223" s="826"/>
      <c r="Q223" s="759"/>
      <c r="R223" s="759"/>
      <c r="S223" s="826"/>
      <c r="T223" s="759"/>
      <c r="U223" s="759"/>
      <c r="V223" s="759"/>
      <c r="W223" s="86"/>
      <c r="X223" s="724" t="s">
        <v>47</v>
      </c>
      <c r="Y223" s="766"/>
      <c r="Z223" s="766"/>
      <c r="AA223" s="757"/>
      <c r="AB223" s="757"/>
      <c r="AC223" s="757"/>
      <c r="AD223" s="146"/>
      <c r="AE223" s="146"/>
      <c r="AF223" s="438"/>
      <c r="AG223" s="757"/>
    </row>
    <row r="224" s="570" customFormat="1" ht="30" customHeight="1" spans="1:33">
      <c r="A224" s="705"/>
      <c r="B224" s="768" t="s">
        <v>236</v>
      </c>
      <c r="C224" s="146" t="s">
        <v>52</v>
      </c>
      <c r="D224" s="705"/>
      <c r="E224" s="757"/>
      <c r="F224" s="757"/>
      <c r="G224" s="757"/>
      <c r="H224" s="759"/>
      <c r="I224" s="759"/>
      <c r="J224" s="759"/>
      <c r="K224" s="759"/>
      <c r="L224" s="759"/>
      <c r="M224" s="759"/>
      <c r="N224" s="759"/>
      <c r="O224" s="759"/>
      <c r="P224" s="759"/>
      <c r="Q224" s="759"/>
      <c r="R224" s="759"/>
      <c r="S224" s="759"/>
      <c r="T224" s="759"/>
      <c r="U224" s="759"/>
      <c r="V224" s="759"/>
      <c r="W224" s="86"/>
      <c r="X224" s="724" t="s">
        <v>47</v>
      </c>
      <c r="Y224" s="757"/>
      <c r="Z224" s="757"/>
      <c r="AA224" s="757"/>
      <c r="AB224" s="757"/>
      <c r="AC224" s="757"/>
      <c r="AD224" s="757"/>
      <c r="AE224" s="757"/>
      <c r="AF224" s="757"/>
      <c r="AG224" s="757"/>
    </row>
    <row r="225" s="570" customFormat="1" ht="24.95" customHeight="1" spans="1:33">
      <c r="A225" s="705"/>
      <c r="B225" s="758" t="s">
        <v>69</v>
      </c>
      <c r="C225" s="146" t="s">
        <v>52</v>
      </c>
      <c r="D225" s="705" t="s">
        <v>45</v>
      </c>
      <c r="E225" s="757"/>
      <c r="F225" s="757" t="str">
        <f t="shared" si="36"/>
        <v>中安街道</v>
      </c>
      <c r="G225" s="769"/>
      <c r="H225" s="759"/>
      <c r="I225" s="759"/>
      <c r="J225" s="759"/>
      <c r="K225" s="759"/>
      <c r="L225" s="724"/>
      <c r="M225" s="724"/>
      <c r="N225" s="826"/>
      <c r="O225" s="759"/>
      <c r="P225" s="826"/>
      <c r="Q225" s="759"/>
      <c r="R225" s="759"/>
      <c r="S225" s="826"/>
      <c r="T225" s="759"/>
      <c r="U225" s="759"/>
      <c r="V225" s="759"/>
      <c r="W225" s="86"/>
      <c r="X225" s="724" t="s">
        <v>47</v>
      </c>
      <c r="Y225" s="766"/>
      <c r="Z225" s="766"/>
      <c r="AA225" s="757"/>
      <c r="AB225" s="757"/>
      <c r="AC225" s="757"/>
      <c r="AD225" s="146"/>
      <c r="AE225" s="146"/>
      <c r="AF225" s="146"/>
      <c r="AG225" s="757"/>
    </row>
    <row r="226" s="570" customFormat="1" ht="24.95" customHeight="1" spans="1:33">
      <c r="A226" s="705"/>
      <c r="B226" s="758" t="s">
        <v>51</v>
      </c>
      <c r="C226" s="146" t="s">
        <v>52</v>
      </c>
      <c r="D226" s="705" t="s">
        <v>45</v>
      </c>
      <c r="E226" s="757"/>
      <c r="F226" s="757" t="str">
        <f t="shared" si="36"/>
        <v>胜境街道</v>
      </c>
      <c r="G226" s="769"/>
      <c r="H226" s="759"/>
      <c r="I226" s="759"/>
      <c r="J226" s="759"/>
      <c r="K226" s="759"/>
      <c r="L226" s="724"/>
      <c r="M226" s="724"/>
      <c r="N226" s="826"/>
      <c r="O226" s="759"/>
      <c r="P226" s="826"/>
      <c r="Q226" s="759"/>
      <c r="R226" s="759"/>
      <c r="S226" s="826"/>
      <c r="T226" s="759"/>
      <c r="U226" s="759"/>
      <c r="V226" s="759"/>
      <c r="W226" s="86"/>
      <c r="X226" s="724" t="s">
        <v>47</v>
      </c>
      <c r="Y226" s="766"/>
      <c r="Z226" s="766"/>
      <c r="AA226" s="757"/>
      <c r="AB226" s="757"/>
      <c r="AC226" s="757"/>
      <c r="AD226" s="743"/>
      <c r="AE226" s="146"/>
      <c r="AF226" s="146"/>
      <c r="AG226" s="757"/>
    </row>
    <row r="227" s="570" customFormat="1" ht="24.95" customHeight="1" spans="1:33">
      <c r="A227" s="705"/>
      <c r="B227" s="758" t="s">
        <v>91</v>
      </c>
      <c r="C227" s="146" t="s">
        <v>52</v>
      </c>
      <c r="D227" s="705" t="s">
        <v>45</v>
      </c>
      <c r="E227" s="757"/>
      <c r="F227" s="757" t="str">
        <f t="shared" si="36"/>
        <v>墨红镇</v>
      </c>
      <c r="G227" s="769"/>
      <c r="H227" s="759"/>
      <c r="I227" s="759"/>
      <c r="J227" s="759"/>
      <c r="K227" s="759"/>
      <c r="L227" s="724"/>
      <c r="M227" s="724"/>
      <c r="N227" s="826"/>
      <c r="O227" s="759"/>
      <c r="P227" s="826"/>
      <c r="Q227" s="759"/>
      <c r="R227" s="759"/>
      <c r="S227" s="826"/>
      <c r="T227" s="759"/>
      <c r="U227" s="759"/>
      <c r="V227" s="759"/>
      <c r="W227" s="86"/>
      <c r="X227" s="724" t="s">
        <v>47</v>
      </c>
      <c r="Y227" s="766"/>
      <c r="Z227" s="766"/>
      <c r="AA227" s="757"/>
      <c r="AB227" s="757"/>
      <c r="AC227" s="757"/>
      <c r="AD227" s="146"/>
      <c r="AE227" s="146"/>
      <c r="AF227" s="146"/>
      <c r="AG227" s="757"/>
    </row>
    <row r="228" s="570" customFormat="1" ht="24.95" customHeight="1" spans="1:33">
      <c r="A228" s="705"/>
      <c r="B228" s="758" t="s">
        <v>75</v>
      </c>
      <c r="C228" s="146" t="s">
        <v>52</v>
      </c>
      <c r="D228" s="705" t="s">
        <v>45</v>
      </c>
      <c r="E228" s="757"/>
      <c r="F228" s="757" t="str">
        <f t="shared" si="36"/>
        <v>营上镇</v>
      </c>
      <c r="G228" s="769"/>
      <c r="H228" s="759"/>
      <c r="I228" s="759"/>
      <c r="J228" s="759"/>
      <c r="K228" s="759"/>
      <c r="L228" s="724"/>
      <c r="M228" s="724"/>
      <c r="N228" s="826"/>
      <c r="O228" s="759"/>
      <c r="P228" s="826"/>
      <c r="Q228" s="759"/>
      <c r="R228" s="759"/>
      <c r="S228" s="826"/>
      <c r="T228" s="759"/>
      <c r="U228" s="759"/>
      <c r="V228" s="759"/>
      <c r="W228" s="86"/>
      <c r="X228" s="724" t="s">
        <v>47</v>
      </c>
      <c r="Y228" s="766"/>
      <c r="Z228" s="766"/>
      <c r="AA228" s="757"/>
      <c r="AB228" s="757"/>
      <c r="AC228" s="757"/>
      <c r="AD228" s="146"/>
      <c r="AE228" s="753"/>
      <c r="AF228" s="146"/>
      <c r="AG228" s="757"/>
    </row>
    <row r="229" s="570" customFormat="1" ht="24.95" customHeight="1" spans="1:33">
      <c r="A229" s="705"/>
      <c r="B229" s="758" t="s">
        <v>58</v>
      </c>
      <c r="C229" s="146" t="s">
        <v>52</v>
      </c>
      <c r="D229" s="705" t="s">
        <v>45</v>
      </c>
      <c r="E229" s="757"/>
      <c r="F229" s="757" t="str">
        <f t="shared" si="36"/>
        <v>竹园镇</v>
      </c>
      <c r="G229" s="769"/>
      <c r="H229" s="759"/>
      <c r="I229" s="759"/>
      <c r="J229" s="759"/>
      <c r="K229" s="759"/>
      <c r="L229" s="724"/>
      <c r="M229" s="724"/>
      <c r="N229" s="826"/>
      <c r="O229" s="759"/>
      <c r="P229" s="826"/>
      <c r="Q229" s="759"/>
      <c r="R229" s="759"/>
      <c r="S229" s="826"/>
      <c r="T229" s="759"/>
      <c r="U229" s="759"/>
      <c r="V229" s="759"/>
      <c r="W229" s="86"/>
      <c r="X229" s="724" t="s">
        <v>47</v>
      </c>
      <c r="Y229" s="766"/>
      <c r="Z229" s="766"/>
      <c r="AA229" s="757"/>
      <c r="AB229" s="757"/>
      <c r="AC229" s="757"/>
      <c r="AD229" s="146"/>
      <c r="AE229" s="146"/>
      <c r="AF229" s="146"/>
      <c r="AG229" s="757"/>
    </row>
    <row r="230" s="570" customFormat="1" ht="24.95" customHeight="1" spans="1:33">
      <c r="A230" s="705"/>
      <c r="B230" s="758" t="s">
        <v>114</v>
      </c>
      <c r="C230" s="146" t="s">
        <v>52</v>
      </c>
      <c r="D230" s="705" t="s">
        <v>45</v>
      </c>
      <c r="E230" s="757"/>
      <c r="F230" s="757" t="str">
        <f t="shared" si="36"/>
        <v>古敢乡</v>
      </c>
      <c r="G230" s="769"/>
      <c r="H230" s="759"/>
      <c r="I230" s="759"/>
      <c r="J230" s="759"/>
      <c r="K230" s="759"/>
      <c r="L230" s="724"/>
      <c r="M230" s="724"/>
      <c r="N230" s="826"/>
      <c r="O230" s="759"/>
      <c r="P230" s="826"/>
      <c r="Q230" s="759"/>
      <c r="R230" s="759"/>
      <c r="S230" s="826"/>
      <c r="T230" s="759"/>
      <c r="U230" s="759"/>
      <c r="V230" s="759"/>
      <c r="W230" s="86"/>
      <c r="X230" s="724" t="s">
        <v>47</v>
      </c>
      <c r="Y230" s="766"/>
      <c r="Z230" s="766"/>
      <c r="AA230" s="757"/>
      <c r="AB230" s="757"/>
      <c r="AC230" s="757"/>
      <c r="AD230" s="146"/>
      <c r="AE230" s="146"/>
      <c r="AF230" s="146"/>
      <c r="AG230" s="757"/>
    </row>
    <row r="231" s="570" customFormat="1" ht="24.95" customHeight="1" spans="1:33">
      <c r="A231" s="705"/>
      <c r="B231" s="758" t="s">
        <v>78</v>
      </c>
      <c r="C231" s="146" t="s">
        <v>52</v>
      </c>
      <c r="D231" s="705" t="s">
        <v>45</v>
      </c>
      <c r="E231" s="757"/>
      <c r="F231" s="757" t="str">
        <f t="shared" si="36"/>
        <v>黄泥河镇</v>
      </c>
      <c r="G231" s="769"/>
      <c r="H231" s="759"/>
      <c r="I231" s="759"/>
      <c r="J231" s="759"/>
      <c r="K231" s="759"/>
      <c r="L231" s="724"/>
      <c r="M231" s="724"/>
      <c r="N231" s="826"/>
      <c r="O231" s="759"/>
      <c r="P231" s="826"/>
      <c r="Q231" s="759"/>
      <c r="R231" s="759"/>
      <c r="S231" s="826"/>
      <c r="T231" s="759"/>
      <c r="U231" s="759"/>
      <c r="V231" s="759"/>
      <c r="W231" s="86"/>
      <c r="X231" s="724" t="s">
        <v>47</v>
      </c>
      <c r="Y231" s="766"/>
      <c r="Z231" s="766"/>
      <c r="AA231" s="757"/>
      <c r="AB231" s="757"/>
      <c r="AC231" s="757"/>
      <c r="AD231" s="146"/>
      <c r="AE231" s="146"/>
      <c r="AF231" s="146"/>
      <c r="AG231" s="757"/>
    </row>
    <row r="232" ht="32.1" customHeight="1" spans="1:33">
      <c r="A232" s="705">
        <v>26</v>
      </c>
      <c r="B232" s="706" t="s">
        <v>238</v>
      </c>
      <c r="C232" s="706"/>
      <c r="D232" s="707" t="s">
        <v>147</v>
      </c>
      <c r="E232" s="706">
        <f>E233+E275+E288+E339</f>
        <v>62</v>
      </c>
      <c r="F232" s="706"/>
      <c r="G232" s="706"/>
      <c r="H232" s="725">
        <f t="shared" ref="F232:AB232" si="37">H233+H275+H288+H339</f>
        <v>46874</v>
      </c>
      <c r="I232" s="725">
        <f t="shared" si="37"/>
        <v>46874</v>
      </c>
      <c r="J232" s="725">
        <f t="shared" si="37"/>
        <v>0</v>
      </c>
      <c r="K232" s="725">
        <f t="shared" si="37"/>
        <v>0</v>
      </c>
      <c r="L232" s="725"/>
      <c r="M232" s="725"/>
      <c r="N232" s="725">
        <f t="shared" si="37"/>
        <v>1343.6</v>
      </c>
      <c r="O232" s="725">
        <f t="shared" si="37"/>
        <v>1343.6</v>
      </c>
      <c r="P232" s="725">
        <f t="shared" si="37"/>
        <v>0</v>
      </c>
      <c r="Q232" s="725">
        <f t="shared" si="37"/>
        <v>0</v>
      </c>
      <c r="R232" s="725">
        <f t="shared" si="37"/>
        <v>170.1</v>
      </c>
      <c r="S232" s="725">
        <f t="shared" si="37"/>
        <v>813.5</v>
      </c>
      <c r="T232" s="725">
        <f t="shared" si="37"/>
        <v>0</v>
      </c>
      <c r="U232" s="725">
        <f t="shared" si="37"/>
        <v>360</v>
      </c>
      <c r="V232" s="725">
        <f t="shared" si="37"/>
        <v>0</v>
      </c>
      <c r="W232" s="86"/>
      <c r="X232" s="724" t="s">
        <v>47</v>
      </c>
      <c r="Y232" s="706">
        <f t="shared" si="37"/>
        <v>33694</v>
      </c>
      <c r="Z232" s="706">
        <f t="shared" si="37"/>
        <v>99691</v>
      </c>
      <c r="AA232" s="706">
        <f t="shared" si="37"/>
        <v>62</v>
      </c>
      <c r="AB232" s="706">
        <f t="shared" si="37"/>
        <v>0</v>
      </c>
      <c r="AC232" s="706"/>
      <c r="AD232" s="706"/>
      <c r="AE232" s="706"/>
      <c r="AF232" s="706"/>
      <c r="AG232" s="706" t="s">
        <v>41</v>
      </c>
    </row>
    <row r="233" ht="24.95" customHeight="1" spans="1:33">
      <c r="A233" s="705">
        <v>27</v>
      </c>
      <c r="B233" s="708" t="s">
        <v>239</v>
      </c>
      <c r="C233" s="708"/>
      <c r="D233" s="709" t="s">
        <v>147</v>
      </c>
      <c r="E233" s="708">
        <f>E234+E260+E247</f>
        <v>36</v>
      </c>
      <c r="F233" s="708"/>
      <c r="G233" s="708">
        <f t="shared" ref="F233:V233" si="38">G234+G260+G247</f>
        <v>0</v>
      </c>
      <c r="H233" s="708">
        <f t="shared" si="38"/>
        <v>42059</v>
      </c>
      <c r="I233" s="708">
        <f t="shared" si="38"/>
        <v>42059</v>
      </c>
      <c r="J233" s="708">
        <f t="shared" si="38"/>
        <v>0</v>
      </c>
      <c r="K233" s="708">
        <f t="shared" si="38"/>
        <v>0</v>
      </c>
      <c r="L233" s="708">
        <f t="shared" si="38"/>
        <v>0</v>
      </c>
      <c r="M233" s="708">
        <f t="shared" si="38"/>
        <v>0</v>
      </c>
      <c r="N233" s="708">
        <f t="shared" si="38"/>
        <v>813.5</v>
      </c>
      <c r="O233" s="708">
        <f t="shared" si="38"/>
        <v>813.5</v>
      </c>
      <c r="P233" s="708">
        <f t="shared" si="38"/>
        <v>0</v>
      </c>
      <c r="Q233" s="708">
        <f t="shared" si="38"/>
        <v>0</v>
      </c>
      <c r="R233" s="708">
        <f t="shared" si="38"/>
        <v>0</v>
      </c>
      <c r="S233" s="708">
        <f t="shared" si="38"/>
        <v>813.5</v>
      </c>
      <c r="T233" s="708">
        <f t="shared" si="38"/>
        <v>0</v>
      </c>
      <c r="U233" s="708">
        <f t="shared" si="38"/>
        <v>0</v>
      </c>
      <c r="V233" s="708">
        <f t="shared" si="38"/>
        <v>0</v>
      </c>
      <c r="W233" s="86" t="s">
        <v>240</v>
      </c>
      <c r="X233" s="724" t="s">
        <v>47</v>
      </c>
      <c r="Y233" s="708">
        <f>Y234+Y260+Y247</f>
        <v>28879</v>
      </c>
      <c r="Z233" s="708">
        <f>Z234+Z260+Z247</f>
        <v>80236</v>
      </c>
      <c r="AA233" s="708">
        <f>AA234+AA260+AA247</f>
        <v>36</v>
      </c>
      <c r="AB233" s="708">
        <f>AB234+AB260+AB247</f>
        <v>0</v>
      </c>
      <c r="AC233" s="708"/>
      <c r="AD233" s="708"/>
      <c r="AE233" s="708"/>
      <c r="AF233" s="708"/>
      <c r="AG233" s="708" t="s">
        <v>41</v>
      </c>
    </row>
    <row r="234" s="824" customFormat="1" ht="24.95" customHeight="1" spans="1:33">
      <c r="A234" s="828">
        <v>28</v>
      </c>
      <c r="B234" s="770" t="s">
        <v>241</v>
      </c>
      <c r="C234" s="770" t="s">
        <v>52</v>
      </c>
      <c r="D234" s="771" t="s">
        <v>147</v>
      </c>
      <c r="E234" s="770">
        <f>SUM(E235:E246)</f>
        <v>12</v>
      </c>
      <c r="F234" s="770"/>
      <c r="G234" s="770"/>
      <c r="H234" s="829">
        <f t="shared" ref="F234:AB234" si="39">SUM(H235:H246)</f>
        <v>17328</v>
      </c>
      <c r="I234" s="829">
        <f t="shared" si="39"/>
        <v>17328</v>
      </c>
      <c r="J234" s="829">
        <f t="shared" si="39"/>
        <v>0</v>
      </c>
      <c r="K234" s="829">
        <f t="shared" si="39"/>
        <v>0</v>
      </c>
      <c r="L234" s="829"/>
      <c r="M234" s="829"/>
      <c r="N234" s="829">
        <f t="shared" si="39"/>
        <v>173.28</v>
      </c>
      <c r="O234" s="829">
        <f t="shared" si="39"/>
        <v>173.28</v>
      </c>
      <c r="P234" s="829">
        <f t="shared" si="39"/>
        <v>0</v>
      </c>
      <c r="Q234" s="829">
        <f t="shared" si="39"/>
        <v>0</v>
      </c>
      <c r="R234" s="829">
        <f t="shared" si="39"/>
        <v>0</v>
      </c>
      <c r="S234" s="829">
        <f t="shared" si="39"/>
        <v>173.28</v>
      </c>
      <c r="T234" s="829">
        <f t="shared" si="39"/>
        <v>0</v>
      </c>
      <c r="U234" s="829">
        <f t="shared" si="39"/>
        <v>0</v>
      </c>
      <c r="V234" s="829">
        <f t="shared" si="39"/>
        <v>0</v>
      </c>
      <c r="W234" s="86" t="s">
        <v>240</v>
      </c>
      <c r="X234" s="724" t="s">
        <v>47</v>
      </c>
      <c r="Y234" s="770">
        <f t="shared" si="39"/>
        <v>11581</v>
      </c>
      <c r="Z234" s="770">
        <f t="shared" si="39"/>
        <v>29610</v>
      </c>
      <c r="AA234" s="770">
        <f t="shared" si="39"/>
        <v>12</v>
      </c>
      <c r="AB234" s="770">
        <f t="shared" si="39"/>
        <v>0</v>
      </c>
      <c r="AC234" s="770"/>
      <c r="AD234" s="772" t="s">
        <v>242</v>
      </c>
      <c r="AE234" s="772" t="s">
        <v>243</v>
      </c>
      <c r="AF234" s="773" t="s">
        <v>195</v>
      </c>
      <c r="AG234" s="770" t="s">
        <v>41</v>
      </c>
    </row>
    <row r="235" ht="24.95" customHeight="1" spans="1:33">
      <c r="A235" s="705"/>
      <c r="B235" s="92" t="s">
        <v>101</v>
      </c>
      <c r="C235" s="92" t="s">
        <v>52</v>
      </c>
      <c r="D235" s="76" t="s">
        <v>147</v>
      </c>
      <c r="E235" s="92">
        <v>1</v>
      </c>
      <c r="F235" s="92" t="str">
        <f t="shared" si="36"/>
        <v>中安</v>
      </c>
      <c r="G235" s="92"/>
      <c r="H235" s="724">
        <f>N235/0.01</f>
        <v>1500</v>
      </c>
      <c r="I235" s="724">
        <f>O235/0.01</f>
        <v>1500</v>
      </c>
      <c r="J235" s="724"/>
      <c r="K235" s="724"/>
      <c r="L235" s="825">
        <v>2018.01</v>
      </c>
      <c r="M235" s="724">
        <v>2018.12</v>
      </c>
      <c r="N235" s="724">
        <v>15</v>
      </c>
      <c r="O235" s="724">
        <v>15</v>
      </c>
      <c r="P235" s="724"/>
      <c r="Q235" s="724"/>
      <c r="R235" s="724"/>
      <c r="S235" s="724">
        <v>15</v>
      </c>
      <c r="T235" s="724"/>
      <c r="U235" s="724"/>
      <c r="V235" s="724"/>
      <c r="W235" s="86" t="s">
        <v>240</v>
      </c>
      <c r="X235" s="724" t="s">
        <v>47</v>
      </c>
      <c r="Y235" s="738">
        <v>1361</v>
      </c>
      <c r="Z235" s="738">
        <v>5190</v>
      </c>
      <c r="AA235" s="92">
        <v>1</v>
      </c>
      <c r="AB235" s="92"/>
      <c r="AC235" s="92"/>
      <c r="AD235" s="146" t="s">
        <v>244</v>
      </c>
      <c r="AE235" s="193" t="s">
        <v>245</v>
      </c>
      <c r="AF235" s="146" t="s">
        <v>195</v>
      </c>
      <c r="AG235" s="92"/>
    </row>
    <row r="236" ht="24.95" customHeight="1" spans="1:33">
      <c r="A236" s="705"/>
      <c r="B236" s="92" t="s">
        <v>151</v>
      </c>
      <c r="C236" s="92" t="s">
        <v>52</v>
      </c>
      <c r="D236" s="76" t="s">
        <v>147</v>
      </c>
      <c r="E236" s="92">
        <v>1</v>
      </c>
      <c r="F236" s="92" t="str">
        <f t="shared" si="36"/>
        <v>胜境</v>
      </c>
      <c r="G236" s="92"/>
      <c r="H236" s="724">
        <f t="shared" ref="H236:H246" si="40">N236/0.01</f>
        <v>2740</v>
      </c>
      <c r="I236" s="724">
        <f t="shared" ref="I236:I246" si="41">O236/0.01</f>
        <v>2740</v>
      </c>
      <c r="J236" s="724"/>
      <c r="K236" s="724"/>
      <c r="L236" s="825">
        <v>2018.01</v>
      </c>
      <c r="M236" s="724">
        <v>2018.12</v>
      </c>
      <c r="N236" s="724">
        <v>27.4</v>
      </c>
      <c r="O236" s="724">
        <v>27.4</v>
      </c>
      <c r="P236" s="724"/>
      <c r="Q236" s="724"/>
      <c r="R236" s="724"/>
      <c r="S236" s="724">
        <v>27.4</v>
      </c>
      <c r="T236" s="724"/>
      <c r="U236" s="724"/>
      <c r="V236" s="724"/>
      <c r="W236" s="86" t="s">
        <v>240</v>
      </c>
      <c r="X236" s="724" t="s">
        <v>47</v>
      </c>
      <c r="Y236" s="738">
        <v>2740</v>
      </c>
      <c r="Z236" s="738">
        <v>2740</v>
      </c>
      <c r="AA236" s="92">
        <v>1</v>
      </c>
      <c r="AB236" s="92"/>
      <c r="AC236" s="92"/>
      <c r="AD236" s="146" t="s">
        <v>169</v>
      </c>
      <c r="AE236" s="146" t="s">
        <v>246</v>
      </c>
      <c r="AF236" s="146" t="s">
        <v>195</v>
      </c>
      <c r="AG236" s="92"/>
    </row>
    <row r="237" ht="24.95" customHeight="1" spans="1:33">
      <c r="A237" s="705"/>
      <c r="B237" s="92" t="s">
        <v>154</v>
      </c>
      <c r="C237" s="92" t="s">
        <v>52</v>
      </c>
      <c r="D237" s="76" t="s">
        <v>147</v>
      </c>
      <c r="E237" s="92">
        <v>1</v>
      </c>
      <c r="F237" s="92" t="str">
        <f t="shared" si="36"/>
        <v>后所</v>
      </c>
      <c r="G237" s="92"/>
      <c r="H237" s="724">
        <f t="shared" si="40"/>
        <v>1600</v>
      </c>
      <c r="I237" s="724">
        <f t="shared" si="41"/>
        <v>1600</v>
      </c>
      <c r="J237" s="724"/>
      <c r="K237" s="724"/>
      <c r="L237" s="825">
        <v>2018.01</v>
      </c>
      <c r="M237" s="724">
        <v>2018.12</v>
      </c>
      <c r="N237" s="724">
        <v>16</v>
      </c>
      <c r="O237" s="724">
        <v>16</v>
      </c>
      <c r="P237" s="724"/>
      <c r="Q237" s="724"/>
      <c r="R237" s="724"/>
      <c r="S237" s="724">
        <v>16</v>
      </c>
      <c r="T237" s="724"/>
      <c r="U237" s="724"/>
      <c r="V237" s="724"/>
      <c r="W237" s="86" t="s">
        <v>240</v>
      </c>
      <c r="X237" s="724" t="s">
        <v>47</v>
      </c>
      <c r="Y237" s="738">
        <v>780</v>
      </c>
      <c r="Z237" s="738">
        <v>3300</v>
      </c>
      <c r="AA237" s="92">
        <v>1</v>
      </c>
      <c r="AB237" s="92"/>
      <c r="AC237" s="92"/>
      <c r="AD237" s="146" t="s">
        <v>247</v>
      </c>
      <c r="AE237" s="146" t="s">
        <v>248</v>
      </c>
      <c r="AF237" s="146" t="s">
        <v>195</v>
      </c>
      <c r="AG237" s="92"/>
    </row>
    <row r="238" ht="24.95" customHeight="1" spans="1:33">
      <c r="A238" s="705"/>
      <c r="B238" s="92" t="s">
        <v>81</v>
      </c>
      <c r="C238" s="92" t="s">
        <v>52</v>
      </c>
      <c r="D238" s="76" t="s">
        <v>147</v>
      </c>
      <c r="E238" s="92">
        <v>1</v>
      </c>
      <c r="F238" s="92" t="str">
        <f t="shared" si="36"/>
        <v>墨红</v>
      </c>
      <c r="G238" s="92"/>
      <c r="H238" s="724">
        <f t="shared" si="40"/>
        <v>1600</v>
      </c>
      <c r="I238" s="724">
        <f t="shared" si="41"/>
        <v>1600</v>
      </c>
      <c r="J238" s="724"/>
      <c r="K238" s="724"/>
      <c r="L238" s="825">
        <v>2018.01</v>
      </c>
      <c r="M238" s="724">
        <v>2018.12</v>
      </c>
      <c r="N238" s="724">
        <v>16</v>
      </c>
      <c r="O238" s="724">
        <v>16</v>
      </c>
      <c r="P238" s="724"/>
      <c r="Q238" s="724"/>
      <c r="R238" s="724"/>
      <c r="S238" s="724">
        <v>16</v>
      </c>
      <c r="T238" s="724"/>
      <c r="U238" s="724"/>
      <c r="V238" s="724"/>
      <c r="W238" s="86" t="s">
        <v>240</v>
      </c>
      <c r="X238" s="724" t="s">
        <v>47</v>
      </c>
      <c r="Y238" s="738">
        <v>762</v>
      </c>
      <c r="Z238" s="738">
        <v>3350</v>
      </c>
      <c r="AA238" s="92">
        <v>1</v>
      </c>
      <c r="AB238" s="92"/>
      <c r="AC238" s="92"/>
      <c r="AD238" s="146" t="s">
        <v>249</v>
      </c>
      <c r="AE238" s="146" t="s">
        <v>250</v>
      </c>
      <c r="AF238" s="146" t="s">
        <v>195</v>
      </c>
      <c r="AG238" s="92"/>
    </row>
    <row r="239" ht="24.95" customHeight="1" spans="1:33">
      <c r="A239" s="705"/>
      <c r="B239" s="92" t="s">
        <v>98</v>
      </c>
      <c r="C239" s="92" t="s">
        <v>52</v>
      </c>
      <c r="D239" s="76" t="s">
        <v>147</v>
      </c>
      <c r="E239" s="92">
        <v>1</v>
      </c>
      <c r="F239" s="92" t="str">
        <f t="shared" si="36"/>
        <v>大河</v>
      </c>
      <c r="G239" s="92"/>
      <c r="H239" s="724">
        <f t="shared" si="40"/>
        <v>1782</v>
      </c>
      <c r="I239" s="724">
        <f t="shared" si="41"/>
        <v>1782</v>
      </c>
      <c r="J239" s="724"/>
      <c r="K239" s="724"/>
      <c r="L239" s="825">
        <v>2018.01</v>
      </c>
      <c r="M239" s="724">
        <v>2018.12</v>
      </c>
      <c r="N239" s="724">
        <v>17.82</v>
      </c>
      <c r="O239" s="724">
        <v>17.82</v>
      </c>
      <c r="P239" s="724"/>
      <c r="Q239" s="724"/>
      <c r="R239" s="724"/>
      <c r="S239" s="724">
        <v>17.82</v>
      </c>
      <c r="T239" s="724"/>
      <c r="U239" s="724"/>
      <c r="V239" s="724"/>
      <c r="W239" s="86" t="s">
        <v>240</v>
      </c>
      <c r="X239" s="724" t="s">
        <v>47</v>
      </c>
      <c r="Y239" s="738">
        <v>1330</v>
      </c>
      <c r="Z239" s="738">
        <v>5935</v>
      </c>
      <c r="AA239" s="92">
        <v>1</v>
      </c>
      <c r="AB239" s="92"/>
      <c r="AC239" s="92"/>
      <c r="AD239" s="774" t="s">
        <v>209</v>
      </c>
      <c r="AE239" s="774" t="s">
        <v>251</v>
      </c>
      <c r="AF239" s="146" t="s">
        <v>195</v>
      </c>
      <c r="AG239" s="92"/>
    </row>
    <row r="240" ht="24.95" customHeight="1" spans="1:33">
      <c r="A240" s="705"/>
      <c r="B240" s="92" t="s">
        <v>211</v>
      </c>
      <c r="C240" s="92" t="s">
        <v>52</v>
      </c>
      <c r="D240" s="76" t="s">
        <v>147</v>
      </c>
      <c r="E240" s="92">
        <v>1</v>
      </c>
      <c r="F240" s="92" t="str">
        <f t="shared" si="36"/>
        <v>营上</v>
      </c>
      <c r="G240" s="92"/>
      <c r="H240" s="724">
        <f t="shared" si="40"/>
        <v>1800</v>
      </c>
      <c r="I240" s="724">
        <f t="shared" si="41"/>
        <v>1800</v>
      </c>
      <c r="J240" s="724"/>
      <c r="K240" s="724"/>
      <c r="L240" s="825">
        <v>2018.01</v>
      </c>
      <c r="M240" s="724">
        <v>2018.12</v>
      </c>
      <c r="N240" s="724">
        <v>18</v>
      </c>
      <c r="O240" s="724">
        <v>18</v>
      </c>
      <c r="P240" s="724"/>
      <c r="Q240" s="724"/>
      <c r="R240" s="724"/>
      <c r="S240" s="724">
        <v>18</v>
      </c>
      <c r="T240" s="724"/>
      <c r="U240" s="724"/>
      <c r="V240" s="724"/>
      <c r="W240" s="86" t="s">
        <v>240</v>
      </c>
      <c r="X240" s="724" t="s">
        <v>47</v>
      </c>
      <c r="Y240" s="738">
        <v>640</v>
      </c>
      <c r="Z240" s="738">
        <v>3850</v>
      </c>
      <c r="AA240" s="92">
        <v>1</v>
      </c>
      <c r="AB240" s="92"/>
      <c r="AC240" s="92"/>
      <c r="AD240" s="146" t="s">
        <v>76</v>
      </c>
      <c r="AE240" s="146" t="s">
        <v>252</v>
      </c>
      <c r="AF240" s="146" t="s">
        <v>195</v>
      </c>
      <c r="AG240" s="92"/>
    </row>
    <row r="241" ht="24.95" customHeight="1" spans="1:33">
      <c r="A241" s="705"/>
      <c r="B241" s="92" t="s">
        <v>155</v>
      </c>
      <c r="C241" s="92" t="s">
        <v>52</v>
      </c>
      <c r="D241" s="76" t="s">
        <v>147</v>
      </c>
      <c r="E241" s="92">
        <v>1</v>
      </c>
      <c r="F241" s="92" t="str">
        <f t="shared" si="36"/>
        <v>竹园</v>
      </c>
      <c r="G241" s="92"/>
      <c r="H241" s="724">
        <f t="shared" si="40"/>
        <v>1100</v>
      </c>
      <c r="I241" s="724">
        <f t="shared" si="41"/>
        <v>1100</v>
      </c>
      <c r="J241" s="724"/>
      <c r="K241" s="724"/>
      <c r="L241" s="825">
        <v>2018.01</v>
      </c>
      <c r="M241" s="724">
        <v>2018.12</v>
      </c>
      <c r="N241" s="724">
        <v>11</v>
      </c>
      <c r="O241" s="724">
        <v>11</v>
      </c>
      <c r="P241" s="724"/>
      <c r="Q241" s="724"/>
      <c r="R241" s="724"/>
      <c r="S241" s="724">
        <v>11</v>
      </c>
      <c r="T241" s="724"/>
      <c r="U241" s="724"/>
      <c r="V241" s="724"/>
      <c r="W241" s="86" t="s">
        <v>240</v>
      </c>
      <c r="X241" s="724" t="s">
        <v>47</v>
      </c>
      <c r="Y241" s="738">
        <v>310</v>
      </c>
      <c r="Z241" s="738">
        <v>450</v>
      </c>
      <c r="AA241" s="92">
        <v>1</v>
      </c>
      <c r="AB241" s="92"/>
      <c r="AC241" s="92"/>
      <c r="AD241" s="146" t="s">
        <v>253</v>
      </c>
      <c r="AE241" s="146" t="s">
        <v>254</v>
      </c>
      <c r="AF241" s="146" t="s">
        <v>195</v>
      </c>
      <c r="AG241" s="92"/>
    </row>
    <row r="242" ht="24.95" customHeight="1" spans="1:33">
      <c r="A242" s="705"/>
      <c r="B242" s="92" t="s">
        <v>102</v>
      </c>
      <c r="C242" s="92" t="s">
        <v>52</v>
      </c>
      <c r="D242" s="76" t="s">
        <v>147</v>
      </c>
      <c r="E242" s="92">
        <v>1</v>
      </c>
      <c r="F242" s="92" t="str">
        <f t="shared" si="36"/>
        <v>富村</v>
      </c>
      <c r="G242" s="92"/>
      <c r="H242" s="724">
        <f t="shared" si="40"/>
        <v>2200</v>
      </c>
      <c r="I242" s="724">
        <f t="shared" si="41"/>
        <v>2200</v>
      </c>
      <c r="J242" s="724"/>
      <c r="K242" s="724"/>
      <c r="L242" s="825">
        <v>2018.01</v>
      </c>
      <c r="M242" s="724">
        <v>2018.12</v>
      </c>
      <c r="N242" s="724">
        <v>22</v>
      </c>
      <c r="O242" s="724">
        <v>22</v>
      </c>
      <c r="P242" s="724"/>
      <c r="Q242" s="724"/>
      <c r="R242" s="724"/>
      <c r="S242" s="724">
        <v>22</v>
      </c>
      <c r="T242" s="724"/>
      <c r="U242" s="724"/>
      <c r="V242" s="724"/>
      <c r="W242" s="86" t="s">
        <v>240</v>
      </c>
      <c r="X242" s="724" t="s">
        <v>47</v>
      </c>
      <c r="Y242" s="738">
        <v>2200</v>
      </c>
      <c r="Z242" s="738">
        <v>2200</v>
      </c>
      <c r="AA242" s="92">
        <v>1</v>
      </c>
      <c r="AB242" s="92"/>
      <c r="AC242" s="92"/>
      <c r="AD242" s="146" t="s">
        <v>255</v>
      </c>
      <c r="AE242" s="146" t="s">
        <v>256</v>
      </c>
      <c r="AF242" s="146" t="s">
        <v>195</v>
      </c>
      <c r="AG242" s="92"/>
    </row>
    <row r="243" ht="24.95" customHeight="1" spans="1:33">
      <c r="A243" s="705"/>
      <c r="B243" s="92" t="s">
        <v>100</v>
      </c>
      <c r="C243" s="92" t="s">
        <v>52</v>
      </c>
      <c r="D243" s="76" t="s">
        <v>147</v>
      </c>
      <c r="E243" s="92">
        <v>1</v>
      </c>
      <c r="F243" s="92" t="str">
        <f t="shared" si="36"/>
        <v>黄泥河</v>
      </c>
      <c r="G243" s="92"/>
      <c r="H243" s="724">
        <f t="shared" si="40"/>
        <v>422</v>
      </c>
      <c r="I243" s="724">
        <f t="shared" si="41"/>
        <v>422</v>
      </c>
      <c r="J243" s="724"/>
      <c r="K243" s="724"/>
      <c r="L243" s="825">
        <v>2018.01</v>
      </c>
      <c r="M243" s="724">
        <v>2018.12</v>
      </c>
      <c r="N243" s="724">
        <v>4.22</v>
      </c>
      <c r="O243" s="724">
        <v>4.22</v>
      </c>
      <c r="P243" s="724"/>
      <c r="Q243" s="724"/>
      <c r="R243" s="724"/>
      <c r="S243" s="724">
        <v>4.22</v>
      </c>
      <c r="T243" s="724"/>
      <c r="U243" s="724"/>
      <c r="V243" s="724"/>
      <c r="W243" s="86" t="s">
        <v>240</v>
      </c>
      <c r="X243" s="724" t="s">
        <v>47</v>
      </c>
      <c r="Y243" s="738">
        <v>369</v>
      </c>
      <c r="Z243" s="738">
        <v>422</v>
      </c>
      <c r="AA243" s="92">
        <v>1</v>
      </c>
      <c r="AB243" s="92"/>
      <c r="AC243" s="92"/>
      <c r="AD243" s="146" t="s">
        <v>79</v>
      </c>
      <c r="AE243" s="146" t="s">
        <v>257</v>
      </c>
      <c r="AF243" s="146" t="s">
        <v>195</v>
      </c>
      <c r="AG243" s="92"/>
    </row>
    <row r="244" ht="24.95" customHeight="1" spans="1:33">
      <c r="A244" s="705"/>
      <c r="B244" s="92" t="s">
        <v>84</v>
      </c>
      <c r="C244" s="92" t="s">
        <v>52</v>
      </c>
      <c r="D244" s="76" t="s">
        <v>147</v>
      </c>
      <c r="E244" s="92">
        <v>1</v>
      </c>
      <c r="F244" s="92" t="str">
        <f t="shared" si="36"/>
        <v>十八连山</v>
      </c>
      <c r="G244" s="92"/>
      <c r="H244" s="724">
        <f t="shared" si="40"/>
        <v>1600</v>
      </c>
      <c r="I244" s="724">
        <f t="shared" si="41"/>
        <v>1600</v>
      </c>
      <c r="J244" s="724"/>
      <c r="K244" s="724"/>
      <c r="L244" s="825">
        <v>2018.01</v>
      </c>
      <c r="M244" s="724">
        <v>2018.12</v>
      </c>
      <c r="N244" s="724">
        <v>16</v>
      </c>
      <c r="O244" s="724">
        <v>16</v>
      </c>
      <c r="P244" s="724"/>
      <c r="Q244" s="724"/>
      <c r="R244" s="724"/>
      <c r="S244" s="724">
        <v>16</v>
      </c>
      <c r="T244" s="724"/>
      <c r="U244" s="724"/>
      <c r="V244" s="724"/>
      <c r="W244" s="86" t="s">
        <v>240</v>
      </c>
      <c r="X244" s="724" t="s">
        <v>47</v>
      </c>
      <c r="Y244" s="738">
        <v>556</v>
      </c>
      <c r="Z244" s="738">
        <v>714</v>
      </c>
      <c r="AA244" s="92">
        <v>1</v>
      </c>
      <c r="AB244" s="92"/>
      <c r="AC244" s="92"/>
      <c r="AD244" s="146" t="s">
        <v>185</v>
      </c>
      <c r="AE244" s="146" t="s">
        <v>258</v>
      </c>
      <c r="AF244" s="146" t="s">
        <v>195</v>
      </c>
      <c r="AG244" s="92"/>
    </row>
    <row r="245" ht="24.95" customHeight="1" spans="1:33">
      <c r="A245" s="705"/>
      <c r="B245" s="92" t="s">
        <v>259</v>
      </c>
      <c r="C245" s="92" t="s">
        <v>52</v>
      </c>
      <c r="D245" s="76" t="s">
        <v>147</v>
      </c>
      <c r="E245" s="92">
        <v>1</v>
      </c>
      <c r="F245" s="92" t="str">
        <f t="shared" si="36"/>
        <v>古敢</v>
      </c>
      <c r="G245" s="92"/>
      <c r="H245" s="724">
        <f t="shared" si="40"/>
        <v>29</v>
      </c>
      <c r="I245" s="724">
        <f t="shared" si="41"/>
        <v>29</v>
      </c>
      <c r="J245" s="724"/>
      <c r="K245" s="724"/>
      <c r="L245" s="825">
        <v>2018.01</v>
      </c>
      <c r="M245" s="724">
        <v>2018.12</v>
      </c>
      <c r="N245" s="724">
        <v>0.29</v>
      </c>
      <c r="O245" s="724">
        <v>0.29</v>
      </c>
      <c r="P245" s="724"/>
      <c r="Q245" s="724"/>
      <c r="R245" s="724"/>
      <c r="S245" s="724">
        <v>0.29</v>
      </c>
      <c r="T245" s="724"/>
      <c r="U245" s="724"/>
      <c r="V245" s="724"/>
      <c r="W245" s="86" t="s">
        <v>240</v>
      </c>
      <c r="X245" s="724" t="s">
        <v>47</v>
      </c>
      <c r="Y245" s="738">
        <v>23</v>
      </c>
      <c r="Z245" s="738">
        <v>29</v>
      </c>
      <c r="AA245" s="92">
        <v>1</v>
      </c>
      <c r="AB245" s="92"/>
      <c r="AC245" s="92"/>
      <c r="AD245" s="146" t="s">
        <v>260</v>
      </c>
      <c r="AE245" s="146" t="s">
        <v>261</v>
      </c>
      <c r="AF245" s="146" t="s">
        <v>195</v>
      </c>
      <c r="AG245" s="92"/>
    </row>
    <row r="246" ht="24.95" customHeight="1" spans="1:33">
      <c r="A246" s="705"/>
      <c r="B246" s="92" t="s">
        <v>143</v>
      </c>
      <c r="C246" s="92" t="s">
        <v>52</v>
      </c>
      <c r="D246" s="76" t="s">
        <v>147</v>
      </c>
      <c r="E246" s="92">
        <v>1</v>
      </c>
      <c r="F246" s="92" t="str">
        <f t="shared" si="36"/>
        <v>老厂</v>
      </c>
      <c r="G246" s="92"/>
      <c r="H246" s="724">
        <f t="shared" si="40"/>
        <v>955</v>
      </c>
      <c r="I246" s="724">
        <f t="shared" si="41"/>
        <v>955</v>
      </c>
      <c r="J246" s="724"/>
      <c r="K246" s="724"/>
      <c r="L246" s="825">
        <v>2018.01</v>
      </c>
      <c r="M246" s="724">
        <v>2018.12</v>
      </c>
      <c r="N246" s="724">
        <v>9.55</v>
      </c>
      <c r="O246" s="724">
        <v>9.55</v>
      </c>
      <c r="P246" s="724"/>
      <c r="Q246" s="724"/>
      <c r="R246" s="724"/>
      <c r="S246" s="724">
        <v>9.55</v>
      </c>
      <c r="T246" s="724"/>
      <c r="U246" s="724"/>
      <c r="V246" s="724"/>
      <c r="W246" s="86" t="s">
        <v>240</v>
      </c>
      <c r="X246" s="724" t="s">
        <v>47</v>
      </c>
      <c r="Y246" s="738">
        <v>510</v>
      </c>
      <c r="Z246" s="738">
        <v>1430</v>
      </c>
      <c r="AA246" s="92">
        <v>1</v>
      </c>
      <c r="AB246" s="92"/>
      <c r="AC246" s="92"/>
      <c r="AD246" s="775" t="s">
        <v>262</v>
      </c>
      <c r="AE246" s="775" t="s">
        <v>263</v>
      </c>
      <c r="AF246" s="146" t="s">
        <v>195</v>
      </c>
      <c r="AG246" s="92"/>
    </row>
    <row r="247" s="824" customFormat="1" ht="24.95" customHeight="1" spans="1:33">
      <c r="A247" s="828">
        <v>29</v>
      </c>
      <c r="B247" s="770" t="s">
        <v>264</v>
      </c>
      <c r="C247" s="770"/>
      <c r="D247" s="771" t="s">
        <v>147</v>
      </c>
      <c r="E247" s="770">
        <f>SUM(E248:E259)</f>
        <v>12</v>
      </c>
      <c r="F247" s="770"/>
      <c r="G247" s="770"/>
      <c r="H247" s="829">
        <f t="shared" ref="F247:AA247" si="42">SUM(H248:H259)</f>
        <v>10171</v>
      </c>
      <c r="I247" s="829">
        <f t="shared" si="42"/>
        <v>10171</v>
      </c>
      <c r="J247" s="829">
        <f t="shared" si="42"/>
        <v>0</v>
      </c>
      <c r="K247" s="829">
        <f t="shared" si="42"/>
        <v>0</v>
      </c>
      <c r="L247" s="829"/>
      <c r="M247" s="829"/>
      <c r="N247" s="829">
        <f t="shared" si="42"/>
        <v>203.42</v>
      </c>
      <c r="O247" s="829">
        <f t="shared" si="42"/>
        <v>203.42</v>
      </c>
      <c r="P247" s="829">
        <f t="shared" si="42"/>
        <v>0</v>
      </c>
      <c r="Q247" s="829">
        <f t="shared" si="42"/>
        <v>0</v>
      </c>
      <c r="R247" s="829">
        <f t="shared" si="42"/>
        <v>0</v>
      </c>
      <c r="S247" s="829">
        <f t="shared" si="42"/>
        <v>203.42</v>
      </c>
      <c r="T247" s="829">
        <f t="shared" si="42"/>
        <v>0</v>
      </c>
      <c r="U247" s="829">
        <f t="shared" si="42"/>
        <v>0</v>
      </c>
      <c r="V247" s="829">
        <f t="shared" si="42"/>
        <v>0</v>
      </c>
      <c r="W247" s="86" t="s">
        <v>240</v>
      </c>
      <c r="X247" s="724" t="s">
        <v>47</v>
      </c>
      <c r="Y247" s="770">
        <f t="shared" si="42"/>
        <v>7467</v>
      </c>
      <c r="Z247" s="770">
        <f t="shared" si="42"/>
        <v>20895</v>
      </c>
      <c r="AA247" s="770">
        <f t="shared" si="42"/>
        <v>12</v>
      </c>
      <c r="AB247" s="770"/>
      <c r="AC247" s="770"/>
      <c r="AD247" s="772" t="s">
        <v>242</v>
      </c>
      <c r="AE247" s="772" t="s">
        <v>243</v>
      </c>
      <c r="AF247" s="773" t="s">
        <v>195</v>
      </c>
      <c r="AG247" s="770" t="s">
        <v>41</v>
      </c>
    </row>
    <row r="248" ht="24.95" customHeight="1" spans="1:33">
      <c r="A248" s="705"/>
      <c r="B248" s="92" t="s">
        <v>101</v>
      </c>
      <c r="C248" s="92" t="s">
        <v>52</v>
      </c>
      <c r="D248" s="76" t="s">
        <v>147</v>
      </c>
      <c r="E248" s="92">
        <v>1</v>
      </c>
      <c r="F248" s="92" t="str">
        <f t="shared" si="36"/>
        <v>中安</v>
      </c>
      <c r="G248" s="92"/>
      <c r="H248" s="146">
        <f>N248/0.02</f>
        <v>1100</v>
      </c>
      <c r="I248" s="146">
        <f>O248/0.02</f>
        <v>1100</v>
      </c>
      <c r="J248" s="724"/>
      <c r="K248" s="724"/>
      <c r="L248" s="825">
        <v>2018.01</v>
      </c>
      <c r="M248" s="724">
        <v>2018.12</v>
      </c>
      <c r="N248" s="724">
        <v>22</v>
      </c>
      <c r="O248" s="724">
        <v>22</v>
      </c>
      <c r="P248" s="724"/>
      <c r="Q248" s="724"/>
      <c r="R248" s="724"/>
      <c r="S248" s="724">
        <v>22</v>
      </c>
      <c r="T248" s="724"/>
      <c r="U248" s="724"/>
      <c r="V248" s="724"/>
      <c r="W248" s="86" t="s">
        <v>240</v>
      </c>
      <c r="X248" s="724" t="s">
        <v>47</v>
      </c>
      <c r="Y248" s="738">
        <v>864</v>
      </c>
      <c r="Z248" s="738">
        <v>3275</v>
      </c>
      <c r="AA248" s="92">
        <v>1</v>
      </c>
      <c r="AB248" s="92"/>
      <c r="AC248" s="92"/>
      <c r="AD248" s="146" t="s">
        <v>244</v>
      </c>
      <c r="AE248" s="193" t="s">
        <v>245</v>
      </c>
      <c r="AF248" s="146" t="s">
        <v>195</v>
      </c>
      <c r="AG248" s="92"/>
    </row>
    <row r="249" ht="24.95" customHeight="1" spans="1:33">
      <c r="A249" s="705"/>
      <c r="B249" s="92" t="s">
        <v>151</v>
      </c>
      <c r="C249" s="92" t="s">
        <v>52</v>
      </c>
      <c r="D249" s="76" t="s">
        <v>147</v>
      </c>
      <c r="E249" s="92">
        <v>1</v>
      </c>
      <c r="F249" s="92" t="str">
        <f t="shared" si="36"/>
        <v>胜境</v>
      </c>
      <c r="G249" s="92"/>
      <c r="H249" s="146">
        <f t="shared" ref="H249:H259" si="43">N249/0.02</f>
        <v>770</v>
      </c>
      <c r="I249" s="146">
        <f t="shared" ref="I249:I259" si="44">O249/0.02</f>
        <v>770</v>
      </c>
      <c r="J249" s="724"/>
      <c r="K249" s="724"/>
      <c r="L249" s="825">
        <v>2018.01</v>
      </c>
      <c r="M249" s="724">
        <v>2018.12</v>
      </c>
      <c r="N249" s="724">
        <v>15.4</v>
      </c>
      <c r="O249" s="724">
        <v>15.4</v>
      </c>
      <c r="P249" s="724"/>
      <c r="Q249" s="724"/>
      <c r="R249" s="724"/>
      <c r="S249" s="724">
        <v>15.4</v>
      </c>
      <c r="T249" s="724"/>
      <c r="U249" s="724"/>
      <c r="V249" s="724"/>
      <c r="W249" s="86" t="s">
        <v>240</v>
      </c>
      <c r="X249" s="724" t="s">
        <v>47</v>
      </c>
      <c r="Y249" s="738">
        <v>770</v>
      </c>
      <c r="Z249" s="738">
        <v>770</v>
      </c>
      <c r="AA249" s="92">
        <v>1</v>
      </c>
      <c r="AB249" s="92"/>
      <c r="AC249" s="92"/>
      <c r="AD249" s="146" t="s">
        <v>169</v>
      </c>
      <c r="AE249" s="146" t="s">
        <v>246</v>
      </c>
      <c r="AF249" s="146" t="s">
        <v>195</v>
      </c>
      <c r="AG249" s="92"/>
    </row>
    <row r="250" ht="24.95" customHeight="1" spans="1:33">
      <c r="A250" s="705"/>
      <c r="B250" s="92" t="s">
        <v>154</v>
      </c>
      <c r="C250" s="92" t="s">
        <v>52</v>
      </c>
      <c r="D250" s="76" t="s">
        <v>147</v>
      </c>
      <c r="E250" s="92">
        <v>1</v>
      </c>
      <c r="F250" s="92" t="str">
        <f t="shared" si="36"/>
        <v>后所</v>
      </c>
      <c r="G250" s="92"/>
      <c r="H250" s="146">
        <f t="shared" si="43"/>
        <v>1000</v>
      </c>
      <c r="I250" s="146">
        <f t="shared" si="44"/>
        <v>1000</v>
      </c>
      <c r="J250" s="724"/>
      <c r="K250" s="724"/>
      <c r="L250" s="825">
        <v>2018.01</v>
      </c>
      <c r="M250" s="724">
        <v>2018.12</v>
      </c>
      <c r="N250" s="724">
        <v>20</v>
      </c>
      <c r="O250" s="724">
        <v>20</v>
      </c>
      <c r="P250" s="724"/>
      <c r="Q250" s="724"/>
      <c r="R250" s="724"/>
      <c r="S250" s="724">
        <v>20</v>
      </c>
      <c r="T250" s="724"/>
      <c r="U250" s="724"/>
      <c r="V250" s="724"/>
      <c r="W250" s="86" t="s">
        <v>240</v>
      </c>
      <c r="X250" s="724" t="s">
        <v>47</v>
      </c>
      <c r="Y250" s="738">
        <v>755</v>
      </c>
      <c r="Z250" s="738">
        <v>3000</v>
      </c>
      <c r="AA250" s="92">
        <v>1</v>
      </c>
      <c r="AB250" s="92"/>
      <c r="AC250" s="92"/>
      <c r="AD250" s="146" t="s">
        <v>247</v>
      </c>
      <c r="AE250" s="146" t="s">
        <v>248</v>
      </c>
      <c r="AF250" s="146" t="s">
        <v>195</v>
      </c>
      <c r="AG250" s="92"/>
    </row>
    <row r="251" ht="24.95" customHeight="1" spans="1:33">
      <c r="A251" s="705"/>
      <c r="B251" s="92" t="s">
        <v>81</v>
      </c>
      <c r="C251" s="92" t="s">
        <v>52</v>
      </c>
      <c r="D251" s="76" t="s">
        <v>147</v>
      </c>
      <c r="E251" s="92">
        <v>1</v>
      </c>
      <c r="F251" s="92" t="str">
        <f t="shared" si="36"/>
        <v>墨红</v>
      </c>
      <c r="G251" s="92"/>
      <c r="H251" s="146">
        <f t="shared" si="43"/>
        <v>850</v>
      </c>
      <c r="I251" s="146">
        <f t="shared" si="44"/>
        <v>850</v>
      </c>
      <c r="J251" s="724"/>
      <c r="K251" s="724"/>
      <c r="L251" s="825">
        <v>2018.01</v>
      </c>
      <c r="M251" s="724">
        <v>2018.12</v>
      </c>
      <c r="N251" s="724">
        <v>17</v>
      </c>
      <c r="O251" s="724">
        <v>17</v>
      </c>
      <c r="P251" s="724"/>
      <c r="Q251" s="724"/>
      <c r="R251" s="724"/>
      <c r="S251" s="724">
        <v>17</v>
      </c>
      <c r="T251" s="724"/>
      <c r="U251" s="724"/>
      <c r="V251" s="724"/>
      <c r="W251" s="86" t="s">
        <v>240</v>
      </c>
      <c r="X251" s="724" t="s">
        <v>47</v>
      </c>
      <c r="Y251" s="738">
        <v>462</v>
      </c>
      <c r="Z251" s="738">
        <v>2500</v>
      </c>
      <c r="AA251" s="92">
        <v>1</v>
      </c>
      <c r="AB251" s="92"/>
      <c r="AC251" s="92"/>
      <c r="AD251" s="146" t="s">
        <v>249</v>
      </c>
      <c r="AE251" s="146" t="s">
        <v>250</v>
      </c>
      <c r="AF251" s="146" t="s">
        <v>195</v>
      </c>
      <c r="AG251" s="92"/>
    </row>
    <row r="252" ht="24.95" customHeight="1" spans="1:33">
      <c r="A252" s="705"/>
      <c r="B252" s="92" t="s">
        <v>98</v>
      </c>
      <c r="C252" s="92" t="s">
        <v>52</v>
      </c>
      <c r="D252" s="76" t="s">
        <v>147</v>
      </c>
      <c r="E252" s="92">
        <v>1</v>
      </c>
      <c r="F252" s="92" t="str">
        <f t="shared" si="36"/>
        <v>大河</v>
      </c>
      <c r="G252" s="92"/>
      <c r="H252" s="146">
        <f t="shared" si="43"/>
        <v>1575</v>
      </c>
      <c r="I252" s="146">
        <f t="shared" si="44"/>
        <v>1575</v>
      </c>
      <c r="J252" s="724"/>
      <c r="K252" s="724"/>
      <c r="L252" s="825">
        <v>2018.01</v>
      </c>
      <c r="M252" s="724">
        <v>2018.12</v>
      </c>
      <c r="N252" s="724">
        <v>31.5</v>
      </c>
      <c r="O252" s="724">
        <v>31.5</v>
      </c>
      <c r="P252" s="724"/>
      <c r="Q252" s="724"/>
      <c r="R252" s="724"/>
      <c r="S252" s="724">
        <v>31.5</v>
      </c>
      <c r="T252" s="724"/>
      <c r="U252" s="724"/>
      <c r="V252" s="724"/>
      <c r="W252" s="86" t="s">
        <v>240</v>
      </c>
      <c r="X252" s="724" t="s">
        <v>47</v>
      </c>
      <c r="Y252" s="738">
        <v>1096</v>
      </c>
      <c r="Z252" s="738">
        <v>4763</v>
      </c>
      <c r="AA252" s="92">
        <v>1</v>
      </c>
      <c r="AB252" s="92"/>
      <c r="AC252" s="92"/>
      <c r="AD252" s="774" t="s">
        <v>209</v>
      </c>
      <c r="AE252" s="774" t="s">
        <v>251</v>
      </c>
      <c r="AF252" s="146" t="s">
        <v>195</v>
      </c>
      <c r="AG252" s="92"/>
    </row>
    <row r="253" ht="24.95" customHeight="1" spans="1:33">
      <c r="A253" s="705"/>
      <c r="B253" s="92" t="s">
        <v>211</v>
      </c>
      <c r="C253" s="92" t="s">
        <v>52</v>
      </c>
      <c r="D253" s="76" t="s">
        <v>147</v>
      </c>
      <c r="E253" s="92">
        <v>1</v>
      </c>
      <c r="F253" s="92" t="str">
        <f t="shared" si="36"/>
        <v>营上</v>
      </c>
      <c r="G253" s="92"/>
      <c r="H253" s="146">
        <f t="shared" si="43"/>
        <v>950</v>
      </c>
      <c r="I253" s="146">
        <f t="shared" si="44"/>
        <v>950</v>
      </c>
      <c r="J253" s="724"/>
      <c r="K253" s="724"/>
      <c r="L253" s="825">
        <v>2018.01</v>
      </c>
      <c r="M253" s="724">
        <v>2018.12</v>
      </c>
      <c r="N253" s="724">
        <v>19</v>
      </c>
      <c r="O253" s="724">
        <v>19</v>
      </c>
      <c r="P253" s="724"/>
      <c r="Q253" s="724"/>
      <c r="R253" s="724"/>
      <c r="S253" s="724">
        <v>19</v>
      </c>
      <c r="T253" s="724"/>
      <c r="U253" s="724"/>
      <c r="V253" s="724"/>
      <c r="W253" s="86" t="s">
        <v>240</v>
      </c>
      <c r="X253" s="724" t="s">
        <v>47</v>
      </c>
      <c r="Y253" s="738">
        <v>682</v>
      </c>
      <c r="Z253" s="738">
        <v>2850</v>
      </c>
      <c r="AA253" s="92">
        <v>1</v>
      </c>
      <c r="AB253" s="92"/>
      <c r="AC253" s="92"/>
      <c r="AD253" s="146" t="s">
        <v>76</v>
      </c>
      <c r="AE253" s="146" t="s">
        <v>252</v>
      </c>
      <c r="AF253" s="146" t="s">
        <v>195</v>
      </c>
      <c r="AG253" s="92"/>
    </row>
    <row r="254" ht="24.95" customHeight="1" spans="1:33">
      <c r="A254" s="705"/>
      <c r="B254" s="92" t="s">
        <v>155</v>
      </c>
      <c r="C254" s="92" t="s">
        <v>52</v>
      </c>
      <c r="D254" s="76" t="s">
        <v>147</v>
      </c>
      <c r="E254" s="92">
        <v>1</v>
      </c>
      <c r="F254" s="92" t="str">
        <f t="shared" si="36"/>
        <v>竹园</v>
      </c>
      <c r="G254" s="92"/>
      <c r="H254" s="146">
        <f t="shared" si="43"/>
        <v>650</v>
      </c>
      <c r="I254" s="146">
        <f t="shared" si="44"/>
        <v>650</v>
      </c>
      <c r="J254" s="724"/>
      <c r="K254" s="724"/>
      <c r="L254" s="825">
        <v>2018.01</v>
      </c>
      <c r="M254" s="724">
        <v>2018.12</v>
      </c>
      <c r="N254" s="724">
        <v>13</v>
      </c>
      <c r="O254" s="724">
        <v>13</v>
      </c>
      <c r="P254" s="724"/>
      <c r="Q254" s="724"/>
      <c r="R254" s="724"/>
      <c r="S254" s="724">
        <v>13</v>
      </c>
      <c r="T254" s="724"/>
      <c r="U254" s="724"/>
      <c r="V254" s="724"/>
      <c r="W254" s="86" t="s">
        <v>240</v>
      </c>
      <c r="X254" s="724" t="s">
        <v>47</v>
      </c>
      <c r="Y254" s="738">
        <v>171</v>
      </c>
      <c r="Z254" s="738">
        <v>254</v>
      </c>
      <c r="AA254" s="92">
        <v>1</v>
      </c>
      <c r="AB254" s="92"/>
      <c r="AC254" s="92"/>
      <c r="AD254" s="146" t="s">
        <v>253</v>
      </c>
      <c r="AE254" s="146" t="s">
        <v>254</v>
      </c>
      <c r="AF254" s="146" t="s">
        <v>195</v>
      </c>
      <c r="AG254" s="92"/>
    </row>
    <row r="255" ht="24.95" customHeight="1" spans="1:33">
      <c r="A255" s="705"/>
      <c r="B255" s="92" t="s">
        <v>102</v>
      </c>
      <c r="C255" s="92" t="s">
        <v>52</v>
      </c>
      <c r="D255" s="76" t="s">
        <v>147</v>
      </c>
      <c r="E255" s="92">
        <v>1</v>
      </c>
      <c r="F255" s="92" t="str">
        <f t="shared" si="36"/>
        <v>富村</v>
      </c>
      <c r="G255" s="92"/>
      <c r="H255" s="146">
        <f t="shared" si="43"/>
        <v>1800</v>
      </c>
      <c r="I255" s="146">
        <f t="shared" si="44"/>
        <v>1800</v>
      </c>
      <c r="J255" s="724"/>
      <c r="K255" s="724"/>
      <c r="L255" s="825">
        <v>2018.01</v>
      </c>
      <c r="M255" s="724">
        <v>2018.12</v>
      </c>
      <c r="N255" s="724">
        <v>36</v>
      </c>
      <c r="O255" s="724">
        <v>36</v>
      </c>
      <c r="P255" s="724"/>
      <c r="Q255" s="724"/>
      <c r="R255" s="724"/>
      <c r="S255" s="724">
        <v>36</v>
      </c>
      <c r="T255" s="724"/>
      <c r="U255" s="724"/>
      <c r="V255" s="724"/>
      <c r="W255" s="86" t="s">
        <v>240</v>
      </c>
      <c r="X255" s="724" t="s">
        <v>47</v>
      </c>
      <c r="Y255" s="738">
        <v>1800</v>
      </c>
      <c r="Z255" s="738">
        <v>1800</v>
      </c>
      <c r="AA255" s="92">
        <v>1</v>
      </c>
      <c r="AB255" s="92"/>
      <c r="AC255" s="92"/>
      <c r="AD255" s="146" t="s">
        <v>255</v>
      </c>
      <c r="AE255" s="146" t="s">
        <v>256</v>
      </c>
      <c r="AF255" s="146" t="s">
        <v>195</v>
      </c>
      <c r="AG255" s="92"/>
    </row>
    <row r="256" ht="24.95" customHeight="1" spans="1:33">
      <c r="A256" s="705"/>
      <c r="B256" s="92" t="s">
        <v>100</v>
      </c>
      <c r="C256" s="92" t="s">
        <v>52</v>
      </c>
      <c r="D256" s="76" t="s">
        <v>147</v>
      </c>
      <c r="E256" s="92">
        <v>1</v>
      </c>
      <c r="F256" s="92" t="str">
        <f t="shared" si="36"/>
        <v>黄泥河</v>
      </c>
      <c r="G256" s="92"/>
      <c r="H256" s="146">
        <f t="shared" si="43"/>
        <v>347</v>
      </c>
      <c r="I256" s="146">
        <f t="shared" si="44"/>
        <v>347</v>
      </c>
      <c r="J256" s="724"/>
      <c r="K256" s="724"/>
      <c r="L256" s="825">
        <v>2018.01</v>
      </c>
      <c r="M256" s="724">
        <v>2018.12</v>
      </c>
      <c r="N256" s="724">
        <v>6.94</v>
      </c>
      <c r="O256" s="724">
        <v>6.94</v>
      </c>
      <c r="P256" s="724"/>
      <c r="Q256" s="724"/>
      <c r="R256" s="724"/>
      <c r="S256" s="724">
        <v>6.94</v>
      </c>
      <c r="T256" s="724"/>
      <c r="U256" s="724"/>
      <c r="V256" s="724"/>
      <c r="W256" s="86" t="s">
        <v>240</v>
      </c>
      <c r="X256" s="724" t="s">
        <v>47</v>
      </c>
      <c r="Y256" s="738">
        <v>301</v>
      </c>
      <c r="Z256" s="738">
        <v>347</v>
      </c>
      <c r="AA256" s="92">
        <v>1</v>
      </c>
      <c r="AB256" s="92"/>
      <c r="AC256" s="92"/>
      <c r="AD256" s="146" t="s">
        <v>79</v>
      </c>
      <c r="AE256" s="146" t="s">
        <v>257</v>
      </c>
      <c r="AF256" s="146" t="s">
        <v>195</v>
      </c>
      <c r="AG256" s="92"/>
    </row>
    <row r="257" ht="24.95" customHeight="1" spans="1:33">
      <c r="A257" s="705"/>
      <c r="B257" s="92" t="s">
        <v>84</v>
      </c>
      <c r="C257" s="92" t="s">
        <v>52</v>
      </c>
      <c r="D257" s="76" t="s">
        <v>147</v>
      </c>
      <c r="E257" s="92">
        <v>1</v>
      </c>
      <c r="F257" s="92" t="str">
        <f t="shared" si="36"/>
        <v>十八连山</v>
      </c>
      <c r="G257" s="92"/>
      <c r="H257" s="146">
        <f t="shared" si="43"/>
        <v>650</v>
      </c>
      <c r="I257" s="146">
        <f t="shared" si="44"/>
        <v>650</v>
      </c>
      <c r="J257" s="724"/>
      <c r="K257" s="724"/>
      <c r="L257" s="825">
        <v>2018.01</v>
      </c>
      <c r="M257" s="724">
        <v>2018.12</v>
      </c>
      <c r="N257" s="724">
        <v>13</v>
      </c>
      <c r="O257" s="724">
        <v>13</v>
      </c>
      <c r="P257" s="724"/>
      <c r="Q257" s="724"/>
      <c r="R257" s="724"/>
      <c r="S257" s="724">
        <v>13</v>
      </c>
      <c r="T257" s="724"/>
      <c r="U257" s="724"/>
      <c r="V257" s="724"/>
      <c r="W257" s="86" t="s">
        <v>240</v>
      </c>
      <c r="X257" s="724" t="s">
        <v>47</v>
      </c>
      <c r="Y257" s="738">
        <v>324</v>
      </c>
      <c r="Z257" s="738">
        <v>431</v>
      </c>
      <c r="AA257" s="92">
        <v>1</v>
      </c>
      <c r="AB257" s="92"/>
      <c r="AC257" s="92"/>
      <c r="AD257" s="146" t="s">
        <v>185</v>
      </c>
      <c r="AE257" s="146" t="s">
        <v>258</v>
      </c>
      <c r="AF257" s="146" t="s">
        <v>195</v>
      </c>
      <c r="AG257" s="92"/>
    </row>
    <row r="258" ht="24.95" customHeight="1" spans="1:33">
      <c r="A258" s="705"/>
      <c r="B258" s="92" t="s">
        <v>259</v>
      </c>
      <c r="C258" s="92" t="s">
        <v>52</v>
      </c>
      <c r="D258" s="76" t="s">
        <v>147</v>
      </c>
      <c r="E258" s="92">
        <v>1</v>
      </c>
      <c r="F258" s="92" t="str">
        <f t="shared" si="36"/>
        <v>古敢</v>
      </c>
      <c r="G258" s="92"/>
      <c r="H258" s="146">
        <f t="shared" si="43"/>
        <v>53</v>
      </c>
      <c r="I258" s="146">
        <f t="shared" si="44"/>
        <v>53</v>
      </c>
      <c r="J258" s="724"/>
      <c r="K258" s="724"/>
      <c r="L258" s="825">
        <v>2018.01</v>
      </c>
      <c r="M258" s="724">
        <v>2018.12</v>
      </c>
      <c r="N258" s="724">
        <v>1.06</v>
      </c>
      <c r="O258" s="724">
        <v>1.06</v>
      </c>
      <c r="P258" s="724"/>
      <c r="Q258" s="724"/>
      <c r="R258" s="724"/>
      <c r="S258" s="724">
        <v>1.06</v>
      </c>
      <c r="T258" s="724"/>
      <c r="U258" s="724"/>
      <c r="V258" s="724"/>
      <c r="W258" s="86" t="s">
        <v>240</v>
      </c>
      <c r="X258" s="724" t="s">
        <v>47</v>
      </c>
      <c r="Y258" s="738">
        <v>38</v>
      </c>
      <c r="Z258" s="738">
        <v>53</v>
      </c>
      <c r="AA258" s="92">
        <v>1</v>
      </c>
      <c r="AB258" s="92"/>
      <c r="AC258" s="92"/>
      <c r="AD258" s="146" t="s">
        <v>260</v>
      </c>
      <c r="AE258" s="146" t="s">
        <v>261</v>
      </c>
      <c r="AF258" s="146" t="s">
        <v>195</v>
      </c>
      <c r="AG258" s="92"/>
    </row>
    <row r="259" ht="24.95" customHeight="1" spans="1:33">
      <c r="A259" s="705"/>
      <c r="B259" s="92" t="s">
        <v>143</v>
      </c>
      <c r="C259" s="92" t="s">
        <v>52</v>
      </c>
      <c r="D259" s="76" t="s">
        <v>147</v>
      </c>
      <c r="E259" s="92">
        <v>1</v>
      </c>
      <c r="F259" s="92" t="str">
        <f t="shared" si="36"/>
        <v>老厂</v>
      </c>
      <c r="G259" s="92"/>
      <c r="H259" s="146">
        <f t="shared" si="43"/>
        <v>426</v>
      </c>
      <c r="I259" s="146">
        <f t="shared" si="44"/>
        <v>426</v>
      </c>
      <c r="J259" s="724"/>
      <c r="K259" s="724"/>
      <c r="L259" s="825">
        <v>2018.01</v>
      </c>
      <c r="M259" s="724">
        <v>2018.12</v>
      </c>
      <c r="N259" s="724">
        <v>8.52</v>
      </c>
      <c r="O259" s="724">
        <v>8.52</v>
      </c>
      <c r="P259" s="724"/>
      <c r="Q259" s="724"/>
      <c r="R259" s="724"/>
      <c r="S259" s="724">
        <v>8.52</v>
      </c>
      <c r="T259" s="724"/>
      <c r="U259" s="724"/>
      <c r="V259" s="724"/>
      <c r="W259" s="86" t="s">
        <v>240</v>
      </c>
      <c r="X259" s="724" t="s">
        <v>47</v>
      </c>
      <c r="Y259" s="738">
        <v>204</v>
      </c>
      <c r="Z259" s="738">
        <v>852</v>
      </c>
      <c r="AA259" s="92">
        <v>1</v>
      </c>
      <c r="AB259" s="92"/>
      <c r="AC259" s="92"/>
      <c r="AD259" s="775" t="s">
        <v>262</v>
      </c>
      <c r="AE259" s="775" t="s">
        <v>263</v>
      </c>
      <c r="AF259" s="146" t="s">
        <v>195</v>
      </c>
      <c r="AG259" s="92"/>
    </row>
    <row r="260" s="824" customFormat="1" ht="24.95" customHeight="1" spans="1:33">
      <c r="A260" s="828">
        <v>30</v>
      </c>
      <c r="B260" s="770" t="s">
        <v>265</v>
      </c>
      <c r="C260" s="770"/>
      <c r="D260" s="771" t="s">
        <v>147</v>
      </c>
      <c r="E260" s="770">
        <f>SUM(E261:E272)</f>
        <v>12</v>
      </c>
      <c r="F260" s="770"/>
      <c r="G260" s="770"/>
      <c r="H260" s="829">
        <f t="shared" ref="F260:AA260" si="45">SUM(H261:H272)</f>
        <v>14560</v>
      </c>
      <c r="I260" s="829">
        <f t="shared" si="45"/>
        <v>14560</v>
      </c>
      <c r="J260" s="829">
        <f t="shared" si="45"/>
        <v>0</v>
      </c>
      <c r="K260" s="829">
        <f t="shared" si="45"/>
        <v>0</v>
      </c>
      <c r="L260" s="829"/>
      <c r="M260" s="829"/>
      <c r="N260" s="829">
        <f t="shared" si="45"/>
        <v>436.8</v>
      </c>
      <c r="O260" s="829">
        <f t="shared" si="45"/>
        <v>436.8</v>
      </c>
      <c r="P260" s="829">
        <f t="shared" si="45"/>
        <v>0</v>
      </c>
      <c r="Q260" s="829">
        <f t="shared" si="45"/>
        <v>0</v>
      </c>
      <c r="R260" s="829">
        <f t="shared" si="45"/>
        <v>0</v>
      </c>
      <c r="S260" s="829">
        <f t="shared" si="45"/>
        <v>436.8</v>
      </c>
      <c r="T260" s="829">
        <f t="shared" si="45"/>
        <v>0</v>
      </c>
      <c r="U260" s="829">
        <f t="shared" si="45"/>
        <v>0</v>
      </c>
      <c r="V260" s="829">
        <f t="shared" si="45"/>
        <v>0</v>
      </c>
      <c r="W260" s="86" t="s">
        <v>240</v>
      </c>
      <c r="X260" s="724" t="s">
        <v>47</v>
      </c>
      <c r="Y260" s="770">
        <f t="shared" si="45"/>
        <v>9831</v>
      </c>
      <c r="Z260" s="770">
        <f t="shared" si="45"/>
        <v>29731</v>
      </c>
      <c r="AA260" s="770">
        <f t="shared" si="45"/>
        <v>12</v>
      </c>
      <c r="AB260" s="770"/>
      <c r="AC260" s="770"/>
      <c r="AD260" s="772" t="s">
        <v>242</v>
      </c>
      <c r="AE260" s="772" t="s">
        <v>243</v>
      </c>
      <c r="AF260" s="773" t="s">
        <v>195</v>
      </c>
      <c r="AG260" s="770" t="s">
        <v>41</v>
      </c>
    </row>
    <row r="261" ht="24.95" customHeight="1" spans="1:33">
      <c r="A261" s="705"/>
      <c r="B261" s="92" t="s">
        <v>101</v>
      </c>
      <c r="C261" s="92" t="s">
        <v>52</v>
      </c>
      <c r="D261" s="76" t="s">
        <v>147</v>
      </c>
      <c r="E261" s="92">
        <v>1</v>
      </c>
      <c r="F261" s="92" t="str">
        <f t="shared" si="36"/>
        <v>中安</v>
      </c>
      <c r="G261" s="92"/>
      <c r="H261" s="724">
        <f>N261/0.03</f>
        <v>1000</v>
      </c>
      <c r="I261" s="724">
        <f>O261/0.03</f>
        <v>1000</v>
      </c>
      <c r="J261" s="724"/>
      <c r="K261" s="724"/>
      <c r="L261" s="825">
        <v>2018.01</v>
      </c>
      <c r="M261" s="724">
        <v>2018.12</v>
      </c>
      <c r="N261" s="724">
        <v>30</v>
      </c>
      <c r="O261" s="724">
        <v>30</v>
      </c>
      <c r="P261" s="724"/>
      <c r="Q261" s="724"/>
      <c r="R261" s="724"/>
      <c r="S261" s="724">
        <v>30</v>
      </c>
      <c r="T261" s="724"/>
      <c r="U261" s="724"/>
      <c r="V261" s="724"/>
      <c r="W261" s="86" t="s">
        <v>240</v>
      </c>
      <c r="X261" s="724" t="s">
        <v>47</v>
      </c>
      <c r="Y261" s="738">
        <v>741</v>
      </c>
      <c r="Z261" s="738">
        <v>2828</v>
      </c>
      <c r="AA261" s="92">
        <v>1</v>
      </c>
      <c r="AB261" s="92"/>
      <c r="AC261" s="92"/>
      <c r="AD261" s="146" t="s">
        <v>244</v>
      </c>
      <c r="AE261" s="193" t="s">
        <v>245</v>
      </c>
      <c r="AF261" s="146" t="s">
        <v>195</v>
      </c>
      <c r="AG261" s="92"/>
    </row>
    <row r="262" ht="24.95" customHeight="1" spans="1:33">
      <c r="A262" s="705"/>
      <c r="B262" s="92" t="s">
        <v>151</v>
      </c>
      <c r="C262" s="92" t="s">
        <v>52</v>
      </c>
      <c r="D262" s="76" t="s">
        <v>147</v>
      </c>
      <c r="E262" s="92">
        <v>1</v>
      </c>
      <c r="F262" s="92" t="str">
        <f t="shared" si="36"/>
        <v>胜境</v>
      </c>
      <c r="G262" s="92"/>
      <c r="H262" s="724">
        <f t="shared" ref="H262:H272" si="46">N262/0.03</f>
        <v>480</v>
      </c>
      <c r="I262" s="724">
        <f t="shared" ref="I262:I272" si="47">O262/0.03</f>
        <v>480</v>
      </c>
      <c r="J262" s="724"/>
      <c r="K262" s="724"/>
      <c r="L262" s="825">
        <v>2018.01</v>
      </c>
      <c r="M262" s="724">
        <v>2018.12</v>
      </c>
      <c r="N262" s="724">
        <v>14.4</v>
      </c>
      <c r="O262" s="724">
        <v>14.4</v>
      </c>
      <c r="P262" s="724"/>
      <c r="Q262" s="724"/>
      <c r="R262" s="724"/>
      <c r="S262" s="724">
        <v>14.4</v>
      </c>
      <c r="T262" s="724"/>
      <c r="U262" s="724"/>
      <c r="V262" s="724"/>
      <c r="W262" s="86" t="s">
        <v>240</v>
      </c>
      <c r="X262" s="724" t="s">
        <v>47</v>
      </c>
      <c r="Y262" s="738">
        <v>480</v>
      </c>
      <c r="Z262" s="738">
        <v>2160</v>
      </c>
      <c r="AA262" s="92">
        <v>1</v>
      </c>
      <c r="AB262" s="92"/>
      <c r="AC262" s="92"/>
      <c r="AD262" s="146" t="s">
        <v>169</v>
      </c>
      <c r="AE262" s="146" t="s">
        <v>246</v>
      </c>
      <c r="AF262" s="146" t="s">
        <v>195</v>
      </c>
      <c r="AG262" s="92"/>
    </row>
    <row r="263" ht="24.95" customHeight="1" spans="1:33">
      <c r="A263" s="705"/>
      <c r="B263" s="92" t="s">
        <v>154</v>
      </c>
      <c r="C263" s="92" t="s">
        <v>52</v>
      </c>
      <c r="D263" s="76" t="s">
        <v>147</v>
      </c>
      <c r="E263" s="92">
        <v>1</v>
      </c>
      <c r="F263" s="92" t="str">
        <f t="shared" si="36"/>
        <v>后所</v>
      </c>
      <c r="G263" s="92"/>
      <c r="H263" s="724">
        <f t="shared" si="46"/>
        <v>1000</v>
      </c>
      <c r="I263" s="724">
        <f t="shared" si="47"/>
        <v>1000</v>
      </c>
      <c r="J263" s="724"/>
      <c r="K263" s="724"/>
      <c r="L263" s="825">
        <v>2018.01</v>
      </c>
      <c r="M263" s="724">
        <v>2018.12</v>
      </c>
      <c r="N263" s="724">
        <v>30</v>
      </c>
      <c r="O263" s="724">
        <v>30</v>
      </c>
      <c r="P263" s="724"/>
      <c r="Q263" s="724"/>
      <c r="R263" s="724"/>
      <c r="S263" s="724">
        <v>30</v>
      </c>
      <c r="T263" s="724"/>
      <c r="U263" s="724"/>
      <c r="V263" s="724"/>
      <c r="W263" s="86" t="s">
        <v>240</v>
      </c>
      <c r="X263" s="724" t="s">
        <v>47</v>
      </c>
      <c r="Y263" s="738">
        <v>860</v>
      </c>
      <c r="Z263" s="738">
        <v>3000</v>
      </c>
      <c r="AA263" s="92">
        <v>1</v>
      </c>
      <c r="AB263" s="92"/>
      <c r="AC263" s="92"/>
      <c r="AD263" s="146" t="s">
        <v>247</v>
      </c>
      <c r="AE263" s="146" t="s">
        <v>248</v>
      </c>
      <c r="AF263" s="146" t="s">
        <v>195</v>
      </c>
      <c r="AG263" s="92"/>
    </row>
    <row r="264" ht="24.95" customHeight="1" spans="1:33">
      <c r="A264" s="705"/>
      <c r="B264" s="92" t="s">
        <v>81</v>
      </c>
      <c r="C264" s="92" t="s">
        <v>52</v>
      </c>
      <c r="D264" s="76" t="s">
        <v>147</v>
      </c>
      <c r="E264" s="92">
        <v>1</v>
      </c>
      <c r="F264" s="92" t="str">
        <f t="shared" si="36"/>
        <v>墨红</v>
      </c>
      <c r="G264" s="92"/>
      <c r="H264" s="724">
        <f t="shared" si="46"/>
        <v>1000</v>
      </c>
      <c r="I264" s="724">
        <f t="shared" si="47"/>
        <v>1000</v>
      </c>
      <c r="J264" s="724"/>
      <c r="K264" s="724"/>
      <c r="L264" s="825">
        <v>2018.01</v>
      </c>
      <c r="M264" s="724">
        <v>2018.12</v>
      </c>
      <c r="N264" s="724">
        <v>30</v>
      </c>
      <c r="O264" s="724">
        <v>30</v>
      </c>
      <c r="P264" s="724"/>
      <c r="Q264" s="724"/>
      <c r="R264" s="724"/>
      <c r="S264" s="724">
        <v>30</v>
      </c>
      <c r="T264" s="724"/>
      <c r="U264" s="724"/>
      <c r="V264" s="724"/>
      <c r="W264" s="86" t="s">
        <v>240</v>
      </c>
      <c r="X264" s="724" t="s">
        <v>47</v>
      </c>
      <c r="Y264" s="738">
        <v>700</v>
      </c>
      <c r="Z264" s="738">
        <v>3250</v>
      </c>
      <c r="AA264" s="92">
        <v>1</v>
      </c>
      <c r="AB264" s="92"/>
      <c r="AC264" s="92"/>
      <c r="AD264" s="146" t="s">
        <v>249</v>
      </c>
      <c r="AE264" s="146" t="s">
        <v>250</v>
      </c>
      <c r="AF264" s="146" t="s">
        <v>195</v>
      </c>
      <c r="AG264" s="92"/>
    </row>
    <row r="265" ht="24.95" customHeight="1" spans="1:33">
      <c r="A265" s="705"/>
      <c r="B265" s="92" t="s">
        <v>98</v>
      </c>
      <c r="C265" s="92" t="s">
        <v>52</v>
      </c>
      <c r="D265" s="76" t="s">
        <v>147</v>
      </c>
      <c r="E265" s="92">
        <v>1</v>
      </c>
      <c r="F265" s="92" t="str">
        <f t="shared" si="36"/>
        <v>大河</v>
      </c>
      <c r="G265" s="92"/>
      <c r="H265" s="724">
        <f t="shared" si="46"/>
        <v>1743</v>
      </c>
      <c r="I265" s="724">
        <f t="shared" si="47"/>
        <v>1743</v>
      </c>
      <c r="J265" s="724"/>
      <c r="K265" s="724"/>
      <c r="L265" s="825">
        <v>2018.01</v>
      </c>
      <c r="M265" s="724">
        <v>2018.12</v>
      </c>
      <c r="N265" s="724">
        <v>52.29</v>
      </c>
      <c r="O265" s="724">
        <v>52.29</v>
      </c>
      <c r="P265" s="724"/>
      <c r="Q265" s="724"/>
      <c r="R265" s="724"/>
      <c r="S265" s="724">
        <v>52.29</v>
      </c>
      <c r="T265" s="724"/>
      <c r="U265" s="724"/>
      <c r="V265" s="724"/>
      <c r="W265" s="86" t="s">
        <v>240</v>
      </c>
      <c r="X265" s="724" t="s">
        <v>47</v>
      </c>
      <c r="Y265" s="738">
        <v>1153</v>
      </c>
      <c r="Z265" s="738">
        <v>5104</v>
      </c>
      <c r="AA265" s="92">
        <v>1</v>
      </c>
      <c r="AB265" s="92"/>
      <c r="AC265" s="92"/>
      <c r="AD265" s="774" t="s">
        <v>209</v>
      </c>
      <c r="AE265" s="774" t="s">
        <v>251</v>
      </c>
      <c r="AF265" s="146" t="s">
        <v>195</v>
      </c>
      <c r="AG265" s="92"/>
    </row>
    <row r="266" ht="24.95" customHeight="1" spans="1:33">
      <c r="A266" s="705"/>
      <c r="B266" s="92" t="s">
        <v>211</v>
      </c>
      <c r="C266" s="92" t="s">
        <v>52</v>
      </c>
      <c r="D266" s="76" t="s">
        <v>147</v>
      </c>
      <c r="E266" s="92">
        <v>1</v>
      </c>
      <c r="F266" s="92" t="str">
        <f t="shared" si="36"/>
        <v>营上</v>
      </c>
      <c r="G266" s="92"/>
      <c r="H266" s="724">
        <f t="shared" si="46"/>
        <v>1000</v>
      </c>
      <c r="I266" s="724">
        <f t="shared" si="47"/>
        <v>1000</v>
      </c>
      <c r="J266" s="724"/>
      <c r="K266" s="724"/>
      <c r="L266" s="825">
        <v>2018.01</v>
      </c>
      <c r="M266" s="724">
        <v>2018.12</v>
      </c>
      <c r="N266" s="724">
        <v>30</v>
      </c>
      <c r="O266" s="724">
        <v>30</v>
      </c>
      <c r="P266" s="724"/>
      <c r="Q266" s="724"/>
      <c r="R266" s="724"/>
      <c r="S266" s="724">
        <v>30</v>
      </c>
      <c r="T266" s="724"/>
      <c r="U266" s="724"/>
      <c r="V266" s="724"/>
      <c r="W266" s="86" t="s">
        <v>240</v>
      </c>
      <c r="X266" s="724" t="s">
        <v>47</v>
      </c>
      <c r="Y266" s="738">
        <v>853</v>
      </c>
      <c r="Z266" s="738">
        <v>3350</v>
      </c>
      <c r="AA266" s="92">
        <v>1</v>
      </c>
      <c r="AB266" s="92"/>
      <c r="AC266" s="92"/>
      <c r="AD266" s="146" t="s">
        <v>76</v>
      </c>
      <c r="AE266" s="146" t="s">
        <v>252</v>
      </c>
      <c r="AF266" s="146" t="s">
        <v>195</v>
      </c>
      <c r="AG266" s="92"/>
    </row>
    <row r="267" ht="24.95" customHeight="1" spans="1:33">
      <c r="A267" s="705"/>
      <c r="B267" s="92" t="s">
        <v>155</v>
      </c>
      <c r="C267" s="92" t="s">
        <v>52</v>
      </c>
      <c r="D267" s="76" t="s">
        <v>147</v>
      </c>
      <c r="E267" s="92">
        <v>1</v>
      </c>
      <c r="F267" s="92" t="str">
        <f t="shared" si="36"/>
        <v>竹园</v>
      </c>
      <c r="G267" s="92"/>
      <c r="H267" s="724">
        <f t="shared" si="46"/>
        <v>600</v>
      </c>
      <c r="I267" s="724">
        <f t="shared" si="47"/>
        <v>600</v>
      </c>
      <c r="J267" s="724"/>
      <c r="K267" s="724"/>
      <c r="L267" s="825">
        <v>2018.01</v>
      </c>
      <c r="M267" s="724">
        <v>2018.12</v>
      </c>
      <c r="N267" s="724">
        <v>18</v>
      </c>
      <c r="O267" s="724">
        <v>18</v>
      </c>
      <c r="P267" s="724"/>
      <c r="Q267" s="724"/>
      <c r="R267" s="724"/>
      <c r="S267" s="724">
        <v>18</v>
      </c>
      <c r="T267" s="724"/>
      <c r="U267" s="724"/>
      <c r="V267" s="724"/>
      <c r="W267" s="86" t="s">
        <v>240</v>
      </c>
      <c r="X267" s="724" t="s">
        <v>47</v>
      </c>
      <c r="Y267" s="738">
        <v>319</v>
      </c>
      <c r="Z267" s="738">
        <v>562</v>
      </c>
      <c r="AA267" s="92">
        <v>1</v>
      </c>
      <c r="AB267" s="92"/>
      <c r="AC267" s="92"/>
      <c r="AD267" s="146" t="s">
        <v>253</v>
      </c>
      <c r="AE267" s="146" t="s">
        <v>254</v>
      </c>
      <c r="AF267" s="146" t="s">
        <v>195</v>
      </c>
      <c r="AG267" s="92"/>
    </row>
    <row r="268" ht="24.95" customHeight="1" spans="1:33">
      <c r="A268" s="705"/>
      <c r="B268" s="92" t="s">
        <v>102</v>
      </c>
      <c r="C268" s="92" t="s">
        <v>52</v>
      </c>
      <c r="D268" s="76" t="s">
        <v>147</v>
      </c>
      <c r="E268" s="92">
        <v>1</v>
      </c>
      <c r="F268" s="92" t="str">
        <f t="shared" ref="F268:F331" si="48">B268</f>
        <v>富村</v>
      </c>
      <c r="G268" s="92"/>
      <c r="H268" s="724">
        <f t="shared" si="46"/>
        <v>1800</v>
      </c>
      <c r="I268" s="724">
        <f t="shared" si="47"/>
        <v>1800</v>
      </c>
      <c r="J268" s="724"/>
      <c r="K268" s="724"/>
      <c r="L268" s="825">
        <v>2018.01</v>
      </c>
      <c r="M268" s="724">
        <v>2018.12</v>
      </c>
      <c r="N268" s="724">
        <v>54</v>
      </c>
      <c r="O268" s="724">
        <v>54</v>
      </c>
      <c r="P268" s="724"/>
      <c r="Q268" s="724"/>
      <c r="R268" s="724"/>
      <c r="S268" s="724">
        <v>54</v>
      </c>
      <c r="T268" s="724"/>
      <c r="U268" s="724"/>
      <c r="V268" s="724"/>
      <c r="W268" s="86" t="s">
        <v>240</v>
      </c>
      <c r="X268" s="724" t="s">
        <v>47</v>
      </c>
      <c r="Y268" s="738">
        <v>1800</v>
      </c>
      <c r="Z268" s="738">
        <v>1800</v>
      </c>
      <c r="AA268" s="92">
        <v>1</v>
      </c>
      <c r="AB268" s="92"/>
      <c r="AC268" s="92"/>
      <c r="AD268" s="146" t="s">
        <v>255</v>
      </c>
      <c r="AE268" s="146" t="s">
        <v>256</v>
      </c>
      <c r="AF268" s="146" t="s">
        <v>195</v>
      </c>
      <c r="AG268" s="92"/>
    </row>
    <row r="269" ht="24.95" customHeight="1" spans="1:33">
      <c r="A269" s="705"/>
      <c r="B269" s="92" t="s">
        <v>100</v>
      </c>
      <c r="C269" s="92" t="s">
        <v>52</v>
      </c>
      <c r="D269" s="76" t="s">
        <v>147</v>
      </c>
      <c r="E269" s="92">
        <v>1</v>
      </c>
      <c r="F269" s="92" t="str">
        <f t="shared" si="48"/>
        <v>黄泥河</v>
      </c>
      <c r="G269" s="92"/>
      <c r="H269" s="724">
        <f t="shared" si="46"/>
        <v>2584</v>
      </c>
      <c r="I269" s="724">
        <f t="shared" si="47"/>
        <v>2584</v>
      </c>
      <c r="J269" s="724"/>
      <c r="K269" s="724"/>
      <c r="L269" s="825">
        <v>2018.01</v>
      </c>
      <c r="M269" s="724">
        <v>2018.12</v>
      </c>
      <c r="N269" s="724">
        <v>77.52</v>
      </c>
      <c r="O269" s="724">
        <v>77.52</v>
      </c>
      <c r="P269" s="724"/>
      <c r="Q269" s="724"/>
      <c r="R269" s="724"/>
      <c r="S269" s="724">
        <v>77.52</v>
      </c>
      <c r="T269" s="724"/>
      <c r="U269" s="724"/>
      <c r="V269" s="724"/>
      <c r="W269" s="86" t="s">
        <v>240</v>
      </c>
      <c r="X269" s="724" t="s">
        <v>47</v>
      </c>
      <c r="Y269" s="738">
        <v>1195</v>
      </c>
      <c r="Z269" s="738">
        <v>2584</v>
      </c>
      <c r="AA269" s="92">
        <v>1</v>
      </c>
      <c r="AB269" s="92"/>
      <c r="AC269" s="92"/>
      <c r="AD269" s="146" t="s">
        <v>79</v>
      </c>
      <c r="AE269" s="146" t="s">
        <v>257</v>
      </c>
      <c r="AF269" s="146" t="s">
        <v>195</v>
      </c>
      <c r="AG269" s="92"/>
    </row>
    <row r="270" ht="24.95" customHeight="1" spans="1:33">
      <c r="A270" s="705"/>
      <c r="B270" s="92" t="s">
        <v>84</v>
      </c>
      <c r="C270" s="92" t="s">
        <v>52</v>
      </c>
      <c r="D270" s="76" t="s">
        <v>147</v>
      </c>
      <c r="E270" s="92">
        <v>1</v>
      </c>
      <c r="F270" s="92" t="str">
        <f t="shared" si="48"/>
        <v>十八连山</v>
      </c>
      <c r="G270" s="92"/>
      <c r="H270" s="724">
        <f t="shared" si="46"/>
        <v>1714</v>
      </c>
      <c r="I270" s="724">
        <f t="shared" si="47"/>
        <v>1714</v>
      </c>
      <c r="J270" s="724"/>
      <c r="K270" s="724"/>
      <c r="L270" s="825">
        <v>2018.01</v>
      </c>
      <c r="M270" s="724">
        <v>2018.12</v>
      </c>
      <c r="N270" s="724">
        <v>51.42</v>
      </c>
      <c r="O270" s="724">
        <v>51.42</v>
      </c>
      <c r="P270" s="724"/>
      <c r="Q270" s="724"/>
      <c r="R270" s="724"/>
      <c r="S270" s="724">
        <v>51.42</v>
      </c>
      <c r="T270" s="724"/>
      <c r="U270" s="724"/>
      <c r="V270" s="724"/>
      <c r="W270" s="86" t="s">
        <v>240</v>
      </c>
      <c r="X270" s="724" t="s">
        <v>47</v>
      </c>
      <c r="Y270" s="738">
        <v>1064</v>
      </c>
      <c r="Z270" s="738">
        <v>1714</v>
      </c>
      <c r="AA270" s="92">
        <v>1</v>
      </c>
      <c r="AB270" s="92"/>
      <c r="AC270" s="92"/>
      <c r="AD270" s="146" t="s">
        <v>185</v>
      </c>
      <c r="AE270" s="146" t="s">
        <v>258</v>
      </c>
      <c r="AF270" s="146" t="s">
        <v>195</v>
      </c>
      <c r="AG270" s="92"/>
    </row>
    <row r="271" ht="24.95" customHeight="1" spans="1:33">
      <c r="A271" s="705"/>
      <c r="B271" s="92" t="s">
        <v>259</v>
      </c>
      <c r="C271" s="92" t="s">
        <v>52</v>
      </c>
      <c r="D271" s="76" t="s">
        <v>147</v>
      </c>
      <c r="E271" s="92">
        <v>1</v>
      </c>
      <c r="F271" s="92" t="str">
        <f t="shared" si="48"/>
        <v>古敢</v>
      </c>
      <c r="G271" s="92"/>
      <c r="H271" s="724">
        <f t="shared" si="46"/>
        <v>479</v>
      </c>
      <c r="I271" s="724">
        <f t="shared" si="47"/>
        <v>479</v>
      </c>
      <c r="J271" s="724"/>
      <c r="K271" s="724"/>
      <c r="L271" s="825">
        <v>2018.01</v>
      </c>
      <c r="M271" s="724">
        <v>2018.12</v>
      </c>
      <c r="N271" s="724">
        <v>14.37</v>
      </c>
      <c r="O271" s="724">
        <v>14.37</v>
      </c>
      <c r="P271" s="724"/>
      <c r="Q271" s="724"/>
      <c r="R271" s="724"/>
      <c r="S271" s="724">
        <v>14.37</v>
      </c>
      <c r="T271" s="724"/>
      <c r="U271" s="724"/>
      <c r="V271" s="724"/>
      <c r="W271" s="86" t="s">
        <v>240</v>
      </c>
      <c r="X271" s="724" t="s">
        <v>47</v>
      </c>
      <c r="Y271" s="738">
        <v>278</v>
      </c>
      <c r="Z271" s="738">
        <v>479</v>
      </c>
      <c r="AA271" s="92">
        <v>1</v>
      </c>
      <c r="AB271" s="92"/>
      <c r="AC271" s="92"/>
      <c r="AD271" s="146" t="s">
        <v>260</v>
      </c>
      <c r="AE271" s="146" t="s">
        <v>261</v>
      </c>
      <c r="AF271" s="146" t="s">
        <v>195</v>
      </c>
      <c r="AG271" s="92"/>
    </row>
    <row r="272" ht="24.95" customHeight="1" spans="1:33">
      <c r="A272" s="705"/>
      <c r="B272" s="92" t="s">
        <v>143</v>
      </c>
      <c r="C272" s="92" t="s">
        <v>52</v>
      </c>
      <c r="D272" s="76" t="s">
        <v>147</v>
      </c>
      <c r="E272" s="92">
        <v>1</v>
      </c>
      <c r="F272" s="92" t="str">
        <f t="shared" si="48"/>
        <v>老厂</v>
      </c>
      <c r="G272" s="92"/>
      <c r="H272" s="724">
        <f t="shared" si="46"/>
        <v>1160</v>
      </c>
      <c r="I272" s="724">
        <f t="shared" si="47"/>
        <v>1160</v>
      </c>
      <c r="J272" s="724"/>
      <c r="K272" s="724"/>
      <c r="L272" s="825">
        <v>2018.01</v>
      </c>
      <c r="M272" s="724">
        <v>2018.12</v>
      </c>
      <c r="N272" s="724">
        <v>34.8</v>
      </c>
      <c r="O272" s="724">
        <v>34.8</v>
      </c>
      <c r="P272" s="724"/>
      <c r="Q272" s="724"/>
      <c r="R272" s="724"/>
      <c r="S272" s="724">
        <v>34.8</v>
      </c>
      <c r="T272" s="724"/>
      <c r="U272" s="724"/>
      <c r="V272" s="724"/>
      <c r="W272" s="86" t="s">
        <v>240</v>
      </c>
      <c r="X272" s="724" t="s">
        <v>47</v>
      </c>
      <c r="Y272" s="738">
        <v>388</v>
      </c>
      <c r="Z272" s="738">
        <v>2900</v>
      </c>
      <c r="AA272" s="92">
        <v>1</v>
      </c>
      <c r="AB272" s="92"/>
      <c r="AC272" s="92"/>
      <c r="AD272" s="775" t="s">
        <v>262</v>
      </c>
      <c r="AE272" s="775" t="s">
        <v>263</v>
      </c>
      <c r="AF272" s="146" t="s">
        <v>195</v>
      </c>
      <c r="AG272" s="92"/>
    </row>
    <row r="273" ht="24.95" customHeight="1" spans="1:33">
      <c r="A273" s="705">
        <v>31</v>
      </c>
      <c r="B273" s="92" t="s">
        <v>266</v>
      </c>
      <c r="C273" s="92"/>
      <c r="D273" s="76" t="s">
        <v>147</v>
      </c>
      <c r="E273" s="92"/>
      <c r="F273" s="92"/>
      <c r="G273" s="92"/>
      <c r="H273" s="724"/>
      <c r="I273" s="724"/>
      <c r="J273" s="724"/>
      <c r="K273" s="724"/>
      <c r="L273" s="724"/>
      <c r="M273" s="724"/>
      <c r="N273" s="724"/>
      <c r="O273" s="724"/>
      <c r="P273" s="724"/>
      <c r="Q273" s="724"/>
      <c r="R273" s="724"/>
      <c r="S273" s="724"/>
      <c r="T273" s="724"/>
      <c r="U273" s="724"/>
      <c r="V273" s="724"/>
      <c r="W273" s="86" t="s">
        <v>240</v>
      </c>
      <c r="X273" s="724" t="s">
        <v>47</v>
      </c>
      <c r="Y273" s="724"/>
      <c r="Z273" s="724"/>
      <c r="AA273" s="92"/>
      <c r="AB273" s="92"/>
      <c r="AC273" s="92"/>
      <c r="AD273" s="92"/>
      <c r="AE273" s="92"/>
      <c r="AF273" s="92" t="s">
        <v>195</v>
      </c>
      <c r="AG273" s="92" t="s">
        <v>41</v>
      </c>
    </row>
    <row r="274" ht="24.95" customHeight="1" spans="1:33">
      <c r="A274" s="705" t="s">
        <v>48</v>
      </c>
      <c r="B274" s="92" t="s">
        <v>148</v>
      </c>
      <c r="C274" s="92"/>
      <c r="D274" s="76"/>
      <c r="E274" s="92"/>
      <c r="F274" s="92"/>
      <c r="G274" s="92"/>
      <c r="H274" s="724"/>
      <c r="I274" s="724"/>
      <c r="J274" s="724"/>
      <c r="K274" s="724"/>
      <c r="L274" s="724"/>
      <c r="M274" s="724"/>
      <c r="N274" s="724"/>
      <c r="O274" s="724"/>
      <c r="P274" s="724"/>
      <c r="Q274" s="724"/>
      <c r="R274" s="724"/>
      <c r="S274" s="724"/>
      <c r="T274" s="724"/>
      <c r="U274" s="724"/>
      <c r="V274" s="724"/>
      <c r="W274" s="86" t="s">
        <v>240</v>
      </c>
      <c r="X274" s="724" t="s">
        <v>47</v>
      </c>
      <c r="Y274" s="724"/>
      <c r="Z274" s="724"/>
      <c r="AA274" s="92"/>
      <c r="AB274" s="92"/>
      <c r="AC274" s="92"/>
      <c r="AD274" s="92"/>
      <c r="AE274" s="92"/>
      <c r="AF274" s="92"/>
      <c r="AG274" s="92"/>
    </row>
    <row r="275" ht="24.95" customHeight="1" spans="1:33">
      <c r="A275" s="705">
        <v>32</v>
      </c>
      <c r="B275" s="708" t="s">
        <v>267</v>
      </c>
      <c r="C275" s="708"/>
      <c r="D275" s="709" t="s">
        <v>194</v>
      </c>
      <c r="E275" s="708">
        <f>SUM(E276:E287)</f>
        <v>12</v>
      </c>
      <c r="F275" s="708"/>
      <c r="G275" s="708"/>
      <c r="H275" s="726">
        <f t="shared" ref="F275:AA275" si="49">SUM(H276:H287)</f>
        <v>1500</v>
      </c>
      <c r="I275" s="726">
        <f t="shared" si="49"/>
        <v>1500</v>
      </c>
      <c r="J275" s="726">
        <f t="shared" si="49"/>
        <v>0</v>
      </c>
      <c r="K275" s="726">
        <f t="shared" si="49"/>
        <v>0</v>
      </c>
      <c r="L275" s="726"/>
      <c r="M275" s="726"/>
      <c r="N275" s="726">
        <f t="shared" si="49"/>
        <v>60</v>
      </c>
      <c r="O275" s="726">
        <f t="shared" si="49"/>
        <v>60</v>
      </c>
      <c r="P275" s="726">
        <f t="shared" si="49"/>
        <v>0</v>
      </c>
      <c r="Q275" s="726">
        <f t="shared" si="49"/>
        <v>0</v>
      </c>
      <c r="R275" s="726">
        <f t="shared" si="49"/>
        <v>0</v>
      </c>
      <c r="S275" s="726">
        <f t="shared" si="49"/>
        <v>0</v>
      </c>
      <c r="T275" s="726">
        <f t="shared" si="49"/>
        <v>0</v>
      </c>
      <c r="U275" s="726">
        <f t="shared" si="49"/>
        <v>60</v>
      </c>
      <c r="V275" s="726">
        <f t="shared" si="49"/>
        <v>0</v>
      </c>
      <c r="W275" s="86" t="s">
        <v>240</v>
      </c>
      <c r="X275" s="724" t="s">
        <v>47</v>
      </c>
      <c r="Y275" s="708">
        <v>1500</v>
      </c>
      <c r="Z275" s="708">
        <f t="shared" si="49"/>
        <v>6450</v>
      </c>
      <c r="AA275" s="708">
        <f t="shared" si="49"/>
        <v>12</v>
      </c>
      <c r="AB275" s="708"/>
      <c r="AC275" s="708"/>
      <c r="AD275" s="193" t="s">
        <v>242</v>
      </c>
      <c r="AE275" s="193" t="s">
        <v>243</v>
      </c>
      <c r="AF275" s="146" t="s">
        <v>195</v>
      </c>
      <c r="AG275" s="708" t="s">
        <v>41</v>
      </c>
    </row>
    <row r="276" ht="24.95" customHeight="1" spans="1:33">
      <c r="A276" s="705"/>
      <c r="B276" s="708" t="s">
        <v>101</v>
      </c>
      <c r="C276" s="708" t="s">
        <v>52</v>
      </c>
      <c r="D276" s="709" t="s">
        <v>147</v>
      </c>
      <c r="E276" s="92">
        <v>1</v>
      </c>
      <c r="F276" s="708" t="str">
        <f t="shared" si="48"/>
        <v>中安</v>
      </c>
      <c r="G276" s="708"/>
      <c r="H276" s="726">
        <f>N276/0.04</f>
        <v>160</v>
      </c>
      <c r="I276" s="726">
        <f>O276/0.04</f>
        <v>160</v>
      </c>
      <c r="J276" s="726"/>
      <c r="K276" s="726"/>
      <c r="L276" s="825">
        <v>2018.01</v>
      </c>
      <c r="M276" s="724">
        <v>2018.12</v>
      </c>
      <c r="N276" s="726">
        <v>6.4</v>
      </c>
      <c r="O276" s="726">
        <v>6.4</v>
      </c>
      <c r="P276" s="726"/>
      <c r="Q276" s="726"/>
      <c r="R276" s="726"/>
      <c r="S276" s="726"/>
      <c r="T276" s="726"/>
      <c r="U276" s="726">
        <v>6.4</v>
      </c>
      <c r="V276" s="726"/>
      <c r="W276" s="86" t="s">
        <v>240</v>
      </c>
      <c r="X276" s="724" t="s">
        <v>47</v>
      </c>
      <c r="Y276" s="763">
        <v>160</v>
      </c>
      <c r="Z276" s="763">
        <f>Y276*4.3</f>
        <v>688</v>
      </c>
      <c r="AA276" s="92">
        <v>1</v>
      </c>
      <c r="AB276" s="708"/>
      <c r="AC276" s="708"/>
      <c r="AD276" s="438" t="s">
        <v>244</v>
      </c>
      <c r="AE276" s="146" t="s">
        <v>245</v>
      </c>
      <c r="AF276" s="146" t="s">
        <v>195</v>
      </c>
      <c r="AG276" s="708"/>
    </row>
    <row r="277" ht="24.95" customHeight="1" spans="1:33">
      <c r="A277" s="705"/>
      <c r="B277" s="708" t="s">
        <v>151</v>
      </c>
      <c r="C277" s="708" t="s">
        <v>52</v>
      </c>
      <c r="D277" s="709" t="s">
        <v>147</v>
      </c>
      <c r="E277" s="92">
        <v>1</v>
      </c>
      <c r="F277" s="708" t="str">
        <f t="shared" si="48"/>
        <v>胜境</v>
      </c>
      <c r="G277" s="708"/>
      <c r="H277" s="726">
        <f t="shared" ref="H277:H287" si="50">N277/0.04</f>
        <v>160</v>
      </c>
      <c r="I277" s="726">
        <f t="shared" ref="I277:I287" si="51">O277/0.04</f>
        <v>160</v>
      </c>
      <c r="J277" s="726"/>
      <c r="K277" s="726"/>
      <c r="L277" s="825">
        <v>2018.01</v>
      </c>
      <c r="M277" s="724">
        <v>2018.12</v>
      </c>
      <c r="N277" s="726">
        <v>6.4</v>
      </c>
      <c r="O277" s="726">
        <v>6.4</v>
      </c>
      <c r="P277" s="726"/>
      <c r="Q277" s="726"/>
      <c r="R277" s="726"/>
      <c r="S277" s="726"/>
      <c r="T277" s="726"/>
      <c r="U277" s="726">
        <v>6.4</v>
      </c>
      <c r="V277" s="726"/>
      <c r="W277" s="86" t="s">
        <v>240</v>
      </c>
      <c r="X277" s="724" t="s">
        <v>47</v>
      </c>
      <c r="Y277" s="763">
        <v>160</v>
      </c>
      <c r="Z277" s="763">
        <f t="shared" ref="Z277:Z287" si="52">Y277*4.3</f>
        <v>688</v>
      </c>
      <c r="AA277" s="92">
        <v>1</v>
      </c>
      <c r="AB277" s="708"/>
      <c r="AC277" s="708"/>
      <c r="AD277" s="438" t="s">
        <v>169</v>
      </c>
      <c r="AE277" s="146" t="s">
        <v>246</v>
      </c>
      <c r="AF277" s="146" t="s">
        <v>195</v>
      </c>
      <c r="AG277" s="708"/>
    </row>
    <row r="278" ht="24.95" customHeight="1" spans="1:33">
      <c r="A278" s="705"/>
      <c r="B278" s="708" t="s">
        <v>154</v>
      </c>
      <c r="C278" s="708" t="s">
        <v>52</v>
      </c>
      <c r="D278" s="709" t="s">
        <v>147</v>
      </c>
      <c r="E278" s="92">
        <v>1</v>
      </c>
      <c r="F278" s="708" t="str">
        <f t="shared" si="48"/>
        <v>后所</v>
      </c>
      <c r="G278" s="708"/>
      <c r="H278" s="726">
        <f t="shared" si="50"/>
        <v>150</v>
      </c>
      <c r="I278" s="726">
        <f t="shared" si="51"/>
        <v>150</v>
      </c>
      <c r="J278" s="726"/>
      <c r="K278" s="726"/>
      <c r="L278" s="825">
        <v>2018.01</v>
      </c>
      <c r="M278" s="724">
        <v>2018.12</v>
      </c>
      <c r="N278" s="726">
        <v>6</v>
      </c>
      <c r="O278" s="726">
        <v>6</v>
      </c>
      <c r="P278" s="726"/>
      <c r="Q278" s="726"/>
      <c r="R278" s="726"/>
      <c r="S278" s="726"/>
      <c r="T278" s="726"/>
      <c r="U278" s="726">
        <v>6</v>
      </c>
      <c r="V278" s="726"/>
      <c r="W278" s="86" t="s">
        <v>240</v>
      </c>
      <c r="X278" s="724" t="s">
        <v>47</v>
      </c>
      <c r="Y278" s="763">
        <v>150</v>
      </c>
      <c r="Z278" s="763">
        <f t="shared" si="52"/>
        <v>645</v>
      </c>
      <c r="AA278" s="92">
        <v>1</v>
      </c>
      <c r="AB278" s="708"/>
      <c r="AC278" s="708"/>
      <c r="AD278" s="438" t="s">
        <v>247</v>
      </c>
      <c r="AE278" s="146" t="s">
        <v>248</v>
      </c>
      <c r="AF278" s="146" t="s">
        <v>195</v>
      </c>
      <c r="AG278" s="708"/>
    </row>
    <row r="279" ht="24.95" customHeight="1" spans="1:33">
      <c r="A279" s="705"/>
      <c r="B279" s="708" t="s">
        <v>81</v>
      </c>
      <c r="C279" s="708" t="s">
        <v>52</v>
      </c>
      <c r="D279" s="709" t="s">
        <v>147</v>
      </c>
      <c r="E279" s="92">
        <v>1</v>
      </c>
      <c r="F279" s="708" t="str">
        <f t="shared" si="48"/>
        <v>墨红</v>
      </c>
      <c r="G279" s="708"/>
      <c r="H279" s="726">
        <f t="shared" si="50"/>
        <v>150</v>
      </c>
      <c r="I279" s="726">
        <f t="shared" si="51"/>
        <v>150</v>
      </c>
      <c r="J279" s="726"/>
      <c r="K279" s="726"/>
      <c r="L279" s="825">
        <v>2018.01</v>
      </c>
      <c r="M279" s="724">
        <v>2018.12</v>
      </c>
      <c r="N279" s="726">
        <v>6</v>
      </c>
      <c r="O279" s="726">
        <v>6</v>
      </c>
      <c r="P279" s="726"/>
      <c r="Q279" s="726"/>
      <c r="R279" s="726"/>
      <c r="S279" s="726"/>
      <c r="T279" s="726"/>
      <c r="U279" s="726">
        <v>6</v>
      </c>
      <c r="V279" s="726"/>
      <c r="W279" s="86" t="s">
        <v>240</v>
      </c>
      <c r="X279" s="724" t="s">
        <v>47</v>
      </c>
      <c r="Y279" s="763">
        <v>150</v>
      </c>
      <c r="Z279" s="763">
        <f t="shared" si="52"/>
        <v>645</v>
      </c>
      <c r="AA279" s="92">
        <v>1</v>
      </c>
      <c r="AB279" s="708"/>
      <c r="AC279" s="708"/>
      <c r="AD279" s="438" t="s">
        <v>249</v>
      </c>
      <c r="AE279" s="146" t="s">
        <v>250</v>
      </c>
      <c r="AF279" s="146" t="s">
        <v>195</v>
      </c>
      <c r="AG279" s="708"/>
    </row>
    <row r="280" ht="24.95" customHeight="1" spans="1:33">
      <c r="A280" s="705"/>
      <c r="B280" s="708" t="s">
        <v>98</v>
      </c>
      <c r="C280" s="708" t="s">
        <v>52</v>
      </c>
      <c r="D280" s="709" t="s">
        <v>147</v>
      </c>
      <c r="E280" s="92">
        <v>1</v>
      </c>
      <c r="F280" s="708" t="str">
        <f t="shared" si="48"/>
        <v>大河</v>
      </c>
      <c r="G280" s="708"/>
      <c r="H280" s="726">
        <f t="shared" si="50"/>
        <v>160</v>
      </c>
      <c r="I280" s="726">
        <f t="shared" si="51"/>
        <v>160</v>
      </c>
      <c r="J280" s="726"/>
      <c r="K280" s="726"/>
      <c r="L280" s="825">
        <v>2018.01</v>
      </c>
      <c r="M280" s="724">
        <v>2018.12</v>
      </c>
      <c r="N280" s="726">
        <v>6.4</v>
      </c>
      <c r="O280" s="726">
        <v>6.4</v>
      </c>
      <c r="P280" s="726"/>
      <c r="Q280" s="726"/>
      <c r="R280" s="726"/>
      <c r="S280" s="726"/>
      <c r="T280" s="726"/>
      <c r="U280" s="726">
        <v>6.4</v>
      </c>
      <c r="V280" s="726"/>
      <c r="W280" s="86" t="s">
        <v>240</v>
      </c>
      <c r="X280" s="724" t="s">
        <v>47</v>
      </c>
      <c r="Y280" s="763">
        <v>160</v>
      </c>
      <c r="Z280" s="763">
        <f t="shared" si="52"/>
        <v>688</v>
      </c>
      <c r="AA280" s="92">
        <v>1</v>
      </c>
      <c r="AB280" s="708"/>
      <c r="AC280" s="708"/>
      <c r="AD280" s="438" t="s">
        <v>209</v>
      </c>
      <c r="AE280" s="146" t="s">
        <v>251</v>
      </c>
      <c r="AF280" s="146" t="s">
        <v>195</v>
      </c>
      <c r="AG280" s="708"/>
    </row>
    <row r="281" ht="24.95" customHeight="1" spans="1:33">
      <c r="A281" s="705"/>
      <c r="B281" s="708" t="s">
        <v>211</v>
      </c>
      <c r="C281" s="708" t="s">
        <v>52</v>
      </c>
      <c r="D281" s="709" t="s">
        <v>147</v>
      </c>
      <c r="E281" s="92">
        <v>1</v>
      </c>
      <c r="F281" s="708" t="str">
        <f t="shared" si="48"/>
        <v>营上</v>
      </c>
      <c r="G281" s="708"/>
      <c r="H281" s="726">
        <f t="shared" si="50"/>
        <v>150</v>
      </c>
      <c r="I281" s="726">
        <f t="shared" si="51"/>
        <v>150</v>
      </c>
      <c r="J281" s="726"/>
      <c r="K281" s="726"/>
      <c r="L281" s="825">
        <v>2018.01</v>
      </c>
      <c r="M281" s="724">
        <v>2018.12</v>
      </c>
      <c r="N281" s="726">
        <v>6</v>
      </c>
      <c r="O281" s="726">
        <v>6</v>
      </c>
      <c r="P281" s="726"/>
      <c r="Q281" s="726"/>
      <c r="R281" s="726"/>
      <c r="S281" s="726"/>
      <c r="T281" s="726"/>
      <c r="U281" s="726">
        <v>6</v>
      </c>
      <c r="V281" s="726"/>
      <c r="W281" s="86" t="s">
        <v>240</v>
      </c>
      <c r="X281" s="724" t="s">
        <v>47</v>
      </c>
      <c r="Y281" s="763">
        <v>150</v>
      </c>
      <c r="Z281" s="763">
        <f t="shared" si="52"/>
        <v>645</v>
      </c>
      <c r="AA281" s="92">
        <v>1</v>
      </c>
      <c r="AB281" s="708"/>
      <c r="AC281" s="708"/>
      <c r="AD281" s="438" t="s">
        <v>76</v>
      </c>
      <c r="AE281" s="146" t="s">
        <v>252</v>
      </c>
      <c r="AF281" s="146" t="s">
        <v>195</v>
      </c>
      <c r="AG281" s="708"/>
    </row>
    <row r="282" ht="24.95" customHeight="1" spans="1:33">
      <c r="A282" s="705"/>
      <c r="B282" s="708" t="s">
        <v>155</v>
      </c>
      <c r="C282" s="708" t="s">
        <v>52</v>
      </c>
      <c r="D282" s="709" t="s">
        <v>147</v>
      </c>
      <c r="E282" s="92">
        <v>1</v>
      </c>
      <c r="F282" s="708" t="str">
        <f t="shared" si="48"/>
        <v>竹园</v>
      </c>
      <c r="G282" s="708"/>
      <c r="H282" s="726">
        <f t="shared" si="50"/>
        <v>100</v>
      </c>
      <c r="I282" s="726">
        <f t="shared" si="51"/>
        <v>100</v>
      </c>
      <c r="J282" s="726"/>
      <c r="K282" s="726"/>
      <c r="L282" s="825">
        <v>2018.01</v>
      </c>
      <c r="M282" s="724">
        <v>2018.12</v>
      </c>
      <c r="N282" s="726">
        <v>4</v>
      </c>
      <c r="O282" s="726">
        <v>4</v>
      </c>
      <c r="P282" s="726"/>
      <c r="Q282" s="726"/>
      <c r="R282" s="726"/>
      <c r="S282" s="726"/>
      <c r="T282" s="726"/>
      <c r="U282" s="726">
        <v>4</v>
      </c>
      <c r="V282" s="726"/>
      <c r="W282" s="86" t="s">
        <v>240</v>
      </c>
      <c r="X282" s="724" t="s">
        <v>47</v>
      </c>
      <c r="Y282" s="763">
        <v>100</v>
      </c>
      <c r="Z282" s="763">
        <f t="shared" si="52"/>
        <v>430</v>
      </c>
      <c r="AA282" s="92">
        <v>1</v>
      </c>
      <c r="AB282" s="708"/>
      <c r="AC282" s="708"/>
      <c r="AD282" s="438" t="s">
        <v>253</v>
      </c>
      <c r="AE282" s="146" t="s">
        <v>254</v>
      </c>
      <c r="AF282" s="146" t="s">
        <v>195</v>
      </c>
      <c r="AG282" s="708"/>
    </row>
    <row r="283" ht="24.95" customHeight="1" spans="1:33">
      <c r="A283" s="705"/>
      <c r="B283" s="708" t="s">
        <v>102</v>
      </c>
      <c r="C283" s="708" t="s">
        <v>52</v>
      </c>
      <c r="D283" s="709" t="s">
        <v>147</v>
      </c>
      <c r="E283" s="92">
        <v>1</v>
      </c>
      <c r="F283" s="708" t="str">
        <f t="shared" si="48"/>
        <v>富村</v>
      </c>
      <c r="G283" s="708"/>
      <c r="H283" s="726">
        <f t="shared" si="50"/>
        <v>150</v>
      </c>
      <c r="I283" s="726">
        <f t="shared" si="51"/>
        <v>150</v>
      </c>
      <c r="J283" s="726"/>
      <c r="K283" s="726"/>
      <c r="L283" s="825">
        <v>2018.01</v>
      </c>
      <c r="M283" s="724">
        <v>2018.12</v>
      </c>
      <c r="N283" s="726">
        <v>6</v>
      </c>
      <c r="O283" s="726">
        <v>6</v>
      </c>
      <c r="P283" s="726"/>
      <c r="Q283" s="726"/>
      <c r="R283" s="726"/>
      <c r="S283" s="726"/>
      <c r="T283" s="726"/>
      <c r="U283" s="726">
        <v>6</v>
      </c>
      <c r="V283" s="726"/>
      <c r="W283" s="86" t="s">
        <v>240</v>
      </c>
      <c r="X283" s="724" t="s">
        <v>47</v>
      </c>
      <c r="Y283" s="763">
        <v>150</v>
      </c>
      <c r="Z283" s="763">
        <f t="shared" si="52"/>
        <v>645</v>
      </c>
      <c r="AA283" s="92">
        <v>1</v>
      </c>
      <c r="AB283" s="708"/>
      <c r="AC283" s="708"/>
      <c r="AD283" s="146" t="s">
        <v>255</v>
      </c>
      <c r="AE283" s="146" t="s">
        <v>256</v>
      </c>
      <c r="AF283" s="146" t="s">
        <v>195</v>
      </c>
      <c r="AG283" s="708"/>
    </row>
    <row r="284" ht="24.95" customHeight="1" spans="1:33">
      <c r="A284" s="705"/>
      <c r="B284" s="708" t="s">
        <v>100</v>
      </c>
      <c r="C284" s="708" t="s">
        <v>52</v>
      </c>
      <c r="D284" s="709" t="s">
        <v>147</v>
      </c>
      <c r="E284" s="92">
        <v>1</v>
      </c>
      <c r="F284" s="708" t="str">
        <f t="shared" si="48"/>
        <v>黄泥河</v>
      </c>
      <c r="G284" s="708"/>
      <c r="H284" s="726">
        <f t="shared" si="50"/>
        <v>80</v>
      </c>
      <c r="I284" s="726">
        <f t="shared" si="51"/>
        <v>80</v>
      </c>
      <c r="J284" s="726"/>
      <c r="K284" s="726"/>
      <c r="L284" s="825">
        <v>2018.01</v>
      </c>
      <c r="M284" s="724">
        <v>2018.12</v>
      </c>
      <c r="N284" s="726">
        <v>3.2</v>
      </c>
      <c r="O284" s="726">
        <v>3.2</v>
      </c>
      <c r="P284" s="726"/>
      <c r="Q284" s="726"/>
      <c r="R284" s="726"/>
      <c r="S284" s="726"/>
      <c r="T284" s="726"/>
      <c r="U284" s="726">
        <v>3.2</v>
      </c>
      <c r="V284" s="726"/>
      <c r="W284" s="86" t="s">
        <v>240</v>
      </c>
      <c r="X284" s="724" t="s">
        <v>47</v>
      </c>
      <c r="Y284" s="763">
        <v>80</v>
      </c>
      <c r="Z284" s="763">
        <f t="shared" si="52"/>
        <v>344</v>
      </c>
      <c r="AA284" s="92">
        <v>1</v>
      </c>
      <c r="AB284" s="708"/>
      <c r="AC284" s="708"/>
      <c r="AD284" s="438" t="s">
        <v>79</v>
      </c>
      <c r="AE284" s="146" t="s">
        <v>257</v>
      </c>
      <c r="AF284" s="146" t="s">
        <v>195</v>
      </c>
      <c r="AG284" s="708"/>
    </row>
    <row r="285" ht="24.95" customHeight="1" spans="1:33">
      <c r="A285" s="705"/>
      <c r="B285" s="708" t="s">
        <v>84</v>
      </c>
      <c r="C285" s="708" t="s">
        <v>52</v>
      </c>
      <c r="D285" s="709" t="s">
        <v>147</v>
      </c>
      <c r="E285" s="92">
        <v>1</v>
      </c>
      <c r="F285" s="708" t="str">
        <f t="shared" si="48"/>
        <v>十八连山</v>
      </c>
      <c r="G285" s="708"/>
      <c r="H285" s="726">
        <f t="shared" si="50"/>
        <v>100</v>
      </c>
      <c r="I285" s="726">
        <f t="shared" si="51"/>
        <v>100</v>
      </c>
      <c r="J285" s="726"/>
      <c r="K285" s="726"/>
      <c r="L285" s="825">
        <v>2018.01</v>
      </c>
      <c r="M285" s="724">
        <v>2018.12</v>
      </c>
      <c r="N285" s="726">
        <v>4</v>
      </c>
      <c r="O285" s="726">
        <v>4</v>
      </c>
      <c r="P285" s="726"/>
      <c r="Q285" s="726"/>
      <c r="R285" s="726"/>
      <c r="S285" s="726"/>
      <c r="T285" s="726"/>
      <c r="U285" s="726">
        <v>4</v>
      </c>
      <c r="V285" s="726"/>
      <c r="W285" s="86" t="s">
        <v>240</v>
      </c>
      <c r="X285" s="724" t="s">
        <v>47</v>
      </c>
      <c r="Y285" s="763">
        <v>100</v>
      </c>
      <c r="Z285" s="763">
        <f t="shared" si="52"/>
        <v>430</v>
      </c>
      <c r="AA285" s="92">
        <v>1</v>
      </c>
      <c r="AB285" s="708"/>
      <c r="AC285" s="708"/>
      <c r="AD285" s="438" t="s">
        <v>185</v>
      </c>
      <c r="AE285" s="146" t="s">
        <v>258</v>
      </c>
      <c r="AF285" s="146" t="s">
        <v>195</v>
      </c>
      <c r="AG285" s="708"/>
    </row>
    <row r="286" ht="24.95" customHeight="1" spans="1:33">
      <c r="A286" s="705"/>
      <c r="B286" s="708" t="s">
        <v>259</v>
      </c>
      <c r="C286" s="708" t="s">
        <v>52</v>
      </c>
      <c r="D286" s="709" t="s">
        <v>147</v>
      </c>
      <c r="E286" s="92">
        <v>1</v>
      </c>
      <c r="F286" s="708" t="str">
        <f t="shared" si="48"/>
        <v>古敢</v>
      </c>
      <c r="G286" s="708"/>
      <c r="H286" s="726">
        <f t="shared" si="50"/>
        <v>40</v>
      </c>
      <c r="I286" s="726">
        <f t="shared" si="51"/>
        <v>40</v>
      </c>
      <c r="J286" s="726"/>
      <c r="K286" s="726"/>
      <c r="L286" s="825">
        <v>2018.01</v>
      </c>
      <c r="M286" s="724">
        <v>2018.12</v>
      </c>
      <c r="N286" s="726">
        <v>1.6</v>
      </c>
      <c r="O286" s="726">
        <v>1.6</v>
      </c>
      <c r="P286" s="726"/>
      <c r="Q286" s="726"/>
      <c r="R286" s="726"/>
      <c r="S286" s="726"/>
      <c r="T286" s="726"/>
      <c r="U286" s="726">
        <v>1.6</v>
      </c>
      <c r="V286" s="726"/>
      <c r="W286" s="86" t="s">
        <v>240</v>
      </c>
      <c r="X286" s="724" t="s">
        <v>47</v>
      </c>
      <c r="Y286" s="763">
        <v>40</v>
      </c>
      <c r="Z286" s="763">
        <f t="shared" si="52"/>
        <v>172</v>
      </c>
      <c r="AA286" s="92">
        <v>1</v>
      </c>
      <c r="AB286" s="708"/>
      <c r="AC286" s="708"/>
      <c r="AD286" s="438" t="s">
        <v>260</v>
      </c>
      <c r="AE286" s="146" t="s">
        <v>261</v>
      </c>
      <c r="AF286" s="146" t="s">
        <v>195</v>
      </c>
      <c r="AG286" s="708"/>
    </row>
    <row r="287" ht="24.95" customHeight="1" spans="1:33">
      <c r="A287" s="705"/>
      <c r="B287" s="708" t="s">
        <v>143</v>
      </c>
      <c r="C287" s="708" t="s">
        <v>52</v>
      </c>
      <c r="D287" s="709" t="s">
        <v>147</v>
      </c>
      <c r="E287" s="92">
        <v>1</v>
      </c>
      <c r="F287" s="708" t="str">
        <f t="shared" si="48"/>
        <v>老厂</v>
      </c>
      <c r="G287" s="708"/>
      <c r="H287" s="726">
        <f t="shared" si="50"/>
        <v>100</v>
      </c>
      <c r="I287" s="726">
        <f t="shared" si="51"/>
        <v>100</v>
      </c>
      <c r="J287" s="726"/>
      <c r="K287" s="726"/>
      <c r="L287" s="825">
        <v>2018.01</v>
      </c>
      <c r="M287" s="724">
        <v>2018.12</v>
      </c>
      <c r="N287" s="726">
        <v>4</v>
      </c>
      <c r="O287" s="726">
        <v>4</v>
      </c>
      <c r="P287" s="726"/>
      <c r="Q287" s="726"/>
      <c r="R287" s="726"/>
      <c r="S287" s="726"/>
      <c r="T287" s="726"/>
      <c r="U287" s="726">
        <v>4</v>
      </c>
      <c r="V287" s="726"/>
      <c r="W287" s="86" t="s">
        <v>240</v>
      </c>
      <c r="X287" s="724" t="s">
        <v>47</v>
      </c>
      <c r="Y287" s="763">
        <v>100</v>
      </c>
      <c r="Z287" s="763">
        <f t="shared" si="52"/>
        <v>430</v>
      </c>
      <c r="AA287" s="92">
        <v>1</v>
      </c>
      <c r="AB287" s="708"/>
      <c r="AC287" s="708"/>
      <c r="AD287" s="777" t="s">
        <v>262</v>
      </c>
      <c r="AE287" s="777" t="s">
        <v>263</v>
      </c>
      <c r="AF287" s="146" t="s">
        <v>195</v>
      </c>
      <c r="AG287" s="708"/>
    </row>
    <row r="288" ht="24.95" customHeight="1" spans="1:33">
      <c r="A288" s="705">
        <v>33</v>
      </c>
      <c r="B288" s="708" t="s">
        <v>268</v>
      </c>
      <c r="C288" s="708"/>
      <c r="D288" s="709" t="s">
        <v>147</v>
      </c>
      <c r="E288" s="708">
        <f>E313+E326</f>
        <v>14</v>
      </c>
      <c r="F288" s="708"/>
      <c r="G288" s="708"/>
      <c r="H288" s="726">
        <f t="shared" ref="F288:AB288" si="53">H313+H326</f>
        <v>3315</v>
      </c>
      <c r="I288" s="726">
        <f t="shared" si="53"/>
        <v>3315</v>
      </c>
      <c r="J288" s="726">
        <f t="shared" si="53"/>
        <v>0</v>
      </c>
      <c r="K288" s="726">
        <f t="shared" si="53"/>
        <v>0</v>
      </c>
      <c r="L288" s="726"/>
      <c r="M288" s="726"/>
      <c r="N288" s="726">
        <f t="shared" si="53"/>
        <v>470.1</v>
      </c>
      <c r="O288" s="726">
        <f t="shared" si="53"/>
        <v>470.1</v>
      </c>
      <c r="P288" s="726">
        <f t="shared" si="53"/>
        <v>0</v>
      </c>
      <c r="Q288" s="726">
        <f t="shared" si="53"/>
        <v>0</v>
      </c>
      <c r="R288" s="726">
        <f t="shared" si="53"/>
        <v>170.1</v>
      </c>
      <c r="S288" s="726">
        <f t="shared" si="53"/>
        <v>0</v>
      </c>
      <c r="T288" s="726">
        <f t="shared" si="53"/>
        <v>0</v>
      </c>
      <c r="U288" s="726">
        <f t="shared" si="53"/>
        <v>300</v>
      </c>
      <c r="V288" s="726">
        <f t="shared" si="53"/>
        <v>0</v>
      </c>
      <c r="W288" s="86" t="s">
        <v>240</v>
      </c>
      <c r="X288" s="724" t="s">
        <v>47</v>
      </c>
      <c r="Y288" s="708">
        <f t="shared" si="53"/>
        <v>3315</v>
      </c>
      <c r="Z288" s="708">
        <f t="shared" si="53"/>
        <v>13005</v>
      </c>
      <c r="AA288" s="708">
        <f t="shared" si="53"/>
        <v>14</v>
      </c>
      <c r="AB288" s="708">
        <f t="shared" si="53"/>
        <v>0</v>
      </c>
      <c r="AC288" s="708"/>
      <c r="AD288" s="708"/>
      <c r="AE288" s="708"/>
      <c r="AF288" s="708"/>
      <c r="AG288" s="708" t="s">
        <v>41</v>
      </c>
    </row>
    <row r="289" s="570" customFormat="1" ht="24.95" customHeight="1" spans="1:33">
      <c r="A289" s="705">
        <v>34</v>
      </c>
      <c r="B289" s="92" t="s">
        <v>269</v>
      </c>
      <c r="C289" s="92"/>
      <c r="D289" s="76" t="s">
        <v>147</v>
      </c>
      <c r="E289" s="92"/>
      <c r="F289" s="92"/>
      <c r="G289" s="92"/>
      <c r="H289" s="724"/>
      <c r="I289" s="724"/>
      <c r="J289" s="724"/>
      <c r="K289" s="724"/>
      <c r="L289" s="724"/>
      <c r="M289" s="724"/>
      <c r="N289" s="724"/>
      <c r="O289" s="724"/>
      <c r="P289" s="724"/>
      <c r="Q289" s="724"/>
      <c r="R289" s="724"/>
      <c r="S289" s="724"/>
      <c r="T289" s="724"/>
      <c r="U289" s="724"/>
      <c r="V289" s="724"/>
      <c r="W289" s="86"/>
      <c r="X289" s="724"/>
      <c r="Y289" s="724"/>
      <c r="Z289" s="724"/>
      <c r="AA289" s="92"/>
      <c r="AB289" s="92"/>
      <c r="AC289" s="92"/>
      <c r="AD289" s="92"/>
      <c r="AE289" s="92"/>
      <c r="AF289" s="92" t="s">
        <v>201</v>
      </c>
      <c r="AG289" s="92" t="s">
        <v>41</v>
      </c>
    </row>
    <row r="290" s="570" customFormat="1" ht="24.95" customHeight="1" spans="1:33">
      <c r="A290" s="705" t="s">
        <v>48</v>
      </c>
      <c r="B290" s="92" t="s">
        <v>148</v>
      </c>
      <c r="C290" s="92"/>
      <c r="D290" s="76"/>
      <c r="E290" s="92"/>
      <c r="F290" s="92"/>
      <c r="G290" s="92"/>
      <c r="H290" s="724"/>
      <c r="I290" s="724"/>
      <c r="J290" s="724"/>
      <c r="K290" s="724"/>
      <c r="L290" s="724"/>
      <c r="M290" s="724"/>
      <c r="N290" s="724"/>
      <c r="O290" s="724"/>
      <c r="P290" s="724"/>
      <c r="Q290" s="724"/>
      <c r="R290" s="724"/>
      <c r="S290" s="724"/>
      <c r="T290" s="724"/>
      <c r="U290" s="724"/>
      <c r="V290" s="724"/>
      <c r="W290" s="86"/>
      <c r="X290" s="724"/>
      <c r="Y290" s="92"/>
      <c r="Z290" s="92"/>
      <c r="AA290" s="92"/>
      <c r="AB290" s="92"/>
      <c r="AC290" s="92"/>
      <c r="AD290" s="92"/>
      <c r="AE290" s="92"/>
      <c r="AF290" s="92"/>
      <c r="AG290" s="92"/>
    </row>
    <row r="291" ht="24.95" customHeight="1" spans="1:33">
      <c r="A291" s="705">
        <v>35</v>
      </c>
      <c r="B291" s="92" t="s">
        <v>270</v>
      </c>
      <c r="C291" s="92"/>
      <c r="D291" s="76" t="s">
        <v>147</v>
      </c>
      <c r="E291" s="92"/>
      <c r="F291" s="92"/>
      <c r="G291" s="92"/>
      <c r="H291" s="724"/>
      <c r="I291" s="724"/>
      <c r="J291" s="724"/>
      <c r="K291" s="724"/>
      <c r="L291" s="724"/>
      <c r="M291" s="724"/>
      <c r="N291" s="724"/>
      <c r="O291" s="724"/>
      <c r="P291" s="724"/>
      <c r="Q291" s="724"/>
      <c r="R291" s="724"/>
      <c r="S291" s="724"/>
      <c r="T291" s="724"/>
      <c r="U291" s="724"/>
      <c r="V291" s="724"/>
      <c r="W291" s="86"/>
      <c r="X291" s="724"/>
      <c r="Y291" s="724"/>
      <c r="Z291" s="724"/>
      <c r="AA291" s="92"/>
      <c r="AB291" s="92"/>
      <c r="AC291" s="92"/>
      <c r="AD291" s="92"/>
      <c r="AE291" s="92"/>
      <c r="AF291" s="92" t="s">
        <v>271</v>
      </c>
      <c r="AG291" s="92" t="s">
        <v>41</v>
      </c>
    </row>
    <row r="292" ht="24.95" customHeight="1" spans="1:33">
      <c r="A292" s="705" t="s">
        <v>48</v>
      </c>
      <c r="B292" s="92" t="s">
        <v>148</v>
      </c>
      <c r="C292" s="92"/>
      <c r="D292" s="76"/>
      <c r="E292" s="92"/>
      <c r="F292" s="92"/>
      <c r="G292" s="92"/>
      <c r="H292" s="724"/>
      <c r="I292" s="724"/>
      <c r="J292" s="724"/>
      <c r="K292" s="724"/>
      <c r="L292" s="724"/>
      <c r="M292" s="724"/>
      <c r="N292" s="724"/>
      <c r="O292" s="724"/>
      <c r="P292" s="724"/>
      <c r="Q292" s="724"/>
      <c r="R292" s="724"/>
      <c r="S292" s="724"/>
      <c r="T292" s="724"/>
      <c r="U292" s="724"/>
      <c r="V292" s="724"/>
      <c r="W292" s="86"/>
      <c r="X292" s="724"/>
      <c r="Y292" s="92"/>
      <c r="Z292" s="92"/>
      <c r="AA292" s="92"/>
      <c r="AB292" s="92"/>
      <c r="AC292" s="92"/>
      <c r="AD292" s="92"/>
      <c r="AE292" s="92"/>
      <c r="AF292" s="92"/>
      <c r="AG292" s="92"/>
    </row>
    <row r="293" ht="24.95" customHeight="1" spans="1:33">
      <c r="A293" s="705">
        <v>36</v>
      </c>
      <c r="B293" s="92" t="s">
        <v>272</v>
      </c>
      <c r="C293" s="92"/>
      <c r="D293" s="76" t="s">
        <v>147</v>
      </c>
      <c r="E293" s="92"/>
      <c r="F293" s="92"/>
      <c r="G293" s="92"/>
      <c r="H293" s="724"/>
      <c r="I293" s="724"/>
      <c r="J293" s="724"/>
      <c r="K293" s="724"/>
      <c r="L293" s="724"/>
      <c r="M293" s="724"/>
      <c r="N293" s="724"/>
      <c r="O293" s="724"/>
      <c r="P293" s="724"/>
      <c r="Q293" s="724"/>
      <c r="R293" s="724"/>
      <c r="S293" s="724"/>
      <c r="T293" s="724"/>
      <c r="U293" s="724"/>
      <c r="V293" s="724"/>
      <c r="W293" s="86"/>
      <c r="X293" s="724"/>
      <c r="Y293" s="724"/>
      <c r="Z293" s="724"/>
      <c r="AA293" s="92"/>
      <c r="AB293" s="92"/>
      <c r="AC293" s="92"/>
      <c r="AD293" s="92"/>
      <c r="AE293" s="92"/>
      <c r="AF293" s="92" t="s">
        <v>273</v>
      </c>
      <c r="AG293" s="92" t="s">
        <v>41</v>
      </c>
    </row>
    <row r="294" ht="24.95" customHeight="1" spans="1:33">
      <c r="A294" s="705" t="s">
        <v>48</v>
      </c>
      <c r="B294" s="92" t="s">
        <v>148</v>
      </c>
      <c r="C294" s="92"/>
      <c r="D294" s="76"/>
      <c r="E294" s="92"/>
      <c r="F294" s="92"/>
      <c r="G294" s="92"/>
      <c r="H294" s="724"/>
      <c r="I294" s="724"/>
      <c r="J294" s="724"/>
      <c r="K294" s="724"/>
      <c r="L294" s="724"/>
      <c r="M294" s="724"/>
      <c r="N294" s="724"/>
      <c r="O294" s="724"/>
      <c r="P294" s="724"/>
      <c r="Q294" s="724"/>
      <c r="R294" s="724"/>
      <c r="S294" s="724"/>
      <c r="T294" s="724"/>
      <c r="U294" s="724"/>
      <c r="V294" s="724"/>
      <c r="W294" s="86"/>
      <c r="X294" s="724"/>
      <c r="Y294" s="92"/>
      <c r="Z294" s="92"/>
      <c r="AA294" s="92"/>
      <c r="AB294" s="92"/>
      <c r="AC294" s="92"/>
      <c r="AD294" s="92"/>
      <c r="AE294" s="92"/>
      <c r="AF294" s="92"/>
      <c r="AG294" s="92"/>
    </row>
    <row r="295" ht="24.95" customHeight="1" spans="1:33">
      <c r="A295" s="705">
        <v>37</v>
      </c>
      <c r="B295" s="92" t="s">
        <v>274</v>
      </c>
      <c r="C295" s="92"/>
      <c r="D295" s="76" t="s">
        <v>147</v>
      </c>
      <c r="E295" s="92"/>
      <c r="F295" s="92"/>
      <c r="G295" s="92"/>
      <c r="H295" s="724"/>
      <c r="I295" s="724"/>
      <c r="J295" s="724"/>
      <c r="K295" s="724"/>
      <c r="L295" s="724"/>
      <c r="M295" s="724"/>
      <c r="N295" s="724"/>
      <c r="O295" s="724"/>
      <c r="P295" s="724"/>
      <c r="Q295" s="724"/>
      <c r="R295" s="724"/>
      <c r="S295" s="724"/>
      <c r="T295" s="724"/>
      <c r="U295" s="724"/>
      <c r="V295" s="724"/>
      <c r="W295" s="86"/>
      <c r="X295" s="724"/>
      <c r="Y295" s="724"/>
      <c r="Z295" s="724"/>
      <c r="AA295" s="92"/>
      <c r="AB295" s="92"/>
      <c r="AC295" s="92"/>
      <c r="AD295" s="92"/>
      <c r="AE295" s="92"/>
      <c r="AF295" s="92" t="s">
        <v>275</v>
      </c>
      <c r="AG295" s="92" t="s">
        <v>41</v>
      </c>
    </row>
    <row r="296" ht="24.95" customHeight="1" spans="1:33">
      <c r="A296" s="705" t="s">
        <v>48</v>
      </c>
      <c r="B296" s="92" t="s">
        <v>148</v>
      </c>
      <c r="C296" s="92"/>
      <c r="D296" s="76"/>
      <c r="E296" s="92"/>
      <c r="F296" s="92"/>
      <c r="G296" s="92"/>
      <c r="H296" s="724"/>
      <c r="I296" s="724"/>
      <c r="J296" s="724"/>
      <c r="K296" s="724"/>
      <c r="L296" s="724"/>
      <c r="M296" s="724"/>
      <c r="N296" s="724"/>
      <c r="O296" s="724"/>
      <c r="P296" s="724"/>
      <c r="Q296" s="724"/>
      <c r="R296" s="724"/>
      <c r="S296" s="724"/>
      <c r="T296" s="724"/>
      <c r="U296" s="724"/>
      <c r="V296" s="724"/>
      <c r="W296" s="86"/>
      <c r="X296" s="724"/>
      <c r="Y296" s="92"/>
      <c r="Z296" s="92"/>
      <c r="AA296" s="92"/>
      <c r="AB296" s="92"/>
      <c r="AC296" s="92"/>
      <c r="AD296" s="92"/>
      <c r="AE296" s="92"/>
      <c r="AF296" s="92"/>
      <c r="AG296" s="92"/>
    </row>
    <row r="297" ht="24.95" customHeight="1" spans="1:33">
      <c r="A297" s="705">
        <v>38</v>
      </c>
      <c r="B297" s="92" t="s">
        <v>276</v>
      </c>
      <c r="C297" s="92"/>
      <c r="D297" s="76" t="s">
        <v>147</v>
      </c>
      <c r="E297" s="92"/>
      <c r="F297" s="92"/>
      <c r="G297" s="92"/>
      <c r="H297" s="724"/>
      <c r="I297" s="724"/>
      <c r="J297" s="724"/>
      <c r="K297" s="724"/>
      <c r="L297" s="724"/>
      <c r="M297" s="724"/>
      <c r="N297" s="724"/>
      <c r="O297" s="724"/>
      <c r="P297" s="724"/>
      <c r="Q297" s="724"/>
      <c r="R297" s="724"/>
      <c r="S297" s="724"/>
      <c r="T297" s="724"/>
      <c r="U297" s="724"/>
      <c r="V297" s="724"/>
      <c r="W297" s="86"/>
      <c r="X297" s="724"/>
      <c r="Y297" s="724"/>
      <c r="Z297" s="724"/>
      <c r="AA297" s="92"/>
      <c r="AB297" s="92"/>
      <c r="AC297" s="92"/>
      <c r="AD297" s="92"/>
      <c r="AE297" s="92"/>
      <c r="AF297" s="92" t="s">
        <v>277</v>
      </c>
      <c r="AG297" s="92" t="s">
        <v>41</v>
      </c>
    </row>
    <row r="298" ht="24.95" customHeight="1" spans="1:33">
      <c r="A298" s="705" t="s">
        <v>48</v>
      </c>
      <c r="B298" s="92" t="s">
        <v>148</v>
      </c>
      <c r="C298" s="92"/>
      <c r="D298" s="76"/>
      <c r="E298" s="92"/>
      <c r="F298" s="92"/>
      <c r="G298" s="92"/>
      <c r="H298" s="724"/>
      <c r="I298" s="724"/>
      <c r="J298" s="724"/>
      <c r="K298" s="724"/>
      <c r="L298" s="724"/>
      <c r="M298" s="724"/>
      <c r="N298" s="724"/>
      <c r="O298" s="724"/>
      <c r="P298" s="724"/>
      <c r="Q298" s="724"/>
      <c r="R298" s="724"/>
      <c r="S298" s="724"/>
      <c r="T298" s="724"/>
      <c r="U298" s="724"/>
      <c r="V298" s="724"/>
      <c r="W298" s="86"/>
      <c r="X298" s="724"/>
      <c r="Y298" s="92"/>
      <c r="Z298" s="92"/>
      <c r="AA298" s="92"/>
      <c r="AB298" s="92"/>
      <c r="AC298" s="92"/>
      <c r="AD298" s="92"/>
      <c r="AE298" s="92"/>
      <c r="AF298" s="92"/>
      <c r="AG298" s="92"/>
    </row>
    <row r="299" ht="24.95" customHeight="1" spans="1:33">
      <c r="A299" s="705">
        <v>39</v>
      </c>
      <c r="B299" s="92" t="s">
        <v>278</v>
      </c>
      <c r="C299" s="92"/>
      <c r="D299" s="76" t="s">
        <v>147</v>
      </c>
      <c r="E299" s="92"/>
      <c r="F299" s="92"/>
      <c r="G299" s="92"/>
      <c r="H299" s="724"/>
      <c r="I299" s="724"/>
      <c r="J299" s="724"/>
      <c r="K299" s="724"/>
      <c r="L299" s="724"/>
      <c r="M299" s="724"/>
      <c r="N299" s="724"/>
      <c r="O299" s="724"/>
      <c r="P299" s="724"/>
      <c r="Q299" s="724"/>
      <c r="R299" s="724"/>
      <c r="S299" s="724"/>
      <c r="T299" s="724"/>
      <c r="U299" s="724"/>
      <c r="V299" s="724"/>
      <c r="W299" s="86"/>
      <c r="X299" s="724"/>
      <c r="Y299" s="724"/>
      <c r="Z299" s="724"/>
      <c r="AA299" s="92"/>
      <c r="AB299" s="92"/>
      <c r="AC299" s="92"/>
      <c r="AD299" s="92"/>
      <c r="AE299" s="92"/>
      <c r="AF299" s="92" t="s">
        <v>195</v>
      </c>
      <c r="AG299" s="92"/>
    </row>
    <row r="300" ht="24.95" customHeight="1" spans="1:33">
      <c r="A300" s="705" t="s">
        <v>48</v>
      </c>
      <c r="B300" s="92" t="s">
        <v>148</v>
      </c>
      <c r="C300" s="92"/>
      <c r="D300" s="76"/>
      <c r="E300" s="92"/>
      <c r="F300" s="92"/>
      <c r="G300" s="92"/>
      <c r="H300" s="724"/>
      <c r="I300" s="724"/>
      <c r="J300" s="724"/>
      <c r="K300" s="724"/>
      <c r="L300" s="724"/>
      <c r="M300" s="724"/>
      <c r="N300" s="724"/>
      <c r="O300" s="724"/>
      <c r="P300" s="724"/>
      <c r="Q300" s="724"/>
      <c r="R300" s="724"/>
      <c r="S300" s="724"/>
      <c r="T300" s="724"/>
      <c r="U300" s="724"/>
      <c r="V300" s="724"/>
      <c r="W300" s="86"/>
      <c r="X300" s="724"/>
      <c r="Y300" s="92"/>
      <c r="Z300" s="92"/>
      <c r="AA300" s="92"/>
      <c r="AB300" s="92"/>
      <c r="AC300" s="92"/>
      <c r="AD300" s="92"/>
      <c r="AE300" s="92"/>
      <c r="AF300" s="92"/>
      <c r="AG300" s="92"/>
    </row>
    <row r="301" ht="44.25" customHeight="1" spans="1:33">
      <c r="A301" s="705">
        <v>40</v>
      </c>
      <c r="B301" s="92" t="s">
        <v>279</v>
      </c>
      <c r="C301" s="92"/>
      <c r="D301" s="76" t="s">
        <v>147</v>
      </c>
      <c r="E301" s="92"/>
      <c r="F301" s="92"/>
      <c r="G301" s="92"/>
      <c r="H301" s="724"/>
      <c r="I301" s="724"/>
      <c r="J301" s="724"/>
      <c r="K301" s="724"/>
      <c r="L301" s="724"/>
      <c r="M301" s="724"/>
      <c r="N301" s="724"/>
      <c r="O301" s="724"/>
      <c r="P301" s="724"/>
      <c r="Q301" s="724"/>
      <c r="R301" s="724"/>
      <c r="S301" s="724"/>
      <c r="T301" s="724"/>
      <c r="U301" s="724"/>
      <c r="V301" s="724"/>
      <c r="W301" s="86"/>
      <c r="X301" s="724"/>
      <c r="Y301" s="724"/>
      <c r="Z301" s="724"/>
      <c r="AA301" s="92"/>
      <c r="AB301" s="92"/>
      <c r="AC301" s="92"/>
      <c r="AD301" s="92"/>
      <c r="AE301" s="92"/>
      <c r="AF301" s="92" t="s">
        <v>195</v>
      </c>
      <c r="AG301" s="92"/>
    </row>
    <row r="302" ht="24.95" customHeight="1" spans="1:33">
      <c r="A302" s="705" t="s">
        <v>48</v>
      </c>
      <c r="B302" s="92" t="s">
        <v>148</v>
      </c>
      <c r="C302" s="92"/>
      <c r="D302" s="76"/>
      <c r="E302" s="92"/>
      <c r="F302" s="92"/>
      <c r="G302" s="92"/>
      <c r="H302" s="724"/>
      <c r="I302" s="724"/>
      <c r="J302" s="724"/>
      <c r="K302" s="724"/>
      <c r="L302" s="724"/>
      <c r="M302" s="724"/>
      <c r="N302" s="724"/>
      <c r="O302" s="724"/>
      <c r="P302" s="724"/>
      <c r="Q302" s="724"/>
      <c r="R302" s="724"/>
      <c r="S302" s="724"/>
      <c r="T302" s="724"/>
      <c r="U302" s="724"/>
      <c r="V302" s="724"/>
      <c r="W302" s="86"/>
      <c r="X302" s="724"/>
      <c r="Y302" s="92"/>
      <c r="Z302" s="92"/>
      <c r="AA302" s="92"/>
      <c r="AB302" s="92"/>
      <c r="AC302" s="92"/>
      <c r="AD302" s="92"/>
      <c r="AE302" s="92"/>
      <c r="AF302" s="92"/>
      <c r="AG302" s="92"/>
    </row>
    <row r="303" ht="24.95" customHeight="1" spans="1:33">
      <c r="A303" s="705">
        <v>41</v>
      </c>
      <c r="B303" s="92" t="s">
        <v>280</v>
      </c>
      <c r="C303" s="92"/>
      <c r="D303" s="76" t="s">
        <v>147</v>
      </c>
      <c r="E303" s="92"/>
      <c r="F303" s="92"/>
      <c r="G303" s="92"/>
      <c r="H303" s="724"/>
      <c r="I303" s="724"/>
      <c r="J303" s="724"/>
      <c r="K303" s="724"/>
      <c r="L303" s="724"/>
      <c r="M303" s="724"/>
      <c r="N303" s="724"/>
      <c r="O303" s="724"/>
      <c r="P303" s="724"/>
      <c r="Q303" s="724"/>
      <c r="R303" s="724"/>
      <c r="S303" s="724"/>
      <c r="T303" s="724"/>
      <c r="U303" s="724"/>
      <c r="V303" s="724"/>
      <c r="W303" s="86"/>
      <c r="X303" s="724"/>
      <c r="Y303" s="724"/>
      <c r="Z303" s="724"/>
      <c r="AA303" s="92"/>
      <c r="AB303" s="92"/>
      <c r="AC303" s="92"/>
      <c r="AD303" s="92"/>
      <c r="AE303" s="92"/>
      <c r="AF303" s="92" t="s">
        <v>195</v>
      </c>
      <c r="AG303" s="92"/>
    </row>
    <row r="304" ht="24.95" customHeight="1" spans="1:33">
      <c r="A304" s="705" t="s">
        <v>48</v>
      </c>
      <c r="B304" s="92" t="s">
        <v>148</v>
      </c>
      <c r="C304" s="92"/>
      <c r="D304" s="76"/>
      <c r="E304" s="92"/>
      <c r="F304" s="92"/>
      <c r="G304" s="92"/>
      <c r="H304" s="724"/>
      <c r="I304" s="724"/>
      <c r="J304" s="724"/>
      <c r="K304" s="724"/>
      <c r="L304" s="724"/>
      <c r="M304" s="724"/>
      <c r="N304" s="724"/>
      <c r="O304" s="724"/>
      <c r="P304" s="724"/>
      <c r="Q304" s="724"/>
      <c r="R304" s="724"/>
      <c r="S304" s="724"/>
      <c r="T304" s="724"/>
      <c r="U304" s="724"/>
      <c r="V304" s="724"/>
      <c r="W304" s="86"/>
      <c r="X304" s="724"/>
      <c r="Y304" s="92"/>
      <c r="Z304" s="92"/>
      <c r="AA304" s="92"/>
      <c r="AB304" s="92"/>
      <c r="AC304" s="92"/>
      <c r="AD304" s="92"/>
      <c r="AE304" s="92"/>
      <c r="AF304" s="92"/>
      <c r="AG304" s="92"/>
    </row>
    <row r="305" ht="24.95" customHeight="1" spans="1:33">
      <c r="A305" s="705">
        <v>42</v>
      </c>
      <c r="B305" s="92" t="s">
        <v>281</v>
      </c>
      <c r="C305" s="92"/>
      <c r="D305" s="76" t="s">
        <v>147</v>
      </c>
      <c r="E305" s="92"/>
      <c r="F305" s="92"/>
      <c r="G305" s="92"/>
      <c r="H305" s="724"/>
      <c r="I305" s="724"/>
      <c r="J305" s="724"/>
      <c r="K305" s="724"/>
      <c r="L305" s="724"/>
      <c r="M305" s="724"/>
      <c r="N305" s="724"/>
      <c r="O305" s="724"/>
      <c r="P305" s="724"/>
      <c r="Q305" s="724"/>
      <c r="R305" s="724"/>
      <c r="S305" s="724"/>
      <c r="T305" s="724"/>
      <c r="U305" s="724"/>
      <c r="V305" s="724"/>
      <c r="W305" s="86"/>
      <c r="X305" s="724"/>
      <c r="Y305" s="724"/>
      <c r="Z305" s="724"/>
      <c r="AA305" s="92"/>
      <c r="AB305" s="92"/>
      <c r="AC305" s="92"/>
      <c r="AD305" s="92"/>
      <c r="AE305" s="92"/>
      <c r="AF305" s="92" t="s">
        <v>195</v>
      </c>
      <c r="AG305" s="92"/>
    </row>
    <row r="306" ht="24.95" customHeight="1" spans="1:33">
      <c r="A306" s="705" t="s">
        <v>48</v>
      </c>
      <c r="B306" s="92" t="s">
        <v>148</v>
      </c>
      <c r="C306" s="92"/>
      <c r="D306" s="76"/>
      <c r="E306" s="92"/>
      <c r="F306" s="92"/>
      <c r="G306" s="92"/>
      <c r="H306" s="724"/>
      <c r="I306" s="724"/>
      <c r="J306" s="724"/>
      <c r="K306" s="724"/>
      <c r="L306" s="724"/>
      <c r="M306" s="724"/>
      <c r="N306" s="724"/>
      <c r="O306" s="724"/>
      <c r="P306" s="724"/>
      <c r="Q306" s="724"/>
      <c r="R306" s="724"/>
      <c r="S306" s="724"/>
      <c r="T306" s="724"/>
      <c r="U306" s="724"/>
      <c r="V306" s="724"/>
      <c r="W306" s="86"/>
      <c r="X306" s="724"/>
      <c r="Y306" s="92"/>
      <c r="Z306" s="92"/>
      <c r="AA306" s="92"/>
      <c r="AB306" s="92"/>
      <c r="AC306" s="92"/>
      <c r="AD306" s="92"/>
      <c r="AE306" s="92"/>
      <c r="AF306" s="92"/>
      <c r="AG306" s="92"/>
    </row>
    <row r="307" ht="24.95" customHeight="1" spans="1:33">
      <c r="A307" s="705">
        <v>43</v>
      </c>
      <c r="B307" s="92" t="s">
        <v>282</v>
      </c>
      <c r="C307" s="92"/>
      <c r="D307" s="76" t="s">
        <v>147</v>
      </c>
      <c r="E307" s="92"/>
      <c r="F307" s="92"/>
      <c r="G307" s="92"/>
      <c r="H307" s="724"/>
      <c r="I307" s="724"/>
      <c r="J307" s="724"/>
      <c r="K307" s="724"/>
      <c r="L307" s="724"/>
      <c r="M307" s="724"/>
      <c r="N307" s="724"/>
      <c r="O307" s="724"/>
      <c r="P307" s="724"/>
      <c r="Q307" s="724"/>
      <c r="R307" s="724"/>
      <c r="S307" s="724"/>
      <c r="T307" s="724"/>
      <c r="U307" s="724"/>
      <c r="V307" s="724"/>
      <c r="W307" s="86"/>
      <c r="X307" s="724"/>
      <c r="Y307" s="724"/>
      <c r="Z307" s="724"/>
      <c r="AA307" s="92"/>
      <c r="AB307" s="92"/>
      <c r="AC307" s="92"/>
      <c r="AD307" s="92"/>
      <c r="AE307" s="92"/>
      <c r="AF307" s="92" t="s">
        <v>195</v>
      </c>
      <c r="AG307" s="92"/>
    </row>
    <row r="308" ht="24.95" customHeight="1" spans="1:33">
      <c r="A308" s="705" t="s">
        <v>48</v>
      </c>
      <c r="B308" s="92" t="s">
        <v>148</v>
      </c>
      <c r="C308" s="92"/>
      <c r="D308" s="76"/>
      <c r="E308" s="92"/>
      <c r="F308" s="92"/>
      <c r="G308" s="92"/>
      <c r="H308" s="724"/>
      <c r="I308" s="724"/>
      <c r="J308" s="724"/>
      <c r="K308" s="724"/>
      <c r="L308" s="724"/>
      <c r="M308" s="724"/>
      <c r="N308" s="724"/>
      <c r="O308" s="724"/>
      <c r="P308" s="724"/>
      <c r="Q308" s="724"/>
      <c r="R308" s="724"/>
      <c r="S308" s="724"/>
      <c r="T308" s="724"/>
      <c r="U308" s="724"/>
      <c r="V308" s="724"/>
      <c r="W308" s="86"/>
      <c r="X308" s="724"/>
      <c r="Y308" s="92"/>
      <c r="Z308" s="92"/>
      <c r="AA308" s="92"/>
      <c r="AB308" s="92"/>
      <c r="AC308" s="92"/>
      <c r="AD308" s="92"/>
      <c r="AE308" s="92"/>
      <c r="AF308" s="92"/>
      <c r="AG308" s="92"/>
    </row>
    <row r="309" ht="24.95" customHeight="1" spans="1:33">
      <c r="A309" s="705">
        <v>44</v>
      </c>
      <c r="B309" s="92" t="s">
        <v>283</v>
      </c>
      <c r="C309" s="92"/>
      <c r="D309" s="76"/>
      <c r="E309" s="92"/>
      <c r="F309" s="92"/>
      <c r="G309" s="92"/>
      <c r="H309" s="724"/>
      <c r="I309" s="724"/>
      <c r="J309" s="724"/>
      <c r="K309" s="724"/>
      <c r="L309" s="724"/>
      <c r="M309" s="724"/>
      <c r="N309" s="724"/>
      <c r="O309" s="724"/>
      <c r="P309" s="724"/>
      <c r="Q309" s="724"/>
      <c r="R309" s="724"/>
      <c r="S309" s="724"/>
      <c r="T309" s="724"/>
      <c r="U309" s="724"/>
      <c r="V309" s="724"/>
      <c r="W309" s="86"/>
      <c r="X309" s="724"/>
      <c r="Y309" s="724"/>
      <c r="Z309" s="724"/>
      <c r="AA309" s="92"/>
      <c r="AB309" s="92"/>
      <c r="AC309" s="92"/>
      <c r="AD309" s="92"/>
      <c r="AE309" s="92"/>
      <c r="AF309" s="92" t="s">
        <v>195</v>
      </c>
      <c r="AG309" s="92"/>
    </row>
    <row r="310" ht="24.95" customHeight="1" spans="1:33">
      <c r="A310" s="705" t="s">
        <v>48</v>
      </c>
      <c r="B310" s="92" t="s">
        <v>148</v>
      </c>
      <c r="C310" s="73"/>
      <c r="D310" s="71"/>
      <c r="E310" s="73"/>
      <c r="F310" s="73"/>
      <c r="G310" s="73"/>
      <c r="H310" s="724"/>
      <c r="I310" s="724"/>
      <c r="J310" s="724"/>
      <c r="K310" s="724"/>
      <c r="L310" s="724"/>
      <c r="M310" s="724"/>
      <c r="N310" s="724"/>
      <c r="O310" s="724"/>
      <c r="P310" s="724"/>
      <c r="Q310" s="724"/>
      <c r="R310" s="724"/>
      <c r="S310" s="724"/>
      <c r="T310" s="724"/>
      <c r="U310" s="724"/>
      <c r="V310" s="724"/>
      <c r="W310" s="86"/>
      <c r="X310" s="724"/>
      <c r="Y310" s="73"/>
      <c r="Z310" s="73"/>
      <c r="AA310" s="92"/>
      <c r="AB310" s="73"/>
      <c r="AC310" s="73"/>
      <c r="AD310" s="92"/>
      <c r="AE310" s="92"/>
      <c r="AF310" s="92"/>
      <c r="AG310" s="92"/>
    </row>
    <row r="311" ht="53.25" customHeight="1" spans="1:33">
      <c r="A311" s="705">
        <v>45</v>
      </c>
      <c r="B311" s="92" t="s">
        <v>284</v>
      </c>
      <c r="C311" s="92"/>
      <c r="D311" s="76"/>
      <c r="E311" s="92"/>
      <c r="F311" s="92"/>
      <c r="G311" s="92"/>
      <c r="H311" s="724"/>
      <c r="I311" s="724"/>
      <c r="J311" s="724"/>
      <c r="K311" s="724"/>
      <c r="L311" s="724"/>
      <c r="M311" s="724"/>
      <c r="N311" s="724"/>
      <c r="O311" s="724"/>
      <c r="P311" s="724"/>
      <c r="Q311" s="724"/>
      <c r="R311" s="724"/>
      <c r="S311" s="724"/>
      <c r="T311" s="724"/>
      <c r="U311" s="724"/>
      <c r="V311" s="724"/>
      <c r="W311" s="86"/>
      <c r="X311" s="724"/>
      <c r="Y311" s="724"/>
      <c r="Z311" s="724"/>
      <c r="AA311" s="92"/>
      <c r="AB311" s="92"/>
      <c r="AC311" s="92"/>
      <c r="AD311" s="92"/>
      <c r="AE311" s="92"/>
      <c r="AF311" s="92" t="s">
        <v>195</v>
      </c>
      <c r="AG311" s="92"/>
    </row>
    <row r="312" ht="37.5" customHeight="1" spans="1:33">
      <c r="A312" s="705" t="s">
        <v>48</v>
      </c>
      <c r="B312" s="92" t="s">
        <v>148</v>
      </c>
      <c r="C312" s="73"/>
      <c r="D312" s="71"/>
      <c r="E312" s="73"/>
      <c r="F312" s="73"/>
      <c r="G312" s="73"/>
      <c r="H312" s="724"/>
      <c r="I312" s="724"/>
      <c r="J312" s="724"/>
      <c r="K312" s="724"/>
      <c r="L312" s="724"/>
      <c r="M312" s="724"/>
      <c r="N312" s="724"/>
      <c r="O312" s="724"/>
      <c r="P312" s="724"/>
      <c r="Q312" s="724"/>
      <c r="R312" s="724"/>
      <c r="S312" s="724"/>
      <c r="T312" s="724"/>
      <c r="U312" s="724"/>
      <c r="V312" s="724"/>
      <c r="W312" s="86"/>
      <c r="X312" s="724"/>
      <c r="Y312" s="73"/>
      <c r="Z312" s="73"/>
      <c r="AA312" s="92"/>
      <c r="AB312" s="73"/>
      <c r="AC312" s="73"/>
      <c r="AD312" s="92"/>
      <c r="AE312" s="92"/>
      <c r="AF312" s="92"/>
      <c r="AG312" s="92"/>
    </row>
    <row r="313" ht="24.95" customHeight="1" spans="1:33">
      <c r="A313" s="705"/>
      <c r="B313" s="750" t="s">
        <v>285</v>
      </c>
      <c r="C313" s="146" t="s">
        <v>52</v>
      </c>
      <c r="D313" s="152" t="s">
        <v>147</v>
      </c>
      <c r="E313" s="708">
        <f>SUM(E314:E325)</f>
        <v>12</v>
      </c>
      <c r="F313" s="708"/>
      <c r="G313" s="708"/>
      <c r="H313" s="726">
        <f t="shared" ref="F313:AA313" si="54">SUM(H314:H325)</f>
        <v>3000</v>
      </c>
      <c r="I313" s="726">
        <f t="shared" si="54"/>
        <v>3000</v>
      </c>
      <c r="J313" s="726">
        <f t="shared" si="54"/>
        <v>0</v>
      </c>
      <c r="K313" s="726">
        <f t="shared" si="54"/>
        <v>0</v>
      </c>
      <c r="L313" s="726"/>
      <c r="M313" s="726"/>
      <c r="N313" s="726">
        <f t="shared" si="54"/>
        <v>300</v>
      </c>
      <c r="O313" s="726">
        <f t="shared" si="54"/>
        <v>300</v>
      </c>
      <c r="P313" s="726">
        <f t="shared" si="54"/>
        <v>0</v>
      </c>
      <c r="Q313" s="726">
        <f t="shared" si="54"/>
        <v>0</v>
      </c>
      <c r="R313" s="726">
        <f t="shared" si="54"/>
        <v>0</v>
      </c>
      <c r="S313" s="726">
        <f t="shared" si="54"/>
        <v>0</v>
      </c>
      <c r="T313" s="726">
        <f t="shared" si="54"/>
        <v>0</v>
      </c>
      <c r="U313" s="726">
        <f t="shared" si="54"/>
        <v>300</v>
      </c>
      <c r="V313" s="726">
        <f t="shared" si="54"/>
        <v>0</v>
      </c>
      <c r="W313" s="86" t="s">
        <v>240</v>
      </c>
      <c r="X313" s="724" t="s">
        <v>47</v>
      </c>
      <c r="Y313" s="708">
        <f t="shared" si="54"/>
        <v>3000</v>
      </c>
      <c r="Z313" s="708">
        <f t="shared" si="54"/>
        <v>12900</v>
      </c>
      <c r="AA313" s="708">
        <f t="shared" si="54"/>
        <v>12</v>
      </c>
      <c r="AB313" s="708"/>
      <c r="AC313" s="708"/>
      <c r="AD313" s="193" t="s">
        <v>242</v>
      </c>
      <c r="AE313" s="193" t="s">
        <v>243</v>
      </c>
      <c r="AF313" s="146" t="s">
        <v>195</v>
      </c>
      <c r="AG313" s="708"/>
    </row>
    <row r="314" ht="24.95" customHeight="1" spans="1:33">
      <c r="A314" s="705"/>
      <c r="B314" s="714" t="s">
        <v>101</v>
      </c>
      <c r="C314" s="146" t="s">
        <v>52</v>
      </c>
      <c r="D314" s="152" t="s">
        <v>147</v>
      </c>
      <c r="E314" s="708">
        <v>1</v>
      </c>
      <c r="F314" s="714" t="str">
        <f t="shared" si="48"/>
        <v>中安</v>
      </c>
      <c r="G314" s="708"/>
      <c r="H314" s="726">
        <v>177</v>
      </c>
      <c r="I314" s="726">
        <v>177</v>
      </c>
      <c r="J314" s="726"/>
      <c r="K314" s="726"/>
      <c r="L314" s="825">
        <v>2018.01</v>
      </c>
      <c r="M314" s="724">
        <v>2018.12</v>
      </c>
      <c r="N314" s="726">
        <v>17.7</v>
      </c>
      <c r="O314" s="726">
        <v>17.7</v>
      </c>
      <c r="P314" s="726"/>
      <c r="Q314" s="726"/>
      <c r="R314" s="726"/>
      <c r="S314" s="726"/>
      <c r="T314" s="726"/>
      <c r="U314" s="726">
        <v>17.7</v>
      </c>
      <c r="V314" s="726"/>
      <c r="W314" s="86" t="s">
        <v>240</v>
      </c>
      <c r="X314" s="724" t="s">
        <v>47</v>
      </c>
      <c r="Y314" s="763">
        <v>177</v>
      </c>
      <c r="Z314" s="763">
        <v>761.1</v>
      </c>
      <c r="AA314" s="708">
        <v>1</v>
      </c>
      <c r="AB314" s="708"/>
      <c r="AC314" s="708"/>
      <c r="AD314" s="438" t="s">
        <v>244</v>
      </c>
      <c r="AE314" s="146" t="s">
        <v>245</v>
      </c>
      <c r="AF314" s="146" t="s">
        <v>195</v>
      </c>
      <c r="AG314" s="708"/>
    </row>
    <row r="315" ht="24.95" customHeight="1" spans="1:33">
      <c r="A315" s="705"/>
      <c r="B315" s="714" t="s">
        <v>151</v>
      </c>
      <c r="C315" s="146" t="s">
        <v>52</v>
      </c>
      <c r="D315" s="152" t="s">
        <v>147</v>
      </c>
      <c r="E315" s="708">
        <v>1</v>
      </c>
      <c r="F315" s="714" t="str">
        <f t="shared" si="48"/>
        <v>胜境</v>
      </c>
      <c r="G315" s="708"/>
      <c r="H315" s="726">
        <v>105</v>
      </c>
      <c r="I315" s="726">
        <v>105</v>
      </c>
      <c r="J315" s="726"/>
      <c r="K315" s="726"/>
      <c r="L315" s="825">
        <v>2018.01</v>
      </c>
      <c r="M315" s="724">
        <v>2018.12</v>
      </c>
      <c r="N315" s="726">
        <v>10.5</v>
      </c>
      <c r="O315" s="726">
        <v>10.5</v>
      </c>
      <c r="P315" s="726"/>
      <c r="Q315" s="726"/>
      <c r="R315" s="726"/>
      <c r="S315" s="726"/>
      <c r="T315" s="726"/>
      <c r="U315" s="726">
        <v>10.5</v>
      </c>
      <c r="V315" s="726"/>
      <c r="W315" s="86" t="s">
        <v>240</v>
      </c>
      <c r="X315" s="724" t="s">
        <v>47</v>
      </c>
      <c r="Y315" s="763">
        <v>105</v>
      </c>
      <c r="Z315" s="763">
        <v>451.5</v>
      </c>
      <c r="AA315" s="708">
        <v>1</v>
      </c>
      <c r="AB315" s="708"/>
      <c r="AC315" s="708"/>
      <c r="AD315" s="438" t="s">
        <v>169</v>
      </c>
      <c r="AE315" s="146" t="s">
        <v>246</v>
      </c>
      <c r="AF315" s="146" t="s">
        <v>195</v>
      </c>
      <c r="AG315" s="708"/>
    </row>
    <row r="316" ht="24.95" customHeight="1" spans="1:33">
      <c r="A316" s="705"/>
      <c r="B316" s="714" t="s">
        <v>154</v>
      </c>
      <c r="C316" s="146" t="s">
        <v>52</v>
      </c>
      <c r="D316" s="152" t="s">
        <v>147</v>
      </c>
      <c r="E316" s="708">
        <v>1</v>
      </c>
      <c r="F316" s="714" t="str">
        <f t="shared" si="48"/>
        <v>后所</v>
      </c>
      <c r="G316" s="708"/>
      <c r="H316" s="726">
        <v>258</v>
      </c>
      <c r="I316" s="726">
        <v>258</v>
      </c>
      <c r="J316" s="726"/>
      <c r="K316" s="726"/>
      <c r="L316" s="825">
        <v>2018.01</v>
      </c>
      <c r="M316" s="724">
        <v>2018.12</v>
      </c>
      <c r="N316" s="726">
        <v>25.8</v>
      </c>
      <c r="O316" s="726">
        <v>25.8</v>
      </c>
      <c r="P316" s="726"/>
      <c r="Q316" s="726"/>
      <c r="R316" s="726"/>
      <c r="S316" s="726"/>
      <c r="T316" s="726"/>
      <c r="U316" s="726">
        <v>25.8</v>
      </c>
      <c r="V316" s="726"/>
      <c r="W316" s="86" t="s">
        <v>240</v>
      </c>
      <c r="X316" s="724" t="s">
        <v>47</v>
      </c>
      <c r="Y316" s="763">
        <v>258</v>
      </c>
      <c r="Z316" s="763">
        <v>1109.4</v>
      </c>
      <c r="AA316" s="708">
        <v>1</v>
      </c>
      <c r="AB316" s="708"/>
      <c r="AC316" s="708"/>
      <c r="AD316" s="438" t="s">
        <v>247</v>
      </c>
      <c r="AE316" s="146" t="s">
        <v>248</v>
      </c>
      <c r="AF316" s="146" t="s">
        <v>195</v>
      </c>
      <c r="AG316" s="708"/>
    </row>
    <row r="317" ht="24.95" customHeight="1" spans="1:33">
      <c r="A317" s="705"/>
      <c r="B317" s="714" t="s">
        <v>81</v>
      </c>
      <c r="C317" s="146" t="s">
        <v>52</v>
      </c>
      <c r="D317" s="152" t="s">
        <v>147</v>
      </c>
      <c r="E317" s="708">
        <v>1</v>
      </c>
      <c r="F317" s="714" t="str">
        <f t="shared" si="48"/>
        <v>墨红</v>
      </c>
      <c r="G317" s="708"/>
      <c r="H317" s="726">
        <v>255</v>
      </c>
      <c r="I317" s="726">
        <v>255</v>
      </c>
      <c r="J317" s="726"/>
      <c r="K317" s="726"/>
      <c r="L317" s="825">
        <v>2018.01</v>
      </c>
      <c r="M317" s="724">
        <v>2018.12</v>
      </c>
      <c r="N317" s="726">
        <v>25.5</v>
      </c>
      <c r="O317" s="726">
        <v>25.5</v>
      </c>
      <c r="P317" s="726"/>
      <c r="Q317" s="726"/>
      <c r="R317" s="726"/>
      <c r="S317" s="726"/>
      <c r="T317" s="726"/>
      <c r="U317" s="726">
        <v>25.5</v>
      </c>
      <c r="V317" s="726"/>
      <c r="W317" s="86" t="s">
        <v>240</v>
      </c>
      <c r="X317" s="724" t="s">
        <v>47</v>
      </c>
      <c r="Y317" s="763">
        <v>255</v>
      </c>
      <c r="Z317" s="763">
        <v>1096.5</v>
      </c>
      <c r="AA317" s="708">
        <v>1</v>
      </c>
      <c r="AB317" s="708"/>
      <c r="AC317" s="708"/>
      <c r="AD317" s="438" t="s">
        <v>249</v>
      </c>
      <c r="AE317" s="146" t="s">
        <v>250</v>
      </c>
      <c r="AF317" s="146" t="s">
        <v>195</v>
      </c>
      <c r="AG317" s="708"/>
    </row>
    <row r="318" ht="24.95" customHeight="1" spans="1:33">
      <c r="A318" s="705"/>
      <c r="B318" s="714" t="s">
        <v>98</v>
      </c>
      <c r="C318" s="146" t="s">
        <v>52</v>
      </c>
      <c r="D318" s="152" t="s">
        <v>147</v>
      </c>
      <c r="E318" s="708">
        <v>1</v>
      </c>
      <c r="F318" s="714" t="str">
        <f t="shared" si="48"/>
        <v>大河</v>
      </c>
      <c r="G318" s="708"/>
      <c r="H318" s="726">
        <v>384</v>
      </c>
      <c r="I318" s="726">
        <v>384</v>
      </c>
      <c r="J318" s="726"/>
      <c r="K318" s="726"/>
      <c r="L318" s="825">
        <v>2018.01</v>
      </c>
      <c r="M318" s="724">
        <v>2018.12</v>
      </c>
      <c r="N318" s="726">
        <v>38.4</v>
      </c>
      <c r="O318" s="726">
        <v>38.4</v>
      </c>
      <c r="P318" s="726"/>
      <c r="Q318" s="726"/>
      <c r="R318" s="726"/>
      <c r="S318" s="726"/>
      <c r="T318" s="726"/>
      <c r="U318" s="726">
        <v>38.4</v>
      </c>
      <c r="V318" s="726"/>
      <c r="W318" s="86" t="s">
        <v>240</v>
      </c>
      <c r="X318" s="724" t="s">
        <v>47</v>
      </c>
      <c r="Y318" s="763">
        <v>384</v>
      </c>
      <c r="Z318" s="763">
        <v>1651.2</v>
      </c>
      <c r="AA318" s="708">
        <v>1</v>
      </c>
      <c r="AB318" s="708"/>
      <c r="AC318" s="708"/>
      <c r="AD318" s="438" t="s">
        <v>209</v>
      </c>
      <c r="AE318" s="146" t="s">
        <v>251</v>
      </c>
      <c r="AF318" s="146" t="s">
        <v>195</v>
      </c>
      <c r="AG318" s="708"/>
    </row>
    <row r="319" ht="24.95" customHeight="1" spans="1:33">
      <c r="A319" s="705"/>
      <c r="B319" s="714" t="s">
        <v>211</v>
      </c>
      <c r="C319" s="146" t="s">
        <v>52</v>
      </c>
      <c r="D319" s="152" t="s">
        <v>147</v>
      </c>
      <c r="E319" s="708">
        <v>1</v>
      </c>
      <c r="F319" s="714" t="str">
        <f t="shared" si="48"/>
        <v>营上</v>
      </c>
      <c r="G319" s="708"/>
      <c r="H319" s="726">
        <v>291</v>
      </c>
      <c r="I319" s="726">
        <v>291</v>
      </c>
      <c r="J319" s="726"/>
      <c r="K319" s="726"/>
      <c r="L319" s="825">
        <v>2018.01</v>
      </c>
      <c r="M319" s="724">
        <v>2018.12</v>
      </c>
      <c r="N319" s="726">
        <v>29.1</v>
      </c>
      <c r="O319" s="726">
        <v>29.1</v>
      </c>
      <c r="P319" s="726"/>
      <c r="Q319" s="726"/>
      <c r="R319" s="726"/>
      <c r="S319" s="726"/>
      <c r="T319" s="726"/>
      <c r="U319" s="726">
        <v>29.1</v>
      </c>
      <c r="V319" s="726"/>
      <c r="W319" s="86" t="s">
        <v>240</v>
      </c>
      <c r="X319" s="724" t="s">
        <v>47</v>
      </c>
      <c r="Y319" s="763">
        <v>291</v>
      </c>
      <c r="Z319" s="763">
        <v>1251.3</v>
      </c>
      <c r="AA319" s="708">
        <v>1</v>
      </c>
      <c r="AB319" s="708"/>
      <c r="AC319" s="708"/>
      <c r="AD319" s="438" t="s">
        <v>76</v>
      </c>
      <c r="AE319" s="146" t="s">
        <v>252</v>
      </c>
      <c r="AF319" s="146" t="s">
        <v>195</v>
      </c>
      <c r="AG319" s="708"/>
    </row>
    <row r="320" ht="24.95" customHeight="1" spans="1:33">
      <c r="A320" s="705"/>
      <c r="B320" s="714" t="s">
        <v>155</v>
      </c>
      <c r="C320" s="146" t="s">
        <v>52</v>
      </c>
      <c r="D320" s="152" t="s">
        <v>147</v>
      </c>
      <c r="E320" s="708">
        <v>1</v>
      </c>
      <c r="F320" s="714" t="str">
        <f t="shared" si="48"/>
        <v>竹园</v>
      </c>
      <c r="G320" s="708"/>
      <c r="H320" s="726">
        <v>201</v>
      </c>
      <c r="I320" s="726">
        <v>201</v>
      </c>
      <c r="J320" s="726"/>
      <c r="K320" s="726"/>
      <c r="L320" s="825">
        <v>2018.01</v>
      </c>
      <c r="M320" s="724">
        <v>2018.12</v>
      </c>
      <c r="N320" s="726">
        <v>20.1</v>
      </c>
      <c r="O320" s="726">
        <v>20.1</v>
      </c>
      <c r="P320" s="726"/>
      <c r="Q320" s="726"/>
      <c r="R320" s="726"/>
      <c r="S320" s="726"/>
      <c r="T320" s="726"/>
      <c r="U320" s="726">
        <v>20.1</v>
      </c>
      <c r="V320" s="726"/>
      <c r="W320" s="86" t="s">
        <v>240</v>
      </c>
      <c r="X320" s="724" t="s">
        <v>47</v>
      </c>
      <c r="Y320" s="763">
        <v>201</v>
      </c>
      <c r="Z320" s="763">
        <v>864.3</v>
      </c>
      <c r="AA320" s="708">
        <v>1</v>
      </c>
      <c r="AB320" s="708"/>
      <c r="AC320" s="708"/>
      <c r="AD320" s="438" t="s">
        <v>253</v>
      </c>
      <c r="AE320" s="146" t="s">
        <v>254</v>
      </c>
      <c r="AF320" s="146" t="s">
        <v>195</v>
      </c>
      <c r="AG320" s="708"/>
    </row>
    <row r="321" ht="24.95" customHeight="1" spans="1:33">
      <c r="A321" s="705"/>
      <c r="B321" s="714" t="s">
        <v>102</v>
      </c>
      <c r="C321" s="146" t="s">
        <v>52</v>
      </c>
      <c r="D321" s="152" t="s">
        <v>147</v>
      </c>
      <c r="E321" s="708">
        <v>1</v>
      </c>
      <c r="F321" s="714" t="str">
        <f t="shared" si="48"/>
        <v>富村</v>
      </c>
      <c r="G321" s="708"/>
      <c r="H321" s="726">
        <v>492</v>
      </c>
      <c r="I321" s="726">
        <v>492</v>
      </c>
      <c r="J321" s="726"/>
      <c r="K321" s="726"/>
      <c r="L321" s="825">
        <v>2018.01</v>
      </c>
      <c r="M321" s="724">
        <v>2018.12</v>
      </c>
      <c r="N321" s="726">
        <v>49.2</v>
      </c>
      <c r="O321" s="726">
        <v>49.2</v>
      </c>
      <c r="P321" s="726"/>
      <c r="Q321" s="726"/>
      <c r="R321" s="726"/>
      <c r="S321" s="726"/>
      <c r="T321" s="726"/>
      <c r="U321" s="726">
        <v>49.2</v>
      </c>
      <c r="V321" s="726"/>
      <c r="W321" s="86" t="s">
        <v>240</v>
      </c>
      <c r="X321" s="724" t="s">
        <v>47</v>
      </c>
      <c r="Y321" s="763">
        <v>492</v>
      </c>
      <c r="Z321" s="763">
        <v>2115.6</v>
      </c>
      <c r="AA321" s="708">
        <v>1</v>
      </c>
      <c r="AB321" s="708"/>
      <c r="AC321" s="708"/>
      <c r="AD321" s="146" t="s">
        <v>255</v>
      </c>
      <c r="AE321" s="146" t="s">
        <v>256</v>
      </c>
      <c r="AF321" s="146" t="s">
        <v>195</v>
      </c>
      <c r="AG321" s="708"/>
    </row>
    <row r="322" ht="24.95" customHeight="1" spans="1:33">
      <c r="A322" s="705"/>
      <c r="B322" s="714" t="s">
        <v>100</v>
      </c>
      <c r="C322" s="146" t="s">
        <v>52</v>
      </c>
      <c r="D322" s="152" t="s">
        <v>147</v>
      </c>
      <c r="E322" s="708">
        <v>1</v>
      </c>
      <c r="F322" s="714" t="str">
        <f t="shared" si="48"/>
        <v>黄泥河</v>
      </c>
      <c r="G322" s="708"/>
      <c r="H322" s="726">
        <v>240</v>
      </c>
      <c r="I322" s="726">
        <v>240</v>
      </c>
      <c r="J322" s="726"/>
      <c r="K322" s="726"/>
      <c r="L322" s="825">
        <v>2018.01</v>
      </c>
      <c r="M322" s="724">
        <v>2018.12</v>
      </c>
      <c r="N322" s="726">
        <v>24</v>
      </c>
      <c r="O322" s="726">
        <v>24</v>
      </c>
      <c r="P322" s="726"/>
      <c r="Q322" s="726"/>
      <c r="R322" s="726"/>
      <c r="S322" s="726"/>
      <c r="T322" s="726"/>
      <c r="U322" s="726">
        <v>24</v>
      </c>
      <c r="V322" s="726"/>
      <c r="W322" s="86" t="s">
        <v>240</v>
      </c>
      <c r="X322" s="724" t="s">
        <v>47</v>
      </c>
      <c r="Y322" s="763">
        <v>240</v>
      </c>
      <c r="Z322" s="763">
        <v>1032</v>
      </c>
      <c r="AA322" s="708">
        <v>1</v>
      </c>
      <c r="AB322" s="708"/>
      <c r="AC322" s="708"/>
      <c r="AD322" s="438" t="s">
        <v>79</v>
      </c>
      <c r="AE322" s="146" t="s">
        <v>257</v>
      </c>
      <c r="AF322" s="146" t="s">
        <v>195</v>
      </c>
      <c r="AG322" s="708"/>
    </row>
    <row r="323" ht="24.95" customHeight="1" spans="1:33">
      <c r="A323" s="705"/>
      <c r="B323" s="714" t="s">
        <v>84</v>
      </c>
      <c r="C323" s="146" t="s">
        <v>52</v>
      </c>
      <c r="D323" s="152" t="s">
        <v>147</v>
      </c>
      <c r="E323" s="708">
        <v>1</v>
      </c>
      <c r="F323" s="714" t="str">
        <f t="shared" si="48"/>
        <v>十八连山</v>
      </c>
      <c r="G323" s="708"/>
      <c r="H323" s="726">
        <v>330</v>
      </c>
      <c r="I323" s="726">
        <v>330</v>
      </c>
      <c r="J323" s="726"/>
      <c r="K323" s="726"/>
      <c r="L323" s="825">
        <v>2018.01</v>
      </c>
      <c r="M323" s="724">
        <v>2018.12</v>
      </c>
      <c r="N323" s="726">
        <v>33</v>
      </c>
      <c r="O323" s="726">
        <v>33</v>
      </c>
      <c r="P323" s="726"/>
      <c r="Q323" s="726"/>
      <c r="R323" s="726"/>
      <c r="S323" s="726"/>
      <c r="T323" s="726"/>
      <c r="U323" s="726">
        <v>33</v>
      </c>
      <c r="V323" s="726"/>
      <c r="W323" s="86" t="s">
        <v>240</v>
      </c>
      <c r="X323" s="724" t="s">
        <v>47</v>
      </c>
      <c r="Y323" s="763">
        <v>330</v>
      </c>
      <c r="Z323" s="763">
        <v>1419</v>
      </c>
      <c r="AA323" s="708">
        <v>1</v>
      </c>
      <c r="AB323" s="708"/>
      <c r="AC323" s="708"/>
      <c r="AD323" s="438" t="s">
        <v>185</v>
      </c>
      <c r="AE323" s="146" t="s">
        <v>258</v>
      </c>
      <c r="AF323" s="146" t="s">
        <v>195</v>
      </c>
      <c r="AG323" s="708"/>
    </row>
    <row r="324" ht="24.95" customHeight="1" spans="1:33">
      <c r="A324" s="705"/>
      <c r="B324" s="714" t="s">
        <v>259</v>
      </c>
      <c r="C324" s="146" t="s">
        <v>52</v>
      </c>
      <c r="D324" s="152" t="s">
        <v>147</v>
      </c>
      <c r="E324" s="708">
        <v>1</v>
      </c>
      <c r="F324" s="714" t="str">
        <f t="shared" si="48"/>
        <v>古敢</v>
      </c>
      <c r="G324" s="708"/>
      <c r="H324" s="726">
        <v>69</v>
      </c>
      <c r="I324" s="726">
        <v>69</v>
      </c>
      <c r="J324" s="726"/>
      <c r="K324" s="726"/>
      <c r="L324" s="825">
        <v>2018.01</v>
      </c>
      <c r="M324" s="724">
        <v>2018.12</v>
      </c>
      <c r="N324" s="726">
        <v>6.9</v>
      </c>
      <c r="O324" s="726">
        <v>6.9</v>
      </c>
      <c r="P324" s="726"/>
      <c r="Q324" s="726"/>
      <c r="R324" s="726"/>
      <c r="S324" s="726"/>
      <c r="T324" s="726"/>
      <c r="U324" s="726">
        <v>6.9</v>
      </c>
      <c r="V324" s="726"/>
      <c r="W324" s="86" t="s">
        <v>240</v>
      </c>
      <c r="X324" s="724" t="s">
        <v>47</v>
      </c>
      <c r="Y324" s="763">
        <v>69</v>
      </c>
      <c r="Z324" s="763">
        <v>296.7</v>
      </c>
      <c r="AA324" s="708">
        <v>1</v>
      </c>
      <c r="AB324" s="708"/>
      <c r="AC324" s="708"/>
      <c r="AD324" s="438" t="s">
        <v>260</v>
      </c>
      <c r="AE324" s="146" t="s">
        <v>261</v>
      </c>
      <c r="AF324" s="146" t="s">
        <v>195</v>
      </c>
      <c r="AG324" s="708"/>
    </row>
    <row r="325" ht="24.95" customHeight="1" spans="1:33">
      <c r="A325" s="705"/>
      <c r="B325" s="714" t="s">
        <v>143</v>
      </c>
      <c r="C325" s="146" t="s">
        <v>52</v>
      </c>
      <c r="D325" s="152" t="s">
        <v>147</v>
      </c>
      <c r="E325" s="708">
        <v>1</v>
      </c>
      <c r="F325" s="714" t="str">
        <f t="shared" si="48"/>
        <v>老厂</v>
      </c>
      <c r="G325" s="708"/>
      <c r="H325" s="726">
        <v>198</v>
      </c>
      <c r="I325" s="726">
        <v>198</v>
      </c>
      <c r="J325" s="726"/>
      <c r="K325" s="726"/>
      <c r="L325" s="825">
        <v>2018.01</v>
      </c>
      <c r="M325" s="724">
        <v>2018.12</v>
      </c>
      <c r="N325" s="726">
        <v>19.8</v>
      </c>
      <c r="O325" s="726">
        <v>19.8</v>
      </c>
      <c r="P325" s="726"/>
      <c r="Q325" s="726"/>
      <c r="R325" s="726"/>
      <c r="S325" s="726"/>
      <c r="T325" s="726"/>
      <c r="U325" s="726">
        <v>19.8</v>
      </c>
      <c r="V325" s="726"/>
      <c r="W325" s="86" t="s">
        <v>240</v>
      </c>
      <c r="X325" s="724" t="s">
        <v>47</v>
      </c>
      <c r="Y325" s="763">
        <v>198</v>
      </c>
      <c r="Z325" s="763">
        <v>851.4</v>
      </c>
      <c r="AA325" s="708">
        <v>1</v>
      </c>
      <c r="AB325" s="708"/>
      <c r="AC325" s="708"/>
      <c r="AD325" s="777" t="s">
        <v>262</v>
      </c>
      <c r="AE325" s="777" t="s">
        <v>263</v>
      </c>
      <c r="AF325" s="146" t="s">
        <v>195</v>
      </c>
      <c r="AG325" s="708"/>
    </row>
    <row r="326" ht="24.95" customHeight="1" spans="1:33">
      <c r="A326" s="705"/>
      <c r="B326" s="750" t="s">
        <v>286</v>
      </c>
      <c r="C326" s="146" t="s">
        <v>52</v>
      </c>
      <c r="D326" s="152" t="s">
        <v>147</v>
      </c>
      <c r="E326" s="708">
        <f>SUM(E327:E338)</f>
        <v>2</v>
      </c>
      <c r="F326" s="708"/>
      <c r="G326" s="708"/>
      <c r="H326" s="726">
        <f t="shared" ref="F326:AA326" si="55">SUM(H327:H338)</f>
        <v>315</v>
      </c>
      <c r="I326" s="726">
        <f t="shared" si="55"/>
        <v>315</v>
      </c>
      <c r="J326" s="726">
        <f t="shared" si="55"/>
        <v>0</v>
      </c>
      <c r="K326" s="726">
        <f t="shared" si="55"/>
        <v>0</v>
      </c>
      <c r="L326" s="726"/>
      <c r="M326" s="726"/>
      <c r="N326" s="726">
        <f t="shared" si="55"/>
        <v>170.1</v>
      </c>
      <c r="O326" s="726">
        <f t="shared" si="55"/>
        <v>170.1</v>
      </c>
      <c r="P326" s="726">
        <f t="shared" si="55"/>
        <v>0</v>
      </c>
      <c r="Q326" s="726">
        <f t="shared" si="55"/>
        <v>0</v>
      </c>
      <c r="R326" s="726">
        <f t="shared" si="55"/>
        <v>170.1</v>
      </c>
      <c r="S326" s="726">
        <f t="shared" si="55"/>
        <v>0</v>
      </c>
      <c r="T326" s="726">
        <f t="shared" si="55"/>
        <v>0</v>
      </c>
      <c r="U326" s="726">
        <f t="shared" si="55"/>
        <v>0</v>
      </c>
      <c r="V326" s="726">
        <f t="shared" si="55"/>
        <v>0</v>
      </c>
      <c r="W326" s="86" t="s">
        <v>240</v>
      </c>
      <c r="X326" s="724" t="s">
        <v>47</v>
      </c>
      <c r="Y326" s="708">
        <f t="shared" si="55"/>
        <v>315</v>
      </c>
      <c r="Z326" s="708">
        <f t="shared" si="55"/>
        <v>105</v>
      </c>
      <c r="AA326" s="708">
        <f t="shared" si="55"/>
        <v>2</v>
      </c>
      <c r="AB326" s="708"/>
      <c r="AC326" s="708"/>
      <c r="AD326" s="193" t="s">
        <v>242</v>
      </c>
      <c r="AE326" s="193" t="s">
        <v>243</v>
      </c>
      <c r="AF326" s="146" t="s">
        <v>195</v>
      </c>
      <c r="AG326" s="708"/>
    </row>
    <row r="327" ht="24.95" customHeight="1" spans="1:33">
      <c r="A327" s="705"/>
      <c r="B327" s="714" t="s">
        <v>101</v>
      </c>
      <c r="C327" s="146" t="s">
        <v>52</v>
      </c>
      <c r="D327" s="152" t="s">
        <v>147</v>
      </c>
      <c r="E327" s="708">
        <v>1</v>
      </c>
      <c r="F327" s="714" t="str">
        <f t="shared" si="48"/>
        <v>中安</v>
      </c>
      <c r="G327" s="708"/>
      <c r="H327" s="726">
        <v>150</v>
      </c>
      <c r="I327" s="726">
        <v>150</v>
      </c>
      <c r="J327" s="726"/>
      <c r="K327" s="726"/>
      <c r="L327" s="825">
        <v>2018.01</v>
      </c>
      <c r="M327" s="724">
        <v>2018.12</v>
      </c>
      <c r="N327" s="726">
        <v>81</v>
      </c>
      <c r="O327" s="726">
        <v>81</v>
      </c>
      <c r="P327" s="726"/>
      <c r="Q327" s="726"/>
      <c r="R327" s="726">
        <v>81</v>
      </c>
      <c r="S327" s="726"/>
      <c r="T327" s="726"/>
      <c r="U327" s="724"/>
      <c r="V327" s="726"/>
      <c r="W327" s="86" t="s">
        <v>240</v>
      </c>
      <c r="X327" s="724" t="s">
        <v>47</v>
      </c>
      <c r="Y327" s="708">
        <v>150</v>
      </c>
      <c r="Z327" s="708">
        <v>50</v>
      </c>
      <c r="AA327" s="708">
        <v>1</v>
      </c>
      <c r="AB327" s="708"/>
      <c r="AC327" s="708"/>
      <c r="AD327" s="146" t="s">
        <v>244</v>
      </c>
      <c r="AE327" s="146" t="s">
        <v>245</v>
      </c>
      <c r="AF327" s="146" t="s">
        <v>195</v>
      </c>
      <c r="AG327" s="708"/>
    </row>
    <row r="328" ht="24.95" customHeight="1" spans="1:33">
      <c r="A328" s="705"/>
      <c r="B328" s="714" t="s">
        <v>151</v>
      </c>
      <c r="C328" s="146" t="s">
        <v>52</v>
      </c>
      <c r="D328" s="152" t="s">
        <v>147</v>
      </c>
      <c r="E328" s="708">
        <v>1</v>
      </c>
      <c r="F328" s="714" t="str">
        <f t="shared" si="48"/>
        <v>胜境</v>
      </c>
      <c r="G328" s="708"/>
      <c r="H328" s="726">
        <v>165</v>
      </c>
      <c r="I328" s="726">
        <v>165</v>
      </c>
      <c r="J328" s="726"/>
      <c r="K328" s="726"/>
      <c r="L328" s="825">
        <v>2018.01</v>
      </c>
      <c r="M328" s="724">
        <v>2018.12</v>
      </c>
      <c r="N328" s="726">
        <v>89.1</v>
      </c>
      <c r="O328" s="726">
        <v>89.1</v>
      </c>
      <c r="P328" s="726"/>
      <c r="Q328" s="726"/>
      <c r="R328" s="726">
        <v>89.1</v>
      </c>
      <c r="S328" s="726"/>
      <c r="T328" s="726"/>
      <c r="U328" s="724"/>
      <c r="V328" s="726"/>
      <c r="W328" s="86" t="s">
        <v>240</v>
      </c>
      <c r="X328" s="724" t="s">
        <v>47</v>
      </c>
      <c r="Y328" s="708">
        <v>165</v>
      </c>
      <c r="Z328" s="708">
        <v>55</v>
      </c>
      <c r="AA328" s="708">
        <v>1</v>
      </c>
      <c r="AB328" s="708"/>
      <c r="AC328" s="708"/>
      <c r="AD328" s="146" t="s">
        <v>169</v>
      </c>
      <c r="AE328" s="146" t="s">
        <v>246</v>
      </c>
      <c r="AF328" s="146" t="s">
        <v>195</v>
      </c>
      <c r="AG328" s="708"/>
    </row>
    <row r="329" ht="24.95" customHeight="1" spans="1:33">
      <c r="A329" s="705"/>
      <c r="B329" s="714" t="s">
        <v>154</v>
      </c>
      <c r="C329" s="146" t="s">
        <v>52</v>
      </c>
      <c r="D329" s="152" t="s">
        <v>147</v>
      </c>
      <c r="E329" s="708"/>
      <c r="F329" s="714" t="str">
        <f t="shared" si="48"/>
        <v>后所</v>
      </c>
      <c r="G329" s="708"/>
      <c r="H329" s="726"/>
      <c r="I329" s="726"/>
      <c r="J329" s="726"/>
      <c r="K329" s="726"/>
      <c r="L329" s="825"/>
      <c r="M329" s="724"/>
      <c r="N329" s="726"/>
      <c r="O329" s="726"/>
      <c r="P329" s="726"/>
      <c r="Q329" s="726"/>
      <c r="R329" s="726"/>
      <c r="S329" s="726"/>
      <c r="T329" s="726"/>
      <c r="U329" s="726"/>
      <c r="V329" s="726"/>
      <c r="W329" s="86" t="s">
        <v>240</v>
      </c>
      <c r="X329" s="724" t="s">
        <v>47</v>
      </c>
      <c r="Y329" s="708"/>
      <c r="Z329" s="708"/>
      <c r="AA329" s="708"/>
      <c r="AB329" s="708"/>
      <c r="AC329" s="708"/>
      <c r="AD329" s="708"/>
      <c r="AE329" s="708"/>
      <c r="AF329" s="708"/>
      <c r="AG329" s="708"/>
    </row>
    <row r="330" ht="24.95" customHeight="1" spans="1:33">
      <c r="A330" s="705"/>
      <c r="B330" s="714" t="s">
        <v>81</v>
      </c>
      <c r="C330" s="146" t="s">
        <v>52</v>
      </c>
      <c r="D330" s="152" t="s">
        <v>147</v>
      </c>
      <c r="E330" s="708"/>
      <c r="F330" s="714" t="str">
        <f t="shared" si="48"/>
        <v>墨红</v>
      </c>
      <c r="G330" s="708"/>
      <c r="H330" s="726"/>
      <c r="I330" s="726"/>
      <c r="J330" s="726"/>
      <c r="K330" s="726"/>
      <c r="L330" s="825"/>
      <c r="M330" s="724"/>
      <c r="N330" s="726"/>
      <c r="O330" s="726"/>
      <c r="P330" s="726"/>
      <c r="Q330" s="726"/>
      <c r="R330" s="726"/>
      <c r="S330" s="726"/>
      <c r="T330" s="726"/>
      <c r="U330" s="726"/>
      <c r="V330" s="726"/>
      <c r="W330" s="86" t="s">
        <v>240</v>
      </c>
      <c r="X330" s="724" t="s">
        <v>47</v>
      </c>
      <c r="Y330" s="708"/>
      <c r="Z330" s="708"/>
      <c r="AA330" s="708"/>
      <c r="AB330" s="708"/>
      <c r="AC330" s="708"/>
      <c r="AD330" s="708"/>
      <c r="AE330" s="708"/>
      <c r="AF330" s="708"/>
      <c r="AG330" s="708"/>
    </row>
    <row r="331" ht="24.95" customHeight="1" spans="1:33">
      <c r="A331" s="705"/>
      <c r="B331" s="714" t="s">
        <v>98</v>
      </c>
      <c r="C331" s="146" t="s">
        <v>52</v>
      </c>
      <c r="D331" s="152" t="s">
        <v>147</v>
      </c>
      <c r="E331" s="708"/>
      <c r="F331" s="714" t="str">
        <f t="shared" si="48"/>
        <v>大河</v>
      </c>
      <c r="G331" s="708"/>
      <c r="H331" s="726"/>
      <c r="I331" s="726"/>
      <c r="J331" s="726"/>
      <c r="K331" s="726"/>
      <c r="L331" s="825"/>
      <c r="M331" s="724"/>
      <c r="N331" s="726"/>
      <c r="O331" s="726"/>
      <c r="P331" s="726"/>
      <c r="Q331" s="726"/>
      <c r="R331" s="726"/>
      <c r="S331" s="726"/>
      <c r="T331" s="726"/>
      <c r="U331" s="726"/>
      <c r="V331" s="726"/>
      <c r="W331" s="86" t="s">
        <v>240</v>
      </c>
      <c r="X331" s="724" t="s">
        <v>47</v>
      </c>
      <c r="Y331" s="708"/>
      <c r="Z331" s="708"/>
      <c r="AA331" s="708"/>
      <c r="AB331" s="708"/>
      <c r="AC331" s="708"/>
      <c r="AD331" s="708"/>
      <c r="AE331" s="708"/>
      <c r="AF331" s="708"/>
      <c r="AG331" s="708"/>
    </row>
    <row r="332" ht="24.95" customHeight="1" spans="1:33">
      <c r="A332" s="705"/>
      <c r="B332" s="714" t="s">
        <v>211</v>
      </c>
      <c r="C332" s="146" t="s">
        <v>52</v>
      </c>
      <c r="D332" s="152" t="s">
        <v>147</v>
      </c>
      <c r="E332" s="708"/>
      <c r="F332" s="714" t="str">
        <f t="shared" ref="F332:F395" si="56">B332</f>
        <v>营上</v>
      </c>
      <c r="G332" s="708"/>
      <c r="H332" s="726"/>
      <c r="I332" s="726"/>
      <c r="J332" s="726"/>
      <c r="K332" s="726"/>
      <c r="L332" s="825"/>
      <c r="M332" s="724"/>
      <c r="N332" s="726"/>
      <c r="O332" s="726"/>
      <c r="P332" s="726"/>
      <c r="Q332" s="726"/>
      <c r="R332" s="726"/>
      <c r="S332" s="726"/>
      <c r="T332" s="726"/>
      <c r="U332" s="726"/>
      <c r="V332" s="726"/>
      <c r="W332" s="86" t="s">
        <v>240</v>
      </c>
      <c r="X332" s="724" t="s">
        <v>47</v>
      </c>
      <c r="Y332" s="708"/>
      <c r="Z332" s="708"/>
      <c r="AA332" s="708"/>
      <c r="AB332" s="708"/>
      <c r="AC332" s="708"/>
      <c r="AD332" s="708"/>
      <c r="AE332" s="708"/>
      <c r="AF332" s="708"/>
      <c r="AG332" s="708"/>
    </row>
    <row r="333" ht="24.95" customHeight="1" spans="1:33">
      <c r="A333" s="705"/>
      <c r="B333" s="714" t="s">
        <v>155</v>
      </c>
      <c r="C333" s="146" t="s">
        <v>52</v>
      </c>
      <c r="D333" s="152" t="s">
        <v>147</v>
      </c>
      <c r="E333" s="708"/>
      <c r="F333" s="714" t="str">
        <f t="shared" si="56"/>
        <v>竹园</v>
      </c>
      <c r="G333" s="708"/>
      <c r="H333" s="726"/>
      <c r="I333" s="726"/>
      <c r="J333" s="726"/>
      <c r="K333" s="726"/>
      <c r="L333" s="825"/>
      <c r="M333" s="724"/>
      <c r="N333" s="726"/>
      <c r="O333" s="726"/>
      <c r="P333" s="726"/>
      <c r="Q333" s="726"/>
      <c r="R333" s="726"/>
      <c r="S333" s="726"/>
      <c r="T333" s="726"/>
      <c r="U333" s="726"/>
      <c r="V333" s="726"/>
      <c r="W333" s="86" t="s">
        <v>240</v>
      </c>
      <c r="X333" s="724" t="s">
        <v>47</v>
      </c>
      <c r="Y333" s="708"/>
      <c r="Z333" s="708"/>
      <c r="AA333" s="708"/>
      <c r="AB333" s="708"/>
      <c r="AC333" s="708"/>
      <c r="AD333" s="708"/>
      <c r="AE333" s="708"/>
      <c r="AF333" s="708"/>
      <c r="AG333" s="708"/>
    </row>
    <row r="334" ht="24.95" customHeight="1" spans="1:33">
      <c r="A334" s="705"/>
      <c r="B334" s="714" t="s">
        <v>102</v>
      </c>
      <c r="C334" s="146" t="s">
        <v>52</v>
      </c>
      <c r="D334" s="152" t="s">
        <v>147</v>
      </c>
      <c r="E334" s="708"/>
      <c r="F334" s="714" t="str">
        <f t="shared" si="56"/>
        <v>富村</v>
      </c>
      <c r="G334" s="708"/>
      <c r="H334" s="726"/>
      <c r="I334" s="726"/>
      <c r="J334" s="726"/>
      <c r="K334" s="726"/>
      <c r="L334" s="825"/>
      <c r="M334" s="724"/>
      <c r="N334" s="726"/>
      <c r="O334" s="726"/>
      <c r="P334" s="726"/>
      <c r="Q334" s="726"/>
      <c r="R334" s="726"/>
      <c r="S334" s="726"/>
      <c r="T334" s="726"/>
      <c r="U334" s="726"/>
      <c r="V334" s="726"/>
      <c r="W334" s="86" t="s">
        <v>240</v>
      </c>
      <c r="X334" s="724" t="s">
        <v>47</v>
      </c>
      <c r="Y334" s="708"/>
      <c r="Z334" s="708"/>
      <c r="AA334" s="708"/>
      <c r="AB334" s="708"/>
      <c r="AC334" s="708"/>
      <c r="AD334" s="708"/>
      <c r="AE334" s="708"/>
      <c r="AF334" s="708"/>
      <c r="AG334" s="708"/>
    </row>
    <row r="335" ht="24.95" customHeight="1" spans="1:33">
      <c r="A335" s="705"/>
      <c r="B335" s="714" t="s">
        <v>100</v>
      </c>
      <c r="C335" s="146" t="s">
        <v>52</v>
      </c>
      <c r="D335" s="152" t="s">
        <v>147</v>
      </c>
      <c r="E335" s="708"/>
      <c r="F335" s="714" t="str">
        <f t="shared" si="56"/>
        <v>黄泥河</v>
      </c>
      <c r="G335" s="708"/>
      <c r="H335" s="726"/>
      <c r="I335" s="726"/>
      <c r="J335" s="726"/>
      <c r="K335" s="726"/>
      <c r="L335" s="825"/>
      <c r="M335" s="724"/>
      <c r="N335" s="726"/>
      <c r="O335" s="726"/>
      <c r="P335" s="726"/>
      <c r="Q335" s="726"/>
      <c r="R335" s="726"/>
      <c r="S335" s="726"/>
      <c r="T335" s="726"/>
      <c r="U335" s="726"/>
      <c r="V335" s="726"/>
      <c r="W335" s="86" t="s">
        <v>240</v>
      </c>
      <c r="X335" s="724" t="s">
        <v>47</v>
      </c>
      <c r="Y335" s="708"/>
      <c r="Z335" s="708"/>
      <c r="AA335" s="708"/>
      <c r="AB335" s="708"/>
      <c r="AC335" s="708"/>
      <c r="AD335" s="708"/>
      <c r="AE335" s="708"/>
      <c r="AF335" s="708"/>
      <c r="AG335" s="708"/>
    </row>
    <row r="336" ht="24.95" customHeight="1" spans="1:33">
      <c r="A336" s="705"/>
      <c r="B336" s="714" t="s">
        <v>84</v>
      </c>
      <c r="C336" s="146" t="s">
        <v>52</v>
      </c>
      <c r="D336" s="152" t="s">
        <v>147</v>
      </c>
      <c r="E336" s="708"/>
      <c r="F336" s="714" t="str">
        <f t="shared" si="56"/>
        <v>十八连山</v>
      </c>
      <c r="G336" s="708"/>
      <c r="H336" s="726"/>
      <c r="I336" s="726"/>
      <c r="J336" s="726"/>
      <c r="K336" s="726"/>
      <c r="L336" s="825"/>
      <c r="M336" s="724"/>
      <c r="N336" s="726"/>
      <c r="O336" s="726"/>
      <c r="P336" s="726"/>
      <c r="Q336" s="726"/>
      <c r="R336" s="726"/>
      <c r="S336" s="726"/>
      <c r="T336" s="726"/>
      <c r="U336" s="726"/>
      <c r="V336" s="726"/>
      <c r="W336" s="86" t="s">
        <v>240</v>
      </c>
      <c r="X336" s="724" t="s">
        <v>47</v>
      </c>
      <c r="Y336" s="708"/>
      <c r="Z336" s="708"/>
      <c r="AA336" s="708"/>
      <c r="AB336" s="708"/>
      <c r="AC336" s="708"/>
      <c r="AD336" s="708"/>
      <c r="AE336" s="708"/>
      <c r="AF336" s="708"/>
      <c r="AG336" s="708"/>
    </row>
    <row r="337" ht="24.95" customHeight="1" spans="1:33">
      <c r="A337" s="705">
        <v>34</v>
      </c>
      <c r="B337" s="714" t="s">
        <v>259</v>
      </c>
      <c r="C337" s="146" t="s">
        <v>52</v>
      </c>
      <c r="D337" s="152" t="s">
        <v>147</v>
      </c>
      <c r="E337" s="708"/>
      <c r="F337" s="714" t="str">
        <f t="shared" si="56"/>
        <v>古敢</v>
      </c>
      <c r="G337" s="92"/>
      <c r="H337" s="724"/>
      <c r="I337" s="724"/>
      <c r="J337" s="724"/>
      <c r="K337" s="724"/>
      <c r="L337" s="825"/>
      <c r="M337" s="724"/>
      <c r="N337" s="724"/>
      <c r="O337" s="724"/>
      <c r="P337" s="724"/>
      <c r="Q337" s="724"/>
      <c r="R337" s="724"/>
      <c r="S337" s="724"/>
      <c r="T337" s="724"/>
      <c r="U337" s="724"/>
      <c r="V337" s="724"/>
      <c r="W337" s="86" t="s">
        <v>240</v>
      </c>
      <c r="X337" s="724" t="s">
        <v>47</v>
      </c>
      <c r="Y337" s="724"/>
      <c r="Z337" s="724"/>
      <c r="AA337" s="92"/>
      <c r="AB337" s="92"/>
      <c r="AC337" s="92"/>
      <c r="AD337" s="92"/>
      <c r="AE337" s="92"/>
      <c r="AF337" s="92"/>
      <c r="AG337" s="92"/>
    </row>
    <row r="338" ht="24.95" customHeight="1" spans="1:33">
      <c r="A338" s="705" t="s">
        <v>48</v>
      </c>
      <c r="B338" s="714" t="s">
        <v>143</v>
      </c>
      <c r="C338" s="146" t="s">
        <v>52</v>
      </c>
      <c r="D338" s="152" t="s">
        <v>147</v>
      </c>
      <c r="E338" s="708"/>
      <c r="F338" s="714" t="str">
        <f t="shared" si="56"/>
        <v>老厂</v>
      </c>
      <c r="G338" s="92"/>
      <c r="H338" s="724"/>
      <c r="I338" s="724"/>
      <c r="J338" s="724"/>
      <c r="K338" s="724"/>
      <c r="L338" s="825"/>
      <c r="M338" s="724"/>
      <c r="N338" s="724"/>
      <c r="O338" s="724"/>
      <c r="P338" s="724"/>
      <c r="Q338" s="724"/>
      <c r="R338" s="724"/>
      <c r="S338" s="724"/>
      <c r="T338" s="724"/>
      <c r="U338" s="724"/>
      <c r="V338" s="724"/>
      <c r="W338" s="86" t="s">
        <v>240</v>
      </c>
      <c r="X338" s="724" t="s">
        <v>47</v>
      </c>
      <c r="Y338" s="92"/>
      <c r="Z338" s="92"/>
      <c r="AA338" s="92"/>
      <c r="AB338" s="92"/>
      <c r="AC338" s="92"/>
      <c r="AD338" s="92"/>
      <c r="AE338" s="92"/>
      <c r="AF338" s="92"/>
      <c r="AG338" s="92"/>
    </row>
    <row r="339" ht="24.95" customHeight="1" spans="1:33">
      <c r="A339" s="705"/>
      <c r="B339" s="711" t="s">
        <v>287</v>
      </c>
      <c r="C339" s="146" t="s">
        <v>52</v>
      </c>
      <c r="D339" s="152" t="s">
        <v>147</v>
      </c>
      <c r="E339" s="708"/>
      <c r="F339" s="714"/>
      <c r="G339" s="92"/>
      <c r="H339" s="724"/>
      <c r="I339" s="724"/>
      <c r="J339" s="724"/>
      <c r="K339" s="724"/>
      <c r="L339" s="825"/>
      <c r="M339" s="724"/>
      <c r="N339" s="724"/>
      <c r="O339" s="724"/>
      <c r="P339" s="724"/>
      <c r="Q339" s="724"/>
      <c r="R339" s="724"/>
      <c r="S339" s="724"/>
      <c r="T339" s="724"/>
      <c r="U339" s="724"/>
      <c r="V339" s="724"/>
      <c r="W339" s="86" t="s">
        <v>240</v>
      </c>
      <c r="X339" s="724" t="s">
        <v>47</v>
      </c>
      <c r="Y339" s="92"/>
      <c r="Z339" s="92"/>
      <c r="AA339" s="708"/>
      <c r="AB339" s="92"/>
      <c r="AC339" s="92"/>
      <c r="AD339" s="193"/>
      <c r="AE339" s="193"/>
      <c r="AF339" s="146"/>
      <c r="AG339" s="92"/>
    </row>
    <row r="340" ht="24.95" customHeight="1" spans="1:33">
      <c r="A340" s="705"/>
      <c r="B340" s="711" t="s">
        <v>288</v>
      </c>
      <c r="C340" s="146" t="s">
        <v>52</v>
      </c>
      <c r="D340" s="141"/>
      <c r="E340" s="708"/>
      <c r="F340" s="714"/>
      <c r="G340" s="92"/>
      <c r="H340" s="724"/>
      <c r="I340" s="724"/>
      <c r="J340" s="724"/>
      <c r="K340" s="724"/>
      <c r="L340" s="825"/>
      <c r="M340" s="724"/>
      <c r="N340" s="724"/>
      <c r="O340" s="724"/>
      <c r="P340" s="724"/>
      <c r="Q340" s="724"/>
      <c r="R340" s="724"/>
      <c r="S340" s="724"/>
      <c r="T340" s="724"/>
      <c r="U340" s="724"/>
      <c r="V340" s="724"/>
      <c r="W340" s="86" t="s">
        <v>240</v>
      </c>
      <c r="X340" s="724" t="s">
        <v>47</v>
      </c>
      <c r="Y340" s="92"/>
      <c r="Z340" s="92"/>
      <c r="AA340" s="708"/>
      <c r="AB340" s="92"/>
      <c r="AC340" s="92"/>
      <c r="AD340" s="193"/>
      <c r="AE340" s="193"/>
      <c r="AF340" s="146"/>
      <c r="AG340" s="92"/>
    </row>
    <row r="341" ht="24.95" customHeight="1" spans="1:33">
      <c r="A341" s="705"/>
      <c r="B341" s="778" t="s">
        <v>51</v>
      </c>
      <c r="C341" s="146" t="s">
        <v>52</v>
      </c>
      <c r="D341" s="753" t="s">
        <v>147</v>
      </c>
      <c r="E341" s="708"/>
      <c r="F341" s="778" t="str">
        <f t="shared" si="56"/>
        <v>胜境街道</v>
      </c>
      <c r="G341" s="92"/>
      <c r="H341" s="724"/>
      <c r="I341" s="724"/>
      <c r="J341" s="724"/>
      <c r="K341" s="724"/>
      <c r="L341" s="825"/>
      <c r="M341" s="724"/>
      <c r="N341" s="724"/>
      <c r="O341" s="724"/>
      <c r="P341" s="724"/>
      <c r="Q341" s="724"/>
      <c r="R341" s="724"/>
      <c r="S341" s="724"/>
      <c r="T341" s="724"/>
      <c r="U341" s="724"/>
      <c r="V341" s="724"/>
      <c r="W341" s="86" t="s">
        <v>240</v>
      </c>
      <c r="X341" s="724" t="s">
        <v>47</v>
      </c>
      <c r="Y341" s="92"/>
      <c r="Z341" s="92"/>
      <c r="AA341" s="708"/>
      <c r="AB341" s="92"/>
      <c r="AC341" s="92"/>
      <c r="AD341" s="712"/>
      <c r="AE341" s="56"/>
      <c r="AF341" s="146"/>
      <c r="AG341" s="92"/>
    </row>
    <row r="342" ht="24.95" customHeight="1" spans="1:33">
      <c r="A342" s="705"/>
      <c r="B342" s="778" t="s">
        <v>72</v>
      </c>
      <c r="C342" s="146" t="s">
        <v>52</v>
      </c>
      <c r="D342" s="753" t="s">
        <v>147</v>
      </c>
      <c r="E342" s="708"/>
      <c r="F342" s="778" t="str">
        <f t="shared" si="56"/>
        <v>后所镇</v>
      </c>
      <c r="G342" s="92"/>
      <c r="H342" s="724"/>
      <c r="I342" s="724"/>
      <c r="J342" s="724"/>
      <c r="K342" s="724"/>
      <c r="L342" s="825"/>
      <c r="M342" s="724"/>
      <c r="N342" s="724"/>
      <c r="O342" s="724"/>
      <c r="P342" s="724"/>
      <c r="Q342" s="724"/>
      <c r="R342" s="724"/>
      <c r="S342" s="724"/>
      <c r="T342" s="724"/>
      <c r="U342" s="724"/>
      <c r="V342" s="724"/>
      <c r="W342" s="86" t="s">
        <v>240</v>
      </c>
      <c r="X342" s="724" t="s">
        <v>47</v>
      </c>
      <c r="Y342" s="92"/>
      <c r="Z342" s="92"/>
      <c r="AA342" s="708"/>
      <c r="AB342" s="92"/>
      <c r="AC342" s="92"/>
      <c r="AD342" s="712"/>
      <c r="AE342" s="56"/>
      <c r="AF342" s="146"/>
      <c r="AG342" s="92"/>
    </row>
    <row r="343" ht="24.95" customHeight="1" spans="1:33">
      <c r="A343" s="705"/>
      <c r="B343" s="778" t="s">
        <v>91</v>
      </c>
      <c r="C343" s="146" t="s">
        <v>52</v>
      </c>
      <c r="D343" s="753" t="s">
        <v>147</v>
      </c>
      <c r="E343" s="708"/>
      <c r="F343" s="778" t="str">
        <f t="shared" si="56"/>
        <v>墨红镇</v>
      </c>
      <c r="G343" s="92"/>
      <c r="H343" s="724"/>
      <c r="I343" s="724"/>
      <c r="J343" s="724"/>
      <c r="K343" s="724"/>
      <c r="L343" s="825"/>
      <c r="M343" s="724"/>
      <c r="N343" s="724"/>
      <c r="O343" s="724"/>
      <c r="P343" s="724"/>
      <c r="Q343" s="724"/>
      <c r="R343" s="724"/>
      <c r="S343" s="724"/>
      <c r="T343" s="724"/>
      <c r="U343" s="724"/>
      <c r="V343" s="724"/>
      <c r="W343" s="86" t="s">
        <v>240</v>
      </c>
      <c r="X343" s="724" t="s">
        <v>47</v>
      </c>
      <c r="Y343" s="92"/>
      <c r="Z343" s="92"/>
      <c r="AA343" s="708"/>
      <c r="AB343" s="92"/>
      <c r="AC343" s="92"/>
      <c r="AD343" s="712"/>
      <c r="AE343" s="56"/>
      <c r="AF343" s="146"/>
      <c r="AG343" s="92"/>
    </row>
    <row r="344" ht="24.95" customHeight="1" spans="1:33">
      <c r="A344" s="705"/>
      <c r="B344" s="778" t="s">
        <v>55</v>
      </c>
      <c r="C344" s="146" t="s">
        <v>52</v>
      </c>
      <c r="D344" s="753" t="s">
        <v>147</v>
      </c>
      <c r="E344" s="708"/>
      <c r="F344" s="778" t="str">
        <f t="shared" si="56"/>
        <v>大河镇</v>
      </c>
      <c r="G344" s="92"/>
      <c r="H344" s="724"/>
      <c r="I344" s="724"/>
      <c r="J344" s="724"/>
      <c r="K344" s="724"/>
      <c r="L344" s="825"/>
      <c r="M344" s="724"/>
      <c r="N344" s="724"/>
      <c r="O344" s="724"/>
      <c r="P344" s="724"/>
      <c r="Q344" s="724"/>
      <c r="R344" s="724"/>
      <c r="S344" s="724"/>
      <c r="T344" s="724"/>
      <c r="U344" s="724"/>
      <c r="V344" s="724"/>
      <c r="W344" s="86" t="s">
        <v>240</v>
      </c>
      <c r="X344" s="724" t="s">
        <v>47</v>
      </c>
      <c r="Y344" s="92"/>
      <c r="Z344" s="92"/>
      <c r="AA344" s="708"/>
      <c r="AB344" s="92"/>
      <c r="AC344" s="92"/>
      <c r="AD344" s="712"/>
      <c r="AE344" s="56"/>
      <c r="AF344" s="146"/>
      <c r="AG344" s="92"/>
    </row>
    <row r="345" ht="24.95" customHeight="1" spans="1:33">
      <c r="A345" s="705"/>
      <c r="B345" s="778" t="s">
        <v>75</v>
      </c>
      <c r="C345" s="146" t="s">
        <v>52</v>
      </c>
      <c r="D345" s="753" t="s">
        <v>147</v>
      </c>
      <c r="E345" s="708"/>
      <c r="F345" s="778" t="str">
        <f t="shared" si="56"/>
        <v>营上镇</v>
      </c>
      <c r="G345" s="92"/>
      <c r="H345" s="724"/>
      <c r="I345" s="724"/>
      <c r="J345" s="724"/>
      <c r="K345" s="724"/>
      <c r="L345" s="825"/>
      <c r="M345" s="724"/>
      <c r="N345" s="724"/>
      <c r="O345" s="724"/>
      <c r="P345" s="724"/>
      <c r="Q345" s="724"/>
      <c r="R345" s="724"/>
      <c r="S345" s="724"/>
      <c r="T345" s="724"/>
      <c r="U345" s="724"/>
      <c r="V345" s="724"/>
      <c r="W345" s="86" t="s">
        <v>240</v>
      </c>
      <c r="X345" s="724" t="s">
        <v>47</v>
      </c>
      <c r="Y345" s="92"/>
      <c r="Z345" s="92"/>
      <c r="AA345" s="708"/>
      <c r="AB345" s="92"/>
      <c r="AC345" s="92"/>
      <c r="AD345" s="712"/>
      <c r="AE345" s="712"/>
      <c r="AF345" s="146"/>
      <c r="AG345" s="92"/>
    </row>
    <row r="346" ht="24.95" customHeight="1" spans="1:33">
      <c r="A346" s="705"/>
      <c r="B346" s="778" t="s">
        <v>58</v>
      </c>
      <c r="C346" s="146" t="s">
        <v>52</v>
      </c>
      <c r="D346" s="753" t="s">
        <v>147</v>
      </c>
      <c r="E346" s="708"/>
      <c r="F346" s="778" t="str">
        <f t="shared" si="56"/>
        <v>竹园镇</v>
      </c>
      <c r="G346" s="92"/>
      <c r="H346" s="724"/>
      <c r="I346" s="724"/>
      <c r="J346" s="724"/>
      <c r="K346" s="724"/>
      <c r="L346" s="825"/>
      <c r="M346" s="724"/>
      <c r="N346" s="724"/>
      <c r="O346" s="724"/>
      <c r="P346" s="724"/>
      <c r="Q346" s="724"/>
      <c r="R346" s="724"/>
      <c r="S346" s="724"/>
      <c r="T346" s="724"/>
      <c r="U346" s="724"/>
      <c r="V346" s="724"/>
      <c r="W346" s="86" t="s">
        <v>240</v>
      </c>
      <c r="X346" s="724" t="s">
        <v>47</v>
      </c>
      <c r="Y346" s="92"/>
      <c r="Z346" s="92"/>
      <c r="AA346" s="708"/>
      <c r="AB346" s="92"/>
      <c r="AC346" s="92"/>
      <c r="AD346" s="712"/>
      <c r="AE346" s="56"/>
      <c r="AF346" s="146"/>
      <c r="AG346" s="92"/>
    </row>
    <row r="347" ht="24.95" customHeight="1" spans="1:33">
      <c r="A347" s="705"/>
      <c r="B347" s="778" t="s">
        <v>61</v>
      </c>
      <c r="C347" s="146" t="s">
        <v>52</v>
      </c>
      <c r="D347" s="753" t="s">
        <v>147</v>
      </c>
      <c r="E347" s="708"/>
      <c r="F347" s="778" t="str">
        <f t="shared" si="56"/>
        <v>富村镇</v>
      </c>
      <c r="G347" s="92"/>
      <c r="H347" s="724"/>
      <c r="I347" s="724"/>
      <c r="J347" s="724"/>
      <c r="K347" s="724"/>
      <c r="L347" s="825"/>
      <c r="M347" s="724"/>
      <c r="N347" s="724"/>
      <c r="O347" s="724"/>
      <c r="P347" s="724"/>
      <c r="Q347" s="724"/>
      <c r="R347" s="724"/>
      <c r="S347" s="724"/>
      <c r="T347" s="724"/>
      <c r="U347" s="724"/>
      <c r="V347" s="724"/>
      <c r="W347" s="86" t="s">
        <v>240</v>
      </c>
      <c r="X347" s="724" t="s">
        <v>47</v>
      </c>
      <c r="Y347" s="92"/>
      <c r="Z347" s="92"/>
      <c r="AA347" s="708"/>
      <c r="AB347" s="92"/>
      <c r="AC347" s="92"/>
      <c r="AD347" s="712"/>
      <c r="AE347" s="56"/>
      <c r="AF347" s="146"/>
      <c r="AG347" s="92"/>
    </row>
    <row r="348" ht="24.95" customHeight="1" spans="1:33">
      <c r="A348" s="705"/>
      <c r="B348" s="778" t="s">
        <v>114</v>
      </c>
      <c r="C348" s="146" t="s">
        <v>52</v>
      </c>
      <c r="D348" s="753" t="s">
        <v>147</v>
      </c>
      <c r="E348" s="708"/>
      <c r="F348" s="778" t="str">
        <f t="shared" si="56"/>
        <v>古敢乡</v>
      </c>
      <c r="G348" s="92"/>
      <c r="H348" s="724"/>
      <c r="I348" s="724"/>
      <c r="J348" s="724"/>
      <c r="K348" s="724"/>
      <c r="L348" s="825"/>
      <c r="M348" s="724"/>
      <c r="N348" s="724"/>
      <c r="O348" s="724"/>
      <c r="P348" s="724"/>
      <c r="Q348" s="724"/>
      <c r="R348" s="724"/>
      <c r="S348" s="724"/>
      <c r="T348" s="724"/>
      <c r="U348" s="724"/>
      <c r="V348" s="724"/>
      <c r="W348" s="86" t="s">
        <v>240</v>
      </c>
      <c r="X348" s="724" t="s">
        <v>47</v>
      </c>
      <c r="Y348" s="92"/>
      <c r="Z348" s="92"/>
      <c r="AA348" s="708"/>
      <c r="AB348" s="92"/>
      <c r="AC348" s="92"/>
      <c r="AD348" s="712"/>
      <c r="AE348" s="56"/>
      <c r="AF348" s="146"/>
      <c r="AG348" s="92"/>
    </row>
    <row r="349" ht="24.95" customHeight="1" spans="1:33">
      <c r="A349" s="705"/>
      <c r="B349" s="778" t="s">
        <v>64</v>
      </c>
      <c r="C349" s="146" t="s">
        <v>52</v>
      </c>
      <c r="D349" s="753" t="s">
        <v>147</v>
      </c>
      <c r="E349" s="708"/>
      <c r="F349" s="778" t="str">
        <f t="shared" si="56"/>
        <v>十八连山镇</v>
      </c>
      <c r="G349" s="92"/>
      <c r="H349" s="724"/>
      <c r="I349" s="724"/>
      <c r="J349" s="724"/>
      <c r="K349" s="724"/>
      <c r="L349" s="825"/>
      <c r="M349" s="724"/>
      <c r="N349" s="724"/>
      <c r="O349" s="724"/>
      <c r="P349" s="724"/>
      <c r="Q349" s="724"/>
      <c r="R349" s="724"/>
      <c r="S349" s="724"/>
      <c r="T349" s="724"/>
      <c r="U349" s="724"/>
      <c r="V349" s="724"/>
      <c r="W349" s="86" t="s">
        <v>240</v>
      </c>
      <c r="X349" s="724" t="s">
        <v>47</v>
      </c>
      <c r="Y349" s="92"/>
      <c r="Z349" s="92"/>
      <c r="AA349" s="708"/>
      <c r="AB349" s="92"/>
      <c r="AC349" s="92"/>
      <c r="AD349" s="712"/>
      <c r="AE349" s="56"/>
      <c r="AF349" s="146"/>
      <c r="AG349" s="92"/>
    </row>
    <row r="350" ht="24.95" customHeight="1" spans="1:33">
      <c r="A350" s="705"/>
      <c r="B350" s="778" t="s">
        <v>92</v>
      </c>
      <c r="C350" s="146" t="s">
        <v>52</v>
      </c>
      <c r="D350" s="753" t="s">
        <v>147</v>
      </c>
      <c r="E350" s="708"/>
      <c r="F350" s="778" t="str">
        <f t="shared" si="56"/>
        <v>老厂镇</v>
      </c>
      <c r="G350" s="92"/>
      <c r="H350" s="724"/>
      <c r="I350" s="724"/>
      <c r="J350" s="724"/>
      <c r="K350" s="724"/>
      <c r="L350" s="825"/>
      <c r="M350" s="724"/>
      <c r="N350" s="724"/>
      <c r="O350" s="724"/>
      <c r="P350" s="724"/>
      <c r="Q350" s="724"/>
      <c r="R350" s="724"/>
      <c r="S350" s="724"/>
      <c r="T350" s="724"/>
      <c r="U350" s="724"/>
      <c r="V350" s="724"/>
      <c r="W350" s="86" t="s">
        <v>240</v>
      </c>
      <c r="X350" s="724" t="s">
        <v>47</v>
      </c>
      <c r="Y350" s="92"/>
      <c r="Z350" s="92"/>
      <c r="AA350" s="708"/>
      <c r="AB350" s="92"/>
      <c r="AC350" s="92"/>
      <c r="AD350" s="712"/>
      <c r="AE350" s="56"/>
      <c r="AF350" s="146"/>
      <c r="AG350" s="92"/>
    </row>
    <row r="351" ht="24.95" customHeight="1" spans="1:33">
      <c r="A351" s="705"/>
      <c r="B351" s="779" t="s">
        <v>289</v>
      </c>
      <c r="C351" s="146" t="s">
        <v>52</v>
      </c>
      <c r="D351" s="780" t="s">
        <v>147</v>
      </c>
      <c r="E351" s="708"/>
      <c r="F351" s="714"/>
      <c r="G351" s="92"/>
      <c r="H351" s="724"/>
      <c r="I351" s="724"/>
      <c r="J351" s="724"/>
      <c r="K351" s="724"/>
      <c r="L351" s="825"/>
      <c r="M351" s="724"/>
      <c r="N351" s="724"/>
      <c r="O351" s="724"/>
      <c r="P351" s="724"/>
      <c r="Q351" s="724"/>
      <c r="R351" s="724"/>
      <c r="S351" s="724"/>
      <c r="T351" s="724"/>
      <c r="U351" s="724"/>
      <c r="V351" s="724"/>
      <c r="W351" s="86" t="s">
        <v>240</v>
      </c>
      <c r="X351" s="724" t="s">
        <v>47</v>
      </c>
      <c r="Y351" s="92"/>
      <c r="Z351" s="92"/>
      <c r="AA351" s="708"/>
      <c r="AB351" s="92"/>
      <c r="AC351" s="92"/>
      <c r="AD351" s="193"/>
      <c r="AE351" s="193"/>
      <c r="AF351" s="146"/>
      <c r="AG351" s="92"/>
    </row>
    <row r="352" ht="24.95" customHeight="1" spans="1:33">
      <c r="A352" s="705"/>
      <c r="B352" s="781" t="s">
        <v>101</v>
      </c>
      <c r="C352" s="146" t="s">
        <v>52</v>
      </c>
      <c r="D352" s="780" t="s">
        <v>147</v>
      </c>
      <c r="E352" s="708"/>
      <c r="F352" s="781" t="str">
        <f t="shared" si="56"/>
        <v>中安</v>
      </c>
      <c r="G352" s="92"/>
      <c r="H352" s="724"/>
      <c r="I352" s="724"/>
      <c r="J352" s="724"/>
      <c r="K352" s="724"/>
      <c r="L352" s="825"/>
      <c r="M352" s="724"/>
      <c r="N352" s="724"/>
      <c r="O352" s="724"/>
      <c r="P352" s="724"/>
      <c r="Q352" s="724"/>
      <c r="R352" s="724"/>
      <c r="S352" s="724"/>
      <c r="T352" s="724"/>
      <c r="U352" s="724"/>
      <c r="V352" s="724"/>
      <c r="W352" s="86" t="s">
        <v>240</v>
      </c>
      <c r="X352" s="724" t="s">
        <v>47</v>
      </c>
      <c r="Y352" s="92"/>
      <c r="Z352" s="92"/>
      <c r="AA352" s="708"/>
      <c r="AB352" s="92"/>
      <c r="AC352" s="92"/>
      <c r="AD352" s="193"/>
      <c r="AE352" s="193"/>
      <c r="AF352" s="146"/>
      <c r="AG352" s="92"/>
    </row>
    <row r="353" ht="24.95" customHeight="1" spans="1:33">
      <c r="A353" s="705"/>
      <c r="B353" s="778" t="s">
        <v>51</v>
      </c>
      <c r="C353" s="146" t="s">
        <v>52</v>
      </c>
      <c r="D353" s="780" t="s">
        <v>147</v>
      </c>
      <c r="E353" s="708"/>
      <c r="F353" s="778" t="str">
        <f t="shared" si="56"/>
        <v>胜境街道</v>
      </c>
      <c r="G353" s="92"/>
      <c r="H353" s="724"/>
      <c r="I353" s="724"/>
      <c r="J353" s="724"/>
      <c r="K353" s="724"/>
      <c r="L353" s="825"/>
      <c r="M353" s="724"/>
      <c r="N353" s="724"/>
      <c r="O353" s="724"/>
      <c r="P353" s="724"/>
      <c r="Q353" s="724"/>
      <c r="R353" s="724"/>
      <c r="S353" s="724"/>
      <c r="T353" s="724"/>
      <c r="U353" s="724"/>
      <c r="V353" s="724"/>
      <c r="W353" s="86" t="s">
        <v>240</v>
      </c>
      <c r="X353" s="724" t="s">
        <v>47</v>
      </c>
      <c r="Y353" s="92"/>
      <c r="Z353" s="92"/>
      <c r="AA353" s="708"/>
      <c r="AB353" s="92"/>
      <c r="AC353" s="92"/>
      <c r="AD353" s="712"/>
      <c r="AE353" s="56"/>
      <c r="AF353" s="146"/>
      <c r="AG353" s="92"/>
    </row>
    <row r="354" ht="24.95" customHeight="1" spans="1:33">
      <c r="A354" s="705"/>
      <c r="B354" s="778" t="s">
        <v>72</v>
      </c>
      <c r="C354" s="146" t="s">
        <v>52</v>
      </c>
      <c r="D354" s="780" t="s">
        <v>147</v>
      </c>
      <c r="E354" s="708"/>
      <c r="F354" s="778" t="str">
        <f t="shared" si="56"/>
        <v>后所镇</v>
      </c>
      <c r="G354" s="92"/>
      <c r="H354" s="724"/>
      <c r="I354" s="724"/>
      <c r="J354" s="724"/>
      <c r="K354" s="724"/>
      <c r="L354" s="825"/>
      <c r="M354" s="724"/>
      <c r="N354" s="724"/>
      <c r="O354" s="724"/>
      <c r="P354" s="724"/>
      <c r="Q354" s="724"/>
      <c r="R354" s="724"/>
      <c r="S354" s="724"/>
      <c r="T354" s="724"/>
      <c r="U354" s="724"/>
      <c r="V354" s="724"/>
      <c r="W354" s="86" t="s">
        <v>240</v>
      </c>
      <c r="X354" s="724" t="s">
        <v>47</v>
      </c>
      <c r="Y354" s="92"/>
      <c r="Z354" s="92"/>
      <c r="AA354" s="708"/>
      <c r="AB354" s="92"/>
      <c r="AC354" s="92"/>
      <c r="AD354" s="712"/>
      <c r="AE354" s="56"/>
      <c r="AF354" s="146"/>
      <c r="AG354" s="92"/>
    </row>
    <row r="355" ht="24.95" customHeight="1" spans="1:33">
      <c r="A355" s="705"/>
      <c r="B355" s="778" t="s">
        <v>55</v>
      </c>
      <c r="C355" s="146" t="s">
        <v>52</v>
      </c>
      <c r="D355" s="780" t="s">
        <v>147</v>
      </c>
      <c r="E355" s="708"/>
      <c r="F355" s="778" t="str">
        <f t="shared" si="56"/>
        <v>大河镇</v>
      </c>
      <c r="G355" s="92"/>
      <c r="H355" s="724"/>
      <c r="I355" s="724"/>
      <c r="J355" s="724"/>
      <c r="K355" s="724"/>
      <c r="L355" s="825"/>
      <c r="M355" s="724"/>
      <c r="N355" s="724"/>
      <c r="O355" s="724"/>
      <c r="P355" s="724"/>
      <c r="Q355" s="724"/>
      <c r="R355" s="724"/>
      <c r="S355" s="724"/>
      <c r="T355" s="724"/>
      <c r="U355" s="724"/>
      <c r="V355" s="724"/>
      <c r="W355" s="86" t="s">
        <v>240</v>
      </c>
      <c r="X355" s="724" t="s">
        <v>47</v>
      </c>
      <c r="Y355" s="92"/>
      <c r="Z355" s="92"/>
      <c r="AA355" s="708"/>
      <c r="AB355" s="92"/>
      <c r="AC355" s="92"/>
      <c r="AD355" s="712"/>
      <c r="AE355" s="56"/>
      <c r="AF355" s="146"/>
      <c r="AG355" s="92"/>
    </row>
    <row r="356" ht="24.95" customHeight="1" spans="1:33">
      <c r="A356" s="705"/>
      <c r="B356" s="778" t="s">
        <v>75</v>
      </c>
      <c r="C356" s="146" t="s">
        <v>52</v>
      </c>
      <c r="D356" s="780" t="s">
        <v>147</v>
      </c>
      <c r="E356" s="708"/>
      <c r="F356" s="778" t="str">
        <f t="shared" si="56"/>
        <v>营上镇</v>
      </c>
      <c r="G356" s="92"/>
      <c r="H356" s="724"/>
      <c r="I356" s="724"/>
      <c r="J356" s="724"/>
      <c r="K356" s="724"/>
      <c r="L356" s="825"/>
      <c r="M356" s="724"/>
      <c r="N356" s="724"/>
      <c r="O356" s="724"/>
      <c r="P356" s="724"/>
      <c r="Q356" s="724"/>
      <c r="R356" s="724"/>
      <c r="S356" s="724"/>
      <c r="T356" s="724"/>
      <c r="U356" s="724"/>
      <c r="V356" s="724"/>
      <c r="W356" s="86" t="s">
        <v>240</v>
      </c>
      <c r="X356" s="724" t="s">
        <v>47</v>
      </c>
      <c r="Y356" s="92"/>
      <c r="Z356" s="92"/>
      <c r="AA356" s="708"/>
      <c r="AB356" s="92"/>
      <c r="AC356" s="92"/>
      <c r="AD356" s="712"/>
      <c r="AE356" s="712"/>
      <c r="AF356" s="146"/>
      <c r="AG356" s="92"/>
    </row>
    <row r="357" ht="24.95" customHeight="1" spans="1:33">
      <c r="A357" s="705"/>
      <c r="B357" s="778" t="s">
        <v>58</v>
      </c>
      <c r="C357" s="146" t="s">
        <v>52</v>
      </c>
      <c r="D357" s="780" t="s">
        <v>147</v>
      </c>
      <c r="E357" s="708"/>
      <c r="F357" s="778" t="str">
        <f t="shared" si="56"/>
        <v>竹园镇</v>
      </c>
      <c r="G357" s="92"/>
      <c r="H357" s="724"/>
      <c r="I357" s="724"/>
      <c r="J357" s="724"/>
      <c r="K357" s="724"/>
      <c r="L357" s="825"/>
      <c r="M357" s="724"/>
      <c r="N357" s="724"/>
      <c r="O357" s="724"/>
      <c r="P357" s="724"/>
      <c r="Q357" s="724"/>
      <c r="R357" s="724"/>
      <c r="S357" s="724"/>
      <c r="T357" s="724"/>
      <c r="U357" s="724"/>
      <c r="V357" s="724"/>
      <c r="W357" s="86" t="s">
        <v>240</v>
      </c>
      <c r="X357" s="724" t="s">
        <v>47</v>
      </c>
      <c r="Y357" s="92"/>
      <c r="Z357" s="92"/>
      <c r="AA357" s="708"/>
      <c r="AB357" s="92"/>
      <c r="AC357" s="92"/>
      <c r="AD357" s="712"/>
      <c r="AE357" s="56"/>
      <c r="AF357" s="146"/>
      <c r="AG357" s="92"/>
    </row>
    <row r="358" ht="24.95" customHeight="1" spans="1:33">
      <c r="A358" s="705"/>
      <c r="B358" s="778" t="s">
        <v>61</v>
      </c>
      <c r="C358" s="146" t="s">
        <v>52</v>
      </c>
      <c r="D358" s="780" t="s">
        <v>147</v>
      </c>
      <c r="E358" s="708"/>
      <c r="F358" s="778" t="str">
        <f t="shared" si="56"/>
        <v>富村镇</v>
      </c>
      <c r="G358" s="92"/>
      <c r="H358" s="724"/>
      <c r="I358" s="724"/>
      <c r="J358" s="724"/>
      <c r="K358" s="724"/>
      <c r="L358" s="825"/>
      <c r="M358" s="724"/>
      <c r="N358" s="724"/>
      <c r="O358" s="724"/>
      <c r="P358" s="724"/>
      <c r="Q358" s="724"/>
      <c r="R358" s="724"/>
      <c r="S358" s="724"/>
      <c r="T358" s="724"/>
      <c r="U358" s="724"/>
      <c r="V358" s="724"/>
      <c r="W358" s="86" t="s">
        <v>240</v>
      </c>
      <c r="X358" s="724" t="s">
        <v>47</v>
      </c>
      <c r="Y358" s="92"/>
      <c r="Z358" s="92"/>
      <c r="AA358" s="708"/>
      <c r="AB358" s="92"/>
      <c r="AC358" s="92"/>
      <c r="AD358" s="712"/>
      <c r="AE358" s="56"/>
      <c r="AF358" s="146"/>
      <c r="AG358" s="92"/>
    </row>
    <row r="359" ht="24.95" customHeight="1" spans="1:33">
      <c r="A359" s="705"/>
      <c r="B359" s="781" t="s">
        <v>100</v>
      </c>
      <c r="C359" s="146" t="s">
        <v>52</v>
      </c>
      <c r="D359" s="780" t="s">
        <v>147</v>
      </c>
      <c r="E359" s="708"/>
      <c r="F359" s="781" t="str">
        <f t="shared" si="56"/>
        <v>黄泥河</v>
      </c>
      <c r="G359" s="92"/>
      <c r="H359" s="724"/>
      <c r="I359" s="724"/>
      <c r="J359" s="724"/>
      <c r="K359" s="724"/>
      <c r="L359" s="825"/>
      <c r="M359" s="724"/>
      <c r="N359" s="724"/>
      <c r="O359" s="724"/>
      <c r="P359" s="724"/>
      <c r="Q359" s="724"/>
      <c r="R359" s="724"/>
      <c r="S359" s="724"/>
      <c r="T359" s="724"/>
      <c r="U359" s="724"/>
      <c r="V359" s="724"/>
      <c r="W359" s="86" t="s">
        <v>240</v>
      </c>
      <c r="X359" s="724" t="s">
        <v>47</v>
      </c>
      <c r="Y359" s="92"/>
      <c r="Z359" s="92"/>
      <c r="AA359" s="708"/>
      <c r="AB359" s="92"/>
      <c r="AC359" s="92"/>
      <c r="AD359" s="743"/>
      <c r="AE359" s="743"/>
      <c r="AF359" s="146"/>
      <c r="AG359" s="92"/>
    </row>
    <row r="360" ht="24.95" customHeight="1" spans="1:33">
      <c r="A360" s="705"/>
      <c r="B360" s="778" t="s">
        <v>114</v>
      </c>
      <c r="C360" s="146" t="s">
        <v>52</v>
      </c>
      <c r="D360" s="780" t="s">
        <v>147</v>
      </c>
      <c r="E360" s="708"/>
      <c r="F360" s="778" t="str">
        <f t="shared" si="56"/>
        <v>古敢乡</v>
      </c>
      <c r="G360" s="92"/>
      <c r="H360" s="724"/>
      <c r="I360" s="724"/>
      <c r="J360" s="724"/>
      <c r="K360" s="724"/>
      <c r="L360" s="825"/>
      <c r="M360" s="724"/>
      <c r="N360" s="724"/>
      <c r="O360" s="724"/>
      <c r="P360" s="724"/>
      <c r="Q360" s="724"/>
      <c r="R360" s="724"/>
      <c r="S360" s="724"/>
      <c r="T360" s="724"/>
      <c r="U360" s="724"/>
      <c r="V360" s="724"/>
      <c r="W360" s="86" t="s">
        <v>240</v>
      </c>
      <c r="X360" s="724" t="s">
        <v>47</v>
      </c>
      <c r="Y360" s="92"/>
      <c r="Z360" s="92"/>
      <c r="AA360" s="708"/>
      <c r="AB360" s="92"/>
      <c r="AC360" s="92"/>
      <c r="AD360" s="712"/>
      <c r="AE360" s="56"/>
      <c r="AF360" s="146"/>
      <c r="AG360" s="92"/>
    </row>
    <row r="361" ht="24.95" customHeight="1" spans="1:33">
      <c r="A361" s="705"/>
      <c r="B361" s="778" t="s">
        <v>64</v>
      </c>
      <c r="C361" s="146" t="s">
        <v>52</v>
      </c>
      <c r="D361" s="780" t="s">
        <v>147</v>
      </c>
      <c r="E361" s="708"/>
      <c r="F361" s="778" t="str">
        <f t="shared" si="56"/>
        <v>十八连山镇</v>
      </c>
      <c r="G361" s="92"/>
      <c r="H361" s="724"/>
      <c r="I361" s="724"/>
      <c r="J361" s="724"/>
      <c r="K361" s="724"/>
      <c r="L361" s="825"/>
      <c r="M361" s="724"/>
      <c r="N361" s="724"/>
      <c r="O361" s="724"/>
      <c r="P361" s="724"/>
      <c r="Q361" s="724"/>
      <c r="R361" s="724"/>
      <c r="S361" s="724"/>
      <c r="T361" s="724"/>
      <c r="U361" s="724"/>
      <c r="V361" s="724"/>
      <c r="W361" s="86" t="s">
        <v>240</v>
      </c>
      <c r="X361" s="724" t="s">
        <v>47</v>
      </c>
      <c r="Y361" s="92"/>
      <c r="Z361" s="92"/>
      <c r="AA361" s="708"/>
      <c r="AB361" s="92"/>
      <c r="AC361" s="92"/>
      <c r="AD361" s="712"/>
      <c r="AE361" s="56"/>
      <c r="AF361" s="146"/>
      <c r="AG361" s="92"/>
    </row>
    <row r="362" ht="24.95" customHeight="1" spans="1:33">
      <c r="A362" s="705"/>
      <c r="B362" s="778" t="s">
        <v>92</v>
      </c>
      <c r="C362" s="146" t="s">
        <v>52</v>
      </c>
      <c r="D362" s="780" t="s">
        <v>147</v>
      </c>
      <c r="E362" s="708"/>
      <c r="F362" s="778" t="str">
        <f t="shared" si="56"/>
        <v>老厂镇</v>
      </c>
      <c r="G362" s="92"/>
      <c r="H362" s="724"/>
      <c r="I362" s="724"/>
      <c r="J362" s="724"/>
      <c r="K362" s="724"/>
      <c r="L362" s="825"/>
      <c r="M362" s="724"/>
      <c r="N362" s="724"/>
      <c r="O362" s="724"/>
      <c r="P362" s="724"/>
      <c r="Q362" s="724"/>
      <c r="R362" s="724"/>
      <c r="S362" s="724"/>
      <c r="T362" s="724"/>
      <c r="U362" s="724"/>
      <c r="V362" s="724"/>
      <c r="W362" s="86" t="s">
        <v>240</v>
      </c>
      <c r="X362" s="724" t="s">
        <v>47</v>
      </c>
      <c r="Y362" s="92"/>
      <c r="Z362" s="92"/>
      <c r="AA362" s="708"/>
      <c r="AB362" s="92"/>
      <c r="AC362" s="92"/>
      <c r="AD362" s="712"/>
      <c r="AE362" s="56"/>
      <c r="AF362" s="146"/>
      <c r="AG362" s="92"/>
    </row>
    <row r="363" ht="24.95" customHeight="1" spans="1:33">
      <c r="A363" s="705"/>
      <c r="B363" s="711" t="s">
        <v>290</v>
      </c>
      <c r="C363" s="146" t="s">
        <v>52</v>
      </c>
      <c r="D363" s="780"/>
      <c r="E363" s="708"/>
      <c r="F363" s="714"/>
      <c r="G363" s="92"/>
      <c r="H363" s="724"/>
      <c r="I363" s="724"/>
      <c r="J363" s="724"/>
      <c r="K363" s="724"/>
      <c r="L363" s="825"/>
      <c r="M363" s="724"/>
      <c r="N363" s="724"/>
      <c r="O363" s="724"/>
      <c r="P363" s="724"/>
      <c r="Q363" s="724"/>
      <c r="R363" s="724"/>
      <c r="S363" s="724"/>
      <c r="T363" s="724"/>
      <c r="U363" s="724"/>
      <c r="V363" s="724"/>
      <c r="W363" s="86" t="s">
        <v>240</v>
      </c>
      <c r="X363" s="724" t="s">
        <v>47</v>
      </c>
      <c r="Y363" s="92"/>
      <c r="Z363" s="92"/>
      <c r="AA363" s="708"/>
      <c r="AB363" s="92"/>
      <c r="AC363" s="92"/>
      <c r="AD363" s="193"/>
      <c r="AE363" s="193"/>
      <c r="AF363" s="146"/>
      <c r="AG363" s="92"/>
    </row>
    <row r="364" ht="24.95" customHeight="1" spans="1:33">
      <c r="A364" s="705"/>
      <c r="B364" s="782" t="s">
        <v>51</v>
      </c>
      <c r="C364" s="146" t="s">
        <v>52</v>
      </c>
      <c r="D364" s="753" t="s">
        <v>147</v>
      </c>
      <c r="E364" s="708"/>
      <c r="F364" s="782" t="str">
        <f t="shared" si="56"/>
        <v>胜境街道</v>
      </c>
      <c r="G364" s="92"/>
      <c r="H364" s="724"/>
      <c r="I364" s="724"/>
      <c r="J364" s="724"/>
      <c r="K364" s="724"/>
      <c r="L364" s="825"/>
      <c r="M364" s="724"/>
      <c r="N364" s="724"/>
      <c r="O364" s="724"/>
      <c r="P364" s="724"/>
      <c r="Q364" s="724"/>
      <c r="R364" s="724"/>
      <c r="S364" s="724"/>
      <c r="T364" s="724"/>
      <c r="U364" s="724"/>
      <c r="V364" s="724"/>
      <c r="W364" s="86" t="s">
        <v>240</v>
      </c>
      <c r="X364" s="724" t="s">
        <v>47</v>
      </c>
      <c r="Y364" s="92"/>
      <c r="Z364" s="92"/>
      <c r="AA364" s="708"/>
      <c r="AB364" s="92"/>
      <c r="AC364" s="92"/>
      <c r="AD364" s="712"/>
      <c r="AE364" s="56"/>
      <c r="AF364" s="146"/>
      <c r="AG364" s="92"/>
    </row>
    <row r="365" ht="24.95" customHeight="1" spans="1:33">
      <c r="A365" s="705"/>
      <c r="B365" s="782" t="s">
        <v>72</v>
      </c>
      <c r="C365" s="146" t="s">
        <v>52</v>
      </c>
      <c r="D365" s="753" t="s">
        <v>147</v>
      </c>
      <c r="E365" s="708"/>
      <c r="F365" s="782" t="str">
        <f t="shared" si="56"/>
        <v>后所镇</v>
      </c>
      <c r="G365" s="92"/>
      <c r="H365" s="724"/>
      <c r="I365" s="724"/>
      <c r="J365" s="724"/>
      <c r="K365" s="724"/>
      <c r="L365" s="825"/>
      <c r="M365" s="724"/>
      <c r="N365" s="724"/>
      <c r="O365" s="724"/>
      <c r="P365" s="724"/>
      <c r="Q365" s="724"/>
      <c r="R365" s="724"/>
      <c r="S365" s="724"/>
      <c r="T365" s="724"/>
      <c r="U365" s="724"/>
      <c r="V365" s="724"/>
      <c r="W365" s="86" t="s">
        <v>240</v>
      </c>
      <c r="X365" s="724" t="s">
        <v>47</v>
      </c>
      <c r="Y365" s="92"/>
      <c r="Z365" s="92"/>
      <c r="AA365" s="708"/>
      <c r="AB365" s="92"/>
      <c r="AC365" s="92"/>
      <c r="AD365" s="712"/>
      <c r="AE365" s="56"/>
      <c r="AF365" s="146"/>
      <c r="AG365" s="92"/>
    </row>
    <row r="366" ht="24.95" customHeight="1" spans="1:33">
      <c r="A366" s="705"/>
      <c r="B366" s="782" t="s">
        <v>55</v>
      </c>
      <c r="C366" s="146" t="s">
        <v>52</v>
      </c>
      <c r="D366" s="753" t="s">
        <v>147</v>
      </c>
      <c r="E366" s="708"/>
      <c r="F366" s="782" t="str">
        <f t="shared" si="56"/>
        <v>大河镇</v>
      </c>
      <c r="G366" s="92"/>
      <c r="H366" s="724"/>
      <c r="I366" s="724"/>
      <c r="J366" s="724"/>
      <c r="K366" s="724"/>
      <c r="L366" s="825"/>
      <c r="M366" s="724"/>
      <c r="N366" s="724"/>
      <c r="O366" s="724"/>
      <c r="P366" s="724"/>
      <c r="Q366" s="724"/>
      <c r="R366" s="724"/>
      <c r="S366" s="724"/>
      <c r="T366" s="724"/>
      <c r="U366" s="724"/>
      <c r="V366" s="724"/>
      <c r="W366" s="86" t="s">
        <v>240</v>
      </c>
      <c r="X366" s="724" t="s">
        <v>47</v>
      </c>
      <c r="Y366" s="92"/>
      <c r="Z366" s="92"/>
      <c r="AA366" s="708"/>
      <c r="AB366" s="92"/>
      <c r="AC366" s="92"/>
      <c r="AD366" s="712"/>
      <c r="AE366" s="56"/>
      <c r="AF366" s="146"/>
      <c r="AG366" s="92"/>
    </row>
    <row r="367" ht="24.95" customHeight="1" spans="1:33">
      <c r="A367" s="705"/>
      <c r="B367" s="778" t="s">
        <v>75</v>
      </c>
      <c r="C367" s="146" t="s">
        <v>52</v>
      </c>
      <c r="D367" s="780" t="s">
        <v>147</v>
      </c>
      <c r="E367" s="708"/>
      <c r="F367" s="778" t="str">
        <f t="shared" si="56"/>
        <v>营上镇</v>
      </c>
      <c r="G367" s="92"/>
      <c r="H367" s="724"/>
      <c r="I367" s="724"/>
      <c r="J367" s="724"/>
      <c r="K367" s="724"/>
      <c r="L367" s="825"/>
      <c r="M367" s="724"/>
      <c r="N367" s="724"/>
      <c r="O367" s="724"/>
      <c r="P367" s="724"/>
      <c r="Q367" s="724"/>
      <c r="R367" s="724"/>
      <c r="S367" s="724"/>
      <c r="T367" s="724"/>
      <c r="U367" s="724"/>
      <c r="V367" s="724"/>
      <c r="W367" s="86" t="s">
        <v>240</v>
      </c>
      <c r="X367" s="724" t="s">
        <v>47</v>
      </c>
      <c r="Y367" s="92"/>
      <c r="Z367" s="92"/>
      <c r="AA367" s="708"/>
      <c r="AB367" s="92"/>
      <c r="AC367" s="92"/>
      <c r="AD367" s="712"/>
      <c r="AE367" s="712"/>
      <c r="AF367" s="146"/>
      <c r="AG367" s="92"/>
    </row>
    <row r="368" ht="24.95" customHeight="1" spans="1:33">
      <c r="A368" s="705"/>
      <c r="B368" s="782" t="s">
        <v>61</v>
      </c>
      <c r="C368" s="146" t="s">
        <v>52</v>
      </c>
      <c r="D368" s="753" t="s">
        <v>147</v>
      </c>
      <c r="E368" s="708"/>
      <c r="F368" s="782" t="str">
        <f t="shared" si="56"/>
        <v>富村镇</v>
      </c>
      <c r="G368" s="92"/>
      <c r="H368" s="724"/>
      <c r="I368" s="724"/>
      <c r="J368" s="724"/>
      <c r="K368" s="724"/>
      <c r="L368" s="825"/>
      <c r="M368" s="724"/>
      <c r="N368" s="724"/>
      <c r="O368" s="724"/>
      <c r="P368" s="724"/>
      <c r="Q368" s="724"/>
      <c r="R368" s="724"/>
      <c r="S368" s="724"/>
      <c r="T368" s="724"/>
      <c r="U368" s="724"/>
      <c r="V368" s="724"/>
      <c r="W368" s="86" t="s">
        <v>240</v>
      </c>
      <c r="X368" s="724" t="s">
        <v>47</v>
      </c>
      <c r="Y368" s="92"/>
      <c r="Z368" s="92"/>
      <c r="AA368" s="708"/>
      <c r="AB368" s="92"/>
      <c r="AC368" s="92"/>
      <c r="AD368" s="712"/>
      <c r="AE368" s="56"/>
      <c r="AF368" s="146"/>
      <c r="AG368" s="92"/>
    </row>
    <row r="369" ht="24.95" customHeight="1" spans="1:33">
      <c r="A369" s="705"/>
      <c r="B369" s="781" t="s">
        <v>100</v>
      </c>
      <c r="C369" s="146" t="s">
        <v>52</v>
      </c>
      <c r="D369" s="780" t="s">
        <v>147</v>
      </c>
      <c r="E369" s="708"/>
      <c r="F369" s="781" t="str">
        <f t="shared" si="56"/>
        <v>黄泥河</v>
      </c>
      <c r="G369" s="92"/>
      <c r="H369" s="724"/>
      <c r="I369" s="724"/>
      <c r="J369" s="724"/>
      <c r="K369" s="724"/>
      <c r="L369" s="825"/>
      <c r="M369" s="724"/>
      <c r="N369" s="724"/>
      <c r="O369" s="724"/>
      <c r="P369" s="724"/>
      <c r="Q369" s="724"/>
      <c r="R369" s="724"/>
      <c r="S369" s="724"/>
      <c r="T369" s="724"/>
      <c r="U369" s="724"/>
      <c r="V369" s="724"/>
      <c r="W369" s="86" t="s">
        <v>240</v>
      </c>
      <c r="X369" s="724" t="s">
        <v>47</v>
      </c>
      <c r="Y369" s="92"/>
      <c r="Z369" s="92"/>
      <c r="AA369" s="708"/>
      <c r="AB369" s="92"/>
      <c r="AC369" s="92"/>
      <c r="AD369" s="146"/>
      <c r="AE369" s="212"/>
      <c r="AF369" s="146"/>
      <c r="AG369" s="92"/>
    </row>
    <row r="370" ht="24.95" customHeight="1" spans="1:33">
      <c r="A370" s="705"/>
      <c r="B370" s="778" t="s">
        <v>291</v>
      </c>
      <c r="C370" s="146" t="s">
        <v>52</v>
      </c>
      <c r="D370" s="753" t="s">
        <v>147</v>
      </c>
      <c r="E370" s="708"/>
      <c r="F370" s="778" t="str">
        <f t="shared" si="56"/>
        <v>十八连山
镇</v>
      </c>
      <c r="G370" s="92"/>
      <c r="H370" s="724"/>
      <c r="I370" s="724"/>
      <c r="J370" s="724"/>
      <c r="K370" s="724"/>
      <c r="L370" s="825"/>
      <c r="M370" s="724"/>
      <c r="N370" s="724"/>
      <c r="O370" s="724"/>
      <c r="P370" s="724"/>
      <c r="Q370" s="724"/>
      <c r="R370" s="724"/>
      <c r="S370" s="724"/>
      <c r="T370" s="724"/>
      <c r="U370" s="724"/>
      <c r="V370" s="724"/>
      <c r="W370" s="86" t="s">
        <v>240</v>
      </c>
      <c r="X370" s="724" t="s">
        <v>47</v>
      </c>
      <c r="Y370" s="92"/>
      <c r="Z370" s="92"/>
      <c r="AA370" s="708"/>
      <c r="AB370" s="92"/>
      <c r="AC370" s="92"/>
      <c r="AD370" s="712"/>
      <c r="AE370" s="56"/>
      <c r="AF370" s="146"/>
      <c r="AG370" s="92"/>
    </row>
    <row r="371" ht="24.95" customHeight="1" spans="1:33">
      <c r="A371" s="705"/>
      <c r="B371" s="782" t="s">
        <v>92</v>
      </c>
      <c r="C371" s="146" t="s">
        <v>52</v>
      </c>
      <c r="D371" s="56" t="s">
        <v>147</v>
      </c>
      <c r="E371" s="708"/>
      <c r="F371" s="782" t="str">
        <f t="shared" si="56"/>
        <v>老厂镇</v>
      </c>
      <c r="G371" s="92"/>
      <c r="H371" s="724"/>
      <c r="I371" s="724"/>
      <c r="J371" s="724"/>
      <c r="K371" s="724"/>
      <c r="L371" s="825"/>
      <c r="M371" s="724"/>
      <c r="N371" s="724"/>
      <c r="O371" s="724"/>
      <c r="P371" s="724"/>
      <c r="Q371" s="724"/>
      <c r="R371" s="724"/>
      <c r="S371" s="724"/>
      <c r="T371" s="724"/>
      <c r="U371" s="724"/>
      <c r="V371" s="724"/>
      <c r="W371" s="86" t="s">
        <v>240</v>
      </c>
      <c r="X371" s="724" t="s">
        <v>47</v>
      </c>
      <c r="Y371" s="92"/>
      <c r="Z371" s="92"/>
      <c r="AA371" s="708"/>
      <c r="AB371" s="92"/>
      <c r="AC371" s="92"/>
      <c r="AD371" s="783"/>
      <c r="AE371" s="783"/>
      <c r="AF371" s="146"/>
      <c r="AG371" s="92"/>
    </row>
    <row r="372" ht="32.1" customHeight="1" spans="1:33">
      <c r="A372" s="705">
        <v>48</v>
      </c>
      <c r="B372" s="706" t="s">
        <v>292</v>
      </c>
      <c r="C372" s="146" t="s">
        <v>52</v>
      </c>
      <c r="D372" s="707" t="s">
        <v>147</v>
      </c>
      <c r="E372" s="706">
        <f>E373+E398+E411+E424+E437</f>
        <v>57</v>
      </c>
      <c r="F372" s="706"/>
      <c r="G372" s="706"/>
      <c r="H372" s="725">
        <f t="shared" ref="F372:AA372" si="57">H373+H398+H411+H424+H437</f>
        <v>70466</v>
      </c>
      <c r="I372" s="725">
        <f t="shared" si="57"/>
        <v>70466</v>
      </c>
      <c r="J372" s="725">
        <f t="shared" si="57"/>
        <v>0</v>
      </c>
      <c r="K372" s="725">
        <f t="shared" si="57"/>
        <v>0</v>
      </c>
      <c r="L372" s="725"/>
      <c r="M372" s="725"/>
      <c r="N372" s="725">
        <f t="shared" si="57"/>
        <v>0</v>
      </c>
      <c r="O372" s="725">
        <f t="shared" si="57"/>
        <v>0</v>
      </c>
      <c r="P372" s="725">
        <f t="shared" si="57"/>
        <v>0</v>
      </c>
      <c r="Q372" s="725">
        <f t="shared" si="57"/>
        <v>0</v>
      </c>
      <c r="R372" s="725">
        <f t="shared" si="57"/>
        <v>0</v>
      </c>
      <c r="S372" s="725">
        <f t="shared" si="57"/>
        <v>0</v>
      </c>
      <c r="T372" s="725">
        <f t="shared" si="57"/>
        <v>0</v>
      </c>
      <c r="U372" s="725">
        <f t="shared" si="57"/>
        <v>0</v>
      </c>
      <c r="V372" s="725">
        <f t="shared" si="57"/>
        <v>0</v>
      </c>
      <c r="W372" s="706"/>
      <c r="X372" s="706" t="s">
        <v>293</v>
      </c>
      <c r="Y372" s="706">
        <f t="shared" si="57"/>
        <v>32954</v>
      </c>
      <c r="Z372" s="706">
        <f t="shared" si="57"/>
        <v>85002</v>
      </c>
      <c r="AA372" s="706">
        <f t="shared" si="57"/>
        <v>57</v>
      </c>
      <c r="AB372" s="706"/>
      <c r="AC372" s="706"/>
      <c r="AD372" s="706"/>
      <c r="AE372" s="706"/>
      <c r="AF372" s="706" t="s">
        <v>294</v>
      </c>
      <c r="AG372" s="706" t="s">
        <v>41</v>
      </c>
    </row>
    <row r="373" ht="50.25" customHeight="1" spans="1:33">
      <c r="A373" s="705">
        <v>49</v>
      </c>
      <c r="B373" s="708" t="s">
        <v>295</v>
      </c>
      <c r="C373" s="146" t="s">
        <v>52</v>
      </c>
      <c r="D373" s="709" t="s">
        <v>147</v>
      </c>
      <c r="E373" s="708">
        <f>SUM(E374:E385)</f>
        <v>12</v>
      </c>
      <c r="F373" s="708"/>
      <c r="G373" s="708"/>
      <c r="H373" s="726">
        <f t="shared" ref="F373:AA373" si="58">SUM(H374:H385)</f>
        <v>16150</v>
      </c>
      <c r="I373" s="726">
        <f t="shared" si="58"/>
        <v>16150</v>
      </c>
      <c r="J373" s="726">
        <f t="shared" si="58"/>
        <v>0</v>
      </c>
      <c r="K373" s="726">
        <f t="shared" si="58"/>
        <v>0</v>
      </c>
      <c r="L373" s="726"/>
      <c r="M373" s="726"/>
      <c r="N373" s="726">
        <f t="shared" si="58"/>
        <v>0</v>
      </c>
      <c r="O373" s="726">
        <f t="shared" si="58"/>
        <v>0</v>
      </c>
      <c r="P373" s="726">
        <f t="shared" si="58"/>
        <v>0</v>
      </c>
      <c r="Q373" s="726">
        <f t="shared" si="58"/>
        <v>0</v>
      </c>
      <c r="R373" s="726">
        <f t="shared" si="58"/>
        <v>0</v>
      </c>
      <c r="S373" s="726">
        <f t="shared" si="58"/>
        <v>0</v>
      </c>
      <c r="T373" s="726">
        <f t="shared" si="58"/>
        <v>0</v>
      </c>
      <c r="U373" s="726">
        <f t="shared" si="58"/>
        <v>0</v>
      </c>
      <c r="V373" s="726">
        <f t="shared" si="58"/>
        <v>0</v>
      </c>
      <c r="W373" s="708"/>
      <c r="X373" s="706" t="s">
        <v>293</v>
      </c>
      <c r="Y373" s="708">
        <f t="shared" si="58"/>
        <v>10876</v>
      </c>
      <c r="Z373" s="708">
        <f t="shared" si="58"/>
        <v>23403</v>
      </c>
      <c r="AA373" s="708">
        <f t="shared" si="58"/>
        <v>12</v>
      </c>
      <c r="AB373" s="708"/>
      <c r="AC373" s="708"/>
      <c r="AD373" s="784" t="s">
        <v>296</v>
      </c>
      <c r="AE373" s="146" t="s">
        <v>297</v>
      </c>
      <c r="AF373" s="438" t="s">
        <v>294</v>
      </c>
      <c r="AG373" s="708" t="s">
        <v>41</v>
      </c>
    </row>
    <row r="374" ht="30" customHeight="1" spans="1:33">
      <c r="A374" s="705"/>
      <c r="B374" s="714" t="s">
        <v>101</v>
      </c>
      <c r="C374" s="146" t="s">
        <v>52</v>
      </c>
      <c r="D374" s="709" t="s">
        <v>147</v>
      </c>
      <c r="E374" s="708">
        <v>1</v>
      </c>
      <c r="F374" s="714" t="str">
        <f t="shared" si="56"/>
        <v>中安</v>
      </c>
      <c r="G374" s="708"/>
      <c r="H374" s="726">
        <v>1303</v>
      </c>
      <c r="I374" s="726">
        <v>1303</v>
      </c>
      <c r="J374" s="726"/>
      <c r="K374" s="726"/>
      <c r="L374" s="825">
        <v>2018.01</v>
      </c>
      <c r="M374" s="724">
        <v>2018.12</v>
      </c>
      <c r="N374" s="726"/>
      <c r="O374" s="726"/>
      <c r="P374" s="726"/>
      <c r="Q374" s="726"/>
      <c r="R374" s="726"/>
      <c r="S374" s="726"/>
      <c r="T374" s="726"/>
      <c r="U374" s="726"/>
      <c r="V374" s="726"/>
      <c r="W374" s="726"/>
      <c r="X374" s="706" t="s">
        <v>293</v>
      </c>
      <c r="Y374" s="763">
        <v>862</v>
      </c>
      <c r="Z374" s="763">
        <v>3974</v>
      </c>
      <c r="AA374" s="708">
        <v>1</v>
      </c>
      <c r="AB374" s="708"/>
      <c r="AC374" s="708"/>
      <c r="AD374" s="146" t="s">
        <v>298</v>
      </c>
      <c r="AE374" s="146" t="s">
        <v>299</v>
      </c>
      <c r="AF374" s="438" t="s">
        <v>294</v>
      </c>
      <c r="AG374" s="708"/>
    </row>
    <row r="375" ht="30" customHeight="1" spans="1:33">
      <c r="A375" s="705"/>
      <c r="B375" s="714" t="s">
        <v>151</v>
      </c>
      <c r="C375" s="146" t="s">
        <v>52</v>
      </c>
      <c r="D375" s="709" t="s">
        <v>147</v>
      </c>
      <c r="E375" s="708">
        <v>1</v>
      </c>
      <c r="F375" s="714" t="str">
        <f t="shared" si="56"/>
        <v>胜境</v>
      </c>
      <c r="G375" s="708"/>
      <c r="H375" s="726">
        <v>446</v>
      </c>
      <c r="I375" s="726">
        <v>446</v>
      </c>
      <c r="J375" s="726"/>
      <c r="K375" s="726"/>
      <c r="L375" s="825">
        <v>2018.01</v>
      </c>
      <c r="M375" s="724">
        <v>2018.12</v>
      </c>
      <c r="N375" s="726"/>
      <c r="O375" s="726"/>
      <c r="P375" s="726"/>
      <c r="Q375" s="726"/>
      <c r="R375" s="726"/>
      <c r="S375" s="726"/>
      <c r="T375" s="726"/>
      <c r="U375" s="726"/>
      <c r="V375" s="726"/>
      <c r="W375" s="726"/>
      <c r="X375" s="706" t="s">
        <v>293</v>
      </c>
      <c r="Y375" s="763">
        <v>400</v>
      </c>
      <c r="Z375" s="763">
        <v>446</v>
      </c>
      <c r="AA375" s="708">
        <v>1</v>
      </c>
      <c r="AB375" s="708"/>
      <c r="AC375" s="708"/>
      <c r="AD375" s="146" t="s">
        <v>300</v>
      </c>
      <c r="AE375" s="146" t="s">
        <v>301</v>
      </c>
      <c r="AF375" s="438" t="s">
        <v>294</v>
      </c>
      <c r="AG375" s="708"/>
    </row>
    <row r="376" ht="30" customHeight="1" spans="1:33">
      <c r="A376" s="705"/>
      <c r="B376" s="714" t="s">
        <v>154</v>
      </c>
      <c r="C376" s="146" t="s">
        <v>52</v>
      </c>
      <c r="D376" s="709" t="s">
        <v>147</v>
      </c>
      <c r="E376" s="708">
        <v>1</v>
      </c>
      <c r="F376" s="714" t="str">
        <f t="shared" si="56"/>
        <v>后所</v>
      </c>
      <c r="G376" s="708"/>
      <c r="H376" s="726">
        <v>1810</v>
      </c>
      <c r="I376" s="726">
        <v>1810</v>
      </c>
      <c r="J376" s="726"/>
      <c r="K376" s="726"/>
      <c r="L376" s="825">
        <v>2018.01</v>
      </c>
      <c r="M376" s="724">
        <v>2018.12</v>
      </c>
      <c r="N376" s="726"/>
      <c r="O376" s="726"/>
      <c r="P376" s="726"/>
      <c r="Q376" s="726"/>
      <c r="R376" s="726"/>
      <c r="S376" s="726"/>
      <c r="T376" s="726"/>
      <c r="U376" s="726"/>
      <c r="V376" s="726"/>
      <c r="W376" s="726"/>
      <c r="X376" s="706" t="s">
        <v>293</v>
      </c>
      <c r="Y376" s="763">
        <v>990</v>
      </c>
      <c r="Z376" s="763">
        <v>1810</v>
      </c>
      <c r="AA376" s="708">
        <v>1</v>
      </c>
      <c r="AB376" s="708"/>
      <c r="AC376" s="708"/>
      <c r="AD376" s="146" t="s">
        <v>247</v>
      </c>
      <c r="AE376" s="146" t="s">
        <v>302</v>
      </c>
      <c r="AF376" s="438" t="s">
        <v>294</v>
      </c>
      <c r="AG376" s="708"/>
    </row>
    <row r="377" ht="30" customHeight="1" spans="1:33">
      <c r="A377" s="705"/>
      <c r="B377" s="714" t="s">
        <v>81</v>
      </c>
      <c r="C377" s="146" t="s">
        <v>52</v>
      </c>
      <c r="D377" s="709" t="s">
        <v>147</v>
      </c>
      <c r="E377" s="708">
        <v>1</v>
      </c>
      <c r="F377" s="714" t="str">
        <f t="shared" si="56"/>
        <v>墨红</v>
      </c>
      <c r="G377" s="708"/>
      <c r="H377" s="726">
        <v>1071</v>
      </c>
      <c r="I377" s="726">
        <v>1071</v>
      </c>
      <c r="J377" s="726"/>
      <c r="K377" s="726"/>
      <c r="L377" s="825">
        <v>2018.01</v>
      </c>
      <c r="M377" s="724">
        <v>2018.12</v>
      </c>
      <c r="N377" s="726"/>
      <c r="O377" s="726"/>
      <c r="P377" s="726"/>
      <c r="Q377" s="726"/>
      <c r="R377" s="726"/>
      <c r="S377" s="726"/>
      <c r="T377" s="726"/>
      <c r="U377" s="726"/>
      <c r="V377" s="726"/>
      <c r="W377" s="726"/>
      <c r="X377" s="706" t="s">
        <v>293</v>
      </c>
      <c r="Y377" s="763">
        <v>718</v>
      </c>
      <c r="Z377" s="763">
        <v>1071</v>
      </c>
      <c r="AA377" s="708">
        <v>1</v>
      </c>
      <c r="AB377" s="708"/>
      <c r="AC377" s="708"/>
      <c r="AD377" s="146" t="s">
        <v>303</v>
      </c>
      <c r="AE377" s="146" t="s">
        <v>304</v>
      </c>
      <c r="AF377" s="438" t="s">
        <v>294</v>
      </c>
      <c r="AG377" s="708"/>
    </row>
    <row r="378" ht="30" customHeight="1" spans="1:33">
      <c r="A378" s="705"/>
      <c r="B378" s="714" t="s">
        <v>98</v>
      </c>
      <c r="C378" s="146" t="s">
        <v>52</v>
      </c>
      <c r="D378" s="709" t="s">
        <v>147</v>
      </c>
      <c r="E378" s="708">
        <v>1</v>
      </c>
      <c r="F378" s="714" t="str">
        <f t="shared" si="56"/>
        <v>大河</v>
      </c>
      <c r="G378" s="708"/>
      <c r="H378" s="726">
        <v>2195</v>
      </c>
      <c r="I378" s="726">
        <v>2195</v>
      </c>
      <c r="J378" s="726"/>
      <c r="K378" s="726"/>
      <c r="L378" s="825">
        <v>2018.01</v>
      </c>
      <c r="M378" s="724">
        <v>2018.12</v>
      </c>
      <c r="N378" s="726"/>
      <c r="O378" s="726"/>
      <c r="P378" s="726"/>
      <c r="Q378" s="726"/>
      <c r="R378" s="726"/>
      <c r="S378" s="726"/>
      <c r="T378" s="726"/>
      <c r="U378" s="726"/>
      <c r="V378" s="726"/>
      <c r="W378" s="726"/>
      <c r="X378" s="706" t="s">
        <v>293</v>
      </c>
      <c r="Y378" s="763">
        <v>1352</v>
      </c>
      <c r="Z378" s="763">
        <v>6593</v>
      </c>
      <c r="AA378" s="708">
        <v>1</v>
      </c>
      <c r="AB378" s="708"/>
      <c r="AC378" s="708"/>
      <c r="AD378" s="146" t="s">
        <v>305</v>
      </c>
      <c r="AE378" s="146" t="s">
        <v>306</v>
      </c>
      <c r="AF378" s="438" t="s">
        <v>294</v>
      </c>
      <c r="AG378" s="708"/>
    </row>
    <row r="379" ht="30" customHeight="1" spans="1:33">
      <c r="A379" s="705"/>
      <c r="B379" s="714" t="s">
        <v>211</v>
      </c>
      <c r="C379" s="146" t="s">
        <v>52</v>
      </c>
      <c r="D379" s="709" t="s">
        <v>147</v>
      </c>
      <c r="E379" s="708">
        <v>1</v>
      </c>
      <c r="F379" s="714" t="str">
        <f t="shared" si="56"/>
        <v>营上</v>
      </c>
      <c r="G379" s="708"/>
      <c r="H379" s="726">
        <v>1885</v>
      </c>
      <c r="I379" s="726">
        <v>1885</v>
      </c>
      <c r="J379" s="726"/>
      <c r="K379" s="726"/>
      <c r="L379" s="825">
        <v>2018.01</v>
      </c>
      <c r="M379" s="724">
        <v>2018.12</v>
      </c>
      <c r="N379" s="726"/>
      <c r="O379" s="726"/>
      <c r="P379" s="726"/>
      <c r="Q379" s="726"/>
      <c r="R379" s="726"/>
      <c r="S379" s="726"/>
      <c r="T379" s="726"/>
      <c r="U379" s="726"/>
      <c r="V379" s="726"/>
      <c r="W379" s="726"/>
      <c r="X379" s="706" t="s">
        <v>293</v>
      </c>
      <c r="Y379" s="763">
        <v>998</v>
      </c>
      <c r="Z379" s="763">
        <v>1885</v>
      </c>
      <c r="AA379" s="708">
        <v>1</v>
      </c>
      <c r="AB379" s="708"/>
      <c r="AC379" s="708"/>
      <c r="AD379" s="146" t="s">
        <v>307</v>
      </c>
      <c r="AE379" s="146" t="s">
        <v>308</v>
      </c>
      <c r="AF379" s="438" t="s">
        <v>294</v>
      </c>
      <c r="AG379" s="708"/>
    </row>
    <row r="380" ht="30" customHeight="1" spans="1:33">
      <c r="A380" s="705"/>
      <c r="B380" s="714" t="s">
        <v>155</v>
      </c>
      <c r="C380" s="146" t="s">
        <v>52</v>
      </c>
      <c r="D380" s="709" t="s">
        <v>147</v>
      </c>
      <c r="E380" s="708">
        <v>1</v>
      </c>
      <c r="F380" s="714" t="str">
        <f t="shared" si="56"/>
        <v>竹园</v>
      </c>
      <c r="G380" s="708"/>
      <c r="H380" s="726">
        <v>792</v>
      </c>
      <c r="I380" s="726">
        <v>792</v>
      </c>
      <c r="J380" s="726"/>
      <c r="K380" s="726"/>
      <c r="L380" s="825">
        <v>2018.01</v>
      </c>
      <c r="M380" s="724">
        <v>2018.12</v>
      </c>
      <c r="N380" s="726"/>
      <c r="O380" s="726"/>
      <c r="P380" s="726"/>
      <c r="Q380" s="726"/>
      <c r="R380" s="726"/>
      <c r="S380" s="726"/>
      <c r="T380" s="726"/>
      <c r="U380" s="726"/>
      <c r="V380" s="726"/>
      <c r="W380" s="726"/>
      <c r="X380" s="706" t="s">
        <v>293</v>
      </c>
      <c r="Y380" s="763">
        <v>432</v>
      </c>
      <c r="Z380" s="763">
        <v>792</v>
      </c>
      <c r="AA380" s="708">
        <v>1</v>
      </c>
      <c r="AB380" s="708"/>
      <c r="AC380" s="708"/>
      <c r="AD380" s="146" t="s">
        <v>309</v>
      </c>
      <c r="AE380" s="146" t="s">
        <v>310</v>
      </c>
      <c r="AF380" s="438" t="s">
        <v>294</v>
      </c>
      <c r="AG380" s="708"/>
    </row>
    <row r="381" ht="30" customHeight="1" spans="1:33">
      <c r="A381" s="705"/>
      <c r="B381" s="714" t="s">
        <v>102</v>
      </c>
      <c r="C381" s="146" t="s">
        <v>52</v>
      </c>
      <c r="D381" s="709" t="s">
        <v>147</v>
      </c>
      <c r="E381" s="708">
        <v>1</v>
      </c>
      <c r="F381" s="714" t="str">
        <f t="shared" si="56"/>
        <v>富村</v>
      </c>
      <c r="G381" s="708"/>
      <c r="H381" s="724">
        <v>2320</v>
      </c>
      <c r="I381" s="724">
        <v>2320</v>
      </c>
      <c r="J381" s="726"/>
      <c r="K381" s="726"/>
      <c r="L381" s="825">
        <v>2018.01</v>
      </c>
      <c r="M381" s="724">
        <v>2018.12</v>
      </c>
      <c r="N381" s="726"/>
      <c r="O381" s="726"/>
      <c r="P381" s="726"/>
      <c r="Q381" s="726"/>
      <c r="R381" s="726"/>
      <c r="S381" s="726"/>
      <c r="T381" s="726"/>
      <c r="U381" s="726"/>
      <c r="V381" s="726"/>
      <c r="W381" s="726"/>
      <c r="X381" s="706" t="s">
        <v>293</v>
      </c>
      <c r="Y381" s="763">
        <v>2144</v>
      </c>
      <c r="Z381" s="763">
        <v>2323</v>
      </c>
      <c r="AA381" s="708">
        <v>1</v>
      </c>
      <c r="AB381" s="708"/>
      <c r="AC381" s="708"/>
      <c r="AD381" s="146" t="s">
        <v>215</v>
      </c>
      <c r="AE381" s="146" t="s">
        <v>311</v>
      </c>
      <c r="AF381" s="438" t="s">
        <v>294</v>
      </c>
      <c r="AG381" s="708"/>
    </row>
    <row r="382" ht="24.95" customHeight="1" spans="1:33">
      <c r="A382" s="705">
        <v>50</v>
      </c>
      <c r="B382" s="714" t="s">
        <v>100</v>
      </c>
      <c r="C382" s="146" t="s">
        <v>52</v>
      </c>
      <c r="D382" s="709" t="s">
        <v>147</v>
      </c>
      <c r="E382" s="708">
        <v>1</v>
      </c>
      <c r="F382" s="714" t="str">
        <f t="shared" si="56"/>
        <v>黄泥河</v>
      </c>
      <c r="G382" s="92"/>
      <c r="H382" s="724">
        <v>2162</v>
      </c>
      <c r="I382" s="724">
        <v>2162</v>
      </c>
      <c r="J382" s="724"/>
      <c r="K382" s="724"/>
      <c r="L382" s="825">
        <v>2018.01</v>
      </c>
      <c r="M382" s="724">
        <v>2018.12</v>
      </c>
      <c r="N382" s="724"/>
      <c r="O382" s="724"/>
      <c r="P382" s="724"/>
      <c r="Q382" s="724"/>
      <c r="R382" s="724"/>
      <c r="S382" s="724"/>
      <c r="T382" s="724"/>
      <c r="U382" s="724"/>
      <c r="V382" s="724"/>
      <c r="W382" s="724"/>
      <c r="X382" s="706" t="s">
        <v>293</v>
      </c>
      <c r="Y382" s="738">
        <v>1232</v>
      </c>
      <c r="Z382" s="738">
        <v>2162</v>
      </c>
      <c r="AA382" s="708">
        <v>1</v>
      </c>
      <c r="AB382" s="92"/>
      <c r="AC382" s="92"/>
      <c r="AD382" s="146" t="s">
        <v>312</v>
      </c>
      <c r="AE382" s="146" t="s">
        <v>313</v>
      </c>
      <c r="AF382" s="438" t="s">
        <v>294</v>
      </c>
      <c r="AG382" s="92"/>
    </row>
    <row r="383" ht="24.95" customHeight="1" spans="1:33">
      <c r="A383" s="705" t="s">
        <v>48</v>
      </c>
      <c r="B383" s="714" t="s">
        <v>84</v>
      </c>
      <c r="C383" s="146" t="s">
        <v>52</v>
      </c>
      <c r="D383" s="709" t="s">
        <v>147</v>
      </c>
      <c r="E383" s="708">
        <v>1</v>
      </c>
      <c r="F383" s="714" t="str">
        <f t="shared" si="56"/>
        <v>十八连山</v>
      </c>
      <c r="G383" s="92"/>
      <c r="H383" s="724">
        <v>1111</v>
      </c>
      <c r="I383" s="724">
        <v>1111</v>
      </c>
      <c r="J383" s="724"/>
      <c r="K383" s="724"/>
      <c r="L383" s="825">
        <v>2018.01</v>
      </c>
      <c r="M383" s="724">
        <v>2018.12</v>
      </c>
      <c r="N383" s="724"/>
      <c r="O383" s="724"/>
      <c r="P383" s="724"/>
      <c r="Q383" s="724"/>
      <c r="R383" s="724"/>
      <c r="S383" s="724"/>
      <c r="T383" s="724"/>
      <c r="U383" s="724"/>
      <c r="V383" s="724"/>
      <c r="W383" s="92"/>
      <c r="X383" s="706" t="s">
        <v>293</v>
      </c>
      <c r="Y383" s="738">
        <v>703</v>
      </c>
      <c r="Z383" s="738">
        <v>1111</v>
      </c>
      <c r="AA383" s="708">
        <v>1</v>
      </c>
      <c r="AB383" s="92"/>
      <c r="AC383" s="92"/>
      <c r="AD383" s="146" t="s">
        <v>185</v>
      </c>
      <c r="AE383" s="146" t="s">
        <v>314</v>
      </c>
      <c r="AF383" s="438" t="s">
        <v>294</v>
      </c>
      <c r="AG383" s="92"/>
    </row>
    <row r="384" ht="24.95" customHeight="1" spans="1:33">
      <c r="A384" s="705">
        <v>51</v>
      </c>
      <c r="B384" s="714" t="s">
        <v>259</v>
      </c>
      <c r="C384" s="146" t="s">
        <v>52</v>
      </c>
      <c r="D384" s="709" t="s">
        <v>147</v>
      </c>
      <c r="E384" s="708">
        <v>1</v>
      </c>
      <c r="F384" s="714" t="str">
        <f t="shared" si="56"/>
        <v>古敢</v>
      </c>
      <c r="G384" s="92"/>
      <c r="H384" s="724">
        <v>232</v>
      </c>
      <c r="I384" s="724">
        <v>232</v>
      </c>
      <c r="J384" s="724"/>
      <c r="K384" s="724"/>
      <c r="L384" s="825">
        <v>2018.01</v>
      </c>
      <c r="M384" s="724">
        <v>2018.12</v>
      </c>
      <c r="N384" s="724"/>
      <c r="O384" s="724"/>
      <c r="P384" s="724"/>
      <c r="Q384" s="724"/>
      <c r="R384" s="724"/>
      <c r="S384" s="724"/>
      <c r="T384" s="724"/>
      <c r="U384" s="724"/>
      <c r="V384" s="724"/>
      <c r="W384" s="724"/>
      <c r="X384" s="706" t="s">
        <v>293</v>
      </c>
      <c r="Y384" s="738">
        <v>150</v>
      </c>
      <c r="Z384" s="738">
        <v>232</v>
      </c>
      <c r="AA384" s="708">
        <v>1</v>
      </c>
      <c r="AB384" s="92"/>
      <c r="AC384" s="92"/>
      <c r="AD384" s="146" t="s">
        <v>315</v>
      </c>
      <c r="AE384" s="146" t="s">
        <v>316</v>
      </c>
      <c r="AF384" s="438" t="s">
        <v>294</v>
      </c>
      <c r="AG384" s="92"/>
    </row>
    <row r="385" ht="24.95" customHeight="1" spans="1:33">
      <c r="A385" s="705" t="s">
        <v>48</v>
      </c>
      <c r="B385" s="714" t="s">
        <v>143</v>
      </c>
      <c r="C385" s="146" t="s">
        <v>52</v>
      </c>
      <c r="D385" s="709" t="s">
        <v>147</v>
      </c>
      <c r="E385" s="708">
        <v>1</v>
      </c>
      <c r="F385" s="714" t="str">
        <f t="shared" si="56"/>
        <v>老厂</v>
      </c>
      <c r="G385" s="92"/>
      <c r="H385" s="726">
        <v>823</v>
      </c>
      <c r="I385" s="726">
        <v>823</v>
      </c>
      <c r="J385" s="724"/>
      <c r="K385" s="724"/>
      <c r="L385" s="825">
        <v>2018.01</v>
      </c>
      <c r="M385" s="724">
        <v>2018.12</v>
      </c>
      <c r="N385" s="724"/>
      <c r="O385" s="724"/>
      <c r="P385" s="724"/>
      <c r="Q385" s="724"/>
      <c r="R385" s="724"/>
      <c r="S385" s="724"/>
      <c r="T385" s="724"/>
      <c r="U385" s="724"/>
      <c r="V385" s="724"/>
      <c r="W385" s="724"/>
      <c r="X385" s="706" t="s">
        <v>293</v>
      </c>
      <c r="Y385" s="738">
        <v>895</v>
      </c>
      <c r="Z385" s="738">
        <v>1004</v>
      </c>
      <c r="AA385" s="708">
        <v>1</v>
      </c>
      <c r="AB385" s="92"/>
      <c r="AC385" s="92"/>
      <c r="AD385" s="146" t="s">
        <v>317</v>
      </c>
      <c r="AE385" s="146" t="s">
        <v>318</v>
      </c>
      <c r="AF385" s="438" t="s">
        <v>294</v>
      </c>
      <c r="AG385" s="92"/>
    </row>
    <row r="386" ht="30" customHeight="1" spans="1:33">
      <c r="A386" s="705">
        <v>52</v>
      </c>
      <c r="B386" s="750" t="s">
        <v>319</v>
      </c>
      <c r="C386" s="146" t="s">
        <v>320</v>
      </c>
      <c r="D386" s="152" t="s">
        <v>147</v>
      </c>
      <c r="E386" s="708">
        <f>SUM(E387:E397)</f>
        <v>11</v>
      </c>
      <c r="F386" s="708"/>
      <c r="G386" s="708"/>
      <c r="H386" s="726">
        <f t="shared" ref="F386:AA386" si="59">SUM(H387:H397)</f>
        <v>3443</v>
      </c>
      <c r="I386" s="726">
        <f t="shared" si="59"/>
        <v>3443</v>
      </c>
      <c r="J386" s="726">
        <f t="shared" si="59"/>
        <v>0</v>
      </c>
      <c r="K386" s="726">
        <f t="shared" si="59"/>
        <v>0</v>
      </c>
      <c r="L386" s="726"/>
      <c r="M386" s="726"/>
      <c r="N386" s="726">
        <f t="shared" si="59"/>
        <v>0</v>
      </c>
      <c r="O386" s="726">
        <f t="shared" si="59"/>
        <v>0</v>
      </c>
      <c r="P386" s="726">
        <f t="shared" si="59"/>
        <v>0</v>
      </c>
      <c r="Q386" s="726">
        <f t="shared" si="59"/>
        <v>0</v>
      </c>
      <c r="R386" s="726">
        <f t="shared" si="59"/>
        <v>0</v>
      </c>
      <c r="S386" s="726">
        <f t="shared" si="59"/>
        <v>0</v>
      </c>
      <c r="T386" s="726">
        <f t="shared" si="59"/>
        <v>0</v>
      </c>
      <c r="U386" s="726">
        <f t="shared" si="59"/>
        <v>0</v>
      </c>
      <c r="V386" s="726">
        <f t="shared" si="59"/>
        <v>0</v>
      </c>
      <c r="W386" s="708"/>
      <c r="X386" s="706" t="s">
        <v>293</v>
      </c>
      <c r="Y386" s="708">
        <f t="shared" si="59"/>
        <v>2801</v>
      </c>
      <c r="Z386" s="708">
        <f t="shared" si="59"/>
        <v>7695</v>
      </c>
      <c r="AA386" s="708">
        <f t="shared" si="59"/>
        <v>11</v>
      </c>
      <c r="AB386" s="708"/>
      <c r="AC386" s="708"/>
      <c r="AD386" s="784" t="s">
        <v>296</v>
      </c>
      <c r="AE386" s="146" t="s">
        <v>297</v>
      </c>
      <c r="AF386" s="438" t="s">
        <v>294</v>
      </c>
      <c r="AG386" s="708" t="s">
        <v>41</v>
      </c>
    </row>
    <row r="387" ht="24.95" customHeight="1" spans="1:33">
      <c r="A387" s="705"/>
      <c r="B387" s="714" t="s">
        <v>101</v>
      </c>
      <c r="C387" s="146" t="s">
        <v>320</v>
      </c>
      <c r="D387" s="152" t="s">
        <v>147</v>
      </c>
      <c r="E387" s="708">
        <v>1</v>
      </c>
      <c r="F387" s="714" t="str">
        <f t="shared" si="56"/>
        <v>中安</v>
      </c>
      <c r="G387" s="708"/>
      <c r="H387" s="724">
        <v>263</v>
      </c>
      <c r="I387" s="724">
        <v>263</v>
      </c>
      <c r="J387" s="726"/>
      <c r="K387" s="726"/>
      <c r="L387" s="825">
        <v>2018.01</v>
      </c>
      <c r="M387" s="724">
        <v>2018.12</v>
      </c>
      <c r="N387" s="726"/>
      <c r="O387" s="726"/>
      <c r="P387" s="726"/>
      <c r="Q387" s="726"/>
      <c r="R387" s="726"/>
      <c r="S387" s="726"/>
      <c r="T387" s="726"/>
      <c r="U387" s="726"/>
      <c r="V387" s="726"/>
      <c r="W387" s="726"/>
      <c r="X387" s="706" t="s">
        <v>293</v>
      </c>
      <c r="Y387" s="763">
        <v>245</v>
      </c>
      <c r="Z387" s="763">
        <v>1045</v>
      </c>
      <c r="AA387" s="708">
        <v>1</v>
      </c>
      <c r="AB387" s="708"/>
      <c r="AC387" s="708"/>
      <c r="AD387" s="146" t="s">
        <v>298</v>
      </c>
      <c r="AE387" s="146" t="s">
        <v>299</v>
      </c>
      <c r="AF387" s="438" t="s">
        <v>294</v>
      </c>
      <c r="AG387" s="708"/>
    </row>
    <row r="388" ht="24.95" customHeight="1" spans="1:33">
      <c r="A388" s="705"/>
      <c r="B388" s="714" t="s">
        <v>151</v>
      </c>
      <c r="C388" s="146" t="s">
        <v>320</v>
      </c>
      <c r="D388" s="152" t="s">
        <v>147</v>
      </c>
      <c r="E388" s="708">
        <v>1</v>
      </c>
      <c r="F388" s="714" t="str">
        <f t="shared" si="56"/>
        <v>胜境</v>
      </c>
      <c r="G388" s="708"/>
      <c r="H388" s="724">
        <v>33</v>
      </c>
      <c r="I388" s="724">
        <v>33</v>
      </c>
      <c r="J388" s="726"/>
      <c r="K388" s="726"/>
      <c r="L388" s="825">
        <v>2018.01</v>
      </c>
      <c r="M388" s="724">
        <v>2018.12</v>
      </c>
      <c r="N388" s="726"/>
      <c r="O388" s="726"/>
      <c r="P388" s="726"/>
      <c r="Q388" s="726"/>
      <c r="R388" s="726"/>
      <c r="S388" s="726"/>
      <c r="T388" s="726"/>
      <c r="U388" s="726"/>
      <c r="V388" s="726"/>
      <c r="W388" s="726"/>
      <c r="X388" s="706" t="s">
        <v>293</v>
      </c>
      <c r="Y388" s="763">
        <v>33</v>
      </c>
      <c r="Z388" s="763">
        <v>142</v>
      </c>
      <c r="AA388" s="708">
        <v>1</v>
      </c>
      <c r="AB388" s="708"/>
      <c r="AC388" s="708"/>
      <c r="AD388" s="146" t="s">
        <v>300</v>
      </c>
      <c r="AE388" s="146" t="s">
        <v>301</v>
      </c>
      <c r="AF388" s="438" t="s">
        <v>294</v>
      </c>
      <c r="AG388" s="708"/>
    </row>
    <row r="389" ht="24.95" customHeight="1" spans="1:33">
      <c r="A389" s="705"/>
      <c r="B389" s="714" t="s">
        <v>154</v>
      </c>
      <c r="C389" s="146" t="s">
        <v>320</v>
      </c>
      <c r="D389" s="152" t="s">
        <v>147</v>
      </c>
      <c r="E389" s="708">
        <v>1</v>
      </c>
      <c r="F389" s="714" t="str">
        <f t="shared" si="56"/>
        <v>后所</v>
      </c>
      <c r="G389" s="708"/>
      <c r="H389" s="724">
        <v>316</v>
      </c>
      <c r="I389" s="724">
        <v>316</v>
      </c>
      <c r="J389" s="726"/>
      <c r="K389" s="726"/>
      <c r="L389" s="825">
        <v>2018.01</v>
      </c>
      <c r="M389" s="724">
        <v>2018.12</v>
      </c>
      <c r="N389" s="726"/>
      <c r="O389" s="726"/>
      <c r="P389" s="726"/>
      <c r="Q389" s="726"/>
      <c r="R389" s="726"/>
      <c r="S389" s="726"/>
      <c r="T389" s="726"/>
      <c r="U389" s="726"/>
      <c r="V389" s="726"/>
      <c r="W389" s="726"/>
      <c r="X389" s="706" t="s">
        <v>293</v>
      </c>
      <c r="Y389" s="763">
        <v>258</v>
      </c>
      <c r="Z389" s="763">
        <v>316</v>
      </c>
      <c r="AA389" s="708">
        <v>1</v>
      </c>
      <c r="AB389" s="708"/>
      <c r="AC389" s="708"/>
      <c r="AD389" s="146" t="s">
        <v>247</v>
      </c>
      <c r="AE389" s="146" t="s">
        <v>302</v>
      </c>
      <c r="AF389" s="438" t="s">
        <v>294</v>
      </c>
      <c r="AG389" s="708"/>
    </row>
    <row r="390" ht="24.95" customHeight="1" spans="1:33">
      <c r="A390" s="705"/>
      <c r="B390" s="714" t="s">
        <v>81</v>
      </c>
      <c r="C390" s="146" t="s">
        <v>320</v>
      </c>
      <c r="D390" s="152" t="s">
        <v>147</v>
      </c>
      <c r="E390" s="708">
        <v>1</v>
      </c>
      <c r="F390" s="714" t="str">
        <f t="shared" si="56"/>
        <v>墨红</v>
      </c>
      <c r="G390" s="708"/>
      <c r="H390" s="724">
        <v>368</v>
      </c>
      <c r="I390" s="724">
        <v>368</v>
      </c>
      <c r="J390" s="726"/>
      <c r="K390" s="726"/>
      <c r="L390" s="825">
        <v>2018.01</v>
      </c>
      <c r="M390" s="724">
        <v>2018.12</v>
      </c>
      <c r="N390" s="726"/>
      <c r="O390" s="726"/>
      <c r="P390" s="726"/>
      <c r="Q390" s="726"/>
      <c r="R390" s="726"/>
      <c r="S390" s="726"/>
      <c r="T390" s="726"/>
      <c r="U390" s="726"/>
      <c r="V390" s="726"/>
      <c r="W390" s="726"/>
      <c r="X390" s="706" t="s">
        <v>293</v>
      </c>
      <c r="Y390" s="763">
        <v>318</v>
      </c>
      <c r="Z390" s="763">
        <v>368</v>
      </c>
      <c r="AA390" s="708">
        <v>1</v>
      </c>
      <c r="AB390" s="708"/>
      <c r="AC390" s="708"/>
      <c r="AD390" s="146" t="s">
        <v>303</v>
      </c>
      <c r="AE390" s="146" t="s">
        <v>304</v>
      </c>
      <c r="AF390" s="438" t="s">
        <v>294</v>
      </c>
      <c r="AG390" s="708"/>
    </row>
    <row r="391" ht="24.95" customHeight="1" spans="1:33">
      <c r="A391" s="705"/>
      <c r="B391" s="714" t="s">
        <v>98</v>
      </c>
      <c r="C391" s="146" t="s">
        <v>320</v>
      </c>
      <c r="D391" s="152" t="s">
        <v>147</v>
      </c>
      <c r="E391" s="708">
        <v>1</v>
      </c>
      <c r="F391" s="714" t="str">
        <f t="shared" si="56"/>
        <v>大河</v>
      </c>
      <c r="G391" s="708"/>
      <c r="H391" s="724">
        <v>1153</v>
      </c>
      <c r="I391" s="724">
        <v>1153</v>
      </c>
      <c r="J391" s="726"/>
      <c r="K391" s="726"/>
      <c r="L391" s="825">
        <v>2018.01</v>
      </c>
      <c r="M391" s="724">
        <v>2018.12</v>
      </c>
      <c r="N391" s="726"/>
      <c r="O391" s="726"/>
      <c r="P391" s="726"/>
      <c r="Q391" s="726"/>
      <c r="R391" s="726"/>
      <c r="S391" s="726"/>
      <c r="T391" s="726"/>
      <c r="U391" s="726"/>
      <c r="V391" s="726"/>
      <c r="W391" s="726"/>
      <c r="X391" s="706" t="s">
        <v>293</v>
      </c>
      <c r="Y391" s="763">
        <v>1024</v>
      </c>
      <c r="Z391" s="763">
        <v>4758</v>
      </c>
      <c r="AA391" s="708">
        <v>1</v>
      </c>
      <c r="AB391" s="708"/>
      <c r="AC391" s="708"/>
      <c r="AD391" s="146" t="s">
        <v>305</v>
      </c>
      <c r="AE391" s="146" t="s">
        <v>306</v>
      </c>
      <c r="AF391" s="438" t="s">
        <v>294</v>
      </c>
      <c r="AG391" s="708"/>
    </row>
    <row r="392" ht="24.95" customHeight="1" spans="1:33">
      <c r="A392" s="705"/>
      <c r="B392" s="714" t="s">
        <v>211</v>
      </c>
      <c r="C392" s="146" t="s">
        <v>320</v>
      </c>
      <c r="D392" s="152" t="s">
        <v>147</v>
      </c>
      <c r="E392" s="708">
        <v>1</v>
      </c>
      <c r="F392" s="714" t="str">
        <f t="shared" si="56"/>
        <v>营上</v>
      </c>
      <c r="G392" s="708"/>
      <c r="H392" s="724">
        <v>427</v>
      </c>
      <c r="I392" s="724">
        <v>427</v>
      </c>
      <c r="J392" s="726"/>
      <c r="K392" s="726"/>
      <c r="L392" s="825">
        <v>2018.01</v>
      </c>
      <c r="M392" s="724">
        <v>2018.12</v>
      </c>
      <c r="N392" s="726"/>
      <c r="O392" s="726"/>
      <c r="P392" s="726"/>
      <c r="Q392" s="726"/>
      <c r="R392" s="726"/>
      <c r="S392" s="726"/>
      <c r="T392" s="726"/>
      <c r="U392" s="726"/>
      <c r="V392" s="726"/>
      <c r="W392" s="726"/>
      <c r="X392" s="706" t="s">
        <v>293</v>
      </c>
      <c r="Y392" s="763">
        <v>388</v>
      </c>
      <c r="Z392" s="763">
        <v>427</v>
      </c>
      <c r="AA392" s="708">
        <v>1</v>
      </c>
      <c r="AB392" s="708"/>
      <c r="AC392" s="708"/>
      <c r="AD392" s="146" t="s">
        <v>307</v>
      </c>
      <c r="AE392" s="146" t="s">
        <v>308</v>
      </c>
      <c r="AF392" s="438" t="s">
        <v>294</v>
      </c>
      <c r="AG392" s="708"/>
    </row>
    <row r="393" ht="24.95" customHeight="1" spans="1:33">
      <c r="A393" s="705"/>
      <c r="B393" s="714" t="s">
        <v>155</v>
      </c>
      <c r="C393" s="146" t="s">
        <v>320</v>
      </c>
      <c r="D393" s="152" t="s">
        <v>147</v>
      </c>
      <c r="E393" s="708">
        <v>1</v>
      </c>
      <c r="F393" s="714" t="str">
        <f t="shared" si="56"/>
        <v>竹园</v>
      </c>
      <c r="G393" s="708"/>
      <c r="H393" s="724">
        <v>12</v>
      </c>
      <c r="I393" s="724">
        <v>12</v>
      </c>
      <c r="J393" s="726"/>
      <c r="K393" s="726"/>
      <c r="L393" s="825">
        <v>2018.01</v>
      </c>
      <c r="M393" s="724">
        <v>2018.12</v>
      </c>
      <c r="N393" s="726"/>
      <c r="O393" s="726"/>
      <c r="P393" s="726"/>
      <c r="Q393" s="726"/>
      <c r="R393" s="726"/>
      <c r="S393" s="726"/>
      <c r="T393" s="726"/>
      <c r="U393" s="726"/>
      <c r="V393" s="726"/>
      <c r="W393" s="726"/>
      <c r="X393" s="706" t="s">
        <v>293</v>
      </c>
      <c r="Y393" s="763">
        <v>12</v>
      </c>
      <c r="Z393" s="763">
        <v>52</v>
      </c>
      <c r="AA393" s="708">
        <v>1</v>
      </c>
      <c r="AB393" s="708"/>
      <c r="AC393" s="708"/>
      <c r="AD393" s="146" t="s">
        <v>309</v>
      </c>
      <c r="AE393" s="146" t="s">
        <v>310</v>
      </c>
      <c r="AF393" s="438" t="s">
        <v>294</v>
      </c>
      <c r="AG393" s="708"/>
    </row>
    <row r="394" ht="24.95" customHeight="1" spans="1:33">
      <c r="A394" s="705"/>
      <c r="B394" s="714" t="s">
        <v>102</v>
      </c>
      <c r="C394" s="146" t="s">
        <v>320</v>
      </c>
      <c r="D394" s="152" t="s">
        <v>147</v>
      </c>
      <c r="E394" s="708">
        <v>1</v>
      </c>
      <c r="F394" s="714" t="str">
        <f t="shared" si="56"/>
        <v>富村</v>
      </c>
      <c r="G394" s="708"/>
      <c r="H394" s="724">
        <v>182</v>
      </c>
      <c r="I394" s="724">
        <v>182</v>
      </c>
      <c r="J394" s="726"/>
      <c r="K394" s="726"/>
      <c r="L394" s="825">
        <v>2018.01</v>
      </c>
      <c r="M394" s="724">
        <v>2018.12</v>
      </c>
      <c r="N394" s="726"/>
      <c r="O394" s="726"/>
      <c r="P394" s="726"/>
      <c r="Q394" s="726"/>
      <c r="R394" s="726"/>
      <c r="S394" s="726"/>
      <c r="T394" s="726"/>
      <c r="U394" s="726"/>
      <c r="V394" s="726"/>
      <c r="W394" s="726"/>
      <c r="X394" s="706" t="s">
        <v>293</v>
      </c>
      <c r="Y394" s="763">
        <v>181</v>
      </c>
      <c r="Z394" s="763">
        <v>182</v>
      </c>
      <c r="AA394" s="708">
        <v>1</v>
      </c>
      <c r="AB394" s="708"/>
      <c r="AC394" s="708"/>
      <c r="AD394" s="146" t="s">
        <v>215</v>
      </c>
      <c r="AE394" s="146" t="s">
        <v>311</v>
      </c>
      <c r="AF394" s="438" t="s">
        <v>294</v>
      </c>
      <c r="AG394" s="708"/>
    </row>
    <row r="395" ht="24.95" customHeight="1" spans="1:33">
      <c r="A395" s="705"/>
      <c r="B395" s="714" t="s">
        <v>100</v>
      </c>
      <c r="C395" s="146" t="s">
        <v>320</v>
      </c>
      <c r="D395" s="152" t="s">
        <v>147</v>
      </c>
      <c r="E395" s="708">
        <v>1</v>
      </c>
      <c r="F395" s="714" t="str">
        <f t="shared" si="56"/>
        <v>黄泥河</v>
      </c>
      <c r="G395" s="708"/>
      <c r="H395" s="724">
        <v>31</v>
      </c>
      <c r="I395" s="724">
        <v>31</v>
      </c>
      <c r="J395" s="726"/>
      <c r="K395" s="726"/>
      <c r="L395" s="825">
        <v>2018.01</v>
      </c>
      <c r="M395" s="724">
        <v>2018.12</v>
      </c>
      <c r="N395" s="726"/>
      <c r="O395" s="726"/>
      <c r="P395" s="726"/>
      <c r="Q395" s="726"/>
      <c r="R395" s="726"/>
      <c r="S395" s="726"/>
      <c r="T395" s="726"/>
      <c r="U395" s="726"/>
      <c r="V395" s="726"/>
      <c r="W395" s="726"/>
      <c r="X395" s="706" t="s">
        <v>293</v>
      </c>
      <c r="Y395" s="763">
        <v>29</v>
      </c>
      <c r="Z395" s="763">
        <v>31</v>
      </c>
      <c r="AA395" s="708">
        <v>1</v>
      </c>
      <c r="AB395" s="708"/>
      <c r="AC395" s="708"/>
      <c r="AD395" s="146" t="s">
        <v>312</v>
      </c>
      <c r="AE395" s="146" t="s">
        <v>313</v>
      </c>
      <c r="AF395" s="438" t="s">
        <v>294</v>
      </c>
      <c r="AG395" s="708"/>
    </row>
    <row r="396" ht="24.95" customHeight="1" spans="1:33">
      <c r="A396" s="705"/>
      <c r="B396" s="714" t="s">
        <v>84</v>
      </c>
      <c r="C396" s="146" t="s">
        <v>320</v>
      </c>
      <c r="D396" s="152" t="s">
        <v>147</v>
      </c>
      <c r="E396" s="708">
        <v>1</v>
      </c>
      <c r="F396" s="714" t="str">
        <f t="shared" ref="F396:F459" si="60">B396</f>
        <v>十八连山</v>
      </c>
      <c r="G396" s="708"/>
      <c r="H396" s="724">
        <v>330</v>
      </c>
      <c r="I396" s="724">
        <v>330</v>
      </c>
      <c r="J396" s="726"/>
      <c r="K396" s="726"/>
      <c r="L396" s="825">
        <v>2018.01</v>
      </c>
      <c r="M396" s="724">
        <v>2018.12</v>
      </c>
      <c r="N396" s="726"/>
      <c r="O396" s="726"/>
      <c r="P396" s="726"/>
      <c r="Q396" s="726"/>
      <c r="R396" s="726"/>
      <c r="S396" s="726"/>
      <c r="T396" s="726"/>
      <c r="U396" s="726"/>
      <c r="V396" s="726"/>
      <c r="W396" s="726"/>
      <c r="X396" s="706" t="s">
        <v>293</v>
      </c>
      <c r="Y396" s="763">
        <v>272</v>
      </c>
      <c r="Z396" s="763">
        <v>330</v>
      </c>
      <c r="AA396" s="708">
        <v>1</v>
      </c>
      <c r="AB396" s="708"/>
      <c r="AC396" s="708"/>
      <c r="AD396" s="146" t="s">
        <v>185</v>
      </c>
      <c r="AE396" s="146" t="s">
        <v>314</v>
      </c>
      <c r="AF396" s="438" t="s">
        <v>294</v>
      </c>
      <c r="AG396" s="708"/>
    </row>
    <row r="397" ht="24.95" customHeight="1" spans="1:33">
      <c r="A397" s="705"/>
      <c r="B397" s="714" t="s">
        <v>143</v>
      </c>
      <c r="C397" s="146" t="s">
        <v>320</v>
      </c>
      <c r="D397" s="152" t="s">
        <v>147</v>
      </c>
      <c r="E397" s="708">
        <v>1</v>
      </c>
      <c r="F397" s="714" t="str">
        <f t="shared" si="60"/>
        <v>老厂</v>
      </c>
      <c r="G397" s="708"/>
      <c r="H397" s="724">
        <v>328</v>
      </c>
      <c r="I397" s="724">
        <v>328</v>
      </c>
      <c r="J397" s="726"/>
      <c r="K397" s="726"/>
      <c r="L397" s="825">
        <v>2018.01</v>
      </c>
      <c r="M397" s="724">
        <v>2018.12</v>
      </c>
      <c r="N397" s="726"/>
      <c r="O397" s="726"/>
      <c r="P397" s="726"/>
      <c r="Q397" s="726"/>
      <c r="R397" s="726"/>
      <c r="S397" s="726"/>
      <c r="T397" s="726"/>
      <c r="U397" s="726"/>
      <c r="V397" s="726"/>
      <c r="W397" s="726"/>
      <c r="X397" s="706" t="s">
        <v>293</v>
      </c>
      <c r="Y397" s="763">
        <v>41</v>
      </c>
      <c r="Z397" s="763">
        <v>44</v>
      </c>
      <c r="AA397" s="708">
        <v>1</v>
      </c>
      <c r="AB397" s="708"/>
      <c r="AC397" s="708"/>
      <c r="AD397" s="146" t="s">
        <v>317</v>
      </c>
      <c r="AE397" s="146" t="s">
        <v>318</v>
      </c>
      <c r="AF397" s="438" t="s">
        <v>294</v>
      </c>
      <c r="AG397" s="708"/>
    </row>
    <row r="398" ht="24.95" customHeight="1" spans="1:33">
      <c r="A398" s="705">
        <v>53</v>
      </c>
      <c r="B398" s="708" t="s">
        <v>321</v>
      </c>
      <c r="C398" s="708"/>
      <c r="D398" s="709" t="s">
        <v>147</v>
      </c>
      <c r="E398" s="708">
        <f>SUM(E399:E410)</f>
        <v>12</v>
      </c>
      <c r="F398" s="708"/>
      <c r="G398" s="708"/>
      <c r="H398" s="726">
        <f t="shared" ref="F398:AA398" si="61">SUM(H399:H410)</f>
        <v>2452</v>
      </c>
      <c r="I398" s="726">
        <f t="shared" si="61"/>
        <v>2452</v>
      </c>
      <c r="J398" s="726">
        <f t="shared" si="61"/>
        <v>0</v>
      </c>
      <c r="K398" s="726">
        <f t="shared" si="61"/>
        <v>0</v>
      </c>
      <c r="L398" s="726"/>
      <c r="M398" s="726"/>
      <c r="N398" s="726">
        <f t="shared" si="61"/>
        <v>0</v>
      </c>
      <c r="O398" s="726">
        <f t="shared" si="61"/>
        <v>0</v>
      </c>
      <c r="P398" s="726">
        <f t="shared" si="61"/>
        <v>0</v>
      </c>
      <c r="Q398" s="726">
        <f t="shared" si="61"/>
        <v>0</v>
      </c>
      <c r="R398" s="726">
        <f t="shared" si="61"/>
        <v>0</v>
      </c>
      <c r="S398" s="726">
        <f t="shared" si="61"/>
        <v>0</v>
      </c>
      <c r="T398" s="726">
        <f t="shared" si="61"/>
        <v>0</v>
      </c>
      <c r="U398" s="726">
        <f t="shared" si="61"/>
        <v>0</v>
      </c>
      <c r="V398" s="726">
        <f t="shared" si="61"/>
        <v>0</v>
      </c>
      <c r="W398" s="708"/>
      <c r="X398" s="706" t="s">
        <v>293</v>
      </c>
      <c r="Y398" s="708">
        <f t="shared" si="61"/>
        <v>2065</v>
      </c>
      <c r="Z398" s="708">
        <f t="shared" si="61"/>
        <v>3984</v>
      </c>
      <c r="AA398" s="708">
        <f t="shared" si="61"/>
        <v>12</v>
      </c>
      <c r="AB398" s="708"/>
      <c r="AC398" s="708"/>
      <c r="AD398" s="146" t="s">
        <v>296</v>
      </c>
      <c r="AE398" s="146" t="s">
        <v>297</v>
      </c>
      <c r="AF398" s="438" t="s">
        <v>294</v>
      </c>
      <c r="AG398" s="708" t="s">
        <v>41</v>
      </c>
    </row>
    <row r="399" ht="24.95" customHeight="1" spans="1:33">
      <c r="A399" s="705"/>
      <c r="B399" s="714" t="s">
        <v>101</v>
      </c>
      <c r="C399" s="146" t="s">
        <v>320</v>
      </c>
      <c r="D399" s="152" t="s">
        <v>147</v>
      </c>
      <c r="E399" s="708">
        <v>1</v>
      </c>
      <c r="F399" s="708" t="str">
        <f t="shared" si="60"/>
        <v>中安</v>
      </c>
      <c r="G399" s="708"/>
      <c r="H399" s="726">
        <v>164</v>
      </c>
      <c r="I399" s="726">
        <v>164</v>
      </c>
      <c r="J399" s="726"/>
      <c r="K399" s="726"/>
      <c r="L399" s="726">
        <v>2018.01</v>
      </c>
      <c r="M399" s="726">
        <v>2018.12</v>
      </c>
      <c r="N399" s="726"/>
      <c r="O399" s="726"/>
      <c r="P399" s="726"/>
      <c r="Q399" s="726"/>
      <c r="R399" s="726"/>
      <c r="S399" s="726"/>
      <c r="T399" s="726"/>
      <c r="U399" s="726"/>
      <c r="V399" s="726"/>
      <c r="W399" s="726"/>
      <c r="X399" s="706" t="s">
        <v>293</v>
      </c>
      <c r="Y399" s="763">
        <v>152</v>
      </c>
      <c r="Z399" s="763">
        <v>718</v>
      </c>
      <c r="AA399" s="708">
        <v>1</v>
      </c>
      <c r="AB399" s="708"/>
      <c r="AC399" s="708"/>
      <c r="AD399" s="146" t="s">
        <v>298</v>
      </c>
      <c r="AE399" s="146" t="s">
        <v>299</v>
      </c>
      <c r="AF399" s="438" t="s">
        <v>294</v>
      </c>
      <c r="AG399" s="708"/>
    </row>
    <row r="400" ht="24.95" customHeight="1" spans="1:33">
      <c r="A400" s="705"/>
      <c r="B400" s="714" t="s">
        <v>151</v>
      </c>
      <c r="C400" s="146" t="s">
        <v>320</v>
      </c>
      <c r="D400" s="152" t="s">
        <v>147</v>
      </c>
      <c r="E400" s="708">
        <v>1</v>
      </c>
      <c r="F400" s="708" t="str">
        <f t="shared" si="60"/>
        <v>胜境</v>
      </c>
      <c r="G400" s="708"/>
      <c r="H400" s="726">
        <v>64</v>
      </c>
      <c r="I400" s="726">
        <v>64</v>
      </c>
      <c r="J400" s="726"/>
      <c r="K400" s="726"/>
      <c r="L400" s="726">
        <v>2018.01</v>
      </c>
      <c r="M400" s="726">
        <v>2018.12</v>
      </c>
      <c r="N400" s="726"/>
      <c r="O400" s="726"/>
      <c r="P400" s="726"/>
      <c r="Q400" s="726"/>
      <c r="R400" s="726"/>
      <c r="S400" s="726"/>
      <c r="T400" s="726"/>
      <c r="U400" s="726"/>
      <c r="V400" s="726"/>
      <c r="W400" s="726"/>
      <c r="X400" s="706" t="s">
        <v>293</v>
      </c>
      <c r="Y400" s="763">
        <v>58</v>
      </c>
      <c r="Z400" s="763">
        <v>64</v>
      </c>
      <c r="AA400" s="708">
        <v>1</v>
      </c>
      <c r="AB400" s="708"/>
      <c r="AC400" s="708"/>
      <c r="AD400" s="146" t="s">
        <v>300</v>
      </c>
      <c r="AE400" s="146" t="s">
        <v>301</v>
      </c>
      <c r="AF400" s="438" t="s">
        <v>294</v>
      </c>
      <c r="AG400" s="708"/>
    </row>
    <row r="401" ht="24.95" customHeight="1" spans="1:33">
      <c r="A401" s="705"/>
      <c r="B401" s="714" t="s">
        <v>154</v>
      </c>
      <c r="C401" s="146" t="s">
        <v>320</v>
      </c>
      <c r="D401" s="152" t="s">
        <v>147</v>
      </c>
      <c r="E401" s="708">
        <v>1</v>
      </c>
      <c r="F401" s="708" t="str">
        <f t="shared" si="60"/>
        <v>后所</v>
      </c>
      <c r="G401" s="708"/>
      <c r="H401" s="726">
        <v>265</v>
      </c>
      <c r="I401" s="726">
        <v>265</v>
      </c>
      <c r="J401" s="726"/>
      <c r="K401" s="726"/>
      <c r="L401" s="726">
        <v>2018.01</v>
      </c>
      <c r="M401" s="726">
        <v>2018.12</v>
      </c>
      <c r="N401" s="726"/>
      <c r="O401" s="726"/>
      <c r="P401" s="726"/>
      <c r="Q401" s="726"/>
      <c r="R401" s="726"/>
      <c r="S401" s="726"/>
      <c r="T401" s="726"/>
      <c r="U401" s="726"/>
      <c r="V401" s="726"/>
      <c r="W401" s="726"/>
      <c r="X401" s="706" t="s">
        <v>293</v>
      </c>
      <c r="Y401" s="763">
        <v>232</v>
      </c>
      <c r="Z401" s="763">
        <v>265</v>
      </c>
      <c r="AA401" s="708">
        <v>1</v>
      </c>
      <c r="AB401" s="708"/>
      <c r="AC401" s="708"/>
      <c r="AD401" s="146" t="s">
        <v>247</v>
      </c>
      <c r="AE401" s="146" t="s">
        <v>302</v>
      </c>
      <c r="AF401" s="438" t="s">
        <v>294</v>
      </c>
      <c r="AG401" s="708"/>
    </row>
    <row r="402" ht="24.95" customHeight="1" spans="1:33">
      <c r="A402" s="705"/>
      <c r="B402" s="714" t="s">
        <v>81</v>
      </c>
      <c r="C402" s="146" t="s">
        <v>320</v>
      </c>
      <c r="D402" s="152" t="s">
        <v>147</v>
      </c>
      <c r="E402" s="708">
        <v>1</v>
      </c>
      <c r="F402" s="708" t="str">
        <f t="shared" si="60"/>
        <v>墨红</v>
      </c>
      <c r="G402" s="708"/>
      <c r="H402" s="726">
        <v>136</v>
      </c>
      <c r="I402" s="726">
        <v>136</v>
      </c>
      <c r="J402" s="726"/>
      <c r="K402" s="726"/>
      <c r="L402" s="726">
        <v>2018.01</v>
      </c>
      <c r="M402" s="726">
        <v>2018.12</v>
      </c>
      <c r="N402" s="726"/>
      <c r="O402" s="726"/>
      <c r="P402" s="726"/>
      <c r="Q402" s="726"/>
      <c r="R402" s="726"/>
      <c r="S402" s="726"/>
      <c r="T402" s="726"/>
      <c r="U402" s="726"/>
      <c r="V402" s="726"/>
      <c r="W402" s="726"/>
      <c r="X402" s="706" t="s">
        <v>293</v>
      </c>
      <c r="Y402" s="763">
        <v>130</v>
      </c>
      <c r="Z402" s="763">
        <v>136</v>
      </c>
      <c r="AA402" s="708">
        <v>1</v>
      </c>
      <c r="AB402" s="708"/>
      <c r="AC402" s="708"/>
      <c r="AD402" s="146" t="s">
        <v>303</v>
      </c>
      <c r="AE402" s="146" t="s">
        <v>304</v>
      </c>
      <c r="AF402" s="438" t="s">
        <v>294</v>
      </c>
      <c r="AG402" s="708"/>
    </row>
    <row r="403" ht="24.95" customHeight="1" spans="1:33">
      <c r="A403" s="705"/>
      <c r="B403" s="714" t="s">
        <v>98</v>
      </c>
      <c r="C403" s="146" t="s">
        <v>320</v>
      </c>
      <c r="D403" s="152" t="s">
        <v>147</v>
      </c>
      <c r="E403" s="708">
        <v>1</v>
      </c>
      <c r="F403" s="708" t="str">
        <f t="shared" si="60"/>
        <v>大河</v>
      </c>
      <c r="G403" s="708"/>
      <c r="H403" s="726">
        <v>349</v>
      </c>
      <c r="I403" s="726">
        <v>349</v>
      </c>
      <c r="J403" s="726"/>
      <c r="K403" s="726"/>
      <c r="L403" s="726">
        <v>2018.01</v>
      </c>
      <c r="M403" s="726">
        <v>2018.12</v>
      </c>
      <c r="N403" s="726"/>
      <c r="O403" s="726"/>
      <c r="P403" s="726"/>
      <c r="Q403" s="726"/>
      <c r="R403" s="726"/>
      <c r="S403" s="726"/>
      <c r="T403" s="726"/>
      <c r="U403" s="726"/>
      <c r="V403" s="726"/>
      <c r="W403" s="726"/>
      <c r="X403" s="706" t="s">
        <v>293</v>
      </c>
      <c r="Y403" s="763">
        <v>316</v>
      </c>
      <c r="Z403" s="763">
        <v>1487</v>
      </c>
      <c r="AA403" s="708">
        <v>1</v>
      </c>
      <c r="AB403" s="708"/>
      <c r="AC403" s="708"/>
      <c r="AD403" s="146" t="s">
        <v>305</v>
      </c>
      <c r="AE403" s="146" t="s">
        <v>306</v>
      </c>
      <c r="AF403" s="438" t="s">
        <v>294</v>
      </c>
      <c r="AG403" s="708"/>
    </row>
    <row r="404" ht="24.95" customHeight="1" spans="1:33">
      <c r="A404" s="705"/>
      <c r="B404" s="714" t="s">
        <v>211</v>
      </c>
      <c r="C404" s="146" t="s">
        <v>320</v>
      </c>
      <c r="D404" s="152" t="s">
        <v>147</v>
      </c>
      <c r="E404" s="708">
        <v>1</v>
      </c>
      <c r="F404" s="708" t="str">
        <f t="shared" si="60"/>
        <v>营上</v>
      </c>
      <c r="G404" s="708"/>
      <c r="H404" s="726">
        <v>196</v>
      </c>
      <c r="I404" s="726">
        <v>196</v>
      </c>
      <c r="J404" s="726"/>
      <c r="K404" s="726"/>
      <c r="L404" s="726">
        <v>2018.01</v>
      </c>
      <c r="M404" s="726">
        <v>2018.12</v>
      </c>
      <c r="N404" s="726"/>
      <c r="O404" s="726"/>
      <c r="P404" s="726"/>
      <c r="Q404" s="726"/>
      <c r="R404" s="726"/>
      <c r="S404" s="726"/>
      <c r="T404" s="726"/>
      <c r="U404" s="726"/>
      <c r="V404" s="726"/>
      <c r="W404" s="726"/>
      <c r="X404" s="706" t="s">
        <v>293</v>
      </c>
      <c r="Y404" s="763">
        <v>183</v>
      </c>
      <c r="Z404" s="763">
        <v>196</v>
      </c>
      <c r="AA404" s="708">
        <v>1</v>
      </c>
      <c r="AB404" s="708"/>
      <c r="AC404" s="708"/>
      <c r="AD404" s="146" t="s">
        <v>307</v>
      </c>
      <c r="AE404" s="146" t="s">
        <v>308</v>
      </c>
      <c r="AF404" s="438" t="s">
        <v>294</v>
      </c>
      <c r="AG404" s="708"/>
    </row>
    <row r="405" ht="24.95" customHeight="1" spans="1:33">
      <c r="A405" s="705"/>
      <c r="B405" s="714" t="s">
        <v>155</v>
      </c>
      <c r="C405" s="146" t="s">
        <v>320</v>
      </c>
      <c r="D405" s="152" t="s">
        <v>147</v>
      </c>
      <c r="E405" s="708">
        <v>1</v>
      </c>
      <c r="F405" s="708" t="str">
        <f t="shared" si="60"/>
        <v>竹园</v>
      </c>
      <c r="G405" s="708"/>
      <c r="H405" s="726">
        <v>100</v>
      </c>
      <c r="I405" s="726">
        <v>100</v>
      </c>
      <c r="J405" s="726"/>
      <c r="K405" s="726"/>
      <c r="L405" s="726">
        <v>2018.01</v>
      </c>
      <c r="M405" s="726">
        <v>2018.12</v>
      </c>
      <c r="N405" s="726"/>
      <c r="O405" s="726"/>
      <c r="P405" s="726"/>
      <c r="Q405" s="726"/>
      <c r="R405" s="726"/>
      <c r="S405" s="726"/>
      <c r="T405" s="726"/>
      <c r="U405" s="726"/>
      <c r="V405" s="726"/>
      <c r="W405" s="726"/>
      <c r="X405" s="706" t="s">
        <v>293</v>
      </c>
      <c r="Y405" s="763">
        <v>93</v>
      </c>
      <c r="Z405" s="763">
        <v>100</v>
      </c>
      <c r="AA405" s="708">
        <v>1</v>
      </c>
      <c r="AB405" s="708"/>
      <c r="AC405" s="708"/>
      <c r="AD405" s="146" t="s">
        <v>309</v>
      </c>
      <c r="AE405" s="146" t="s">
        <v>310</v>
      </c>
      <c r="AF405" s="438" t="s">
        <v>294</v>
      </c>
      <c r="AG405" s="708"/>
    </row>
    <row r="406" ht="24.95" customHeight="1" spans="1:33">
      <c r="A406" s="705"/>
      <c r="B406" s="714" t="s">
        <v>102</v>
      </c>
      <c r="C406" s="146" t="s">
        <v>320</v>
      </c>
      <c r="D406" s="152" t="s">
        <v>147</v>
      </c>
      <c r="E406" s="708">
        <v>1</v>
      </c>
      <c r="F406" s="708" t="str">
        <f t="shared" si="60"/>
        <v>富村</v>
      </c>
      <c r="G406" s="708"/>
      <c r="H406" s="726">
        <v>375</v>
      </c>
      <c r="I406" s="726">
        <v>375</v>
      </c>
      <c r="J406" s="726"/>
      <c r="K406" s="726"/>
      <c r="L406" s="726">
        <v>2018.01</v>
      </c>
      <c r="M406" s="726">
        <v>2018.12</v>
      </c>
      <c r="N406" s="726"/>
      <c r="O406" s="726"/>
      <c r="P406" s="726"/>
      <c r="Q406" s="726"/>
      <c r="R406" s="726"/>
      <c r="S406" s="726"/>
      <c r="T406" s="726"/>
      <c r="U406" s="726"/>
      <c r="V406" s="726"/>
      <c r="W406" s="726"/>
      <c r="X406" s="706" t="s">
        <v>293</v>
      </c>
      <c r="Y406" s="763">
        <v>316</v>
      </c>
      <c r="Z406" s="763">
        <v>375</v>
      </c>
      <c r="AA406" s="708">
        <v>1</v>
      </c>
      <c r="AB406" s="708"/>
      <c r="AC406" s="708"/>
      <c r="AD406" s="146" t="s">
        <v>215</v>
      </c>
      <c r="AE406" s="146" t="s">
        <v>311</v>
      </c>
      <c r="AF406" s="438" t="s">
        <v>294</v>
      </c>
      <c r="AG406" s="708"/>
    </row>
    <row r="407" ht="24.95" customHeight="1" spans="1:33">
      <c r="A407" s="705"/>
      <c r="B407" s="714" t="s">
        <v>100</v>
      </c>
      <c r="C407" s="146" t="s">
        <v>320</v>
      </c>
      <c r="D407" s="152" t="s">
        <v>147</v>
      </c>
      <c r="E407" s="708">
        <v>1</v>
      </c>
      <c r="F407" s="708" t="str">
        <f t="shared" si="60"/>
        <v>黄泥河</v>
      </c>
      <c r="G407" s="708"/>
      <c r="H407" s="726">
        <v>422</v>
      </c>
      <c r="I407" s="726">
        <v>422</v>
      </c>
      <c r="J407" s="726"/>
      <c r="K407" s="726"/>
      <c r="L407" s="726">
        <v>2018.01</v>
      </c>
      <c r="M407" s="726">
        <v>2018.12</v>
      </c>
      <c r="N407" s="726"/>
      <c r="O407" s="726"/>
      <c r="P407" s="726"/>
      <c r="Q407" s="726"/>
      <c r="R407" s="726"/>
      <c r="S407" s="726"/>
      <c r="T407" s="726"/>
      <c r="U407" s="726"/>
      <c r="V407" s="726"/>
      <c r="W407" s="726"/>
      <c r="X407" s="706" t="s">
        <v>293</v>
      </c>
      <c r="Y407" s="763">
        <v>374</v>
      </c>
      <c r="Z407" s="763">
        <v>422</v>
      </c>
      <c r="AA407" s="708">
        <v>1</v>
      </c>
      <c r="AB407" s="708"/>
      <c r="AC407" s="708"/>
      <c r="AD407" s="146" t="s">
        <v>312</v>
      </c>
      <c r="AE407" s="146" t="s">
        <v>313</v>
      </c>
      <c r="AF407" s="438" t="s">
        <v>294</v>
      </c>
      <c r="AG407" s="708"/>
    </row>
    <row r="408" ht="24.95" customHeight="1" spans="1:33">
      <c r="A408" s="705"/>
      <c r="B408" s="714" t="s">
        <v>84</v>
      </c>
      <c r="C408" s="146" t="s">
        <v>320</v>
      </c>
      <c r="D408" s="152" t="s">
        <v>147</v>
      </c>
      <c r="E408" s="708">
        <v>1</v>
      </c>
      <c r="F408" s="708" t="str">
        <f t="shared" si="60"/>
        <v>十八连山</v>
      </c>
      <c r="G408" s="708"/>
      <c r="H408" s="726">
        <v>102</v>
      </c>
      <c r="I408" s="726">
        <v>102</v>
      </c>
      <c r="J408" s="726"/>
      <c r="K408" s="726"/>
      <c r="L408" s="726">
        <v>2018.01</v>
      </c>
      <c r="M408" s="726">
        <v>2018.12</v>
      </c>
      <c r="N408" s="726"/>
      <c r="O408" s="726"/>
      <c r="P408" s="726"/>
      <c r="Q408" s="726"/>
      <c r="R408" s="726"/>
      <c r="S408" s="726"/>
      <c r="T408" s="726"/>
      <c r="U408" s="726"/>
      <c r="V408" s="726"/>
      <c r="W408" s="726"/>
      <c r="X408" s="706" t="s">
        <v>293</v>
      </c>
      <c r="Y408" s="763">
        <v>102</v>
      </c>
      <c r="Z408" s="763">
        <v>102</v>
      </c>
      <c r="AA408" s="708">
        <v>1</v>
      </c>
      <c r="AB408" s="708"/>
      <c r="AC408" s="708"/>
      <c r="AD408" s="146" t="s">
        <v>185</v>
      </c>
      <c r="AE408" s="146" t="s">
        <v>314</v>
      </c>
      <c r="AF408" s="438" t="s">
        <v>294</v>
      </c>
      <c r="AG408" s="708"/>
    </row>
    <row r="409" ht="24.95" customHeight="1" spans="1:33">
      <c r="A409" s="705"/>
      <c r="B409" s="714" t="s">
        <v>259</v>
      </c>
      <c r="C409" s="146" t="s">
        <v>320</v>
      </c>
      <c r="D409" s="152" t="s">
        <v>147</v>
      </c>
      <c r="E409" s="708">
        <v>1</v>
      </c>
      <c r="F409" s="708" t="str">
        <f t="shared" si="60"/>
        <v>古敢</v>
      </c>
      <c r="G409" s="708"/>
      <c r="H409" s="726">
        <v>30</v>
      </c>
      <c r="I409" s="726">
        <v>30</v>
      </c>
      <c r="J409" s="726"/>
      <c r="K409" s="726"/>
      <c r="L409" s="726">
        <v>2018.01</v>
      </c>
      <c r="M409" s="726">
        <v>2018.12</v>
      </c>
      <c r="N409" s="726"/>
      <c r="O409" s="726"/>
      <c r="P409" s="726"/>
      <c r="Q409" s="726"/>
      <c r="R409" s="726"/>
      <c r="S409" s="726"/>
      <c r="T409" s="726"/>
      <c r="U409" s="726"/>
      <c r="V409" s="726"/>
      <c r="W409" s="726"/>
      <c r="X409" s="706" t="s">
        <v>293</v>
      </c>
      <c r="Y409" s="763">
        <v>26</v>
      </c>
      <c r="Z409" s="763">
        <v>30</v>
      </c>
      <c r="AA409" s="708">
        <v>1</v>
      </c>
      <c r="AB409" s="708"/>
      <c r="AC409" s="708"/>
      <c r="AD409" s="146" t="s">
        <v>315</v>
      </c>
      <c r="AE409" s="146" t="s">
        <v>316</v>
      </c>
      <c r="AF409" s="438" t="s">
        <v>294</v>
      </c>
      <c r="AG409" s="708"/>
    </row>
    <row r="410" ht="24.95" customHeight="1" spans="1:33">
      <c r="A410" s="705"/>
      <c r="B410" s="714" t="s">
        <v>143</v>
      </c>
      <c r="C410" s="146" t="s">
        <v>320</v>
      </c>
      <c r="D410" s="152" t="s">
        <v>147</v>
      </c>
      <c r="E410" s="708">
        <v>1</v>
      </c>
      <c r="F410" s="708" t="str">
        <f t="shared" si="60"/>
        <v>老厂</v>
      </c>
      <c r="G410" s="708"/>
      <c r="H410" s="726">
        <v>249</v>
      </c>
      <c r="I410" s="726">
        <v>249</v>
      </c>
      <c r="J410" s="726"/>
      <c r="K410" s="726"/>
      <c r="L410" s="726">
        <v>2018.01</v>
      </c>
      <c r="M410" s="726">
        <v>2018.12</v>
      </c>
      <c r="N410" s="726"/>
      <c r="O410" s="726"/>
      <c r="P410" s="726"/>
      <c r="Q410" s="726"/>
      <c r="R410" s="726"/>
      <c r="S410" s="726"/>
      <c r="T410" s="726"/>
      <c r="U410" s="726"/>
      <c r="V410" s="726"/>
      <c r="W410" s="726"/>
      <c r="X410" s="706" t="s">
        <v>293</v>
      </c>
      <c r="Y410" s="763">
        <v>83</v>
      </c>
      <c r="Z410" s="763">
        <v>89</v>
      </c>
      <c r="AA410" s="708">
        <v>1</v>
      </c>
      <c r="AB410" s="708"/>
      <c r="AC410" s="708"/>
      <c r="AD410" s="146" t="s">
        <v>317</v>
      </c>
      <c r="AE410" s="146" t="s">
        <v>318</v>
      </c>
      <c r="AF410" s="438" t="s">
        <v>294</v>
      </c>
      <c r="AG410" s="708"/>
    </row>
    <row r="411" ht="24.95" customHeight="1" spans="1:33">
      <c r="A411" s="705">
        <v>54</v>
      </c>
      <c r="B411" s="750" t="s">
        <v>322</v>
      </c>
      <c r="C411" s="146" t="s">
        <v>320</v>
      </c>
      <c r="D411" s="152" t="s">
        <v>147</v>
      </c>
      <c r="E411" s="708">
        <f>SUM(E412:E423)</f>
        <v>12</v>
      </c>
      <c r="F411" s="708"/>
      <c r="G411" s="708"/>
      <c r="H411" s="726">
        <f t="shared" ref="F411:AA411" si="62">SUM(H412:H423)</f>
        <v>1335</v>
      </c>
      <c r="I411" s="726">
        <f t="shared" si="62"/>
        <v>1335</v>
      </c>
      <c r="J411" s="726">
        <f t="shared" si="62"/>
        <v>0</v>
      </c>
      <c r="K411" s="726">
        <f t="shared" si="62"/>
        <v>0</v>
      </c>
      <c r="L411" s="726"/>
      <c r="M411" s="726"/>
      <c r="N411" s="726">
        <f t="shared" si="62"/>
        <v>0</v>
      </c>
      <c r="O411" s="726">
        <f t="shared" si="62"/>
        <v>0</v>
      </c>
      <c r="P411" s="726">
        <f t="shared" si="62"/>
        <v>0</v>
      </c>
      <c r="Q411" s="726">
        <f t="shared" si="62"/>
        <v>0</v>
      </c>
      <c r="R411" s="726">
        <f t="shared" si="62"/>
        <v>0</v>
      </c>
      <c r="S411" s="726">
        <f t="shared" si="62"/>
        <v>0</v>
      </c>
      <c r="T411" s="726">
        <f t="shared" si="62"/>
        <v>0</v>
      </c>
      <c r="U411" s="726">
        <f t="shared" si="62"/>
        <v>0</v>
      </c>
      <c r="V411" s="726">
        <f t="shared" si="62"/>
        <v>0</v>
      </c>
      <c r="W411" s="708"/>
      <c r="X411" s="706" t="s">
        <v>293</v>
      </c>
      <c r="Y411" s="708">
        <f t="shared" si="62"/>
        <v>1156</v>
      </c>
      <c r="Z411" s="708">
        <f t="shared" si="62"/>
        <v>2378</v>
      </c>
      <c r="AA411" s="708">
        <f t="shared" si="62"/>
        <v>12</v>
      </c>
      <c r="AB411" s="708"/>
      <c r="AC411" s="708"/>
      <c r="AD411" s="146" t="s">
        <v>296</v>
      </c>
      <c r="AE411" s="146" t="s">
        <v>297</v>
      </c>
      <c r="AF411" s="438" t="s">
        <v>294</v>
      </c>
      <c r="AG411" s="708" t="s">
        <v>41</v>
      </c>
    </row>
    <row r="412" ht="24.95" customHeight="1" spans="1:33">
      <c r="A412" s="705"/>
      <c r="B412" s="714" t="s">
        <v>101</v>
      </c>
      <c r="C412" s="146" t="s">
        <v>320</v>
      </c>
      <c r="D412" s="152" t="s">
        <v>147</v>
      </c>
      <c r="E412" s="708">
        <v>1</v>
      </c>
      <c r="F412" s="714" t="str">
        <f t="shared" si="60"/>
        <v>中安</v>
      </c>
      <c r="G412" s="708"/>
      <c r="H412" s="726">
        <v>55</v>
      </c>
      <c r="I412" s="726">
        <v>55</v>
      </c>
      <c r="J412" s="726"/>
      <c r="K412" s="726"/>
      <c r="L412" s="726">
        <v>2018.01</v>
      </c>
      <c r="M412" s="726">
        <v>2018.12</v>
      </c>
      <c r="N412" s="726"/>
      <c r="O412" s="726"/>
      <c r="P412" s="726"/>
      <c r="Q412" s="726"/>
      <c r="R412" s="726"/>
      <c r="S412" s="726"/>
      <c r="T412" s="726"/>
      <c r="U412" s="726"/>
      <c r="V412" s="726"/>
      <c r="W412" s="726"/>
      <c r="X412" s="706" t="s">
        <v>293</v>
      </c>
      <c r="Y412" s="763">
        <v>52</v>
      </c>
      <c r="Z412" s="763">
        <v>233</v>
      </c>
      <c r="AA412" s="708">
        <v>1</v>
      </c>
      <c r="AB412" s="708"/>
      <c r="AC412" s="708"/>
      <c r="AD412" s="146" t="s">
        <v>298</v>
      </c>
      <c r="AE412" s="146" t="s">
        <v>299</v>
      </c>
      <c r="AF412" s="438" t="s">
        <v>294</v>
      </c>
      <c r="AG412" s="708"/>
    </row>
    <row r="413" ht="24.95" customHeight="1" spans="1:33">
      <c r="A413" s="705"/>
      <c r="B413" s="714" t="s">
        <v>151</v>
      </c>
      <c r="C413" s="146" t="s">
        <v>320</v>
      </c>
      <c r="D413" s="152" t="s">
        <v>147</v>
      </c>
      <c r="E413" s="708">
        <v>1</v>
      </c>
      <c r="F413" s="714" t="str">
        <f t="shared" si="60"/>
        <v>胜境</v>
      </c>
      <c r="G413" s="708"/>
      <c r="H413" s="726">
        <v>60</v>
      </c>
      <c r="I413" s="726">
        <v>60</v>
      </c>
      <c r="J413" s="726"/>
      <c r="K413" s="726"/>
      <c r="L413" s="726">
        <v>2018.01</v>
      </c>
      <c r="M413" s="726">
        <v>2018.12</v>
      </c>
      <c r="N413" s="726"/>
      <c r="O413" s="726"/>
      <c r="P413" s="726"/>
      <c r="Q413" s="726"/>
      <c r="R413" s="726"/>
      <c r="S413" s="726"/>
      <c r="T413" s="726"/>
      <c r="U413" s="726"/>
      <c r="V413" s="726"/>
      <c r="W413" s="726"/>
      <c r="X413" s="706" t="s">
        <v>293</v>
      </c>
      <c r="Y413" s="763">
        <v>59</v>
      </c>
      <c r="Z413" s="763">
        <v>60</v>
      </c>
      <c r="AA413" s="708">
        <v>1</v>
      </c>
      <c r="AB413" s="708"/>
      <c r="AC413" s="708"/>
      <c r="AD413" s="146" t="s">
        <v>300</v>
      </c>
      <c r="AE413" s="146" t="s">
        <v>301</v>
      </c>
      <c r="AF413" s="438" t="s">
        <v>294</v>
      </c>
      <c r="AG413" s="708"/>
    </row>
    <row r="414" ht="24.95" customHeight="1" spans="1:33">
      <c r="A414" s="705"/>
      <c r="B414" s="714" t="s">
        <v>154</v>
      </c>
      <c r="C414" s="146" t="s">
        <v>320</v>
      </c>
      <c r="D414" s="152" t="s">
        <v>147</v>
      </c>
      <c r="E414" s="708">
        <v>1</v>
      </c>
      <c r="F414" s="714" t="str">
        <f t="shared" si="60"/>
        <v>后所</v>
      </c>
      <c r="G414" s="708"/>
      <c r="H414" s="726">
        <v>200</v>
      </c>
      <c r="I414" s="726">
        <v>200</v>
      </c>
      <c r="J414" s="726"/>
      <c r="K414" s="726"/>
      <c r="L414" s="726">
        <v>2018.01</v>
      </c>
      <c r="M414" s="726">
        <v>2018.12</v>
      </c>
      <c r="N414" s="726"/>
      <c r="O414" s="726"/>
      <c r="P414" s="726"/>
      <c r="Q414" s="726"/>
      <c r="R414" s="726"/>
      <c r="S414" s="726"/>
      <c r="T414" s="726"/>
      <c r="U414" s="726"/>
      <c r="V414" s="726"/>
      <c r="W414" s="726"/>
      <c r="X414" s="706" t="s">
        <v>293</v>
      </c>
      <c r="Y414" s="763">
        <v>184</v>
      </c>
      <c r="Z414" s="763">
        <v>200</v>
      </c>
      <c r="AA414" s="708">
        <v>1</v>
      </c>
      <c r="AB414" s="708"/>
      <c r="AC414" s="708"/>
      <c r="AD414" s="146" t="s">
        <v>247</v>
      </c>
      <c r="AE414" s="146" t="s">
        <v>302</v>
      </c>
      <c r="AF414" s="438" t="s">
        <v>294</v>
      </c>
      <c r="AG414" s="708"/>
    </row>
    <row r="415" ht="24.95" customHeight="1" spans="1:33">
      <c r="A415" s="705"/>
      <c r="B415" s="714" t="s">
        <v>81</v>
      </c>
      <c r="C415" s="146" t="s">
        <v>320</v>
      </c>
      <c r="D415" s="152" t="s">
        <v>147</v>
      </c>
      <c r="E415" s="708">
        <v>1</v>
      </c>
      <c r="F415" s="714" t="str">
        <f t="shared" si="60"/>
        <v>墨红</v>
      </c>
      <c r="G415" s="708"/>
      <c r="H415" s="726">
        <v>67</v>
      </c>
      <c r="I415" s="726">
        <v>67</v>
      </c>
      <c r="J415" s="726"/>
      <c r="K415" s="726"/>
      <c r="L415" s="726">
        <v>2018.01</v>
      </c>
      <c r="M415" s="726">
        <v>2018.12</v>
      </c>
      <c r="N415" s="726"/>
      <c r="O415" s="726"/>
      <c r="P415" s="726"/>
      <c r="Q415" s="726"/>
      <c r="R415" s="726"/>
      <c r="S415" s="726"/>
      <c r="T415" s="726"/>
      <c r="U415" s="726"/>
      <c r="V415" s="726"/>
      <c r="W415" s="726"/>
      <c r="X415" s="706" t="s">
        <v>293</v>
      </c>
      <c r="Y415" s="763">
        <v>66</v>
      </c>
      <c r="Z415" s="763">
        <v>67</v>
      </c>
      <c r="AA415" s="708">
        <v>1</v>
      </c>
      <c r="AB415" s="708"/>
      <c r="AC415" s="708"/>
      <c r="AD415" s="146" t="s">
        <v>303</v>
      </c>
      <c r="AE415" s="146" t="s">
        <v>304</v>
      </c>
      <c r="AF415" s="438" t="s">
        <v>294</v>
      </c>
      <c r="AG415" s="708"/>
    </row>
    <row r="416" ht="24.95" customHeight="1" spans="1:33">
      <c r="A416" s="705"/>
      <c r="B416" s="714" t="s">
        <v>98</v>
      </c>
      <c r="C416" s="146" t="s">
        <v>320</v>
      </c>
      <c r="D416" s="152" t="s">
        <v>147</v>
      </c>
      <c r="E416" s="708">
        <v>1</v>
      </c>
      <c r="F416" s="714" t="str">
        <f t="shared" si="60"/>
        <v>大河</v>
      </c>
      <c r="G416" s="708"/>
      <c r="H416" s="726">
        <v>297</v>
      </c>
      <c r="I416" s="726">
        <v>297</v>
      </c>
      <c r="J416" s="726"/>
      <c r="K416" s="726"/>
      <c r="L416" s="726">
        <v>2018.01</v>
      </c>
      <c r="M416" s="726">
        <v>2018.12</v>
      </c>
      <c r="N416" s="726"/>
      <c r="O416" s="726"/>
      <c r="P416" s="726"/>
      <c r="Q416" s="726"/>
      <c r="R416" s="726"/>
      <c r="S416" s="726"/>
      <c r="T416" s="726"/>
      <c r="U416" s="726"/>
      <c r="V416" s="726"/>
      <c r="W416" s="726"/>
      <c r="X416" s="706" t="s">
        <v>293</v>
      </c>
      <c r="Y416" s="763">
        <v>276</v>
      </c>
      <c r="Z416" s="763">
        <v>1265</v>
      </c>
      <c r="AA416" s="708">
        <v>1</v>
      </c>
      <c r="AB416" s="708"/>
      <c r="AC416" s="708"/>
      <c r="AD416" s="146" t="s">
        <v>305</v>
      </c>
      <c r="AE416" s="146" t="s">
        <v>306</v>
      </c>
      <c r="AF416" s="438" t="s">
        <v>294</v>
      </c>
      <c r="AG416" s="708"/>
    </row>
    <row r="417" ht="24.95" customHeight="1" spans="1:33">
      <c r="A417" s="705"/>
      <c r="B417" s="714" t="s">
        <v>211</v>
      </c>
      <c r="C417" s="146" t="s">
        <v>320</v>
      </c>
      <c r="D417" s="152" t="s">
        <v>147</v>
      </c>
      <c r="E417" s="708">
        <v>1</v>
      </c>
      <c r="F417" s="714" t="str">
        <f t="shared" si="60"/>
        <v>营上</v>
      </c>
      <c r="G417" s="708"/>
      <c r="H417" s="726">
        <v>105</v>
      </c>
      <c r="I417" s="726">
        <v>105</v>
      </c>
      <c r="J417" s="726"/>
      <c r="K417" s="726"/>
      <c r="L417" s="726">
        <v>2018.01</v>
      </c>
      <c r="M417" s="726">
        <v>2018.12</v>
      </c>
      <c r="N417" s="726"/>
      <c r="O417" s="726"/>
      <c r="P417" s="726"/>
      <c r="Q417" s="726"/>
      <c r="R417" s="726"/>
      <c r="S417" s="726"/>
      <c r="T417" s="726"/>
      <c r="U417" s="726"/>
      <c r="V417" s="726"/>
      <c r="W417" s="726"/>
      <c r="X417" s="706" t="s">
        <v>293</v>
      </c>
      <c r="Y417" s="763">
        <v>100</v>
      </c>
      <c r="Z417" s="763">
        <v>105</v>
      </c>
      <c r="AA417" s="708">
        <v>1</v>
      </c>
      <c r="AB417" s="708"/>
      <c r="AC417" s="708"/>
      <c r="AD417" s="146" t="s">
        <v>307</v>
      </c>
      <c r="AE417" s="146" t="s">
        <v>308</v>
      </c>
      <c r="AF417" s="438" t="s">
        <v>294</v>
      </c>
      <c r="AG417" s="708"/>
    </row>
    <row r="418" ht="24.95" customHeight="1" spans="1:33">
      <c r="A418" s="705"/>
      <c r="B418" s="714" t="s">
        <v>155</v>
      </c>
      <c r="C418" s="146" t="s">
        <v>320</v>
      </c>
      <c r="D418" s="152" t="s">
        <v>147</v>
      </c>
      <c r="E418" s="708">
        <v>1</v>
      </c>
      <c r="F418" s="714" t="str">
        <f t="shared" si="60"/>
        <v>竹园</v>
      </c>
      <c r="G418" s="708"/>
      <c r="H418" s="726">
        <v>34</v>
      </c>
      <c r="I418" s="726">
        <v>34</v>
      </c>
      <c r="J418" s="726"/>
      <c r="K418" s="726"/>
      <c r="L418" s="726">
        <v>2018.01</v>
      </c>
      <c r="M418" s="726">
        <v>2018.12</v>
      </c>
      <c r="N418" s="726"/>
      <c r="O418" s="726"/>
      <c r="P418" s="726"/>
      <c r="Q418" s="726"/>
      <c r="R418" s="726"/>
      <c r="S418" s="726"/>
      <c r="T418" s="726"/>
      <c r="U418" s="726"/>
      <c r="V418" s="726"/>
      <c r="W418" s="726"/>
      <c r="X418" s="706" t="s">
        <v>293</v>
      </c>
      <c r="Y418" s="763">
        <v>34</v>
      </c>
      <c r="Z418" s="763">
        <v>34</v>
      </c>
      <c r="AA418" s="708">
        <v>1</v>
      </c>
      <c r="AB418" s="708"/>
      <c r="AC418" s="708"/>
      <c r="AD418" s="146" t="s">
        <v>309</v>
      </c>
      <c r="AE418" s="146" t="s">
        <v>310</v>
      </c>
      <c r="AF418" s="438" t="s">
        <v>294</v>
      </c>
      <c r="AG418" s="708"/>
    </row>
    <row r="419" ht="24.95" customHeight="1" spans="1:33">
      <c r="A419" s="705"/>
      <c r="B419" s="714" t="s">
        <v>102</v>
      </c>
      <c r="C419" s="146" t="s">
        <v>320</v>
      </c>
      <c r="D419" s="152" t="s">
        <v>147</v>
      </c>
      <c r="E419" s="708">
        <v>1</v>
      </c>
      <c r="F419" s="714" t="str">
        <f t="shared" si="60"/>
        <v>富村</v>
      </c>
      <c r="G419" s="708"/>
      <c r="H419" s="726">
        <v>156</v>
      </c>
      <c r="I419" s="726">
        <v>156</v>
      </c>
      <c r="J419" s="726"/>
      <c r="K419" s="726"/>
      <c r="L419" s="726">
        <v>2018.01</v>
      </c>
      <c r="M419" s="726">
        <v>2018.12</v>
      </c>
      <c r="N419" s="726"/>
      <c r="O419" s="726"/>
      <c r="P419" s="726"/>
      <c r="Q419" s="726"/>
      <c r="R419" s="726"/>
      <c r="S419" s="726"/>
      <c r="T419" s="726"/>
      <c r="U419" s="726"/>
      <c r="V419" s="726"/>
      <c r="W419" s="726"/>
      <c r="X419" s="706" t="s">
        <v>293</v>
      </c>
      <c r="Y419" s="763">
        <v>141</v>
      </c>
      <c r="Z419" s="763">
        <v>156</v>
      </c>
      <c r="AA419" s="708">
        <v>1</v>
      </c>
      <c r="AB419" s="708"/>
      <c r="AC419" s="708"/>
      <c r="AD419" s="146" t="s">
        <v>215</v>
      </c>
      <c r="AE419" s="146" t="s">
        <v>311</v>
      </c>
      <c r="AF419" s="438" t="s">
        <v>294</v>
      </c>
      <c r="AG419" s="708"/>
    </row>
    <row r="420" ht="24.95" customHeight="1" spans="1:33">
      <c r="A420" s="705"/>
      <c r="B420" s="714" t="s">
        <v>100</v>
      </c>
      <c r="C420" s="146" t="s">
        <v>320</v>
      </c>
      <c r="D420" s="152" t="s">
        <v>147</v>
      </c>
      <c r="E420" s="708">
        <v>1</v>
      </c>
      <c r="F420" s="714" t="str">
        <f t="shared" si="60"/>
        <v>黄泥河</v>
      </c>
      <c r="G420" s="708"/>
      <c r="H420" s="726">
        <v>160</v>
      </c>
      <c r="I420" s="726">
        <v>160</v>
      </c>
      <c r="J420" s="726"/>
      <c r="K420" s="726"/>
      <c r="L420" s="726">
        <v>2018.01</v>
      </c>
      <c r="M420" s="726">
        <v>2018.12</v>
      </c>
      <c r="N420" s="726"/>
      <c r="O420" s="726"/>
      <c r="P420" s="726"/>
      <c r="Q420" s="726"/>
      <c r="R420" s="726"/>
      <c r="S420" s="726"/>
      <c r="T420" s="726"/>
      <c r="U420" s="726"/>
      <c r="V420" s="726"/>
      <c r="W420" s="726"/>
      <c r="X420" s="706" t="s">
        <v>293</v>
      </c>
      <c r="Y420" s="763">
        <v>146</v>
      </c>
      <c r="Z420" s="763">
        <v>160</v>
      </c>
      <c r="AA420" s="708">
        <v>1</v>
      </c>
      <c r="AB420" s="708"/>
      <c r="AC420" s="708"/>
      <c r="AD420" s="146" t="s">
        <v>312</v>
      </c>
      <c r="AE420" s="146" t="s">
        <v>313</v>
      </c>
      <c r="AF420" s="438" t="s">
        <v>294</v>
      </c>
      <c r="AG420" s="708"/>
    </row>
    <row r="421" ht="24.95" customHeight="1" spans="1:33">
      <c r="A421" s="705"/>
      <c r="B421" s="714" t="s">
        <v>84</v>
      </c>
      <c r="C421" s="146" t="s">
        <v>320</v>
      </c>
      <c r="D421" s="152" t="s">
        <v>147</v>
      </c>
      <c r="E421" s="708">
        <v>1</v>
      </c>
      <c r="F421" s="714" t="str">
        <f t="shared" si="60"/>
        <v>十八连山</v>
      </c>
      <c r="G421" s="708"/>
      <c r="H421" s="726">
        <v>44</v>
      </c>
      <c r="I421" s="726">
        <v>44</v>
      </c>
      <c r="J421" s="726"/>
      <c r="K421" s="726"/>
      <c r="L421" s="726">
        <v>2018.01</v>
      </c>
      <c r="M421" s="726">
        <v>2018.12</v>
      </c>
      <c r="N421" s="726"/>
      <c r="O421" s="726"/>
      <c r="P421" s="726"/>
      <c r="Q421" s="726"/>
      <c r="R421" s="726"/>
      <c r="S421" s="726"/>
      <c r="T421" s="726"/>
      <c r="U421" s="726"/>
      <c r="V421" s="726"/>
      <c r="W421" s="726"/>
      <c r="X421" s="706" t="s">
        <v>293</v>
      </c>
      <c r="Y421" s="763">
        <v>44</v>
      </c>
      <c r="Z421" s="763">
        <v>44</v>
      </c>
      <c r="AA421" s="708">
        <v>1</v>
      </c>
      <c r="AB421" s="708"/>
      <c r="AC421" s="708"/>
      <c r="AD421" s="146" t="s">
        <v>185</v>
      </c>
      <c r="AE421" s="146" t="s">
        <v>314</v>
      </c>
      <c r="AF421" s="438" t="s">
        <v>294</v>
      </c>
      <c r="AG421" s="708"/>
    </row>
    <row r="422" ht="24.95" customHeight="1" spans="1:33">
      <c r="A422" s="705"/>
      <c r="B422" s="714" t="s">
        <v>259</v>
      </c>
      <c r="C422" s="146" t="s">
        <v>320</v>
      </c>
      <c r="D422" s="152" t="s">
        <v>147</v>
      </c>
      <c r="E422" s="708">
        <v>1</v>
      </c>
      <c r="F422" s="714" t="str">
        <f t="shared" si="60"/>
        <v>古敢</v>
      </c>
      <c r="G422" s="708"/>
      <c r="H422" s="726">
        <v>13</v>
      </c>
      <c r="I422" s="726">
        <v>13</v>
      </c>
      <c r="J422" s="726"/>
      <c r="K422" s="726"/>
      <c r="L422" s="726">
        <v>2018.01</v>
      </c>
      <c r="M422" s="726">
        <v>2018.12</v>
      </c>
      <c r="N422" s="726"/>
      <c r="O422" s="726"/>
      <c r="P422" s="726"/>
      <c r="Q422" s="726"/>
      <c r="R422" s="726"/>
      <c r="S422" s="726"/>
      <c r="T422" s="726"/>
      <c r="U422" s="726"/>
      <c r="V422" s="726"/>
      <c r="W422" s="726"/>
      <c r="X422" s="706" t="s">
        <v>293</v>
      </c>
      <c r="Y422" s="763">
        <v>13</v>
      </c>
      <c r="Z422" s="763">
        <v>13</v>
      </c>
      <c r="AA422" s="708">
        <v>1</v>
      </c>
      <c r="AB422" s="708"/>
      <c r="AC422" s="708"/>
      <c r="AD422" s="146" t="s">
        <v>315</v>
      </c>
      <c r="AE422" s="146" t="s">
        <v>316</v>
      </c>
      <c r="AF422" s="438" t="s">
        <v>294</v>
      </c>
      <c r="AG422" s="708"/>
    </row>
    <row r="423" ht="24.95" customHeight="1" spans="1:33">
      <c r="A423" s="705"/>
      <c r="B423" s="714" t="s">
        <v>143</v>
      </c>
      <c r="C423" s="146" t="s">
        <v>320</v>
      </c>
      <c r="D423" s="152" t="s">
        <v>147</v>
      </c>
      <c r="E423" s="708">
        <v>1</v>
      </c>
      <c r="F423" s="714" t="str">
        <f t="shared" si="60"/>
        <v>老厂</v>
      </c>
      <c r="G423" s="708"/>
      <c r="H423" s="726">
        <v>144</v>
      </c>
      <c r="I423" s="726">
        <v>144</v>
      </c>
      <c r="J423" s="726"/>
      <c r="K423" s="726"/>
      <c r="L423" s="726">
        <v>2018.01</v>
      </c>
      <c r="M423" s="726">
        <v>2018.12</v>
      </c>
      <c r="N423" s="726"/>
      <c r="O423" s="726"/>
      <c r="P423" s="726"/>
      <c r="Q423" s="726"/>
      <c r="R423" s="726"/>
      <c r="S423" s="726"/>
      <c r="T423" s="726"/>
      <c r="U423" s="726"/>
      <c r="V423" s="726"/>
      <c r="W423" s="726"/>
      <c r="X423" s="706" t="s">
        <v>293</v>
      </c>
      <c r="Y423" s="763">
        <v>41</v>
      </c>
      <c r="Z423" s="763">
        <v>41</v>
      </c>
      <c r="AA423" s="708">
        <v>1</v>
      </c>
      <c r="AB423" s="708"/>
      <c r="AC423" s="708"/>
      <c r="AD423" s="146" t="s">
        <v>317</v>
      </c>
      <c r="AE423" s="146" t="s">
        <v>318</v>
      </c>
      <c r="AF423" s="438" t="s">
        <v>294</v>
      </c>
      <c r="AG423" s="708"/>
    </row>
    <row r="424" ht="30.95" customHeight="1" spans="1:33">
      <c r="A424" s="705">
        <v>55</v>
      </c>
      <c r="B424" s="750" t="s">
        <v>323</v>
      </c>
      <c r="C424" s="146" t="s">
        <v>320</v>
      </c>
      <c r="D424" s="152" t="s">
        <v>147</v>
      </c>
      <c r="E424" s="708">
        <f>SUM(E425:E436)</f>
        <v>12</v>
      </c>
      <c r="F424" s="708"/>
      <c r="G424" s="708"/>
      <c r="H424" s="726">
        <f t="shared" ref="F424:AA424" si="63">SUM(H425:H436)</f>
        <v>2817</v>
      </c>
      <c r="I424" s="726">
        <f t="shared" si="63"/>
        <v>2817</v>
      </c>
      <c r="J424" s="726">
        <f t="shared" si="63"/>
        <v>0</v>
      </c>
      <c r="K424" s="726">
        <f t="shared" si="63"/>
        <v>0</v>
      </c>
      <c r="L424" s="726"/>
      <c r="M424" s="726"/>
      <c r="N424" s="726">
        <f t="shared" si="63"/>
        <v>0</v>
      </c>
      <c r="O424" s="726">
        <f t="shared" si="63"/>
        <v>0</v>
      </c>
      <c r="P424" s="726">
        <f t="shared" si="63"/>
        <v>0</v>
      </c>
      <c r="Q424" s="726">
        <f t="shared" si="63"/>
        <v>0</v>
      </c>
      <c r="R424" s="726">
        <f t="shared" si="63"/>
        <v>0</v>
      </c>
      <c r="S424" s="726">
        <f t="shared" si="63"/>
        <v>0</v>
      </c>
      <c r="T424" s="726">
        <f t="shared" si="63"/>
        <v>0</v>
      </c>
      <c r="U424" s="726">
        <f t="shared" si="63"/>
        <v>0</v>
      </c>
      <c r="V424" s="726">
        <f t="shared" si="63"/>
        <v>0</v>
      </c>
      <c r="W424" s="708"/>
      <c r="X424" s="706" t="s">
        <v>293</v>
      </c>
      <c r="Y424" s="708">
        <f t="shared" si="63"/>
        <v>2254</v>
      </c>
      <c r="Z424" s="708">
        <f t="shared" si="63"/>
        <v>4527</v>
      </c>
      <c r="AA424" s="708">
        <f t="shared" si="63"/>
        <v>12</v>
      </c>
      <c r="AB424" s="708"/>
      <c r="AC424" s="708"/>
      <c r="AD424" s="146" t="s">
        <v>296</v>
      </c>
      <c r="AE424" s="146" t="s">
        <v>297</v>
      </c>
      <c r="AF424" s="438" t="s">
        <v>294</v>
      </c>
      <c r="AG424" s="708" t="s">
        <v>41</v>
      </c>
    </row>
    <row r="425" ht="30.95" customHeight="1" spans="1:33">
      <c r="A425" s="705"/>
      <c r="B425" s="714" t="s">
        <v>101</v>
      </c>
      <c r="C425" s="146" t="s">
        <v>320</v>
      </c>
      <c r="D425" s="152" t="s">
        <v>147</v>
      </c>
      <c r="E425" s="708">
        <v>1</v>
      </c>
      <c r="F425" s="714" t="str">
        <f t="shared" si="60"/>
        <v>中安</v>
      </c>
      <c r="G425" s="708"/>
      <c r="H425" s="726">
        <v>161</v>
      </c>
      <c r="I425" s="726">
        <v>161</v>
      </c>
      <c r="J425" s="726"/>
      <c r="K425" s="726"/>
      <c r="L425" s="726">
        <v>2018.01</v>
      </c>
      <c r="M425" s="726">
        <v>2018.12</v>
      </c>
      <c r="N425" s="726"/>
      <c r="O425" s="726"/>
      <c r="P425" s="726"/>
      <c r="Q425" s="726"/>
      <c r="R425" s="726"/>
      <c r="S425" s="726"/>
      <c r="T425" s="726"/>
      <c r="U425" s="726"/>
      <c r="V425" s="726"/>
      <c r="W425" s="726"/>
      <c r="X425" s="706" t="s">
        <v>293</v>
      </c>
      <c r="Y425" s="763">
        <v>145</v>
      </c>
      <c r="Z425" s="763">
        <v>605</v>
      </c>
      <c r="AA425" s="708">
        <v>1</v>
      </c>
      <c r="AB425" s="708"/>
      <c r="AC425" s="708"/>
      <c r="AD425" s="146" t="s">
        <v>298</v>
      </c>
      <c r="AE425" s="146" t="s">
        <v>299</v>
      </c>
      <c r="AF425" s="438" t="s">
        <v>294</v>
      </c>
      <c r="AG425" s="708"/>
    </row>
    <row r="426" ht="30.95" customHeight="1" spans="1:33">
      <c r="A426" s="705"/>
      <c r="B426" s="714" t="s">
        <v>151</v>
      </c>
      <c r="C426" s="146" t="s">
        <v>320</v>
      </c>
      <c r="D426" s="152" t="s">
        <v>147</v>
      </c>
      <c r="E426" s="708">
        <v>1</v>
      </c>
      <c r="F426" s="714" t="str">
        <f t="shared" si="60"/>
        <v>胜境</v>
      </c>
      <c r="G426" s="708"/>
      <c r="H426" s="726">
        <v>85</v>
      </c>
      <c r="I426" s="726">
        <v>85</v>
      </c>
      <c r="J426" s="726"/>
      <c r="K426" s="726"/>
      <c r="L426" s="726">
        <v>2018.01</v>
      </c>
      <c r="M426" s="726">
        <v>2018.12</v>
      </c>
      <c r="N426" s="726"/>
      <c r="O426" s="726"/>
      <c r="P426" s="726"/>
      <c r="Q426" s="726"/>
      <c r="R426" s="726"/>
      <c r="S426" s="726"/>
      <c r="T426" s="726"/>
      <c r="U426" s="726"/>
      <c r="V426" s="726"/>
      <c r="W426" s="726"/>
      <c r="X426" s="706" t="s">
        <v>293</v>
      </c>
      <c r="Y426" s="763">
        <v>84</v>
      </c>
      <c r="Z426" s="763">
        <v>85</v>
      </c>
      <c r="AA426" s="708">
        <v>1</v>
      </c>
      <c r="AB426" s="708"/>
      <c r="AC426" s="708"/>
      <c r="AD426" s="146" t="s">
        <v>300</v>
      </c>
      <c r="AE426" s="146" t="s">
        <v>301</v>
      </c>
      <c r="AF426" s="438" t="s">
        <v>294</v>
      </c>
      <c r="AG426" s="708"/>
    </row>
    <row r="427" ht="30.95" customHeight="1" spans="1:33">
      <c r="A427" s="705"/>
      <c r="B427" s="714" t="s">
        <v>154</v>
      </c>
      <c r="C427" s="146" t="s">
        <v>320</v>
      </c>
      <c r="D427" s="152" t="s">
        <v>147</v>
      </c>
      <c r="E427" s="708">
        <v>1</v>
      </c>
      <c r="F427" s="714" t="str">
        <f t="shared" si="60"/>
        <v>后所</v>
      </c>
      <c r="G427" s="708"/>
      <c r="H427" s="726">
        <v>316</v>
      </c>
      <c r="I427" s="726">
        <v>316</v>
      </c>
      <c r="J427" s="726"/>
      <c r="K427" s="726"/>
      <c r="L427" s="726">
        <v>2018.01</v>
      </c>
      <c r="M427" s="726">
        <v>2018.12</v>
      </c>
      <c r="N427" s="726"/>
      <c r="O427" s="726"/>
      <c r="P427" s="726"/>
      <c r="Q427" s="726"/>
      <c r="R427" s="726"/>
      <c r="S427" s="726"/>
      <c r="T427" s="726"/>
      <c r="U427" s="726"/>
      <c r="V427" s="726"/>
      <c r="W427" s="726"/>
      <c r="X427" s="706" t="s">
        <v>293</v>
      </c>
      <c r="Y427" s="763">
        <v>258</v>
      </c>
      <c r="Z427" s="763">
        <v>316</v>
      </c>
      <c r="AA427" s="708">
        <v>1</v>
      </c>
      <c r="AB427" s="708"/>
      <c r="AC427" s="708"/>
      <c r="AD427" s="146" t="s">
        <v>247</v>
      </c>
      <c r="AE427" s="146" t="s">
        <v>302</v>
      </c>
      <c r="AF427" s="438" t="s">
        <v>294</v>
      </c>
      <c r="AG427" s="708"/>
    </row>
    <row r="428" ht="30.95" customHeight="1" spans="1:33">
      <c r="A428" s="705"/>
      <c r="B428" s="714" t="s">
        <v>81</v>
      </c>
      <c r="C428" s="146" t="s">
        <v>320</v>
      </c>
      <c r="D428" s="152" t="s">
        <v>147</v>
      </c>
      <c r="E428" s="708">
        <v>1</v>
      </c>
      <c r="F428" s="714" t="str">
        <f t="shared" si="60"/>
        <v>墨红</v>
      </c>
      <c r="G428" s="708"/>
      <c r="H428" s="726">
        <v>176</v>
      </c>
      <c r="I428" s="726">
        <v>176</v>
      </c>
      <c r="J428" s="726"/>
      <c r="K428" s="726"/>
      <c r="L428" s="726">
        <v>2018.01</v>
      </c>
      <c r="M428" s="726">
        <v>2018.12</v>
      </c>
      <c r="N428" s="726"/>
      <c r="O428" s="726"/>
      <c r="P428" s="726"/>
      <c r="Q428" s="726"/>
      <c r="R428" s="726"/>
      <c r="S428" s="726"/>
      <c r="T428" s="726"/>
      <c r="U428" s="726"/>
      <c r="V428" s="726"/>
      <c r="W428" s="726"/>
      <c r="X428" s="706" t="s">
        <v>293</v>
      </c>
      <c r="Y428" s="763">
        <v>157</v>
      </c>
      <c r="Z428" s="763">
        <v>176</v>
      </c>
      <c r="AA428" s="708">
        <v>1</v>
      </c>
      <c r="AB428" s="708"/>
      <c r="AC428" s="708"/>
      <c r="AD428" s="146" t="s">
        <v>303</v>
      </c>
      <c r="AE428" s="146" t="s">
        <v>304</v>
      </c>
      <c r="AF428" s="438" t="s">
        <v>294</v>
      </c>
      <c r="AG428" s="708"/>
    </row>
    <row r="429" ht="30.95" customHeight="1" spans="1:33">
      <c r="A429" s="705"/>
      <c r="B429" s="714" t="s">
        <v>98</v>
      </c>
      <c r="C429" s="146" t="s">
        <v>320</v>
      </c>
      <c r="D429" s="152" t="s">
        <v>147</v>
      </c>
      <c r="E429" s="708">
        <v>1</v>
      </c>
      <c r="F429" s="714" t="str">
        <f t="shared" si="60"/>
        <v>大河</v>
      </c>
      <c r="G429" s="708"/>
      <c r="H429" s="726">
        <v>490</v>
      </c>
      <c r="I429" s="726">
        <v>490</v>
      </c>
      <c r="J429" s="726"/>
      <c r="K429" s="726"/>
      <c r="L429" s="726">
        <v>2018.01</v>
      </c>
      <c r="M429" s="726">
        <v>2018.12</v>
      </c>
      <c r="N429" s="726"/>
      <c r="O429" s="726"/>
      <c r="P429" s="726"/>
      <c r="Q429" s="726"/>
      <c r="R429" s="726"/>
      <c r="S429" s="726"/>
      <c r="T429" s="726"/>
      <c r="U429" s="726"/>
      <c r="V429" s="726"/>
      <c r="W429" s="726"/>
      <c r="X429" s="706" t="s">
        <v>293</v>
      </c>
      <c r="Y429" s="763">
        <v>422</v>
      </c>
      <c r="Z429" s="763">
        <v>1920</v>
      </c>
      <c r="AA429" s="708">
        <v>1</v>
      </c>
      <c r="AB429" s="708"/>
      <c r="AC429" s="708"/>
      <c r="AD429" s="146" t="s">
        <v>305</v>
      </c>
      <c r="AE429" s="146" t="s">
        <v>306</v>
      </c>
      <c r="AF429" s="438" t="s">
        <v>294</v>
      </c>
      <c r="AG429" s="708"/>
    </row>
    <row r="430" ht="30.95" customHeight="1" spans="1:33">
      <c r="A430" s="705"/>
      <c r="B430" s="714" t="s">
        <v>211</v>
      </c>
      <c r="C430" s="146" t="s">
        <v>320</v>
      </c>
      <c r="D430" s="152" t="s">
        <v>147</v>
      </c>
      <c r="E430" s="708">
        <v>1</v>
      </c>
      <c r="F430" s="714" t="str">
        <f t="shared" si="60"/>
        <v>营上</v>
      </c>
      <c r="G430" s="708"/>
      <c r="H430" s="726">
        <v>345</v>
      </c>
      <c r="I430" s="726">
        <v>345</v>
      </c>
      <c r="J430" s="726"/>
      <c r="K430" s="726"/>
      <c r="L430" s="726">
        <v>2018.01</v>
      </c>
      <c r="M430" s="726">
        <v>2018.12</v>
      </c>
      <c r="N430" s="726"/>
      <c r="O430" s="726"/>
      <c r="P430" s="726"/>
      <c r="Q430" s="726"/>
      <c r="R430" s="726"/>
      <c r="S430" s="726"/>
      <c r="T430" s="726"/>
      <c r="U430" s="726"/>
      <c r="V430" s="726"/>
      <c r="W430" s="726"/>
      <c r="X430" s="706" t="s">
        <v>293</v>
      </c>
      <c r="Y430" s="763">
        <v>265</v>
      </c>
      <c r="Z430" s="763">
        <v>345</v>
      </c>
      <c r="AA430" s="708">
        <v>1</v>
      </c>
      <c r="AB430" s="708"/>
      <c r="AC430" s="708"/>
      <c r="AD430" s="146" t="s">
        <v>307</v>
      </c>
      <c r="AE430" s="146" t="s">
        <v>308</v>
      </c>
      <c r="AF430" s="438" t="s">
        <v>294</v>
      </c>
      <c r="AG430" s="708"/>
    </row>
    <row r="431" ht="30.95" customHeight="1" spans="1:33">
      <c r="A431" s="705"/>
      <c r="B431" s="714" t="s">
        <v>155</v>
      </c>
      <c r="C431" s="146" t="s">
        <v>320</v>
      </c>
      <c r="D431" s="152" t="s">
        <v>147</v>
      </c>
      <c r="E431" s="708">
        <v>1</v>
      </c>
      <c r="F431" s="714" t="str">
        <f t="shared" si="60"/>
        <v>竹园</v>
      </c>
      <c r="G431" s="708"/>
      <c r="H431" s="726">
        <v>116</v>
      </c>
      <c r="I431" s="726">
        <v>116</v>
      </c>
      <c r="J431" s="726"/>
      <c r="K431" s="726"/>
      <c r="L431" s="726">
        <v>2018.01</v>
      </c>
      <c r="M431" s="726">
        <v>2018.12</v>
      </c>
      <c r="N431" s="726"/>
      <c r="O431" s="726"/>
      <c r="P431" s="726"/>
      <c r="Q431" s="726"/>
      <c r="R431" s="726"/>
      <c r="S431" s="726"/>
      <c r="T431" s="726"/>
      <c r="U431" s="726"/>
      <c r="V431" s="726"/>
      <c r="W431" s="726"/>
      <c r="X431" s="706" t="s">
        <v>293</v>
      </c>
      <c r="Y431" s="763">
        <v>93</v>
      </c>
      <c r="Z431" s="763">
        <v>116</v>
      </c>
      <c r="AA431" s="708">
        <v>1</v>
      </c>
      <c r="AB431" s="708"/>
      <c r="AC431" s="708"/>
      <c r="AD431" s="146" t="s">
        <v>309</v>
      </c>
      <c r="AE431" s="146" t="s">
        <v>310</v>
      </c>
      <c r="AF431" s="438" t="s">
        <v>294</v>
      </c>
      <c r="AG431" s="708"/>
    </row>
    <row r="432" ht="30.95" customHeight="1" spans="1:33">
      <c r="A432" s="705"/>
      <c r="B432" s="714" t="s">
        <v>102</v>
      </c>
      <c r="C432" s="146" t="s">
        <v>320</v>
      </c>
      <c r="D432" s="152" t="s">
        <v>147</v>
      </c>
      <c r="E432" s="708">
        <v>1</v>
      </c>
      <c r="F432" s="714" t="str">
        <f t="shared" si="60"/>
        <v>富村</v>
      </c>
      <c r="G432" s="708"/>
      <c r="H432" s="726">
        <v>369</v>
      </c>
      <c r="I432" s="726">
        <v>369</v>
      </c>
      <c r="J432" s="726"/>
      <c r="K432" s="726"/>
      <c r="L432" s="726">
        <v>2018.01</v>
      </c>
      <c r="M432" s="726">
        <v>2018.12</v>
      </c>
      <c r="N432" s="726"/>
      <c r="O432" s="726"/>
      <c r="P432" s="726"/>
      <c r="Q432" s="726"/>
      <c r="R432" s="726"/>
      <c r="S432" s="726"/>
      <c r="T432" s="726"/>
      <c r="U432" s="726"/>
      <c r="V432" s="726"/>
      <c r="W432" s="726"/>
      <c r="X432" s="706" t="s">
        <v>293</v>
      </c>
      <c r="Y432" s="763">
        <v>295</v>
      </c>
      <c r="Z432" s="763">
        <v>369</v>
      </c>
      <c r="AA432" s="708">
        <v>1</v>
      </c>
      <c r="AB432" s="708"/>
      <c r="AC432" s="708"/>
      <c r="AD432" s="146" t="s">
        <v>215</v>
      </c>
      <c r="AE432" s="146" t="s">
        <v>311</v>
      </c>
      <c r="AF432" s="438" t="s">
        <v>294</v>
      </c>
      <c r="AG432" s="708"/>
    </row>
    <row r="433" ht="30.95" customHeight="1" spans="1:33">
      <c r="A433" s="705"/>
      <c r="B433" s="714" t="s">
        <v>100</v>
      </c>
      <c r="C433" s="146" t="s">
        <v>320</v>
      </c>
      <c r="D433" s="152" t="s">
        <v>147</v>
      </c>
      <c r="E433" s="708">
        <v>1</v>
      </c>
      <c r="F433" s="714" t="str">
        <f t="shared" si="60"/>
        <v>黄泥河</v>
      </c>
      <c r="G433" s="708"/>
      <c r="H433" s="726">
        <v>383</v>
      </c>
      <c r="I433" s="726">
        <v>383</v>
      </c>
      <c r="J433" s="726"/>
      <c r="K433" s="726"/>
      <c r="L433" s="726">
        <v>2018.01</v>
      </c>
      <c r="M433" s="726">
        <v>2018.12</v>
      </c>
      <c r="N433" s="726"/>
      <c r="O433" s="726"/>
      <c r="P433" s="726"/>
      <c r="Q433" s="726"/>
      <c r="R433" s="726"/>
      <c r="S433" s="726"/>
      <c r="T433" s="726"/>
      <c r="U433" s="726"/>
      <c r="V433" s="726"/>
      <c r="W433" s="726"/>
      <c r="X433" s="706" t="s">
        <v>293</v>
      </c>
      <c r="Y433" s="763">
        <v>329</v>
      </c>
      <c r="Z433" s="763">
        <v>383</v>
      </c>
      <c r="AA433" s="708">
        <v>1</v>
      </c>
      <c r="AB433" s="708"/>
      <c r="AC433" s="708"/>
      <c r="AD433" s="146" t="s">
        <v>312</v>
      </c>
      <c r="AE433" s="146" t="s">
        <v>313</v>
      </c>
      <c r="AF433" s="438" t="s">
        <v>294</v>
      </c>
      <c r="AG433" s="708"/>
    </row>
    <row r="434" ht="30.95" customHeight="1" spans="1:33">
      <c r="A434" s="705"/>
      <c r="B434" s="714" t="s">
        <v>84</v>
      </c>
      <c r="C434" s="146" t="s">
        <v>320</v>
      </c>
      <c r="D434" s="152" t="s">
        <v>147</v>
      </c>
      <c r="E434" s="708">
        <v>1</v>
      </c>
      <c r="F434" s="714" t="str">
        <f t="shared" si="60"/>
        <v>十八连山</v>
      </c>
      <c r="G434" s="708"/>
      <c r="H434" s="726">
        <v>108</v>
      </c>
      <c r="I434" s="726">
        <v>108</v>
      </c>
      <c r="J434" s="726"/>
      <c r="K434" s="726"/>
      <c r="L434" s="726">
        <v>2018.01</v>
      </c>
      <c r="M434" s="726">
        <v>2018.12</v>
      </c>
      <c r="N434" s="726"/>
      <c r="O434" s="726"/>
      <c r="P434" s="726"/>
      <c r="Q434" s="726"/>
      <c r="R434" s="726"/>
      <c r="S434" s="726"/>
      <c r="T434" s="726"/>
      <c r="U434" s="726"/>
      <c r="V434" s="726"/>
      <c r="W434" s="726"/>
      <c r="X434" s="706" t="s">
        <v>293</v>
      </c>
      <c r="Y434" s="763">
        <v>108</v>
      </c>
      <c r="Z434" s="763">
        <v>108</v>
      </c>
      <c r="AA434" s="708">
        <v>1</v>
      </c>
      <c r="AB434" s="708"/>
      <c r="AC434" s="708"/>
      <c r="AD434" s="146" t="s">
        <v>185</v>
      </c>
      <c r="AE434" s="146" t="s">
        <v>314</v>
      </c>
      <c r="AF434" s="438" t="s">
        <v>294</v>
      </c>
      <c r="AG434" s="708"/>
    </row>
    <row r="435" ht="30.95" customHeight="1" spans="1:33">
      <c r="A435" s="705"/>
      <c r="B435" s="714" t="s">
        <v>259</v>
      </c>
      <c r="C435" s="146" t="s">
        <v>320</v>
      </c>
      <c r="D435" s="152" t="s">
        <v>147</v>
      </c>
      <c r="E435" s="708">
        <v>1</v>
      </c>
      <c r="F435" s="714" t="str">
        <f t="shared" si="60"/>
        <v>古敢</v>
      </c>
      <c r="G435" s="708"/>
      <c r="H435" s="726">
        <v>37</v>
      </c>
      <c r="I435" s="726">
        <v>37</v>
      </c>
      <c r="J435" s="726"/>
      <c r="K435" s="726"/>
      <c r="L435" s="726">
        <v>2018.01</v>
      </c>
      <c r="M435" s="726">
        <v>2018.12</v>
      </c>
      <c r="N435" s="726"/>
      <c r="O435" s="726"/>
      <c r="P435" s="726"/>
      <c r="Q435" s="726"/>
      <c r="R435" s="726"/>
      <c r="S435" s="726"/>
      <c r="T435" s="726"/>
      <c r="U435" s="726"/>
      <c r="V435" s="726"/>
      <c r="W435" s="726"/>
      <c r="X435" s="706" t="s">
        <v>293</v>
      </c>
      <c r="Y435" s="763">
        <v>31</v>
      </c>
      <c r="Z435" s="763">
        <v>37</v>
      </c>
      <c r="AA435" s="708">
        <v>1</v>
      </c>
      <c r="AB435" s="708"/>
      <c r="AC435" s="708"/>
      <c r="AD435" s="146" t="s">
        <v>315</v>
      </c>
      <c r="AE435" s="146" t="s">
        <v>316</v>
      </c>
      <c r="AF435" s="438" t="s">
        <v>294</v>
      </c>
      <c r="AG435" s="708"/>
    </row>
    <row r="436" ht="30.95" customHeight="1" spans="1:33">
      <c r="A436" s="705"/>
      <c r="B436" s="714" t="s">
        <v>143</v>
      </c>
      <c r="C436" s="146" t="s">
        <v>320</v>
      </c>
      <c r="D436" s="152" t="s">
        <v>147</v>
      </c>
      <c r="E436" s="708">
        <v>1</v>
      </c>
      <c r="F436" s="714" t="str">
        <f t="shared" si="60"/>
        <v>老厂</v>
      </c>
      <c r="G436" s="708"/>
      <c r="H436" s="726">
        <v>231</v>
      </c>
      <c r="I436" s="726">
        <v>231</v>
      </c>
      <c r="J436" s="726"/>
      <c r="K436" s="726"/>
      <c r="L436" s="726">
        <v>2018.01</v>
      </c>
      <c r="M436" s="726">
        <v>2018.12</v>
      </c>
      <c r="N436" s="726"/>
      <c r="O436" s="726"/>
      <c r="P436" s="726"/>
      <c r="Q436" s="726"/>
      <c r="R436" s="726"/>
      <c r="S436" s="726"/>
      <c r="T436" s="726"/>
      <c r="U436" s="726"/>
      <c r="V436" s="726"/>
      <c r="W436" s="726"/>
      <c r="X436" s="706" t="s">
        <v>293</v>
      </c>
      <c r="Y436" s="763">
        <v>67</v>
      </c>
      <c r="Z436" s="763">
        <v>67</v>
      </c>
      <c r="AA436" s="708">
        <v>1</v>
      </c>
      <c r="AB436" s="708"/>
      <c r="AC436" s="708"/>
      <c r="AD436" s="146" t="s">
        <v>317</v>
      </c>
      <c r="AE436" s="146" t="s">
        <v>318</v>
      </c>
      <c r="AF436" s="438" t="s">
        <v>294</v>
      </c>
      <c r="AG436" s="708"/>
    </row>
    <row r="437" ht="24.95" customHeight="1" spans="1:33">
      <c r="A437" s="705">
        <v>56</v>
      </c>
      <c r="B437" s="750" t="s">
        <v>324</v>
      </c>
      <c r="C437" s="146" t="s">
        <v>320</v>
      </c>
      <c r="D437" s="152" t="s">
        <v>147</v>
      </c>
      <c r="E437" s="708">
        <f>SUM(E438:E446)</f>
        <v>9</v>
      </c>
      <c r="F437" s="708"/>
      <c r="G437" s="708"/>
      <c r="H437" s="726">
        <f t="shared" ref="F437:AA437" si="64">SUM(H438:H446)</f>
        <v>47712</v>
      </c>
      <c r="I437" s="726">
        <f t="shared" si="64"/>
        <v>47712</v>
      </c>
      <c r="J437" s="726">
        <f t="shared" si="64"/>
        <v>0</v>
      </c>
      <c r="K437" s="726">
        <f t="shared" si="64"/>
        <v>0</v>
      </c>
      <c r="L437" s="726"/>
      <c r="M437" s="726"/>
      <c r="N437" s="726">
        <f t="shared" si="64"/>
        <v>0</v>
      </c>
      <c r="O437" s="726">
        <f t="shared" si="64"/>
        <v>0</v>
      </c>
      <c r="P437" s="726">
        <f t="shared" si="64"/>
        <v>0</v>
      </c>
      <c r="Q437" s="726">
        <f t="shared" si="64"/>
        <v>0</v>
      </c>
      <c r="R437" s="726">
        <f t="shared" si="64"/>
        <v>0</v>
      </c>
      <c r="S437" s="726">
        <f t="shared" si="64"/>
        <v>0</v>
      </c>
      <c r="T437" s="726">
        <f t="shared" si="64"/>
        <v>0</v>
      </c>
      <c r="U437" s="726">
        <f t="shared" si="64"/>
        <v>0</v>
      </c>
      <c r="V437" s="726">
        <f t="shared" si="64"/>
        <v>0</v>
      </c>
      <c r="W437" s="708"/>
      <c r="X437" s="706" t="s">
        <v>293</v>
      </c>
      <c r="Y437" s="708">
        <f t="shared" si="64"/>
        <v>16603</v>
      </c>
      <c r="Z437" s="708">
        <f t="shared" si="64"/>
        <v>50710</v>
      </c>
      <c r="AA437" s="708">
        <f t="shared" si="64"/>
        <v>9</v>
      </c>
      <c r="AB437" s="708"/>
      <c r="AC437" s="708"/>
      <c r="AD437" s="146" t="s">
        <v>296</v>
      </c>
      <c r="AE437" s="146" t="s">
        <v>297</v>
      </c>
      <c r="AF437" s="438" t="s">
        <v>294</v>
      </c>
      <c r="AG437" s="708" t="s">
        <v>41</v>
      </c>
    </row>
    <row r="438" ht="24.95" customHeight="1" spans="1:33">
      <c r="A438" s="705"/>
      <c r="B438" s="714" t="s">
        <v>101</v>
      </c>
      <c r="C438" s="146" t="s">
        <v>320</v>
      </c>
      <c r="D438" s="152" t="s">
        <v>147</v>
      </c>
      <c r="E438" s="708">
        <v>1</v>
      </c>
      <c r="F438" s="714" t="str">
        <f t="shared" si="60"/>
        <v>中安</v>
      </c>
      <c r="G438" s="708"/>
      <c r="H438" s="726">
        <v>1845</v>
      </c>
      <c r="I438" s="726">
        <v>1845</v>
      </c>
      <c r="J438" s="726"/>
      <c r="K438" s="726"/>
      <c r="L438" s="726">
        <v>2018.01</v>
      </c>
      <c r="M438" s="726">
        <v>2018.12</v>
      </c>
      <c r="N438" s="726"/>
      <c r="O438" s="726"/>
      <c r="P438" s="726"/>
      <c r="Q438" s="726"/>
      <c r="R438" s="726"/>
      <c r="S438" s="726"/>
      <c r="T438" s="726"/>
      <c r="U438" s="726"/>
      <c r="V438" s="726"/>
      <c r="W438" s="726"/>
      <c r="X438" s="706" t="s">
        <v>293</v>
      </c>
      <c r="Y438" s="763">
        <v>1193</v>
      </c>
      <c r="Z438" s="763">
        <v>4712</v>
      </c>
      <c r="AA438" s="708">
        <v>1</v>
      </c>
      <c r="AB438" s="708"/>
      <c r="AC438" s="708"/>
      <c r="AD438" s="146" t="s">
        <v>298</v>
      </c>
      <c r="AE438" s="146" t="s">
        <v>299</v>
      </c>
      <c r="AF438" s="438" t="s">
        <v>294</v>
      </c>
      <c r="AG438" s="708"/>
    </row>
    <row r="439" ht="24.95" customHeight="1" spans="1:33">
      <c r="A439" s="705"/>
      <c r="B439" s="714" t="s">
        <v>81</v>
      </c>
      <c r="C439" s="146" t="s">
        <v>320</v>
      </c>
      <c r="D439" s="152" t="s">
        <v>147</v>
      </c>
      <c r="E439" s="708">
        <v>1</v>
      </c>
      <c r="F439" s="714" t="str">
        <f t="shared" si="60"/>
        <v>墨红</v>
      </c>
      <c r="G439" s="708"/>
      <c r="H439" s="726">
        <v>1748</v>
      </c>
      <c r="I439" s="726">
        <v>1748</v>
      </c>
      <c r="J439" s="726"/>
      <c r="K439" s="726"/>
      <c r="L439" s="726">
        <v>2018.01</v>
      </c>
      <c r="M439" s="726">
        <v>2018.12</v>
      </c>
      <c r="N439" s="726"/>
      <c r="O439" s="726"/>
      <c r="P439" s="726"/>
      <c r="Q439" s="726"/>
      <c r="R439" s="726"/>
      <c r="S439" s="726"/>
      <c r="T439" s="726"/>
      <c r="U439" s="726"/>
      <c r="V439" s="726"/>
      <c r="W439" s="726"/>
      <c r="X439" s="706" t="s">
        <v>293</v>
      </c>
      <c r="Y439" s="763">
        <v>1066</v>
      </c>
      <c r="Z439" s="763">
        <v>1748</v>
      </c>
      <c r="AA439" s="708">
        <v>1</v>
      </c>
      <c r="AB439" s="708"/>
      <c r="AC439" s="708"/>
      <c r="AD439" s="146" t="s">
        <v>303</v>
      </c>
      <c r="AE439" s="146" t="s">
        <v>304</v>
      </c>
      <c r="AF439" s="438" t="s">
        <v>294</v>
      </c>
      <c r="AG439" s="708"/>
    </row>
    <row r="440" ht="24.95" customHeight="1" spans="1:33">
      <c r="A440" s="705"/>
      <c r="B440" s="714" t="s">
        <v>154</v>
      </c>
      <c r="C440" s="146" t="s">
        <v>320</v>
      </c>
      <c r="D440" s="152" t="s">
        <v>147</v>
      </c>
      <c r="E440" s="708">
        <v>1</v>
      </c>
      <c r="F440" s="714" t="str">
        <f t="shared" si="60"/>
        <v>后所</v>
      </c>
      <c r="G440" s="708"/>
      <c r="H440" s="726">
        <v>8191</v>
      </c>
      <c r="I440" s="726">
        <v>8191</v>
      </c>
      <c r="J440" s="726"/>
      <c r="K440" s="726"/>
      <c r="L440" s="726">
        <v>2018.01</v>
      </c>
      <c r="M440" s="726">
        <v>2018.12</v>
      </c>
      <c r="N440" s="726"/>
      <c r="O440" s="726"/>
      <c r="P440" s="726"/>
      <c r="Q440" s="726"/>
      <c r="R440" s="726"/>
      <c r="S440" s="726"/>
      <c r="T440" s="726"/>
      <c r="U440" s="726"/>
      <c r="V440" s="726"/>
      <c r="W440" s="726"/>
      <c r="X440" s="706" t="s">
        <v>293</v>
      </c>
      <c r="Y440" s="763">
        <v>2311</v>
      </c>
      <c r="Z440" s="763">
        <v>8191</v>
      </c>
      <c r="AA440" s="708">
        <v>1</v>
      </c>
      <c r="AB440" s="708"/>
      <c r="AC440" s="708"/>
      <c r="AD440" s="146" t="s">
        <v>247</v>
      </c>
      <c r="AE440" s="146" t="s">
        <v>302</v>
      </c>
      <c r="AF440" s="438" t="s">
        <v>294</v>
      </c>
      <c r="AG440" s="708"/>
    </row>
    <row r="441" ht="24.95" customHeight="1" spans="1:33">
      <c r="A441" s="705"/>
      <c r="B441" s="714" t="s">
        <v>98</v>
      </c>
      <c r="C441" s="146" t="s">
        <v>320</v>
      </c>
      <c r="D441" s="152" t="s">
        <v>147</v>
      </c>
      <c r="E441" s="708">
        <v>1</v>
      </c>
      <c r="F441" s="714" t="str">
        <f t="shared" si="60"/>
        <v>大河</v>
      </c>
      <c r="G441" s="708"/>
      <c r="H441" s="726">
        <v>14263</v>
      </c>
      <c r="I441" s="726">
        <v>14263</v>
      </c>
      <c r="J441" s="726"/>
      <c r="K441" s="726"/>
      <c r="L441" s="726">
        <v>2018.01</v>
      </c>
      <c r="M441" s="726">
        <v>2018.12</v>
      </c>
      <c r="N441" s="726"/>
      <c r="O441" s="726"/>
      <c r="P441" s="726"/>
      <c r="Q441" s="726"/>
      <c r="R441" s="726"/>
      <c r="S441" s="726"/>
      <c r="T441" s="726"/>
      <c r="U441" s="726"/>
      <c r="V441" s="726"/>
      <c r="W441" s="726"/>
      <c r="X441" s="706" t="s">
        <v>293</v>
      </c>
      <c r="Y441" s="763">
        <v>3379</v>
      </c>
      <c r="Z441" s="763">
        <v>14213</v>
      </c>
      <c r="AA441" s="708">
        <v>1</v>
      </c>
      <c r="AB441" s="708"/>
      <c r="AC441" s="708"/>
      <c r="AD441" s="146" t="s">
        <v>305</v>
      </c>
      <c r="AE441" s="146" t="s">
        <v>306</v>
      </c>
      <c r="AF441" s="438" t="s">
        <v>294</v>
      </c>
      <c r="AG441" s="708"/>
    </row>
    <row r="442" ht="24.95" customHeight="1" spans="1:33">
      <c r="A442" s="705"/>
      <c r="B442" s="714" t="s">
        <v>211</v>
      </c>
      <c r="C442" s="146" t="s">
        <v>320</v>
      </c>
      <c r="D442" s="152" t="s">
        <v>147</v>
      </c>
      <c r="E442" s="708">
        <v>1</v>
      </c>
      <c r="F442" s="714" t="str">
        <f t="shared" si="60"/>
        <v>营上</v>
      </c>
      <c r="G442" s="708"/>
      <c r="H442" s="726">
        <v>3999</v>
      </c>
      <c r="I442" s="726">
        <v>3999</v>
      </c>
      <c r="J442" s="726"/>
      <c r="K442" s="726"/>
      <c r="L442" s="726">
        <v>2018.01</v>
      </c>
      <c r="M442" s="726">
        <v>2018.12</v>
      </c>
      <c r="N442" s="726"/>
      <c r="O442" s="726"/>
      <c r="P442" s="726"/>
      <c r="Q442" s="726"/>
      <c r="R442" s="726"/>
      <c r="S442" s="726"/>
      <c r="T442" s="726"/>
      <c r="U442" s="726"/>
      <c r="V442" s="726"/>
      <c r="W442" s="726"/>
      <c r="X442" s="706" t="s">
        <v>293</v>
      </c>
      <c r="Y442" s="763">
        <v>1683</v>
      </c>
      <c r="Z442" s="763">
        <v>3999</v>
      </c>
      <c r="AA442" s="708">
        <v>1</v>
      </c>
      <c r="AB442" s="708"/>
      <c r="AC442" s="708"/>
      <c r="AD442" s="146" t="s">
        <v>307</v>
      </c>
      <c r="AE442" s="146" t="s">
        <v>308</v>
      </c>
      <c r="AF442" s="438" t="s">
        <v>294</v>
      </c>
      <c r="AG442" s="708"/>
    </row>
    <row r="443" ht="24.95" customHeight="1" spans="1:33">
      <c r="A443" s="705"/>
      <c r="B443" s="714" t="s">
        <v>102</v>
      </c>
      <c r="C443" s="146" t="s">
        <v>320</v>
      </c>
      <c r="D443" s="152" t="s">
        <v>147</v>
      </c>
      <c r="E443" s="708">
        <v>1</v>
      </c>
      <c r="F443" s="714" t="str">
        <f t="shared" si="60"/>
        <v>富村</v>
      </c>
      <c r="G443" s="708"/>
      <c r="H443" s="726">
        <v>3402</v>
      </c>
      <c r="I443" s="726">
        <v>3402</v>
      </c>
      <c r="J443" s="726"/>
      <c r="K443" s="726"/>
      <c r="L443" s="726">
        <v>2018.01</v>
      </c>
      <c r="M443" s="726">
        <v>2018.12</v>
      </c>
      <c r="N443" s="726"/>
      <c r="O443" s="726"/>
      <c r="P443" s="726"/>
      <c r="Q443" s="726"/>
      <c r="R443" s="726"/>
      <c r="S443" s="726"/>
      <c r="T443" s="726"/>
      <c r="U443" s="726"/>
      <c r="V443" s="726"/>
      <c r="W443" s="726"/>
      <c r="X443" s="706" t="s">
        <v>293</v>
      </c>
      <c r="Y443" s="763">
        <v>2525</v>
      </c>
      <c r="Z443" s="763">
        <v>3402</v>
      </c>
      <c r="AA443" s="708">
        <v>1</v>
      </c>
      <c r="AB443" s="708"/>
      <c r="AC443" s="708"/>
      <c r="AD443" s="146" t="s">
        <v>215</v>
      </c>
      <c r="AE443" s="146" t="s">
        <v>311</v>
      </c>
      <c r="AF443" s="438" t="s">
        <v>294</v>
      </c>
      <c r="AG443" s="708"/>
    </row>
    <row r="444" ht="24.95" customHeight="1" spans="1:33">
      <c r="A444" s="705"/>
      <c r="B444" s="714" t="s">
        <v>100</v>
      </c>
      <c r="C444" s="146" t="s">
        <v>320</v>
      </c>
      <c r="D444" s="152" t="s">
        <v>147</v>
      </c>
      <c r="E444" s="708">
        <v>1</v>
      </c>
      <c r="F444" s="714" t="str">
        <f t="shared" si="60"/>
        <v>黄泥河</v>
      </c>
      <c r="G444" s="708"/>
      <c r="H444" s="726">
        <v>12000</v>
      </c>
      <c r="I444" s="726">
        <v>12000</v>
      </c>
      <c r="J444" s="726"/>
      <c r="K444" s="726"/>
      <c r="L444" s="726">
        <v>2018.01</v>
      </c>
      <c r="M444" s="726">
        <v>2018.12</v>
      </c>
      <c r="N444" s="726"/>
      <c r="O444" s="726"/>
      <c r="P444" s="726"/>
      <c r="Q444" s="726"/>
      <c r="R444" s="726"/>
      <c r="S444" s="726"/>
      <c r="T444" s="726"/>
      <c r="U444" s="726"/>
      <c r="V444" s="726"/>
      <c r="W444" s="726"/>
      <c r="X444" s="706" t="s">
        <v>293</v>
      </c>
      <c r="Y444" s="763">
        <v>2596</v>
      </c>
      <c r="Z444" s="763">
        <v>12000</v>
      </c>
      <c r="AA444" s="708">
        <v>1</v>
      </c>
      <c r="AB444" s="708"/>
      <c r="AC444" s="708"/>
      <c r="AD444" s="146" t="s">
        <v>312</v>
      </c>
      <c r="AE444" s="146" t="s">
        <v>313</v>
      </c>
      <c r="AF444" s="438" t="s">
        <v>294</v>
      </c>
      <c r="AG444" s="708"/>
    </row>
    <row r="445" ht="24.95" customHeight="1" spans="1:33">
      <c r="A445" s="705"/>
      <c r="B445" s="714" t="s">
        <v>84</v>
      </c>
      <c r="C445" s="146" t="s">
        <v>320</v>
      </c>
      <c r="D445" s="152" t="s">
        <v>147</v>
      </c>
      <c r="E445" s="708">
        <v>1</v>
      </c>
      <c r="F445" s="714" t="str">
        <f t="shared" si="60"/>
        <v>十八连山</v>
      </c>
      <c r="G445" s="708"/>
      <c r="H445" s="726">
        <v>1441</v>
      </c>
      <c r="I445" s="726">
        <v>1441</v>
      </c>
      <c r="J445" s="726"/>
      <c r="K445" s="726"/>
      <c r="L445" s="726">
        <v>2018.01</v>
      </c>
      <c r="M445" s="726">
        <v>2018.12</v>
      </c>
      <c r="N445" s="726"/>
      <c r="O445" s="726"/>
      <c r="P445" s="726"/>
      <c r="Q445" s="726"/>
      <c r="R445" s="726"/>
      <c r="S445" s="726"/>
      <c r="T445" s="726"/>
      <c r="U445" s="726"/>
      <c r="V445" s="726"/>
      <c r="W445" s="726"/>
      <c r="X445" s="706" t="s">
        <v>293</v>
      </c>
      <c r="Y445" s="763">
        <v>955</v>
      </c>
      <c r="Z445" s="763">
        <v>1441</v>
      </c>
      <c r="AA445" s="708">
        <v>1</v>
      </c>
      <c r="AB445" s="708"/>
      <c r="AC445" s="708"/>
      <c r="AD445" s="146" t="s">
        <v>185</v>
      </c>
      <c r="AE445" s="146" t="s">
        <v>314</v>
      </c>
      <c r="AF445" s="438" t="s">
        <v>294</v>
      </c>
      <c r="AG445" s="708"/>
    </row>
    <row r="446" ht="24.95" customHeight="1" spans="1:33">
      <c r="A446" s="705"/>
      <c r="B446" s="714" t="s">
        <v>143</v>
      </c>
      <c r="C446" s="146" t="s">
        <v>320</v>
      </c>
      <c r="D446" s="152" t="s">
        <v>147</v>
      </c>
      <c r="E446" s="708">
        <v>1</v>
      </c>
      <c r="F446" s="714" t="str">
        <f t="shared" si="60"/>
        <v>老厂</v>
      </c>
      <c r="G446" s="708"/>
      <c r="H446" s="726">
        <v>823</v>
      </c>
      <c r="I446" s="726">
        <v>823</v>
      </c>
      <c r="J446" s="726"/>
      <c r="K446" s="726"/>
      <c r="L446" s="726">
        <v>2018.01</v>
      </c>
      <c r="M446" s="726">
        <v>2018.12</v>
      </c>
      <c r="N446" s="726"/>
      <c r="O446" s="726"/>
      <c r="P446" s="726"/>
      <c r="Q446" s="726"/>
      <c r="R446" s="726"/>
      <c r="S446" s="726"/>
      <c r="T446" s="726"/>
      <c r="U446" s="726"/>
      <c r="V446" s="726"/>
      <c r="W446" s="726"/>
      <c r="X446" s="706" t="s">
        <v>293</v>
      </c>
      <c r="Y446" s="763">
        <v>895</v>
      </c>
      <c r="Z446" s="763">
        <v>1004</v>
      </c>
      <c r="AA446" s="708">
        <v>1</v>
      </c>
      <c r="AB446" s="708"/>
      <c r="AC446" s="708"/>
      <c r="AD446" s="146" t="s">
        <v>317</v>
      </c>
      <c r="AE446" s="146" t="s">
        <v>318</v>
      </c>
      <c r="AF446" s="438" t="s">
        <v>294</v>
      </c>
      <c r="AG446" s="708"/>
    </row>
    <row r="447" ht="32.1" customHeight="1" spans="1:33">
      <c r="A447" s="705">
        <v>57</v>
      </c>
      <c r="B447" s="706" t="s">
        <v>325</v>
      </c>
      <c r="C447" s="706"/>
      <c r="D447" s="707" t="s">
        <v>147</v>
      </c>
      <c r="E447" s="706">
        <f>E448+E461+E474+E487+E502</f>
        <v>60</v>
      </c>
      <c r="F447" s="706"/>
      <c r="G447" s="706"/>
      <c r="H447" s="725">
        <f t="shared" ref="F447:AA447" si="65">H448+H461+H474+H487+H502</f>
        <v>224247</v>
      </c>
      <c r="I447" s="725">
        <f t="shared" si="65"/>
        <v>224247</v>
      </c>
      <c r="J447" s="725">
        <f t="shared" si="65"/>
        <v>0</v>
      </c>
      <c r="K447" s="725">
        <f t="shared" si="65"/>
        <v>0</v>
      </c>
      <c r="L447" s="725"/>
      <c r="M447" s="725"/>
      <c r="N447" s="725">
        <f t="shared" si="65"/>
        <v>97.2</v>
      </c>
      <c r="O447" s="725">
        <f t="shared" si="65"/>
        <v>97.2</v>
      </c>
      <c r="P447" s="725">
        <f t="shared" si="65"/>
        <v>0</v>
      </c>
      <c r="Q447" s="725">
        <f t="shared" si="65"/>
        <v>0</v>
      </c>
      <c r="R447" s="725">
        <f t="shared" si="65"/>
        <v>97.2</v>
      </c>
      <c r="S447" s="725">
        <f t="shared" si="65"/>
        <v>0</v>
      </c>
      <c r="T447" s="725">
        <f t="shared" si="65"/>
        <v>0</v>
      </c>
      <c r="U447" s="725">
        <f t="shared" si="65"/>
        <v>0</v>
      </c>
      <c r="V447" s="725">
        <f t="shared" si="65"/>
        <v>0</v>
      </c>
      <c r="W447" s="706"/>
      <c r="X447" s="706" t="s">
        <v>326</v>
      </c>
      <c r="Y447" s="706">
        <f t="shared" si="65"/>
        <v>62935</v>
      </c>
      <c r="Z447" s="706">
        <f t="shared" si="65"/>
        <v>264748</v>
      </c>
      <c r="AA447" s="706">
        <f t="shared" si="65"/>
        <v>60</v>
      </c>
      <c r="AB447" s="706"/>
      <c r="AC447" s="706"/>
      <c r="AD447" s="706"/>
      <c r="AE447" s="706"/>
      <c r="AF447" s="706"/>
      <c r="AG447" s="706" t="s">
        <v>41</v>
      </c>
    </row>
    <row r="448" s="570" customFormat="1" ht="24.95" customHeight="1" spans="1:33">
      <c r="A448" s="705">
        <v>58</v>
      </c>
      <c r="B448" s="711" t="s">
        <v>327</v>
      </c>
      <c r="C448" s="146" t="s">
        <v>52</v>
      </c>
      <c r="D448" s="152" t="s">
        <v>147</v>
      </c>
      <c r="E448" s="708">
        <f>SUM(E449:E460)</f>
        <v>12</v>
      </c>
      <c r="F448" s="708"/>
      <c r="G448" s="708"/>
      <c r="H448" s="726">
        <f t="shared" ref="F448:AA448" si="66">SUM(H449:H460)</f>
        <v>111138</v>
      </c>
      <c r="I448" s="726">
        <f t="shared" si="66"/>
        <v>111138</v>
      </c>
      <c r="J448" s="726">
        <f t="shared" si="66"/>
        <v>0</v>
      </c>
      <c r="K448" s="726">
        <f t="shared" si="66"/>
        <v>0</v>
      </c>
      <c r="L448" s="726"/>
      <c r="M448" s="726"/>
      <c r="N448" s="726">
        <f t="shared" si="66"/>
        <v>0</v>
      </c>
      <c r="O448" s="726">
        <f t="shared" si="66"/>
        <v>0</v>
      </c>
      <c r="P448" s="726">
        <f t="shared" si="66"/>
        <v>0</v>
      </c>
      <c r="Q448" s="726">
        <f t="shared" si="66"/>
        <v>0</v>
      </c>
      <c r="R448" s="726">
        <f t="shared" si="66"/>
        <v>0</v>
      </c>
      <c r="S448" s="726">
        <f t="shared" si="66"/>
        <v>0</v>
      </c>
      <c r="T448" s="726">
        <f t="shared" si="66"/>
        <v>0</v>
      </c>
      <c r="U448" s="726">
        <f t="shared" si="66"/>
        <v>0</v>
      </c>
      <c r="V448" s="726">
        <f t="shared" si="66"/>
        <v>0</v>
      </c>
      <c r="W448" s="708"/>
      <c r="X448" s="706" t="s">
        <v>326</v>
      </c>
      <c r="Y448" s="708">
        <f t="shared" si="66"/>
        <v>25728</v>
      </c>
      <c r="Z448" s="708">
        <f t="shared" si="66"/>
        <v>111138</v>
      </c>
      <c r="AA448" s="708">
        <f t="shared" si="66"/>
        <v>12</v>
      </c>
      <c r="AB448" s="708"/>
      <c r="AC448" s="708"/>
      <c r="AD448" s="193" t="s">
        <v>242</v>
      </c>
      <c r="AE448" s="141" t="s">
        <v>328</v>
      </c>
      <c r="AF448" s="146" t="s">
        <v>195</v>
      </c>
      <c r="AG448" s="708" t="s">
        <v>41</v>
      </c>
    </row>
    <row r="449" s="570" customFormat="1" ht="24.95" customHeight="1" spans="1:33">
      <c r="A449" s="705"/>
      <c r="B449" s="785" t="s">
        <v>69</v>
      </c>
      <c r="C449" s="146" t="s">
        <v>52</v>
      </c>
      <c r="D449" s="152" t="s">
        <v>147</v>
      </c>
      <c r="E449" s="708">
        <v>1</v>
      </c>
      <c r="F449" s="785" t="str">
        <f t="shared" si="60"/>
        <v>中安街道</v>
      </c>
      <c r="G449" s="92"/>
      <c r="H449" s="726">
        <v>10050</v>
      </c>
      <c r="I449" s="726">
        <v>10050</v>
      </c>
      <c r="J449" s="726"/>
      <c r="K449" s="726"/>
      <c r="L449" s="726">
        <v>2018.01</v>
      </c>
      <c r="M449" s="726">
        <v>2018.12</v>
      </c>
      <c r="N449" s="726"/>
      <c r="O449" s="726"/>
      <c r="P449" s="726"/>
      <c r="Q449" s="726"/>
      <c r="R449" s="726"/>
      <c r="S449" s="726"/>
      <c r="T449" s="726"/>
      <c r="U449" s="726"/>
      <c r="V449" s="726"/>
      <c r="W449" s="726"/>
      <c r="X449" s="706" t="s">
        <v>326</v>
      </c>
      <c r="Y449" s="763">
        <v>2354</v>
      </c>
      <c r="Z449" s="763">
        <v>10050</v>
      </c>
      <c r="AA449" s="708">
        <v>1</v>
      </c>
      <c r="AB449" s="708"/>
      <c r="AC449" s="708"/>
      <c r="AD449" s="146" t="s">
        <v>244</v>
      </c>
      <c r="AE449" s="146" t="s">
        <v>245</v>
      </c>
      <c r="AF449" s="146" t="s">
        <v>195</v>
      </c>
      <c r="AG449" s="708"/>
    </row>
    <row r="450" s="570" customFormat="1" ht="24.95" customHeight="1" spans="1:33">
      <c r="A450" s="705"/>
      <c r="B450" s="785" t="s">
        <v>51</v>
      </c>
      <c r="C450" s="146" t="s">
        <v>52</v>
      </c>
      <c r="D450" s="152" t="s">
        <v>147</v>
      </c>
      <c r="E450" s="708">
        <v>1</v>
      </c>
      <c r="F450" s="785" t="str">
        <f t="shared" si="60"/>
        <v>胜境街道</v>
      </c>
      <c r="G450" s="92"/>
      <c r="H450" s="726">
        <v>7269</v>
      </c>
      <c r="I450" s="726">
        <v>7269</v>
      </c>
      <c r="J450" s="726"/>
      <c r="K450" s="726"/>
      <c r="L450" s="726">
        <v>2018.01</v>
      </c>
      <c r="M450" s="726">
        <v>2018.12</v>
      </c>
      <c r="N450" s="726"/>
      <c r="O450" s="726"/>
      <c r="P450" s="726"/>
      <c r="Q450" s="726"/>
      <c r="R450" s="726"/>
      <c r="S450" s="726"/>
      <c r="T450" s="726"/>
      <c r="U450" s="726"/>
      <c r="V450" s="726"/>
      <c r="W450" s="726"/>
      <c r="X450" s="706" t="s">
        <v>326</v>
      </c>
      <c r="Y450" s="763">
        <v>1760</v>
      </c>
      <c r="Z450" s="763">
        <v>7269</v>
      </c>
      <c r="AA450" s="708">
        <v>1</v>
      </c>
      <c r="AB450" s="708"/>
      <c r="AC450" s="708"/>
      <c r="AD450" s="71" t="s">
        <v>169</v>
      </c>
      <c r="AE450" s="71" t="s">
        <v>246</v>
      </c>
      <c r="AF450" s="146" t="s">
        <v>195</v>
      </c>
      <c r="AG450" s="708"/>
    </row>
    <row r="451" s="570" customFormat="1" ht="24.95" customHeight="1" spans="1:33">
      <c r="A451" s="705"/>
      <c r="B451" s="785" t="s">
        <v>72</v>
      </c>
      <c r="C451" s="146" t="s">
        <v>52</v>
      </c>
      <c r="D451" s="152" t="s">
        <v>147</v>
      </c>
      <c r="E451" s="708">
        <v>1</v>
      </c>
      <c r="F451" s="785" t="str">
        <f t="shared" si="60"/>
        <v>后所镇</v>
      </c>
      <c r="G451" s="92"/>
      <c r="H451" s="726">
        <v>10141</v>
      </c>
      <c r="I451" s="726">
        <v>10141</v>
      </c>
      <c r="J451" s="726"/>
      <c r="K451" s="726"/>
      <c r="L451" s="726">
        <v>2018.01</v>
      </c>
      <c r="M451" s="726">
        <v>2018.12</v>
      </c>
      <c r="N451" s="726"/>
      <c r="O451" s="726"/>
      <c r="P451" s="726"/>
      <c r="Q451" s="726"/>
      <c r="R451" s="726"/>
      <c r="S451" s="726"/>
      <c r="T451" s="726"/>
      <c r="U451" s="726"/>
      <c r="V451" s="726"/>
      <c r="W451" s="726"/>
      <c r="X451" s="706" t="s">
        <v>326</v>
      </c>
      <c r="Y451" s="763">
        <v>2438</v>
      </c>
      <c r="Z451" s="763">
        <v>10141</v>
      </c>
      <c r="AA451" s="708">
        <v>1</v>
      </c>
      <c r="AB451" s="708"/>
      <c r="AC451" s="708"/>
      <c r="AD451" s="146" t="s">
        <v>247</v>
      </c>
      <c r="AE451" s="146" t="s">
        <v>248</v>
      </c>
      <c r="AF451" s="146" t="s">
        <v>195</v>
      </c>
      <c r="AG451" s="708"/>
    </row>
    <row r="452" s="570" customFormat="1" ht="24.95" customHeight="1" spans="1:33">
      <c r="A452" s="705"/>
      <c r="B452" s="785" t="s">
        <v>91</v>
      </c>
      <c r="C452" s="146" t="s">
        <v>52</v>
      </c>
      <c r="D452" s="152" t="s">
        <v>147</v>
      </c>
      <c r="E452" s="708">
        <v>1</v>
      </c>
      <c r="F452" s="785" t="str">
        <f t="shared" si="60"/>
        <v>墨红镇</v>
      </c>
      <c r="G452" s="92"/>
      <c r="H452" s="726">
        <v>7676</v>
      </c>
      <c r="I452" s="726">
        <v>7676</v>
      </c>
      <c r="J452" s="726"/>
      <c r="K452" s="726"/>
      <c r="L452" s="726">
        <v>2018.01</v>
      </c>
      <c r="M452" s="726">
        <v>2018.12</v>
      </c>
      <c r="N452" s="726"/>
      <c r="O452" s="726"/>
      <c r="P452" s="726"/>
      <c r="Q452" s="726"/>
      <c r="R452" s="726"/>
      <c r="S452" s="726"/>
      <c r="T452" s="726"/>
      <c r="U452" s="726"/>
      <c r="V452" s="726"/>
      <c r="W452" s="726"/>
      <c r="X452" s="706" t="s">
        <v>326</v>
      </c>
      <c r="Y452" s="763">
        <v>1977</v>
      </c>
      <c r="Z452" s="763">
        <v>7676</v>
      </c>
      <c r="AA452" s="708">
        <v>1</v>
      </c>
      <c r="AB452" s="708"/>
      <c r="AC452" s="708"/>
      <c r="AD452" s="146" t="s">
        <v>249</v>
      </c>
      <c r="AE452" s="146" t="s">
        <v>250</v>
      </c>
      <c r="AF452" s="146" t="s">
        <v>195</v>
      </c>
      <c r="AG452" s="708"/>
    </row>
    <row r="453" s="570" customFormat="1" ht="24.95" customHeight="1" spans="1:33">
      <c r="A453" s="705"/>
      <c r="B453" s="785" t="s">
        <v>55</v>
      </c>
      <c r="C453" s="146" t="s">
        <v>52</v>
      </c>
      <c r="D453" s="152" t="s">
        <v>147</v>
      </c>
      <c r="E453" s="708">
        <v>1</v>
      </c>
      <c r="F453" s="785" t="str">
        <f t="shared" si="60"/>
        <v>大河镇</v>
      </c>
      <c r="G453" s="92"/>
      <c r="H453" s="726">
        <v>14263</v>
      </c>
      <c r="I453" s="726">
        <v>14263</v>
      </c>
      <c r="J453" s="726"/>
      <c r="K453" s="726"/>
      <c r="L453" s="726">
        <v>2018.01</v>
      </c>
      <c r="M453" s="726">
        <v>2018.12</v>
      </c>
      <c r="N453" s="726"/>
      <c r="O453" s="726"/>
      <c r="P453" s="726"/>
      <c r="Q453" s="726"/>
      <c r="R453" s="726"/>
      <c r="S453" s="726"/>
      <c r="T453" s="726"/>
      <c r="U453" s="726"/>
      <c r="V453" s="726"/>
      <c r="W453" s="726"/>
      <c r="X453" s="706" t="s">
        <v>326</v>
      </c>
      <c r="Y453" s="763">
        <v>3379</v>
      </c>
      <c r="Z453" s="763">
        <v>14263</v>
      </c>
      <c r="AA453" s="708">
        <v>1</v>
      </c>
      <c r="AB453" s="708"/>
      <c r="AC453" s="708"/>
      <c r="AD453" s="146" t="s">
        <v>209</v>
      </c>
      <c r="AE453" s="146" t="s">
        <v>251</v>
      </c>
      <c r="AF453" s="146" t="s">
        <v>195</v>
      </c>
      <c r="AG453" s="708"/>
    </row>
    <row r="454" s="570" customFormat="1" ht="24.95" customHeight="1" spans="1:33">
      <c r="A454" s="705"/>
      <c r="B454" s="785" t="s">
        <v>75</v>
      </c>
      <c r="C454" s="146" t="s">
        <v>52</v>
      </c>
      <c r="D454" s="152" t="s">
        <v>147</v>
      </c>
      <c r="E454" s="708">
        <v>1</v>
      </c>
      <c r="F454" s="785" t="str">
        <f t="shared" si="60"/>
        <v>营上镇</v>
      </c>
      <c r="G454" s="92"/>
      <c r="H454" s="726">
        <v>9972</v>
      </c>
      <c r="I454" s="726">
        <v>9972</v>
      </c>
      <c r="J454" s="726"/>
      <c r="K454" s="726"/>
      <c r="L454" s="726">
        <v>2018.01</v>
      </c>
      <c r="M454" s="726">
        <v>2018.12</v>
      </c>
      <c r="N454" s="726"/>
      <c r="O454" s="726"/>
      <c r="P454" s="726"/>
      <c r="Q454" s="726"/>
      <c r="R454" s="726"/>
      <c r="S454" s="726"/>
      <c r="T454" s="726"/>
      <c r="U454" s="726"/>
      <c r="V454" s="726"/>
      <c r="W454" s="726"/>
      <c r="X454" s="706" t="s">
        <v>326</v>
      </c>
      <c r="Y454" s="763">
        <v>2230</v>
      </c>
      <c r="Z454" s="763">
        <v>9972</v>
      </c>
      <c r="AA454" s="708">
        <v>1</v>
      </c>
      <c r="AB454" s="708"/>
      <c r="AC454" s="708"/>
      <c r="AD454" s="146" t="s">
        <v>329</v>
      </c>
      <c r="AE454" s="146" t="s">
        <v>252</v>
      </c>
      <c r="AF454" s="146" t="s">
        <v>195</v>
      </c>
      <c r="AG454" s="708"/>
    </row>
    <row r="455" s="570" customFormat="1" ht="24.95" customHeight="1" spans="1:33">
      <c r="A455" s="705"/>
      <c r="B455" s="785" t="s">
        <v>58</v>
      </c>
      <c r="C455" s="146" t="s">
        <v>52</v>
      </c>
      <c r="D455" s="152" t="s">
        <v>147</v>
      </c>
      <c r="E455" s="708">
        <v>1</v>
      </c>
      <c r="F455" s="785" t="str">
        <f t="shared" si="60"/>
        <v>竹园镇</v>
      </c>
      <c r="G455" s="92"/>
      <c r="H455" s="726">
        <v>3856</v>
      </c>
      <c r="I455" s="726">
        <v>3856</v>
      </c>
      <c r="J455" s="726"/>
      <c r="K455" s="726"/>
      <c r="L455" s="726">
        <v>2018.01</v>
      </c>
      <c r="M455" s="726">
        <v>2018.12</v>
      </c>
      <c r="N455" s="726"/>
      <c r="O455" s="726"/>
      <c r="P455" s="726"/>
      <c r="Q455" s="726"/>
      <c r="R455" s="726"/>
      <c r="S455" s="726"/>
      <c r="T455" s="726"/>
      <c r="U455" s="726"/>
      <c r="V455" s="726"/>
      <c r="W455" s="726"/>
      <c r="X455" s="706" t="s">
        <v>326</v>
      </c>
      <c r="Y455" s="763">
        <v>907</v>
      </c>
      <c r="Z455" s="763">
        <v>3856</v>
      </c>
      <c r="AA455" s="708">
        <v>1</v>
      </c>
      <c r="AB455" s="708"/>
      <c r="AC455" s="708"/>
      <c r="AD455" s="146" t="s">
        <v>253</v>
      </c>
      <c r="AE455" s="146" t="s">
        <v>254</v>
      </c>
      <c r="AF455" s="146" t="s">
        <v>195</v>
      </c>
      <c r="AG455" s="708"/>
    </row>
    <row r="456" s="570" customFormat="1" ht="24.95" customHeight="1" spans="1:33">
      <c r="A456" s="705"/>
      <c r="B456" s="785" t="s">
        <v>61</v>
      </c>
      <c r="C456" s="146" t="s">
        <v>52</v>
      </c>
      <c r="D456" s="152" t="s">
        <v>147</v>
      </c>
      <c r="E456" s="708">
        <v>1</v>
      </c>
      <c r="F456" s="785" t="str">
        <f t="shared" si="60"/>
        <v>富村镇</v>
      </c>
      <c r="G456" s="92"/>
      <c r="H456" s="726">
        <v>19245</v>
      </c>
      <c r="I456" s="726">
        <v>19245</v>
      </c>
      <c r="J456" s="726"/>
      <c r="K456" s="726"/>
      <c r="L456" s="726">
        <v>2018.01</v>
      </c>
      <c r="M456" s="726">
        <v>2018.12</v>
      </c>
      <c r="N456" s="726"/>
      <c r="O456" s="726"/>
      <c r="P456" s="726"/>
      <c r="Q456" s="726"/>
      <c r="R456" s="726"/>
      <c r="S456" s="726"/>
      <c r="T456" s="726"/>
      <c r="U456" s="726"/>
      <c r="V456" s="726"/>
      <c r="W456" s="726"/>
      <c r="X456" s="706" t="s">
        <v>326</v>
      </c>
      <c r="Y456" s="763">
        <v>4272</v>
      </c>
      <c r="Z456" s="763">
        <v>19245</v>
      </c>
      <c r="AA456" s="708">
        <v>1</v>
      </c>
      <c r="AB456" s="708"/>
      <c r="AC456" s="708"/>
      <c r="AD456" s="146" t="s">
        <v>255</v>
      </c>
      <c r="AE456" s="146" t="s">
        <v>256</v>
      </c>
      <c r="AF456" s="146" t="s">
        <v>195</v>
      </c>
      <c r="AG456" s="708"/>
    </row>
    <row r="457" s="570" customFormat="1" ht="24.95" customHeight="1" spans="1:33">
      <c r="A457" s="705"/>
      <c r="B457" s="785" t="s">
        <v>78</v>
      </c>
      <c r="C457" s="146" t="s">
        <v>52</v>
      </c>
      <c r="D457" s="152" t="s">
        <v>147</v>
      </c>
      <c r="E457" s="708">
        <v>1</v>
      </c>
      <c r="F457" s="785" t="str">
        <f t="shared" si="60"/>
        <v>黄泥河镇</v>
      </c>
      <c r="G457" s="92"/>
      <c r="H457" s="726">
        <v>12000</v>
      </c>
      <c r="I457" s="726">
        <v>12000</v>
      </c>
      <c r="J457" s="726"/>
      <c r="K457" s="726"/>
      <c r="L457" s="726">
        <v>2018.01</v>
      </c>
      <c r="M457" s="726">
        <v>2018.12</v>
      </c>
      <c r="N457" s="726"/>
      <c r="O457" s="726"/>
      <c r="P457" s="726"/>
      <c r="Q457" s="726"/>
      <c r="R457" s="726"/>
      <c r="S457" s="726"/>
      <c r="T457" s="726"/>
      <c r="U457" s="726"/>
      <c r="V457" s="726"/>
      <c r="W457" s="726"/>
      <c r="X457" s="706" t="s">
        <v>326</v>
      </c>
      <c r="Y457" s="763">
        <v>2596</v>
      </c>
      <c r="Z457" s="763">
        <v>12000</v>
      </c>
      <c r="AA457" s="708">
        <v>1</v>
      </c>
      <c r="AB457" s="708"/>
      <c r="AC457" s="708"/>
      <c r="AD457" s="146" t="s">
        <v>330</v>
      </c>
      <c r="AE457" s="146" t="s">
        <v>257</v>
      </c>
      <c r="AF457" s="146" t="s">
        <v>195</v>
      </c>
      <c r="AG457" s="708"/>
    </row>
    <row r="458" s="570" customFormat="1" ht="24.95" customHeight="1" spans="1:33">
      <c r="A458" s="705"/>
      <c r="B458" s="785" t="s">
        <v>114</v>
      </c>
      <c r="C458" s="146" t="s">
        <v>52</v>
      </c>
      <c r="D458" s="152" t="s">
        <v>147</v>
      </c>
      <c r="E458" s="708">
        <v>1</v>
      </c>
      <c r="F458" s="785" t="str">
        <f t="shared" si="60"/>
        <v>古敢乡</v>
      </c>
      <c r="G458" s="92"/>
      <c r="H458" s="726">
        <v>1544</v>
      </c>
      <c r="I458" s="726">
        <v>1544</v>
      </c>
      <c r="J458" s="726"/>
      <c r="K458" s="726"/>
      <c r="L458" s="726">
        <v>2018.01</v>
      </c>
      <c r="M458" s="726">
        <v>2018.12</v>
      </c>
      <c r="N458" s="726"/>
      <c r="O458" s="726"/>
      <c r="P458" s="726"/>
      <c r="Q458" s="726"/>
      <c r="R458" s="726"/>
      <c r="S458" s="726"/>
      <c r="T458" s="726"/>
      <c r="U458" s="726"/>
      <c r="V458" s="726"/>
      <c r="W458" s="726"/>
      <c r="X458" s="706" t="s">
        <v>326</v>
      </c>
      <c r="Y458" s="763">
        <v>368</v>
      </c>
      <c r="Z458" s="763">
        <v>1544</v>
      </c>
      <c r="AA458" s="708">
        <v>1</v>
      </c>
      <c r="AB458" s="708"/>
      <c r="AC458" s="708"/>
      <c r="AD458" s="146" t="s">
        <v>260</v>
      </c>
      <c r="AE458" s="146" t="s">
        <v>331</v>
      </c>
      <c r="AF458" s="146" t="s">
        <v>195</v>
      </c>
      <c r="AG458" s="708"/>
    </row>
    <row r="459" s="570" customFormat="1" ht="24.95" customHeight="1" spans="1:33">
      <c r="A459" s="705"/>
      <c r="B459" s="785" t="s">
        <v>64</v>
      </c>
      <c r="C459" s="146" t="s">
        <v>52</v>
      </c>
      <c r="D459" s="152" t="s">
        <v>147</v>
      </c>
      <c r="E459" s="708">
        <v>1</v>
      </c>
      <c r="F459" s="785" t="str">
        <f t="shared" si="60"/>
        <v>十八连山镇</v>
      </c>
      <c r="G459" s="92"/>
      <c r="H459" s="726">
        <v>9274</v>
      </c>
      <c r="I459" s="726">
        <v>9274</v>
      </c>
      <c r="J459" s="726"/>
      <c r="K459" s="726"/>
      <c r="L459" s="726">
        <v>2018.01</v>
      </c>
      <c r="M459" s="726">
        <v>2018.12</v>
      </c>
      <c r="N459" s="726"/>
      <c r="O459" s="726"/>
      <c r="P459" s="726"/>
      <c r="Q459" s="726"/>
      <c r="R459" s="726"/>
      <c r="S459" s="726"/>
      <c r="T459" s="726"/>
      <c r="U459" s="726"/>
      <c r="V459" s="726"/>
      <c r="W459" s="726"/>
      <c r="X459" s="706" t="s">
        <v>326</v>
      </c>
      <c r="Y459" s="763">
        <v>2200</v>
      </c>
      <c r="Z459" s="763">
        <v>9274</v>
      </c>
      <c r="AA459" s="708">
        <v>1</v>
      </c>
      <c r="AB459" s="708"/>
      <c r="AC459" s="708"/>
      <c r="AD459" s="146" t="s">
        <v>65</v>
      </c>
      <c r="AE459" s="146" t="s">
        <v>258</v>
      </c>
      <c r="AF459" s="146" t="s">
        <v>195</v>
      </c>
      <c r="AG459" s="708"/>
    </row>
    <row r="460" s="570" customFormat="1" ht="24.95" customHeight="1" spans="1:33">
      <c r="A460" s="705" t="s">
        <v>48</v>
      </c>
      <c r="B460" s="785" t="s">
        <v>92</v>
      </c>
      <c r="C460" s="146" t="s">
        <v>52</v>
      </c>
      <c r="D460" s="152" t="s">
        <v>147</v>
      </c>
      <c r="E460" s="708">
        <v>1</v>
      </c>
      <c r="F460" s="785" t="str">
        <f t="shared" ref="F460:F523" si="67">B460</f>
        <v>老厂镇</v>
      </c>
      <c r="G460" s="92"/>
      <c r="H460" s="724">
        <v>5848</v>
      </c>
      <c r="I460" s="724">
        <v>5848</v>
      </c>
      <c r="J460" s="724"/>
      <c r="K460" s="724"/>
      <c r="L460" s="726">
        <v>2018.01</v>
      </c>
      <c r="M460" s="726">
        <v>2018.12</v>
      </c>
      <c r="N460" s="724"/>
      <c r="O460" s="724"/>
      <c r="P460" s="724"/>
      <c r="Q460" s="724"/>
      <c r="R460" s="724"/>
      <c r="S460" s="724"/>
      <c r="T460" s="724"/>
      <c r="U460" s="724"/>
      <c r="V460" s="724"/>
      <c r="W460" s="92"/>
      <c r="X460" s="706" t="s">
        <v>326</v>
      </c>
      <c r="Y460" s="738">
        <v>1247</v>
      </c>
      <c r="Z460" s="738">
        <v>5848</v>
      </c>
      <c r="AA460" s="708">
        <v>1</v>
      </c>
      <c r="AB460" s="92"/>
      <c r="AC460" s="92"/>
      <c r="AD460" s="775" t="s">
        <v>262</v>
      </c>
      <c r="AE460" s="775" t="s">
        <v>263</v>
      </c>
      <c r="AF460" s="146" t="s">
        <v>195</v>
      </c>
      <c r="AG460" s="92"/>
    </row>
    <row r="461" s="570" customFormat="1" ht="24.95" customHeight="1" spans="1:33">
      <c r="A461" s="705">
        <v>59</v>
      </c>
      <c r="B461" s="711" t="s">
        <v>332</v>
      </c>
      <c r="C461" s="146" t="s">
        <v>52</v>
      </c>
      <c r="D461" s="152" t="s">
        <v>147</v>
      </c>
      <c r="E461" s="708">
        <f>SUM(E462:E473)</f>
        <v>12</v>
      </c>
      <c r="F461" s="708"/>
      <c r="G461" s="708"/>
      <c r="H461" s="726">
        <f t="shared" ref="F461:AA461" si="68">SUM(H462:H473)</f>
        <v>111138</v>
      </c>
      <c r="I461" s="726">
        <f t="shared" si="68"/>
        <v>111138</v>
      </c>
      <c r="J461" s="726">
        <f t="shared" si="68"/>
        <v>0</v>
      </c>
      <c r="K461" s="726">
        <f t="shared" si="68"/>
        <v>0</v>
      </c>
      <c r="L461" s="726"/>
      <c r="M461" s="726"/>
      <c r="N461" s="726">
        <f t="shared" si="68"/>
        <v>0</v>
      </c>
      <c r="O461" s="726">
        <f t="shared" si="68"/>
        <v>0</v>
      </c>
      <c r="P461" s="726">
        <f t="shared" si="68"/>
        <v>0</v>
      </c>
      <c r="Q461" s="726">
        <f t="shared" si="68"/>
        <v>0</v>
      </c>
      <c r="R461" s="726">
        <f t="shared" si="68"/>
        <v>0</v>
      </c>
      <c r="S461" s="726">
        <f t="shared" si="68"/>
        <v>0</v>
      </c>
      <c r="T461" s="726">
        <f t="shared" si="68"/>
        <v>0</v>
      </c>
      <c r="U461" s="726">
        <f t="shared" si="68"/>
        <v>0</v>
      </c>
      <c r="V461" s="726">
        <f t="shared" si="68"/>
        <v>0</v>
      </c>
      <c r="W461" s="708"/>
      <c r="X461" s="706" t="s">
        <v>326</v>
      </c>
      <c r="Y461" s="708">
        <f t="shared" si="68"/>
        <v>25728</v>
      </c>
      <c r="Z461" s="708">
        <f t="shared" si="68"/>
        <v>111138</v>
      </c>
      <c r="AA461" s="708">
        <f t="shared" si="68"/>
        <v>12</v>
      </c>
      <c r="AB461" s="708"/>
      <c r="AC461" s="708"/>
      <c r="AD461" s="193" t="s">
        <v>242</v>
      </c>
      <c r="AE461" s="141" t="s">
        <v>328</v>
      </c>
      <c r="AF461" s="146" t="s">
        <v>195</v>
      </c>
      <c r="AG461" s="708" t="s">
        <v>41</v>
      </c>
    </row>
    <row r="462" s="570" customFormat="1" ht="24.95" customHeight="1" spans="1:33">
      <c r="A462" s="705"/>
      <c r="B462" s="785" t="s">
        <v>69</v>
      </c>
      <c r="C462" s="146" t="s">
        <v>52</v>
      </c>
      <c r="D462" s="152" t="s">
        <v>147</v>
      </c>
      <c r="E462" s="708">
        <v>1</v>
      </c>
      <c r="F462" s="785" t="str">
        <f t="shared" si="67"/>
        <v>中安街道</v>
      </c>
      <c r="G462" s="92"/>
      <c r="H462" s="726">
        <v>10050</v>
      </c>
      <c r="I462" s="726">
        <v>10050</v>
      </c>
      <c r="J462" s="726"/>
      <c r="K462" s="726"/>
      <c r="L462" s="726">
        <v>2018.01</v>
      </c>
      <c r="M462" s="726">
        <v>2018.12</v>
      </c>
      <c r="N462" s="726"/>
      <c r="O462" s="726"/>
      <c r="P462" s="726"/>
      <c r="Q462" s="726"/>
      <c r="R462" s="726"/>
      <c r="S462" s="726"/>
      <c r="T462" s="726"/>
      <c r="U462" s="726"/>
      <c r="V462" s="726"/>
      <c r="W462" s="726"/>
      <c r="X462" s="706" t="s">
        <v>326</v>
      </c>
      <c r="Y462" s="763">
        <v>2354</v>
      </c>
      <c r="Z462" s="763">
        <v>10050</v>
      </c>
      <c r="AA462" s="708">
        <v>1</v>
      </c>
      <c r="AB462" s="708"/>
      <c r="AC462" s="708"/>
      <c r="AD462" s="146" t="s">
        <v>244</v>
      </c>
      <c r="AE462" s="146" t="s">
        <v>333</v>
      </c>
      <c r="AF462" s="146" t="s">
        <v>195</v>
      </c>
      <c r="AG462" s="708"/>
    </row>
    <row r="463" s="570" customFormat="1" ht="24.95" customHeight="1" spans="1:33">
      <c r="A463" s="705"/>
      <c r="B463" s="785" t="s">
        <v>51</v>
      </c>
      <c r="C463" s="146" t="s">
        <v>52</v>
      </c>
      <c r="D463" s="152" t="s">
        <v>147</v>
      </c>
      <c r="E463" s="708">
        <v>1</v>
      </c>
      <c r="F463" s="785" t="str">
        <f t="shared" si="67"/>
        <v>胜境街道</v>
      </c>
      <c r="G463" s="92"/>
      <c r="H463" s="726">
        <v>7269</v>
      </c>
      <c r="I463" s="726">
        <v>7269</v>
      </c>
      <c r="J463" s="726"/>
      <c r="K463" s="726"/>
      <c r="L463" s="726">
        <v>2018.01</v>
      </c>
      <c r="M463" s="726">
        <v>2018.12</v>
      </c>
      <c r="N463" s="726"/>
      <c r="O463" s="726"/>
      <c r="P463" s="726"/>
      <c r="Q463" s="726"/>
      <c r="R463" s="726"/>
      <c r="S463" s="726"/>
      <c r="T463" s="726"/>
      <c r="U463" s="726"/>
      <c r="V463" s="726"/>
      <c r="W463" s="726"/>
      <c r="X463" s="706" t="s">
        <v>326</v>
      </c>
      <c r="Y463" s="763">
        <v>1760</v>
      </c>
      <c r="Z463" s="763">
        <v>7269</v>
      </c>
      <c r="AA463" s="708">
        <v>1</v>
      </c>
      <c r="AB463" s="708"/>
      <c r="AC463" s="708"/>
      <c r="AD463" s="146" t="s">
        <v>169</v>
      </c>
      <c r="AE463" s="146" t="s">
        <v>334</v>
      </c>
      <c r="AF463" s="146" t="s">
        <v>195</v>
      </c>
      <c r="AG463" s="708"/>
    </row>
    <row r="464" s="570" customFormat="1" ht="24.95" customHeight="1" spans="1:33">
      <c r="A464" s="705"/>
      <c r="B464" s="785" t="s">
        <v>72</v>
      </c>
      <c r="C464" s="146" t="s">
        <v>52</v>
      </c>
      <c r="D464" s="152" t="s">
        <v>147</v>
      </c>
      <c r="E464" s="708">
        <v>1</v>
      </c>
      <c r="F464" s="785" t="str">
        <f t="shared" si="67"/>
        <v>后所镇</v>
      </c>
      <c r="G464" s="92"/>
      <c r="H464" s="726">
        <v>10141</v>
      </c>
      <c r="I464" s="726">
        <v>10141</v>
      </c>
      <c r="J464" s="726"/>
      <c r="K464" s="726"/>
      <c r="L464" s="726">
        <v>2018.01</v>
      </c>
      <c r="M464" s="726">
        <v>2018.12</v>
      </c>
      <c r="N464" s="726"/>
      <c r="O464" s="726"/>
      <c r="P464" s="726"/>
      <c r="Q464" s="726"/>
      <c r="R464" s="726"/>
      <c r="S464" s="726"/>
      <c r="T464" s="726"/>
      <c r="U464" s="726"/>
      <c r="V464" s="726"/>
      <c r="W464" s="726"/>
      <c r="X464" s="706" t="s">
        <v>326</v>
      </c>
      <c r="Y464" s="763">
        <v>2438</v>
      </c>
      <c r="Z464" s="763">
        <v>10141</v>
      </c>
      <c r="AA464" s="708">
        <v>1</v>
      </c>
      <c r="AB464" s="708"/>
      <c r="AC464" s="708"/>
      <c r="AD464" s="146" t="s">
        <v>247</v>
      </c>
      <c r="AE464" s="146" t="s">
        <v>248</v>
      </c>
      <c r="AF464" s="146" t="s">
        <v>195</v>
      </c>
      <c r="AG464" s="708"/>
    </row>
    <row r="465" s="570" customFormat="1" ht="24.95" customHeight="1" spans="1:33">
      <c r="A465" s="705"/>
      <c r="B465" s="785" t="s">
        <v>91</v>
      </c>
      <c r="C465" s="146" t="s">
        <v>52</v>
      </c>
      <c r="D465" s="152" t="s">
        <v>147</v>
      </c>
      <c r="E465" s="708">
        <v>1</v>
      </c>
      <c r="F465" s="785" t="str">
        <f t="shared" si="67"/>
        <v>墨红镇</v>
      </c>
      <c r="G465" s="92"/>
      <c r="H465" s="726">
        <v>7676</v>
      </c>
      <c r="I465" s="726">
        <v>7676</v>
      </c>
      <c r="J465" s="726"/>
      <c r="K465" s="726"/>
      <c r="L465" s="726">
        <v>2018.01</v>
      </c>
      <c r="M465" s="726">
        <v>2018.12</v>
      </c>
      <c r="N465" s="726"/>
      <c r="O465" s="726"/>
      <c r="P465" s="726"/>
      <c r="Q465" s="726"/>
      <c r="R465" s="726"/>
      <c r="S465" s="726"/>
      <c r="T465" s="726"/>
      <c r="U465" s="726"/>
      <c r="V465" s="726"/>
      <c r="W465" s="726"/>
      <c r="X465" s="706" t="s">
        <v>326</v>
      </c>
      <c r="Y465" s="763">
        <v>1977</v>
      </c>
      <c r="Z465" s="763">
        <v>7676</v>
      </c>
      <c r="AA465" s="708">
        <v>1</v>
      </c>
      <c r="AB465" s="708"/>
      <c r="AC465" s="708"/>
      <c r="AD465" s="146" t="s">
        <v>249</v>
      </c>
      <c r="AE465" s="146" t="s">
        <v>250</v>
      </c>
      <c r="AF465" s="146" t="s">
        <v>195</v>
      </c>
      <c r="AG465" s="708"/>
    </row>
    <row r="466" s="570" customFormat="1" ht="24.95" customHeight="1" spans="1:33">
      <c r="A466" s="705"/>
      <c r="B466" s="785" t="s">
        <v>55</v>
      </c>
      <c r="C466" s="146" t="s">
        <v>52</v>
      </c>
      <c r="D466" s="152" t="s">
        <v>147</v>
      </c>
      <c r="E466" s="708">
        <v>1</v>
      </c>
      <c r="F466" s="785" t="str">
        <f t="shared" si="67"/>
        <v>大河镇</v>
      </c>
      <c r="G466" s="92"/>
      <c r="H466" s="726">
        <v>14263</v>
      </c>
      <c r="I466" s="726">
        <v>14263</v>
      </c>
      <c r="J466" s="726"/>
      <c r="K466" s="726"/>
      <c r="L466" s="726">
        <v>2018.01</v>
      </c>
      <c r="M466" s="726">
        <v>2018.12</v>
      </c>
      <c r="N466" s="726"/>
      <c r="O466" s="726"/>
      <c r="P466" s="726"/>
      <c r="Q466" s="726"/>
      <c r="R466" s="726"/>
      <c r="S466" s="726"/>
      <c r="T466" s="726"/>
      <c r="U466" s="726"/>
      <c r="V466" s="726"/>
      <c r="W466" s="726"/>
      <c r="X466" s="706" t="s">
        <v>326</v>
      </c>
      <c r="Y466" s="763">
        <v>3379</v>
      </c>
      <c r="Z466" s="763">
        <v>14263</v>
      </c>
      <c r="AA466" s="708">
        <v>1</v>
      </c>
      <c r="AB466" s="708"/>
      <c r="AC466" s="708"/>
      <c r="AD466" s="146" t="s">
        <v>209</v>
      </c>
      <c r="AE466" s="146" t="s">
        <v>251</v>
      </c>
      <c r="AF466" s="146" t="s">
        <v>195</v>
      </c>
      <c r="AG466" s="708"/>
    </row>
    <row r="467" s="570" customFormat="1" ht="24.95" customHeight="1" spans="1:33">
      <c r="A467" s="705"/>
      <c r="B467" s="785" t="s">
        <v>75</v>
      </c>
      <c r="C467" s="146" t="s">
        <v>52</v>
      </c>
      <c r="D467" s="152" t="s">
        <v>147</v>
      </c>
      <c r="E467" s="708">
        <v>1</v>
      </c>
      <c r="F467" s="785" t="str">
        <f t="shared" si="67"/>
        <v>营上镇</v>
      </c>
      <c r="G467" s="92"/>
      <c r="H467" s="726">
        <v>9972</v>
      </c>
      <c r="I467" s="726">
        <v>9972</v>
      </c>
      <c r="J467" s="726"/>
      <c r="K467" s="726"/>
      <c r="L467" s="726">
        <v>2018.01</v>
      </c>
      <c r="M467" s="726">
        <v>2018.12</v>
      </c>
      <c r="N467" s="726"/>
      <c r="O467" s="726"/>
      <c r="P467" s="726"/>
      <c r="Q467" s="726"/>
      <c r="R467" s="726"/>
      <c r="S467" s="726"/>
      <c r="T467" s="726"/>
      <c r="U467" s="726"/>
      <c r="V467" s="726"/>
      <c r="W467" s="726"/>
      <c r="X467" s="706" t="s">
        <v>326</v>
      </c>
      <c r="Y467" s="763">
        <v>2230</v>
      </c>
      <c r="Z467" s="763">
        <v>9972</v>
      </c>
      <c r="AA467" s="708">
        <v>1</v>
      </c>
      <c r="AB467" s="708"/>
      <c r="AC467" s="708"/>
      <c r="AD467" s="146" t="s">
        <v>329</v>
      </c>
      <c r="AE467" s="146" t="s">
        <v>252</v>
      </c>
      <c r="AF467" s="146" t="s">
        <v>195</v>
      </c>
      <c r="AG467" s="708"/>
    </row>
    <row r="468" s="570" customFormat="1" ht="24.95" customHeight="1" spans="1:33">
      <c r="A468" s="705"/>
      <c r="B468" s="785" t="s">
        <v>58</v>
      </c>
      <c r="C468" s="146" t="s">
        <v>52</v>
      </c>
      <c r="D468" s="152" t="s">
        <v>147</v>
      </c>
      <c r="E468" s="708">
        <v>1</v>
      </c>
      <c r="F468" s="785" t="str">
        <f t="shared" si="67"/>
        <v>竹园镇</v>
      </c>
      <c r="G468" s="92"/>
      <c r="H468" s="726">
        <v>3856</v>
      </c>
      <c r="I468" s="726">
        <v>3856</v>
      </c>
      <c r="J468" s="726"/>
      <c r="K468" s="726"/>
      <c r="L468" s="726">
        <v>2018.01</v>
      </c>
      <c r="M468" s="726">
        <v>2018.12</v>
      </c>
      <c r="N468" s="726"/>
      <c r="O468" s="726"/>
      <c r="P468" s="726"/>
      <c r="Q468" s="726"/>
      <c r="R468" s="726"/>
      <c r="S468" s="726"/>
      <c r="T468" s="726"/>
      <c r="U468" s="726"/>
      <c r="V468" s="726"/>
      <c r="W468" s="726"/>
      <c r="X468" s="706" t="s">
        <v>326</v>
      </c>
      <c r="Y468" s="763">
        <v>907</v>
      </c>
      <c r="Z468" s="763">
        <v>3856</v>
      </c>
      <c r="AA468" s="708">
        <v>1</v>
      </c>
      <c r="AB468" s="708"/>
      <c r="AC468" s="708"/>
      <c r="AD468" s="146" t="s">
        <v>253</v>
      </c>
      <c r="AE468" s="146" t="s">
        <v>254</v>
      </c>
      <c r="AF468" s="146" t="s">
        <v>195</v>
      </c>
      <c r="AG468" s="708"/>
    </row>
    <row r="469" s="570" customFormat="1" ht="24.95" customHeight="1" spans="1:33">
      <c r="A469" s="705"/>
      <c r="B469" s="785" t="s">
        <v>61</v>
      </c>
      <c r="C469" s="146" t="s">
        <v>52</v>
      </c>
      <c r="D469" s="152" t="s">
        <v>147</v>
      </c>
      <c r="E469" s="708">
        <v>1</v>
      </c>
      <c r="F469" s="785" t="str">
        <f t="shared" si="67"/>
        <v>富村镇</v>
      </c>
      <c r="G469" s="92"/>
      <c r="H469" s="726">
        <v>19245</v>
      </c>
      <c r="I469" s="726">
        <v>19245</v>
      </c>
      <c r="J469" s="726"/>
      <c r="K469" s="726"/>
      <c r="L469" s="726">
        <v>2018.01</v>
      </c>
      <c r="M469" s="726">
        <v>2018.12</v>
      </c>
      <c r="N469" s="726"/>
      <c r="O469" s="726"/>
      <c r="P469" s="726"/>
      <c r="Q469" s="726"/>
      <c r="R469" s="726"/>
      <c r="S469" s="726"/>
      <c r="T469" s="726"/>
      <c r="U469" s="726"/>
      <c r="V469" s="726"/>
      <c r="W469" s="726"/>
      <c r="X469" s="706" t="s">
        <v>326</v>
      </c>
      <c r="Y469" s="763">
        <v>4272</v>
      </c>
      <c r="Z469" s="763">
        <v>19245</v>
      </c>
      <c r="AA469" s="708">
        <v>1</v>
      </c>
      <c r="AB469" s="708"/>
      <c r="AC469" s="708"/>
      <c r="AD469" s="146" t="s">
        <v>255</v>
      </c>
      <c r="AE469" s="146" t="s">
        <v>256</v>
      </c>
      <c r="AF469" s="146" t="s">
        <v>195</v>
      </c>
      <c r="AG469" s="708"/>
    </row>
    <row r="470" s="570" customFormat="1" ht="24.95" customHeight="1" spans="1:33">
      <c r="A470" s="705"/>
      <c r="B470" s="785" t="s">
        <v>78</v>
      </c>
      <c r="C470" s="146" t="s">
        <v>52</v>
      </c>
      <c r="D470" s="152" t="s">
        <v>147</v>
      </c>
      <c r="E470" s="708">
        <v>1</v>
      </c>
      <c r="F470" s="785" t="str">
        <f t="shared" si="67"/>
        <v>黄泥河镇</v>
      </c>
      <c r="G470" s="92"/>
      <c r="H470" s="726">
        <v>12000</v>
      </c>
      <c r="I470" s="726">
        <v>12000</v>
      </c>
      <c r="J470" s="726"/>
      <c r="K470" s="726"/>
      <c r="L470" s="726">
        <v>2018.01</v>
      </c>
      <c r="M470" s="726">
        <v>2018.12</v>
      </c>
      <c r="N470" s="726"/>
      <c r="O470" s="726"/>
      <c r="P470" s="726"/>
      <c r="Q470" s="726"/>
      <c r="R470" s="726"/>
      <c r="S470" s="726"/>
      <c r="T470" s="726"/>
      <c r="U470" s="726"/>
      <c r="V470" s="726"/>
      <c r="W470" s="726"/>
      <c r="X470" s="706" t="s">
        <v>326</v>
      </c>
      <c r="Y470" s="763">
        <v>2596</v>
      </c>
      <c r="Z470" s="763">
        <v>12000</v>
      </c>
      <c r="AA470" s="708">
        <v>1</v>
      </c>
      <c r="AB470" s="708"/>
      <c r="AC470" s="708"/>
      <c r="AD470" s="146" t="s">
        <v>330</v>
      </c>
      <c r="AE470" s="146" t="s">
        <v>257</v>
      </c>
      <c r="AF470" s="146" t="s">
        <v>195</v>
      </c>
      <c r="AG470" s="708"/>
    </row>
    <row r="471" s="570" customFormat="1" ht="24.95" customHeight="1" spans="1:33">
      <c r="A471" s="705"/>
      <c r="B471" s="785" t="s">
        <v>114</v>
      </c>
      <c r="C471" s="146" t="s">
        <v>52</v>
      </c>
      <c r="D471" s="152" t="s">
        <v>147</v>
      </c>
      <c r="E471" s="708">
        <v>1</v>
      </c>
      <c r="F471" s="785" t="str">
        <f t="shared" si="67"/>
        <v>古敢乡</v>
      </c>
      <c r="G471" s="92"/>
      <c r="H471" s="726">
        <v>1544</v>
      </c>
      <c r="I471" s="726">
        <v>1544</v>
      </c>
      <c r="J471" s="726"/>
      <c r="K471" s="726"/>
      <c r="L471" s="726">
        <v>2018.01</v>
      </c>
      <c r="M471" s="726">
        <v>2018.12</v>
      </c>
      <c r="N471" s="726"/>
      <c r="O471" s="726"/>
      <c r="P471" s="726"/>
      <c r="Q471" s="726"/>
      <c r="R471" s="726"/>
      <c r="S471" s="726"/>
      <c r="T471" s="726"/>
      <c r="U471" s="726"/>
      <c r="V471" s="726"/>
      <c r="W471" s="726"/>
      <c r="X471" s="706" t="s">
        <v>326</v>
      </c>
      <c r="Y471" s="763">
        <v>368</v>
      </c>
      <c r="Z471" s="763">
        <v>1544</v>
      </c>
      <c r="AA471" s="708">
        <v>1</v>
      </c>
      <c r="AB471" s="708"/>
      <c r="AC471" s="708"/>
      <c r="AD471" s="146" t="s">
        <v>260</v>
      </c>
      <c r="AE471" s="146" t="s">
        <v>331</v>
      </c>
      <c r="AF471" s="146" t="s">
        <v>195</v>
      </c>
      <c r="AG471" s="708"/>
    </row>
    <row r="472" s="570" customFormat="1" ht="24.95" customHeight="1" spans="1:33">
      <c r="A472" s="705"/>
      <c r="B472" s="785" t="s">
        <v>64</v>
      </c>
      <c r="C472" s="146" t="s">
        <v>52</v>
      </c>
      <c r="D472" s="152" t="s">
        <v>147</v>
      </c>
      <c r="E472" s="708">
        <v>1</v>
      </c>
      <c r="F472" s="785" t="str">
        <f t="shared" si="67"/>
        <v>十八连山镇</v>
      </c>
      <c r="G472" s="92"/>
      <c r="H472" s="726">
        <v>9274</v>
      </c>
      <c r="I472" s="726">
        <v>9274</v>
      </c>
      <c r="J472" s="726"/>
      <c r="K472" s="726"/>
      <c r="L472" s="726">
        <v>2018.01</v>
      </c>
      <c r="M472" s="726">
        <v>2018.12</v>
      </c>
      <c r="N472" s="726"/>
      <c r="O472" s="726"/>
      <c r="P472" s="726"/>
      <c r="Q472" s="726"/>
      <c r="R472" s="726"/>
      <c r="S472" s="726"/>
      <c r="T472" s="726"/>
      <c r="U472" s="726"/>
      <c r="V472" s="726"/>
      <c r="W472" s="726"/>
      <c r="X472" s="706" t="s">
        <v>326</v>
      </c>
      <c r="Y472" s="763">
        <v>2200</v>
      </c>
      <c r="Z472" s="763">
        <v>9274</v>
      </c>
      <c r="AA472" s="708">
        <v>1</v>
      </c>
      <c r="AB472" s="708"/>
      <c r="AC472" s="708"/>
      <c r="AD472" s="146" t="s">
        <v>65</v>
      </c>
      <c r="AE472" s="146" t="s">
        <v>258</v>
      </c>
      <c r="AF472" s="146" t="s">
        <v>195</v>
      </c>
      <c r="AG472" s="708"/>
    </row>
    <row r="473" s="570" customFormat="1" ht="24.95" customHeight="1" spans="1:33">
      <c r="A473" s="705" t="s">
        <v>48</v>
      </c>
      <c r="B473" s="785" t="s">
        <v>92</v>
      </c>
      <c r="C473" s="146" t="s">
        <v>52</v>
      </c>
      <c r="D473" s="152" t="s">
        <v>147</v>
      </c>
      <c r="E473" s="708">
        <v>1</v>
      </c>
      <c r="F473" s="785" t="str">
        <f t="shared" si="67"/>
        <v>老厂镇</v>
      </c>
      <c r="G473" s="92"/>
      <c r="H473" s="724">
        <v>5848</v>
      </c>
      <c r="I473" s="724">
        <v>5848</v>
      </c>
      <c r="J473" s="724"/>
      <c r="K473" s="724"/>
      <c r="L473" s="726">
        <v>2018.01</v>
      </c>
      <c r="M473" s="726">
        <v>2018.12</v>
      </c>
      <c r="N473" s="724"/>
      <c r="O473" s="724"/>
      <c r="P473" s="724"/>
      <c r="Q473" s="724"/>
      <c r="R473" s="724"/>
      <c r="S473" s="724"/>
      <c r="T473" s="724"/>
      <c r="U473" s="724"/>
      <c r="V473" s="724"/>
      <c r="W473" s="92"/>
      <c r="X473" s="706" t="s">
        <v>326</v>
      </c>
      <c r="Y473" s="738">
        <v>1247</v>
      </c>
      <c r="Z473" s="738">
        <v>5848</v>
      </c>
      <c r="AA473" s="708">
        <v>1</v>
      </c>
      <c r="AB473" s="92"/>
      <c r="AC473" s="92"/>
      <c r="AD473" s="775" t="s">
        <v>262</v>
      </c>
      <c r="AE473" s="775" t="s">
        <v>263</v>
      </c>
      <c r="AF473" s="146" t="s">
        <v>195</v>
      </c>
      <c r="AG473" s="92"/>
    </row>
    <row r="474" s="570" customFormat="1" ht="24.95" customHeight="1" spans="1:33">
      <c r="A474" s="705">
        <v>60</v>
      </c>
      <c r="B474" s="750" t="s">
        <v>335</v>
      </c>
      <c r="C474" s="146" t="s">
        <v>320</v>
      </c>
      <c r="D474" s="152" t="s">
        <v>194</v>
      </c>
      <c r="E474" s="708">
        <f>SUM(E475:E486)</f>
        <v>12</v>
      </c>
      <c r="F474" s="708"/>
      <c r="G474" s="708"/>
      <c r="H474" s="726">
        <f t="shared" ref="F474:AA474" si="69">SUM(H475:H486)</f>
        <v>266</v>
      </c>
      <c r="I474" s="726">
        <f t="shared" si="69"/>
        <v>266</v>
      </c>
      <c r="J474" s="726">
        <f t="shared" si="69"/>
        <v>0</v>
      </c>
      <c r="K474" s="726">
        <f t="shared" si="69"/>
        <v>0</v>
      </c>
      <c r="L474" s="726"/>
      <c r="M474" s="726"/>
      <c r="N474" s="726">
        <f t="shared" si="69"/>
        <v>0</v>
      </c>
      <c r="O474" s="726">
        <f t="shared" si="69"/>
        <v>0</v>
      </c>
      <c r="P474" s="726">
        <f t="shared" si="69"/>
        <v>0</v>
      </c>
      <c r="Q474" s="726">
        <f t="shared" si="69"/>
        <v>0</v>
      </c>
      <c r="R474" s="726">
        <f t="shared" si="69"/>
        <v>0</v>
      </c>
      <c r="S474" s="726">
        <f t="shared" si="69"/>
        <v>0</v>
      </c>
      <c r="T474" s="726">
        <f t="shared" si="69"/>
        <v>0</v>
      </c>
      <c r="U474" s="726">
        <f t="shared" si="69"/>
        <v>0</v>
      </c>
      <c r="V474" s="726">
        <f t="shared" si="69"/>
        <v>0</v>
      </c>
      <c r="W474" s="708"/>
      <c r="X474" s="706" t="s">
        <v>326</v>
      </c>
      <c r="Y474" s="708">
        <f t="shared" si="69"/>
        <v>266</v>
      </c>
      <c r="Z474" s="708">
        <f t="shared" si="69"/>
        <v>1203</v>
      </c>
      <c r="AA474" s="708">
        <f t="shared" si="69"/>
        <v>12</v>
      </c>
      <c r="AB474" s="708"/>
      <c r="AC474" s="708"/>
      <c r="AD474" s="753" t="s">
        <v>336</v>
      </c>
      <c r="AE474" s="146" t="s">
        <v>337</v>
      </c>
      <c r="AF474" s="438" t="s">
        <v>338</v>
      </c>
      <c r="AG474" s="708" t="s">
        <v>41</v>
      </c>
    </row>
    <row r="475" s="570" customFormat="1" ht="24.95" customHeight="1" spans="1:33">
      <c r="A475" s="705"/>
      <c r="B475" s="714" t="s">
        <v>101</v>
      </c>
      <c r="C475" s="146" t="s">
        <v>320</v>
      </c>
      <c r="D475" s="152" t="s">
        <v>194</v>
      </c>
      <c r="E475" s="708">
        <v>1</v>
      </c>
      <c r="F475" s="714" t="str">
        <f t="shared" si="67"/>
        <v>中安</v>
      </c>
      <c r="G475" s="92"/>
      <c r="H475" s="726">
        <v>19</v>
      </c>
      <c r="I475" s="726">
        <v>19</v>
      </c>
      <c r="J475" s="726"/>
      <c r="K475" s="726"/>
      <c r="L475" s="726">
        <v>2018.01</v>
      </c>
      <c r="M475" s="726">
        <v>2018.12</v>
      </c>
      <c r="N475" s="726"/>
      <c r="O475" s="726"/>
      <c r="P475" s="726"/>
      <c r="Q475" s="726"/>
      <c r="R475" s="726"/>
      <c r="S475" s="726"/>
      <c r="T475" s="726"/>
      <c r="U475" s="726"/>
      <c r="V475" s="726"/>
      <c r="W475" s="726"/>
      <c r="X475" s="706" t="s">
        <v>326</v>
      </c>
      <c r="Y475" s="763">
        <v>19</v>
      </c>
      <c r="Z475" s="763">
        <v>91</v>
      </c>
      <c r="AA475" s="708">
        <v>1</v>
      </c>
      <c r="AB475" s="708"/>
      <c r="AC475" s="708"/>
      <c r="AD475" s="141" t="s">
        <v>244</v>
      </c>
      <c r="AE475" s="146" t="s">
        <v>333</v>
      </c>
      <c r="AF475" s="438" t="s">
        <v>338</v>
      </c>
      <c r="AG475" s="708"/>
    </row>
    <row r="476" s="570" customFormat="1" ht="24.95" customHeight="1" spans="1:33">
      <c r="A476" s="705"/>
      <c r="B476" s="714" t="s">
        <v>151</v>
      </c>
      <c r="C476" s="146" t="s">
        <v>52</v>
      </c>
      <c r="D476" s="152" t="s">
        <v>194</v>
      </c>
      <c r="E476" s="708">
        <v>1</v>
      </c>
      <c r="F476" s="714" t="str">
        <f t="shared" si="67"/>
        <v>胜境</v>
      </c>
      <c r="G476" s="92"/>
      <c r="H476" s="726">
        <v>3</v>
      </c>
      <c r="I476" s="726">
        <v>3</v>
      </c>
      <c r="J476" s="726"/>
      <c r="K476" s="726"/>
      <c r="L476" s="726">
        <v>2018.01</v>
      </c>
      <c r="M476" s="726">
        <v>2018.12</v>
      </c>
      <c r="N476" s="726"/>
      <c r="O476" s="726"/>
      <c r="P476" s="726"/>
      <c r="Q476" s="726"/>
      <c r="R476" s="726"/>
      <c r="S476" s="726"/>
      <c r="T476" s="726"/>
      <c r="U476" s="726"/>
      <c r="V476" s="726"/>
      <c r="W476" s="726"/>
      <c r="X476" s="706" t="s">
        <v>326</v>
      </c>
      <c r="Y476" s="763">
        <v>3</v>
      </c>
      <c r="Z476" s="763">
        <v>10</v>
      </c>
      <c r="AA476" s="708">
        <v>1</v>
      </c>
      <c r="AB476" s="708"/>
      <c r="AC476" s="708"/>
      <c r="AD476" s="146" t="s">
        <v>339</v>
      </c>
      <c r="AE476" s="712" t="s">
        <v>340</v>
      </c>
      <c r="AF476" s="438" t="s">
        <v>338</v>
      </c>
      <c r="AG476" s="708"/>
    </row>
    <row r="477" s="570" customFormat="1" ht="24.95" customHeight="1" spans="1:33">
      <c r="A477" s="705"/>
      <c r="B477" s="714" t="s">
        <v>154</v>
      </c>
      <c r="C477" s="146" t="s">
        <v>320</v>
      </c>
      <c r="D477" s="152" t="s">
        <v>194</v>
      </c>
      <c r="E477" s="708">
        <v>1</v>
      </c>
      <c r="F477" s="714" t="str">
        <f t="shared" si="67"/>
        <v>后所</v>
      </c>
      <c r="G477" s="92"/>
      <c r="H477" s="726">
        <v>14</v>
      </c>
      <c r="I477" s="726">
        <v>14</v>
      </c>
      <c r="J477" s="726"/>
      <c r="K477" s="726"/>
      <c r="L477" s="726">
        <v>2018.01</v>
      </c>
      <c r="M477" s="726">
        <v>2018.12</v>
      </c>
      <c r="N477" s="726"/>
      <c r="O477" s="726"/>
      <c r="P477" s="726"/>
      <c r="Q477" s="726"/>
      <c r="R477" s="726"/>
      <c r="S477" s="726"/>
      <c r="T477" s="726"/>
      <c r="U477" s="726"/>
      <c r="V477" s="726"/>
      <c r="W477" s="726"/>
      <c r="X477" s="706" t="s">
        <v>326</v>
      </c>
      <c r="Y477" s="763">
        <v>14</v>
      </c>
      <c r="Z477" s="763">
        <v>72</v>
      </c>
      <c r="AA477" s="708">
        <v>1</v>
      </c>
      <c r="AB477" s="708"/>
      <c r="AC477" s="708"/>
      <c r="AD477" s="146" t="s">
        <v>247</v>
      </c>
      <c r="AE477" s="146" t="s">
        <v>341</v>
      </c>
      <c r="AF477" s="438" t="s">
        <v>338</v>
      </c>
      <c r="AG477" s="708"/>
    </row>
    <row r="478" s="570" customFormat="1" ht="24.95" customHeight="1" spans="1:33">
      <c r="A478" s="705"/>
      <c r="B478" s="714" t="s">
        <v>81</v>
      </c>
      <c r="C478" s="146" t="s">
        <v>320</v>
      </c>
      <c r="D478" s="152" t="s">
        <v>194</v>
      </c>
      <c r="E478" s="708">
        <v>1</v>
      </c>
      <c r="F478" s="714" t="str">
        <f t="shared" si="67"/>
        <v>墨红</v>
      </c>
      <c r="G478" s="92"/>
      <c r="H478" s="726">
        <v>16</v>
      </c>
      <c r="I478" s="726">
        <v>16</v>
      </c>
      <c r="J478" s="726"/>
      <c r="K478" s="726"/>
      <c r="L478" s="726">
        <v>2018.01</v>
      </c>
      <c r="M478" s="726">
        <v>2018.12</v>
      </c>
      <c r="N478" s="726"/>
      <c r="O478" s="726"/>
      <c r="P478" s="726"/>
      <c r="Q478" s="726"/>
      <c r="R478" s="726"/>
      <c r="S478" s="726"/>
      <c r="T478" s="726"/>
      <c r="U478" s="726"/>
      <c r="V478" s="726"/>
      <c r="W478" s="726"/>
      <c r="X478" s="706" t="s">
        <v>326</v>
      </c>
      <c r="Y478" s="763">
        <v>16</v>
      </c>
      <c r="Z478" s="763">
        <v>59</v>
      </c>
      <c r="AA478" s="708">
        <v>1</v>
      </c>
      <c r="AB478" s="708"/>
      <c r="AC478" s="708"/>
      <c r="AD478" s="146" t="s">
        <v>342</v>
      </c>
      <c r="AE478" s="146" t="s">
        <v>343</v>
      </c>
      <c r="AF478" s="438" t="s">
        <v>338</v>
      </c>
      <c r="AG478" s="708"/>
    </row>
    <row r="479" s="570" customFormat="1" ht="24.95" customHeight="1" spans="1:33">
      <c r="A479" s="705"/>
      <c r="B479" s="714" t="s">
        <v>98</v>
      </c>
      <c r="C479" s="146" t="s">
        <v>320</v>
      </c>
      <c r="D479" s="152" t="s">
        <v>194</v>
      </c>
      <c r="E479" s="708">
        <v>1</v>
      </c>
      <c r="F479" s="714" t="str">
        <f t="shared" si="67"/>
        <v>大河</v>
      </c>
      <c r="G479" s="92"/>
      <c r="H479" s="726">
        <v>95</v>
      </c>
      <c r="I479" s="726">
        <v>95</v>
      </c>
      <c r="J479" s="726"/>
      <c r="K479" s="726"/>
      <c r="L479" s="726">
        <v>2018.01</v>
      </c>
      <c r="M479" s="726">
        <v>2018.12</v>
      </c>
      <c r="N479" s="726"/>
      <c r="O479" s="726"/>
      <c r="P479" s="726"/>
      <c r="Q479" s="726"/>
      <c r="R479" s="726"/>
      <c r="S479" s="726"/>
      <c r="T479" s="726"/>
      <c r="U479" s="726"/>
      <c r="V479" s="726"/>
      <c r="W479" s="726"/>
      <c r="X479" s="706" t="s">
        <v>326</v>
      </c>
      <c r="Y479" s="763">
        <v>95</v>
      </c>
      <c r="Z479" s="763">
        <v>431</v>
      </c>
      <c r="AA479" s="708">
        <v>1</v>
      </c>
      <c r="AB479" s="708"/>
      <c r="AC479" s="708"/>
      <c r="AD479" s="146" t="s">
        <v>344</v>
      </c>
      <c r="AE479" s="146" t="s">
        <v>345</v>
      </c>
      <c r="AF479" s="438" t="s">
        <v>338</v>
      </c>
      <c r="AG479" s="708"/>
    </row>
    <row r="480" s="570" customFormat="1" ht="24.95" customHeight="1" spans="1:33">
      <c r="A480" s="705"/>
      <c r="B480" s="714" t="s">
        <v>211</v>
      </c>
      <c r="C480" s="146" t="s">
        <v>320</v>
      </c>
      <c r="D480" s="152" t="s">
        <v>194</v>
      </c>
      <c r="E480" s="708">
        <v>1</v>
      </c>
      <c r="F480" s="714" t="str">
        <f t="shared" si="67"/>
        <v>营上</v>
      </c>
      <c r="G480" s="92"/>
      <c r="H480" s="726">
        <v>22</v>
      </c>
      <c r="I480" s="726">
        <v>22</v>
      </c>
      <c r="J480" s="726"/>
      <c r="K480" s="726"/>
      <c r="L480" s="726">
        <v>2018.01</v>
      </c>
      <c r="M480" s="726">
        <v>2018.12</v>
      </c>
      <c r="N480" s="726"/>
      <c r="O480" s="726"/>
      <c r="P480" s="726"/>
      <c r="Q480" s="726"/>
      <c r="R480" s="726"/>
      <c r="S480" s="726"/>
      <c r="T480" s="726"/>
      <c r="U480" s="726"/>
      <c r="V480" s="726"/>
      <c r="W480" s="726"/>
      <c r="X480" s="706" t="s">
        <v>326</v>
      </c>
      <c r="Y480" s="763">
        <v>22</v>
      </c>
      <c r="Z480" s="763">
        <v>99</v>
      </c>
      <c r="AA480" s="708">
        <v>1</v>
      </c>
      <c r="AB480" s="708"/>
      <c r="AC480" s="708"/>
      <c r="AD480" s="146" t="s">
        <v>346</v>
      </c>
      <c r="AE480" s="146" t="s">
        <v>347</v>
      </c>
      <c r="AF480" s="438" t="s">
        <v>338</v>
      </c>
      <c r="AG480" s="708"/>
    </row>
    <row r="481" s="570" customFormat="1" ht="24.95" customHeight="1" spans="1:33">
      <c r="A481" s="705"/>
      <c r="B481" s="714" t="s">
        <v>155</v>
      </c>
      <c r="C481" s="146" t="s">
        <v>320</v>
      </c>
      <c r="D481" s="152" t="s">
        <v>194</v>
      </c>
      <c r="E481" s="708">
        <v>1</v>
      </c>
      <c r="F481" s="714" t="str">
        <f t="shared" si="67"/>
        <v>竹园</v>
      </c>
      <c r="G481" s="92"/>
      <c r="H481" s="726">
        <v>8</v>
      </c>
      <c r="I481" s="726">
        <v>8</v>
      </c>
      <c r="J481" s="726"/>
      <c r="K481" s="726"/>
      <c r="L481" s="726">
        <v>2018.01</v>
      </c>
      <c r="M481" s="726">
        <v>2018.12</v>
      </c>
      <c r="N481" s="726"/>
      <c r="O481" s="726"/>
      <c r="P481" s="726"/>
      <c r="Q481" s="726"/>
      <c r="R481" s="726"/>
      <c r="S481" s="726"/>
      <c r="T481" s="726"/>
      <c r="U481" s="726"/>
      <c r="V481" s="726"/>
      <c r="W481" s="726"/>
      <c r="X481" s="706" t="s">
        <v>326</v>
      </c>
      <c r="Y481" s="763">
        <v>8</v>
      </c>
      <c r="Z481" s="763">
        <v>35</v>
      </c>
      <c r="AA481" s="708">
        <v>1</v>
      </c>
      <c r="AB481" s="708"/>
      <c r="AC481" s="708"/>
      <c r="AD481" s="146" t="s">
        <v>253</v>
      </c>
      <c r="AE481" s="146" t="s">
        <v>348</v>
      </c>
      <c r="AF481" s="438" t="s">
        <v>338</v>
      </c>
      <c r="AG481" s="708"/>
    </row>
    <row r="482" s="570" customFormat="1" ht="24.95" customHeight="1" spans="1:33">
      <c r="A482" s="705"/>
      <c r="B482" s="714" t="s">
        <v>102</v>
      </c>
      <c r="C482" s="146" t="s">
        <v>320</v>
      </c>
      <c r="D482" s="152" t="s">
        <v>194</v>
      </c>
      <c r="E482" s="708">
        <v>1</v>
      </c>
      <c r="F482" s="714" t="str">
        <f t="shared" si="67"/>
        <v>富村</v>
      </c>
      <c r="G482" s="92"/>
      <c r="H482" s="726">
        <v>59</v>
      </c>
      <c r="I482" s="726">
        <v>59</v>
      </c>
      <c r="J482" s="726"/>
      <c r="K482" s="726"/>
      <c r="L482" s="726">
        <v>2018.01</v>
      </c>
      <c r="M482" s="726">
        <v>2018.12</v>
      </c>
      <c r="N482" s="726"/>
      <c r="O482" s="726"/>
      <c r="P482" s="726"/>
      <c r="Q482" s="726"/>
      <c r="R482" s="726"/>
      <c r="S482" s="726"/>
      <c r="T482" s="726"/>
      <c r="U482" s="726"/>
      <c r="V482" s="726"/>
      <c r="W482" s="726"/>
      <c r="X482" s="706" t="s">
        <v>326</v>
      </c>
      <c r="Y482" s="763">
        <v>59</v>
      </c>
      <c r="Z482" s="763">
        <v>272</v>
      </c>
      <c r="AA482" s="708">
        <v>1</v>
      </c>
      <c r="AB482" s="708"/>
      <c r="AC482" s="708"/>
      <c r="AD482" s="438" t="s">
        <v>255</v>
      </c>
      <c r="AE482" s="787" t="s">
        <v>349</v>
      </c>
      <c r="AF482" s="438" t="s">
        <v>338</v>
      </c>
      <c r="AG482" s="708"/>
    </row>
    <row r="483" s="570" customFormat="1" ht="24.95" customHeight="1" spans="1:33">
      <c r="A483" s="705"/>
      <c r="B483" s="714" t="s">
        <v>100</v>
      </c>
      <c r="C483" s="146" t="s">
        <v>320</v>
      </c>
      <c r="D483" s="152" t="s">
        <v>194</v>
      </c>
      <c r="E483" s="708">
        <v>1</v>
      </c>
      <c r="F483" s="714" t="str">
        <f t="shared" si="67"/>
        <v>黄泥河</v>
      </c>
      <c r="G483" s="92"/>
      <c r="H483" s="726">
        <v>11</v>
      </c>
      <c r="I483" s="726">
        <v>11</v>
      </c>
      <c r="J483" s="726"/>
      <c r="K483" s="726"/>
      <c r="L483" s="726">
        <v>2018.01</v>
      </c>
      <c r="M483" s="726">
        <v>2018.12</v>
      </c>
      <c r="N483" s="726"/>
      <c r="O483" s="726"/>
      <c r="P483" s="726"/>
      <c r="Q483" s="726"/>
      <c r="R483" s="726"/>
      <c r="S483" s="726"/>
      <c r="T483" s="726"/>
      <c r="U483" s="726"/>
      <c r="V483" s="726"/>
      <c r="W483" s="726"/>
      <c r="X483" s="706" t="s">
        <v>326</v>
      </c>
      <c r="Y483" s="763">
        <v>11</v>
      </c>
      <c r="Z483" s="763">
        <v>50</v>
      </c>
      <c r="AA483" s="708">
        <v>1</v>
      </c>
      <c r="AB483" s="708"/>
      <c r="AC483" s="708"/>
      <c r="AD483" s="146" t="s">
        <v>350</v>
      </c>
      <c r="AE483" s="146" t="s">
        <v>351</v>
      </c>
      <c r="AF483" s="438" t="s">
        <v>338</v>
      </c>
      <c r="AG483" s="708"/>
    </row>
    <row r="484" s="570" customFormat="1" ht="24.95" customHeight="1" spans="1:33">
      <c r="A484" s="705"/>
      <c r="B484" s="714" t="s">
        <v>84</v>
      </c>
      <c r="C484" s="146" t="s">
        <v>320</v>
      </c>
      <c r="D484" s="152" t="s">
        <v>194</v>
      </c>
      <c r="E484" s="708">
        <v>1</v>
      </c>
      <c r="F484" s="714" t="str">
        <f t="shared" si="67"/>
        <v>十八连山</v>
      </c>
      <c r="G484" s="92"/>
      <c r="H484" s="726">
        <v>8</v>
      </c>
      <c r="I484" s="726">
        <v>8</v>
      </c>
      <c r="J484" s="726"/>
      <c r="K484" s="726"/>
      <c r="L484" s="726">
        <v>2018.01</v>
      </c>
      <c r="M484" s="726">
        <v>2018.12</v>
      </c>
      <c r="N484" s="726"/>
      <c r="O484" s="726"/>
      <c r="P484" s="726"/>
      <c r="Q484" s="726"/>
      <c r="R484" s="726"/>
      <c r="S484" s="726"/>
      <c r="T484" s="726"/>
      <c r="U484" s="726"/>
      <c r="V484" s="726"/>
      <c r="W484" s="726"/>
      <c r="X484" s="706" t="s">
        <v>326</v>
      </c>
      <c r="Y484" s="763">
        <v>8</v>
      </c>
      <c r="Z484" s="763">
        <v>35</v>
      </c>
      <c r="AA484" s="708">
        <v>1</v>
      </c>
      <c r="AB484" s="708"/>
      <c r="AC484" s="708"/>
      <c r="AD484" s="146" t="s">
        <v>312</v>
      </c>
      <c r="AE484" s="146" t="s">
        <v>352</v>
      </c>
      <c r="AF484" s="438" t="s">
        <v>338</v>
      </c>
      <c r="AG484" s="708"/>
    </row>
    <row r="485" s="570" customFormat="1" ht="24.95" customHeight="1" spans="1:33">
      <c r="A485" s="705"/>
      <c r="B485" s="714" t="s">
        <v>259</v>
      </c>
      <c r="C485" s="146" t="s">
        <v>320</v>
      </c>
      <c r="D485" s="152" t="s">
        <v>194</v>
      </c>
      <c r="E485" s="708">
        <v>1</v>
      </c>
      <c r="F485" s="714" t="str">
        <f t="shared" si="67"/>
        <v>古敢</v>
      </c>
      <c r="G485" s="92"/>
      <c r="H485" s="726">
        <v>2</v>
      </c>
      <c r="I485" s="726">
        <v>2</v>
      </c>
      <c r="J485" s="726"/>
      <c r="K485" s="726"/>
      <c r="L485" s="726">
        <v>2018.01</v>
      </c>
      <c r="M485" s="726">
        <v>2018.12</v>
      </c>
      <c r="N485" s="726"/>
      <c r="O485" s="726"/>
      <c r="P485" s="726"/>
      <c r="Q485" s="726"/>
      <c r="R485" s="726"/>
      <c r="S485" s="726"/>
      <c r="T485" s="726"/>
      <c r="U485" s="726"/>
      <c r="V485" s="726"/>
      <c r="W485" s="726"/>
      <c r="X485" s="706" t="s">
        <v>326</v>
      </c>
      <c r="Y485" s="763">
        <v>2</v>
      </c>
      <c r="Z485" s="763">
        <v>7</v>
      </c>
      <c r="AA485" s="708">
        <v>1</v>
      </c>
      <c r="AB485" s="708"/>
      <c r="AC485" s="708"/>
      <c r="AD485" s="146" t="s">
        <v>183</v>
      </c>
      <c r="AE485" s="146" t="s">
        <v>353</v>
      </c>
      <c r="AF485" s="438" t="s">
        <v>338</v>
      </c>
      <c r="AG485" s="708"/>
    </row>
    <row r="486" s="570" customFormat="1" ht="24.95" customHeight="1" spans="1:33">
      <c r="A486" s="705" t="s">
        <v>48</v>
      </c>
      <c r="B486" s="714" t="s">
        <v>143</v>
      </c>
      <c r="C486" s="146" t="s">
        <v>320</v>
      </c>
      <c r="D486" s="152" t="s">
        <v>194</v>
      </c>
      <c r="E486" s="708">
        <v>1</v>
      </c>
      <c r="F486" s="714" t="str">
        <f t="shared" si="67"/>
        <v>老厂</v>
      </c>
      <c r="G486" s="92"/>
      <c r="H486" s="724">
        <v>9</v>
      </c>
      <c r="I486" s="724">
        <v>9</v>
      </c>
      <c r="J486" s="724"/>
      <c r="K486" s="724"/>
      <c r="L486" s="726">
        <v>2018.01</v>
      </c>
      <c r="M486" s="726">
        <v>2018.12</v>
      </c>
      <c r="N486" s="724"/>
      <c r="O486" s="724"/>
      <c r="P486" s="724"/>
      <c r="Q486" s="724"/>
      <c r="R486" s="724"/>
      <c r="S486" s="724"/>
      <c r="T486" s="724"/>
      <c r="U486" s="724"/>
      <c r="V486" s="724"/>
      <c r="W486" s="92"/>
      <c r="X486" s="706" t="s">
        <v>326</v>
      </c>
      <c r="Y486" s="738">
        <v>9</v>
      </c>
      <c r="Z486" s="738">
        <v>42</v>
      </c>
      <c r="AA486" s="708">
        <v>1</v>
      </c>
      <c r="AB486" s="92"/>
      <c r="AC486" s="92"/>
      <c r="AD486" s="775" t="s">
        <v>354</v>
      </c>
      <c r="AE486" s="146" t="s">
        <v>263</v>
      </c>
      <c r="AF486" s="438" t="s">
        <v>338</v>
      </c>
      <c r="AG486" s="92"/>
    </row>
    <row r="487" s="570" customFormat="1" ht="24.95" customHeight="1" spans="1:33">
      <c r="A487" s="705">
        <v>61</v>
      </c>
      <c r="B487" s="750" t="s">
        <v>355</v>
      </c>
      <c r="C487" s="146" t="s">
        <v>320</v>
      </c>
      <c r="D487" s="152" t="s">
        <v>194</v>
      </c>
      <c r="E487" s="708">
        <f>SUM(E488:E499)</f>
        <v>12</v>
      </c>
      <c r="F487" s="708"/>
      <c r="G487" s="708"/>
      <c r="H487" s="726">
        <f t="shared" ref="F487:AA487" si="70">SUM(H488:H499)</f>
        <v>1592</v>
      </c>
      <c r="I487" s="726">
        <f t="shared" si="70"/>
        <v>1592</v>
      </c>
      <c r="J487" s="726">
        <f t="shared" si="70"/>
        <v>0</v>
      </c>
      <c r="K487" s="726">
        <f t="shared" si="70"/>
        <v>0</v>
      </c>
      <c r="L487" s="726"/>
      <c r="M487" s="726"/>
      <c r="N487" s="726">
        <f t="shared" si="70"/>
        <v>0</v>
      </c>
      <c r="O487" s="726">
        <f t="shared" si="70"/>
        <v>0</v>
      </c>
      <c r="P487" s="726">
        <f t="shared" si="70"/>
        <v>0</v>
      </c>
      <c r="Q487" s="726">
        <f t="shared" si="70"/>
        <v>0</v>
      </c>
      <c r="R487" s="726">
        <f t="shared" si="70"/>
        <v>0</v>
      </c>
      <c r="S487" s="726">
        <f t="shared" si="70"/>
        <v>0</v>
      </c>
      <c r="T487" s="726">
        <f t="shared" si="70"/>
        <v>0</v>
      </c>
      <c r="U487" s="726">
        <f t="shared" si="70"/>
        <v>0</v>
      </c>
      <c r="V487" s="726">
        <f t="shared" si="70"/>
        <v>0</v>
      </c>
      <c r="W487" s="708"/>
      <c r="X487" s="706" t="s">
        <v>326</v>
      </c>
      <c r="Y487" s="708">
        <f t="shared" si="70"/>
        <v>1507</v>
      </c>
      <c r="Z487" s="708">
        <f t="shared" si="70"/>
        <v>3448</v>
      </c>
      <c r="AA487" s="708">
        <f t="shared" si="70"/>
        <v>12</v>
      </c>
      <c r="AB487" s="708"/>
      <c r="AC487" s="708"/>
      <c r="AD487" s="753" t="s">
        <v>356</v>
      </c>
      <c r="AE487" s="146" t="s">
        <v>357</v>
      </c>
      <c r="AF487" s="146" t="s">
        <v>358</v>
      </c>
      <c r="AG487" s="708" t="s">
        <v>41</v>
      </c>
    </row>
    <row r="488" s="570" customFormat="1" ht="24.95" customHeight="1" spans="1:33">
      <c r="A488" s="705"/>
      <c r="B488" s="714" t="s">
        <v>101</v>
      </c>
      <c r="C488" s="146" t="s">
        <v>320</v>
      </c>
      <c r="D488" s="152" t="s">
        <v>194</v>
      </c>
      <c r="E488" s="708">
        <v>1</v>
      </c>
      <c r="F488" s="714" t="str">
        <f t="shared" si="67"/>
        <v>中安</v>
      </c>
      <c r="G488" s="92"/>
      <c r="H488" s="726">
        <v>122</v>
      </c>
      <c r="I488" s="726">
        <v>122</v>
      </c>
      <c r="J488" s="726"/>
      <c r="K488" s="726"/>
      <c r="L488" s="726">
        <v>2018.01</v>
      </c>
      <c r="M488" s="726">
        <v>2018.12</v>
      </c>
      <c r="N488" s="726"/>
      <c r="O488" s="726"/>
      <c r="P488" s="726"/>
      <c r="Q488" s="726"/>
      <c r="R488" s="726"/>
      <c r="S488" s="726"/>
      <c r="T488" s="726"/>
      <c r="U488" s="726"/>
      <c r="V488" s="726"/>
      <c r="W488" s="726"/>
      <c r="X488" s="706" t="s">
        <v>326</v>
      </c>
      <c r="Y488" s="763">
        <v>122</v>
      </c>
      <c r="Z488" s="763">
        <v>478</v>
      </c>
      <c r="AA488" s="708">
        <v>1</v>
      </c>
      <c r="AB488" s="708"/>
      <c r="AC488" s="708"/>
      <c r="AD488" s="141" t="s">
        <v>298</v>
      </c>
      <c r="AE488" s="146" t="s">
        <v>359</v>
      </c>
      <c r="AF488" s="438" t="s">
        <v>358</v>
      </c>
      <c r="AG488" s="708"/>
    </row>
    <row r="489" s="570" customFormat="1" ht="24.95" customHeight="1" spans="1:33">
      <c r="A489" s="705"/>
      <c r="B489" s="714" t="s">
        <v>151</v>
      </c>
      <c r="C489" s="146" t="s">
        <v>320</v>
      </c>
      <c r="D489" s="152" t="s">
        <v>194</v>
      </c>
      <c r="E489" s="708">
        <v>1</v>
      </c>
      <c r="F489" s="714" t="str">
        <f t="shared" si="67"/>
        <v>胜境</v>
      </c>
      <c r="G489" s="92"/>
      <c r="H489" s="726">
        <v>3</v>
      </c>
      <c r="I489" s="726">
        <v>3</v>
      </c>
      <c r="J489" s="726"/>
      <c r="K489" s="726"/>
      <c r="L489" s="726">
        <v>2018.01</v>
      </c>
      <c r="M489" s="726">
        <v>2018.12</v>
      </c>
      <c r="N489" s="726"/>
      <c r="O489" s="726"/>
      <c r="P489" s="726"/>
      <c r="Q489" s="726"/>
      <c r="R489" s="726"/>
      <c r="S489" s="726"/>
      <c r="T489" s="726"/>
      <c r="U489" s="726"/>
      <c r="V489" s="726"/>
      <c r="W489" s="726"/>
      <c r="X489" s="706" t="s">
        <v>326</v>
      </c>
      <c r="Y489" s="763">
        <v>3</v>
      </c>
      <c r="Z489" s="763">
        <v>3</v>
      </c>
      <c r="AA489" s="708">
        <v>1</v>
      </c>
      <c r="AB489" s="708"/>
      <c r="AC489" s="708"/>
      <c r="AD489" s="146" t="s">
        <v>339</v>
      </c>
      <c r="AE489" s="146" t="s">
        <v>340</v>
      </c>
      <c r="AF489" s="438" t="s">
        <v>358</v>
      </c>
      <c r="AG489" s="708"/>
    </row>
    <row r="490" s="570" customFormat="1" ht="24.95" customHeight="1" spans="1:33">
      <c r="A490" s="705"/>
      <c r="B490" s="714" t="s">
        <v>154</v>
      </c>
      <c r="C490" s="146" t="s">
        <v>320</v>
      </c>
      <c r="D490" s="152" t="s">
        <v>194</v>
      </c>
      <c r="E490" s="708">
        <v>1</v>
      </c>
      <c r="F490" s="714" t="str">
        <f t="shared" si="67"/>
        <v>后所</v>
      </c>
      <c r="G490" s="92"/>
      <c r="H490" s="726">
        <v>181</v>
      </c>
      <c r="I490" s="726">
        <v>181</v>
      </c>
      <c r="J490" s="726"/>
      <c r="K490" s="726"/>
      <c r="L490" s="726">
        <v>2018.01</v>
      </c>
      <c r="M490" s="726">
        <v>2018.12</v>
      </c>
      <c r="N490" s="726"/>
      <c r="O490" s="726"/>
      <c r="P490" s="726"/>
      <c r="Q490" s="726"/>
      <c r="R490" s="726"/>
      <c r="S490" s="726"/>
      <c r="T490" s="726"/>
      <c r="U490" s="726"/>
      <c r="V490" s="726"/>
      <c r="W490" s="726"/>
      <c r="X490" s="706" t="s">
        <v>326</v>
      </c>
      <c r="Y490" s="763">
        <v>147</v>
      </c>
      <c r="Z490" s="763">
        <v>181</v>
      </c>
      <c r="AA490" s="708">
        <v>1</v>
      </c>
      <c r="AB490" s="708"/>
      <c r="AC490" s="708"/>
      <c r="AD490" s="146" t="s">
        <v>360</v>
      </c>
      <c r="AE490" s="146" t="s">
        <v>361</v>
      </c>
      <c r="AF490" s="438" t="s">
        <v>358</v>
      </c>
      <c r="AG490" s="708"/>
    </row>
    <row r="491" s="570" customFormat="1" ht="24.95" customHeight="1" spans="1:33">
      <c r="A491" s="705"/>
      <c r="B491" s="714" t="s">
        <v>81</v>
      </c>
      <c r="C491" s="146" t="s">
        <v>320</v>
      </c>
      <c r="D491" s="152" t="s">
        <v>194</v>
      </c>
      <c r="E491" s="708">
        <v>1</v>
      </c>
      <c r="F491" s="714" t="str">
        <f t="shared" si="67"/>
        <v>墨红</v>
      </c>
      <c r="G491" s="92"/>
      <c r="H491" s="726">
        <v>127</v>
      </c>
      <c r="I491" s="726">
        <v>127</v>
      </c>
      <c r="J491" s="726"/>
      <c r="K491" s="726"/>
      <c r="L491" s="726">
        <v>2018.01</v>
      </c>
      <c r="M491" s="726">
        <v>2018.12</v>
      </c>
      <c r="N491" s="726"/>
      <c r="O491" s="726"/>
      <c r="P491" s="726"/>
      <c r="Q491" s="726"/>
      <c r="R491" s="726"/>
      <c r="S491" s="726"/>
      <c r="T491" s="726"/>
      <c r="U491" s="726"/>
      <c r="V491" s="726"/>
      <c r="W491" s="726"/>
      <c r="X491" s="706" t="s">
        <v>326</v>
      </c>
      <c r="Y491" s="763">
        <v>124</v>
      </c>
      <c r="Z491" s="763">
        <v>127</v>
      </c>
      <c r="AA491" s="708">
        <v>1</v>
      </c>
      <c r="AB491" s="708"/>
      <c r="AC491" s="708"/>
      <c r="AD491" s="146" t="s">
        <v>249</v>
      </c>
      <c r="AE491" s="146" t="s">
        <v>343</v>
      </c>
      <c r="AF491" s="438" t="s">
        <v>358</v>
      </c>
      <c r="AG491" s="708"/>
    </row>
    <row r="492" s="570" customFormat="1" ht="24.95" customHeight="1" spans="1:33">
      <c r="A492" s="705"/>
      <c r="B492" s="714" t="s">
        <v>98</v>
      </c>
      <c r="C492" s="146" t="s">
        <v>320</v>
      </c>
      <c r="D492" s="152" t="s">
        <v>194</v>
      </c>
      <c r="E492" s="708">
        <v>1</v>
      </c>
      <c r="F492" s="714" t="str">
        <f t="shared" si="67"/>
        <v>大河</v>
      </c>
      <c r="G492" s="92"/>
      <c r="H492" s="726">
        <v>340</v>
      </c>
      <c r="I492" s="726">
        <v>340</v>
      </c>
      <c r="J492" s="726"/>
      <c r="K492" s="726"/>
      <c r="L492" s="726">
        <v>2018.01</v>
      </c>
      <c r="M492" s="726">
        <v>2018.12</v>
      </c>
      <c r="N492" s="726"/>
      <c r="O492" s="726"/>
      <c r="P492" s="726"/>
      <c r="Q492" s="726"/>
      <c r="R492" s="726"/>
      <c r="S492" s="726"/>
      <c r="T492" s="726"/>
      <c r="U492" s="726"/>
      <c r="V492" s="726"/>
      <c r="W492" s="726"/>
      <c r="X492" s="706" t="s">
        <v>326</v>
      </c>
      <c r="Y492" s="763">
        <v>340</v>
      </c>
      <c r="Z492" s="763">
        <v>1490</v>
      </c>
      <c r="AA492" s="708">
        <v>1</v>
      </c>
      <c r="AB492" s="708"/>
      <c r="AC492" s="708"/>
      <c r="AD492" s="146" t="s">
        <v>305</v>
      </c>
      <c r="AE492" s="146" t="s">
        <v>362</v>
      </c>
      <c r="AF492" s="438" t="s">
        <v>358</v>
      </c>
      <c r="AG492" s="708"/>
    </row>
    <row r="493" s="570" customFormat="1" ht="24.95" customHeight="1" spans="1:33">
      <c r="A493" s="705"/>
      <c r="B493" s="714" t="s">
        <v>211</v>
      </c>
      <c r="C493" s="146" t="s">
        <v>320</v>
      </c>
      <c r="D493" s="152" t="s">
        <v>194</v>
      </c>
      <c r="E493" s="708">
        <v>1</v>
      </c>
      <c r="F493" s="714" t="str">
        <f t="shared" si="67"/>
        <v>营上</v>
      </c>
      <c r="G493" s="92"/>
      <c r="H493" s="726">
        <v>121</v>
      </c>
      <c r="I493" s="726">
        <v>121</v>
      </c>
      <c r="J493" s="726"/>
      <c r="K493" s="726"/>
      <c r="L493" s="726">
        <v>2018.01</v>
      </c>
      <c r="M493" s="726">
        <v>2018.12</v>
      </c>
      <c r="N493" s="726"/>
      <c r="O493" s="726"/>
      <c r="P493" s="726"/>
      <c r="Q493" s="726"/>
      <c r="R493" s="726"/>
      <c r="S493" s="726"/>
      <c r="T493" s="726"/>
      <c r="U493" s="726"/>
      <c r="V493" s="726"/>
      <c r="W493" s="726"/>
      <c r="X493" s="706" t="s">
        <v>326</v>
      </c>
      <c r="Y493" s="763">
        <v>101</v>
      </c>
      <c r="Z493" s="763">
        <v>101</v>
      </c>
      <c r="AA493" s="708">
        <v>1</v>
      </c>
      <c r="AB493" s="708"/>
      <c r="AC493" s="708"/>
      <c r="AD493" s="146" t="s">
        <v>176</v>
      </c>
      <c r="AE493" s="146" t="s">
        <v>363</v>
      </c>
      <c r="AF493" s="438" t="s">
        <v>358</v>
      </c>
      <c r="AG493" s="708"/>
    </row>
    <row r="494" s="570" customFormat="1" ht="24.95" customHeight="1" spans="1:33">
      <c r="A494" s="705"/>
      <c r="B494" s="714" t="s">
        <v>155</v>
      </c>
      <c r="C494" s="146" t="s">
        <v>320</v>
      </c>
      <c r="D494" s="152" t="s">
        <v>194</v>
      </c>
      <c r="E494" s="708">
        <v>1</v>
      </c>
      <c r="F494" s="714" t="str">
        <f t="shared" si="67"/>
        <v>竹园</v>
      </c>
      <c r="G494" s="92"/>
      <c r="H494" s="726">
        <v>68</v>
      </c>
      <c r="I494" s="726">
        <v>68</v>
      </c>
      <c r="J494" s="726"/>
      <c r="K494" s="726"/>
      <c r="L494" s="726">
        <v>2018.01</v>
      </c>
      <c r="M494" s="726">
        <v>2018.12</v>
      </c>
      <c r="N494" s="726"/>
      <c r="O494" s="726"/>
      <c r="P494" s="726"/>
      <c r="Q494" s="726"/>
      <c r="R494" s="726"/>
      <c r="S494" s="726"/>
      <c r="T494" s="726"/>
      <c r="U494" s="726"/>
      <c r="V494" s="726"/>
      <c r="W494" s="726"/>
      <c r="X494" s="706" t="s">
        <v>326</v>
      </c>
      <c r="Y494" s="763">
        <v>68</v>
      </c>
      <c r="Z494" s="763">
        <v>68</v>
      </c>
      <c r="AA494" s="708">
        <v>1</v>
      </c>
      <c r="AB494" s="708"/>
      <c r="AC494" s="708"/>
      <c r="AD494" s="146" t="s">
        <v>309</v>
      </c>
      <c r="AE494" s="146" t="s">
        <v>364</v>
      </c>
      <c r="AF494" s="438" t="s">
        <v>358</v>
      </c>
      <c r="AG494" s="708"/>
    </row>
    <row r="495" s="570" customFormat="1" ht="24.95" customHeight="1" spans="1:33">
      <c r="A495" s="705"/>
      <c r="B495" s="714" t="s">
        <v>102</v>
      </c>
      <c r="C495" s="146" t="s">
        <v>320</v>
      </c>
      <c r="D495" s="152" t="s">
        <v>194</v>
      </c>
      <c r="E495" s="708">
        <v>1</v>
      </c>
      <c r="F495" s="714" t="str">
        <f t="shared" si="67"/>
        <v>富村</v>
      </c>
      <c r="G495" s="92"/>
      <c r="H495" s="726">
        <v>282</v>
      </c>
      <c r="I495" s="726">
        <v>282</v>
      </c>
      <c r="J495" s="726"/>
      <c r="K495" s="726"/>
      <c r="L495" s="726">
        <v>2018.01</v>
      </c>
      <c r="M495" s="726">
        <v>2018.12</v>
      </c>
      <c r="N495" s="726"/>
      <c r="O495" s="726"/>
      <c r="P495" s="726"/>
      <c r="Q495" s="726"/>
      <c r="R495" s="726"/>
      <c r="S495" s="726"/>
      <c r="T495" s="726"/>
      <c r="U495" s="726"/>
      <c r="V495" s="726"/>
      <c r="W495" s="726"/>
      <c r="X495" s="706" t="s">
        <v>326</v>
      </c>
      <c r="Y495" s="763">
        <v>282</v>
      </c>
      <c r="Z495" s="763">
        <v>282</v>
      </c>
      <c r="AA495" s="708">
        <v>1</v>
      </c>
      <c r="AB495" s="708"/>
      <c r="AC495" s="708"/>
      <c r="AD495" s="146" t="s">
        <v>180</v>
      </c>
      <c r="AE495" s="146" t="s">
        <v>365</v>
      </c>
      <c r="AF495" s="438" t="s">
        <v>358</v>
      </c>
      <c r="AG495" s="708"/>
    </row>
    <row r="496" s="570" customFormat="1" ht="24.95" customHeight="1" spans="1:33">
      <c r="A496" s="705"/>
      <c r="B496" s="714" t="s">
        <v>100</v>
      </c>
      <c r="C496" s="146" t="s">
        <v>320</v>
      </c>
      <c r="D496" s="152" t="s">
        <v>194</v>
      </c>
      <c r="E496" s="708">
        <v>1</v>
      </c>
      <c r="F496" s="714" t="str">
        <f t="shared" si="67"/>
        <v>黄泥河</v>
      </c>
      <c r="G496" s="92"/>
      <c r="H496" s="726">
        <v>178</v>
      </c>
      <c r="I496" s="726">
        <v>178</v>
      </c>
      <c r="J496" s="726"/>
      <c r="K496" s="726"/>
      <c r="L496" s="726">
        <v>2018.01</v>
      </c>
      <c r="M496" s="726">
        <v>2018.12</v>
      </c>
      <c r="N496" s="726"/>
      <c r="O496" s="726"/>
      <c r="P496" s="726"/>
      <c r="Q496" s="726"/>
      <c r="R496" s="726"/>
      <c r="S496" s="726"/>
      <c r="T496" s="726"/>
      <c r="U496" s="726"/>
      <c r="V496" s="726"/>
      <c r="W496" s="726"/>
      <c r="X496" s="706" t="s">
        <v>326</v>
      </c>
      <c r="Y496" s="763">
        <v>170</v>
      </c>
      <c r="Z496" s="763">
        <v>178</v>
      </c>
      <c r="AA496" s="708">
        <v>1</v>
      </c>
      <c r="AB496" s="708"/>
      <c r="AC496" s="708"/>
      <c r="AD496" s="146" t="s">
        <v>330</v>
      </c>
      <c r="AE496" s="146" t="s">
        <v>257</v>
      </c>
      <c r="AF496" s="438" t="s">
        <v>358</v>
      </c>
      <c r="AG496" s="708"/>
    </row>
    <row r="497" s="570" customFormat="1" ht="24.95" customHeight="1" spans="1:33">
      <c r="A497" s="705"/>
      <c r="B497" s="714" t="s">
        <v>84</v>
      </c>
      <c r="C497" s="146" t="s">
        <v>320</v>
      </c>
      <c r="D497" s="152" t="s">
        <v>194</v>
      </c>
      <c r="E497" s="708">
        <v>1</v>
      </c>
      <c r="F497" s="714" t="str">
        <f t="shared" si="67"/>
        <v>十八连山</v>
      </c>
      <c r="G497" s="92"/>
      <c r="H497" s="726">
        <v>3</v>
      </c>
      <c r="I497" s="726">
        <v>3</v>
      </c>
      <c r="J497" s="726"/>
      <c r="K497" s="726"/>
      <c r="L497" s="726">
        <v>2018.01</v>
      </c>
      <c r="M497" s="726">
        <v>2018.12</v>
      </c>
      <c r="N497" s="726"/>
      <c r="O497" s="726"/>
      <c r="P497" s="726"/>
      <c r="Q497" s="726"/>
      <c r="R497" s="726"/>
      <c r="S497" s="726"/>
      <c r="T497" s="726"/>
      <c r="U497" s="726"/>
      <c r="V497" s="726"/>
      <c r="W497" s="726"/>
      <c r="X497" s="706" t="s">
        <v>326</v>
      </c>
      <c r="Y497" s="763">
        <v>3</v>
      </c>
      <c r="Z497" s="763">
        <v>3</v>
      </c>
      <c r="AA497" s="708">
        <v>1</v>
      </c>
      <c r="AB497" s="708"/>
      <c r="AC497" s="708"/>
      <c r="AD497" s="146" t="s">
        <v>65</v>
      </c>
      <c r="AE497" s="146" t="s">
        <v>258</v>
      </c>
      <c r="AF497" s="438" t="s">
        <v>358</v>
      </c>
      <c r="AG497" s="708"/>
    </row>
    <row r="498" s="570" customFormat="1" ht="24.95" customHeight="1" spans="1:33">
      <c r="A498" s="705"/>
      <c r="B498" s="714" t="s">
        <v>259</v>
      </c>
      <c r="C498" s="146" t="s">
        <v>320</v>
      </c>
      <c r="D498" s="152" t="s">
        <v>194</v>
      </c>
      <c r="E498" s="708">
        <v>1</v>
      </c>
      <c r="F498" s="714" t="str">
        <f t="shared" si="67"/>
        <v>古敢</v>
      </c>
      <c r="G498" s="92"/>
      <c r="H498" s="726">
        <v>28</v>
      </c>
      <c r="I498" s="726">
        <v>28</v>
      </c>
      <c r="J498" s="726"/>
      <c r="K498" s="726"/>
      <c r="L498" s="726">
        <v>2018.01</v>
      </c>
      <c r="M498" s="726">
        <v>2018.12</v>
      </c>
      <c r="N498" s="726"/>
      <c r="O498" s="726"/>
      <c r="P498" s="726"/>
      <c r="Q498" s="726"/>
      <c r="R498" s="726"/>
      <c r="S498" s="726"/>
      <c r="T498" s="726"/>
      <c r="U498" s="726"/>
      <c r="V498" s="726"/>
      <c r="W498" s="726"/>
      <c r="X498" s="706" t="s">
        <v>326</v>
      </c>
      <c r="Y498" s="763">
        <v>27</v>
      </c>
      <c r="Z498" s="763">
        <v>28</v>
      </c>
      <c r="AA498" s="708">
        <v>1</v>
      </c>
      <c r="AB498" s="708"/>
      <c r="AC498" s="708"/>
      <c r="AD498" s="146" t="s">
        <v>366</v>
      </c>
      <c r="AE498" s="146" t="s">
        <v>367</v>
      </c>
      <c r="AF498" s="438" t="s">
        <v>358</v>
      </c>
      <c r="AG498" s="708"/>
    </row>
    <row r="499" s="570" customFormat="1" ht="24.95" customHeight="1" spans="1:33">
      <c r="A499" s="705" t="s">
        <v>48</v>
      </c>
      <c r="B499" s="714" t="s">
        <v>143</v>
      </c>
      <c r="C499" s="146" t="s">
        <v>320</v>
      </c>
      <c r="D499" s="152" t="s">
        <v>194</v>
      </c>
      <c r="E499" s="708">
        <v>1</v>
      </c>
      <c r="F499" s="714" t="str">
        <f t="shared" si="67"/>
        <v>老厂</v>
      </c>
      <c r="G499" s="92"/>
      <c r="H499" s="724">
        <v>139</v>
      </c>
      <c r="I499" s="724">
        <v>139</v>
      </c>
      <c r="J499" s="724"/>
      <c r="K499" s="724"/>
      <c r="L499" s="726">
        <v>2018.01</v>
      </c>
      <c r="M499" s="726">
        <v>2018.12</v>
      </c>
      <c r="N499" s="724"/>
      <c r="O499" s="724"/>
      <c r="P499" s="724"/>
      <c r="Q499" s="724"/>
      <c r="R499" s="724"/>
      <c r="S499" s="724"/>
      <c r="T499" s="724"/>
      <c r="U499" s="724"/>
      <c r="V499" s="724"/>
      <c r="W499" s="92"/>
      <c r="X499" s="706" t="s">
        <v>326</v>
      </c>
      <c r="Y499" s="738">
        <v>120</v>
      </c>
      <c r="Z499" s="738">
        <v>509</v>
      </c>
      <c r="AA499" s="708">
        <v>1</v>
      </c>
      <c r="AB499" s="92"/>
      <c r="AC499" s="92"/>
      <c r="AD499" s="775" t="s">
        <v>368</v>
      </c>
      <c r="AE499" s="146" t="s">
        <v>369</v>
      </c>
      <c r="AF499" s="438" t="s">
        <v>358</v>
      </c>
      <c r="AG499" s="92"/>
    </row>
    <row r="500" s="570" customFormat="1" ht="24.95" customHeight="1" spans="1:33">
      <c r="A500" s="705">
        <v>62</v>
      </c>
      <c r="B500" s="708" t="s">
        <v>370</v>
      </c>
      <c r="C500" s="708"/>
      <c r="D500" s="709" t="s">
        <v>147</v>
      </c>
      <c r="E500" s="708"/>
      <c r="F500" s="708"/>
      <c r="G500" s="708"/>
      <c r="H500" s="726"/>
      <c r="I500" s="726"/>
      <c r="J500" s="726"/>
      <c r="K500" s="726"/>
      <c r="L500" s="726"/>
      <c r="M500" s="726"/>
      <c r="N500" s="726"/>
      <c r="O500" s="726"/>
      <c r="P500" s="726"/>
      <c r="Q500" s="726"/>
      <c r="R500" s="726"/>
      <c r="S500" s="726"/>
      <c r="T500" s="726"/>
      <c r="U500" s="726"/>
      <c r="V500" s="726"/>
      <c r="W500" s="726"/>
      <c r="X500" s="706" t="s">
        <v>326</v>
      </c>
      <c r="Y500" s="726"/>
      <c r="Z500" s="726"/>
      <c r="AA500" s="708"/>
      <c r="AB500" s="708"/>
      <c r="AC500" s="708"/>
      <c r="AD500" s="708"/>
      <c r="AE500" s="708"/>
      <c r="AF500" s="708" t="s">
        <v>358</v>
      </c>
      <c r="AG500" s="708" t="s">
        <v>41</v>
      </c>
    </row>
    <row r="501" s="570" customFormat="1" ht="24.95" customHeight="1" spans="1:33">
      <c r="A501" s="705" t="s">
        <v>48</v>
      </c>
      <c r="B501" s="92" t="s">
        <v>148</v>
      </c>
      <c r="C501" s="92"/>
      <c r="D501" s="76"/>
      <c r="E501" s="92"/>
      <c r="F501" s="92"/>
      <c r="G501" s="92"/>
      <c r="H501" s="724"/>
      <c r="I501" s="724"/>
      <c r="J501" s="724"/>
      <c r="K501" s="724"/>
      <c r="L501" s="724"/>
      <c r="M501" s="724"/>
      <c r="N501" s="724"/>
      <c r="O501" s="724"/>
      <c r="P501" s="724"/>
      <c r="Q501" s="724"/>
      <c r="R501" s="724"/>
      <c r="S501" s="724"/>
      <c r="T501" s="724"/>
      <c r="U501" s="724"/>
      <c r="V501" s="724"/>
      <c r="W501" s="92"/>
      <c r="X501" s="706" t="s">
        <v>326</v>
      </c>
      <c r="Y501" s="92"/>
      <c r="Z501" s="92"/>
      <c r="AA501" s="92"/>
      <c r="AB501" s="92"/>
      <c r="AC501" s="92"/>
      <c r="AD501" s="92"/>
      <c r="AE501" s="92"/>
      <c r="AF501" s="92"/>
      <c r="AG501" s="92"/>
    </row>
    <row r="502" s="570" customFormat="1" ht="24.95" customHeight="1" spans="1:33">
      <c r="A502" s="705">
        <v>62</v>
      </c>
      <c r="B502" s="750" t="s">
        <v>371</v>
      </c>
      <c r="C502" s="146" t="s">
        <v>52</v>
      </c>
      <c r="D502" s="152" t="s">
        <v>147</v>
      </c>
      <c r="E502" s="708">
        <f>SUM(E503:E514)</f>
        <v>12</v>
      </c>
      <c r="F502" s="708"/>
      <c r="G502" s="708"/>
      <c r="H502" s="726">
        <f t="shared" ref="F502:AA502" si="71">SUM(H503:H514)</f>
        <v>113</v>
      </c>
      <c r="I502" s="726">
        <f t="shared" si="71"/>
        <v>113</v>
      </c>
      <c r="J502" s="726">
        <f t="shared" si="71"/>
        <v>0</v>
      </c>
      <c r="K502" s="726">
        <f t="shared" si="71"/>
        <v>0</v>
      </c>
      <c r="L502" s="726"/>
      <c r="M502" s="726"/>
      <c r="N502" s="726">
        <f t="shared" si="71"/>
        <v>97.2</v>
      </c>
      <c r="O502" s="726">
        <f t="shared" si="71"/>
        <v>97.2</v>
      </c>
      <c r="P502" s="726">
        <f t="shared" si="71"/>
        <v>0</v>
      </c>
      <c r="Q502" s="726">
        <f t="shared" si="71"/>
        <v>0</v>
      </c>
      <c r="R502" s="726">
        <f t="shared" si="71"/>
        <v>97.2</v>
      </c>
      <c r="S502" s="726">
        <f t="shared" si="71"/>
        <v>0</v>
      </c>
      <c r="T502" s="726">
        <f t="shared" si="71"/>
        <v>0</v>
      </c>
      <c r="U502" s="726">
        <f t="shared" si="71"/>
        <v>0</v>
      </c>
      <c r="V502" s="726">
        <f t="shared" si="71"/>
        <v>0</v>
      </c>
      <c r="W502" s="708"/>
      <c r="X502" s="706" t="s">
        <v>326</v>
      </c>
      <c r="Y502" s="708">
        <f t="shared" si="71"/>
        <v>9706</v>
      </c>
      <c r="Z502" s="708">
        <f t="shared" si="71"/>
        <v>37821</v>
      </c>
      <c r="AA502" s="708">
        <f t="shared" si="71"/>
        <v>12</v>
      </c>
      <c r="AB502" s="708"/>
      <c r="AC502" s="708"/>
      <c r="AD502" s="146" t="s">
        <v>356</v>
      </c>
      <c r="AE502" s="146" t="s">
        <v>372</v>
      </c>
      <c r="AF502" s="146" t="s">
        <v>358</v>
      </c>
      <c r="AG502" s="708" t="s">
        <v>41</v>
      </c>
    </row>
    <row r="503" s="570" customFormat="1" ht="24.95" customHeight="1" spans="1:33">
      <c r="A503" s="705" t="s">
        <v>48</v>
      </c>
      <c r="B503" s="714" t="s">
        <v>101</v>
      </c>
      <c r="C503" s="146" t="s">
        <v>52</v>
      </c>
      <c r="D503" s="152" t="s">
        <v>147</v>
      </c>
      <c r="E503" s="92">
        <v>1</v>
      </c>
      <c r="F503" s="714" t="str">
        <f t="shared" si="67"/>
        <v>中安</v>
      </c>
      <c r="G503" s="92"/>
      <c r="H503" s="724">
        <v>5</v>
      </c>
      <c r="I503" s="724">
        <v>5</v>
      </c>
      <c r="J503" s="724"/>
      <c r="K503" s="724"/>
      <c r="L503" s="726">
        <v>2018.01</v>
      </c>
      <c r="M503" s="726">
        <v>2018.12</v>
      </c>
      <c r="N503" s="724">
        <v>3.6</v>
      </c>
      <c r="O503" s="724">
        <v>3.6</v>
      </c>
      <c r="P503" s="724"/>
      <c r="Q503" s="724"/>
      <c r="R503" s="724">
        <v>3.6</v>
      </c>
      <c r="S503" s="724"/>
      <c r="T503" s="724"/>
      <c r="U503" s="724"/>
      <c r="V503" s="724"/>
      <c r="W503" s="92"/>
      <c r="X503" s="706" t="s">
        <v>326</v>
      </c>
      <c r="Y503" s="738">
        <v>36</v>
      </c>
      <c r="Z503" s="738">
        <v>149</v>
      </c>
      <c r="AA503" s="92">
        <v>1</v>
      </c>
      <c r="AB503" s="92"/>
      <c r="AC503" s="92"/>
      <c r="AD503" s="146" t="s">
        <v>298</v>
      </c>
      <c r="AE503" s="146" t="s">
        <v>359</v>
      </c>
      <c r="AF503" s="146" t="s">
        <v>358</v>
      </c>
      <c r="AG503" s="92"/>
    </row>
    <row r="504" s="570" customFormat="1" ht="28" customHeight="1" spans="1:33">
      <c r="A504" s="705">
        <v>63</v>
      </c>
      <c r="B504" s="714" t="s">
        <v>151</v>
      </c>
      <c r="C504" s="146" t="s">
        <v>52</v>
      </c>
      <c r="D504" s="152" t="s">
        <v>147</v>
      </c>
      <c r="E504" s="92">
        <v>1</v>
      </c>
      <c r="F504" s="714" t="str">
        <f t="shared" si="67"/>
        <v>胜境</v>
      </c>
      <c r="G504" s="706"/>
      <c r="H504" s="725">
        <v>10</v>
      </c>
      <c r="I504" s="725">
        <v>10</v>
      </c>
      <c r="J504" s="725"/>
      <c r="K504" s="725"/>
      <c r="L504" s="726">
        <v>2018.01</v>
      </c>
      <c r="M504" s="726">
        <v>2018.12</v>
      </c>
      <c r="N504" s="725">
        <v>21.6</v>
      </c>
      <c r="O504" s="725">
        <v>21.6</v>
      </c>
      <c r="P504" s="725"/>
      <c r="Q504" s="725"/>
      <c r="R504" s="725">
        <v>21.6</v>
      </c>
      <c r="S504" s="725"/>
      <c r="T504" s="725"/>
      <c r="U504" s="725"/>
      <c r="V504" s="725"/>
      <c r="W504" s="786"/>
      <c r="X504" s="706" t="s">
        <v>326</v>
      </c>
      <c r="Y504" s="788">
        <v>968</v>
      </c>
      <c r="Z504" s="788">
        <v>4159</v>
      </c>
      <c r="AA504" s="92">
        <v>1</v>
      </c>
      <c r="AB504" s="706"/>
      <c r="AC504" s="706"/>
      <c r="AD504" s="146" t="s">
        <v>373</v>
      </c>
      <c r="AE504" s="146" t="s">
        <v>374</v>
      </c>
      <c r="AF504" s="146" t="s">
        <v>358</v>
      </c>
      <c r="AG504" s="706" t="s">
        <v>41</v>
      </c>
    </row>
    <row r="505" s="570" customFormat="1" ht="32" customHeight="1" spans="1:33">
      <c r="A505" s="705">
        <v>64</v>
      </c>
      <c r="B505" s="714" t="s">
        <v>154</v>
      </c>
      <c r="C505" s="146" t="s">
        <v>52</v>
      </c>
      <c r="D505" s="152" t="s">
        <v>147</v>
      </c>
      <c r="E505" s="92">
        <v>1</v>
      </c>
      <c r="F505" s="714" t="str">
        <f t="shared" si="67"/>
        <v>后所</v>
      </c>
      <c r="G505" s="708"/>
      <c r="H505" s="726">
        <v>10</v>
      </c>
      <c r="I505" s="726">
        <v>10</v>
      </c>
      <c r="J505" s="726"/>
      <c r="K505" s="726"/>
      <c r="L505" s="726">
        <v>2018.01</v>
      </c>
      <c r="M505" s="726">
        <v>2018.12</v>
      </c>
      <c r="N505" s="726">
        <v>7.2</v>
      </c>
      <c r="O505" s="726">
        <v>7.2</v>
      </c>
      <c r="P505" s="726"/>
      <c r="Q505" s="726"/>
      <c r="R505" s="726">
        <v>7.2</v>
      </c>
      <c r="S505" s="726"/>
      <c r="T505" s="726"/>
      <c r="U505" s="726"/>
      <c r="V505" s="726"/>
      <c r="W505" s="726"/>
      <c r="X505" s="706" t="s">
        <v>326</v>
      </c>
      <c r="Y505" s="763">
        <v>1066</v>
      </c>
      <c r="Z505" s="763">
        <v>4416</v>
      </c>
      <c r="AA505" s="92">
        <v>1</v>
      </c>
      <c r="AB505" s="708"/>
      <c r="AC505" s="708"/>
      <c r="AD505" s="146" t="s">
        <v>360</v>
      </c>
      <c r="AE505" s="146" t="s">
        <v>361</v>
      </c>
      <c r="AF505" s="146" t="s">
        <v>358</v>
      </c>
      <c r="AG505" s="708" t="s">
        <v>41</v>
      </c>
    </row>
    <row r="506" s="570" customFormat="1" ht="24.95" customHeight="1" spans="1:33">
      <c r="A506" s="705" t="s">
        <v>48</v>
      </c>
      <c r="B506" s="714" t="s">
        <v>81</v>
      </c>
      <c r="C506" s="146" t="s">
        <v>52</v>
      </c>
      <c r="D506" s="152" t="s">
        <v>147</v>
      </c>
      <c r="E506" s="92">
        <v>1</v>
      </c>
      <c r="F506" s="714" t="str">
        <f t="shared" si="67"/>
        <v>墨红</v>
      </c>
      <c r="G506" s="92"/>
      <c r="H506" s="724">
        <v>10</v>
      </c>
      <c r="I506" s="724">
        <v>10</v>
      </c>
      <c r="J506" s="724"/>
      <c r="K506" s="724"/>
      <c r="L506" s="726">
        <v>2018.01</v>
      </c>
      <c r="M506" s="726">
        <v>2018.12</v>
      </c>
      <c r="N506" s="724">
        <v>7.2</v>
      </c>
      <c r="O506" s="724">
        <v>7.2</v>
      </c>
      <c r="P506" s="724"/>
      <c r="Q506" s="724"/>
      <c r="R506" s="724">
        <v>7.2</v>
      </c>
      <c r="S506" s="724"/>
      <c r="T506" s="724"/>
      <c r="U506" s="724"/>
      <c r="V506" s="724"/>
      <c r="W506" s="738"/>
      <c r="X506" s="706" t="s">
        <v>326</v>
      </c>
      <c r="Y506" s="738">
        <v>1146</v>
      </c>
      <c r="Z506" s="738">
        <v>340</v>
      </c>
      <c r="AA506" s="92">
        <v>1</v>
      </c>
      <c r="AB506" s="92"/>
      <c r="AC506" s="92"/>
      <c r="AD506" s="146" t="s">
        <v>375</v>
      </c>
      <c r="AE506" s="146" t="s">
        <v>376</v>
      </c>
      <c r="AF506" s="146" t="s">
        <v>358</v>
      </c>
      <c r="AG506" s="92"/>
    </row>
    <row r="507" s="570" customFormat="1" ht="24.95" customHeight="1" spans="1:33">
      <c r="A507" s="705">
        <v>65</v>
      </c>
      <c r="B507" s="714" t="s">
        <v>98</v>
      </c>
      <c r="C507" s="146" t="s">
        <v>52</v>
      </c>
      <c r="D507" s="152" t="s">
        <v>147</v>
      </c>
      <c r="E507" s="92">
        <v>1</v>
      </c>
      <c r="F507" s="714" t="str">
        <f t="shared" si="67"/>
        <v>大河</v>
      </c>
      <c r="G507" s="706"/>
      <c r="H507" s="725">
        <v>3</v>
      </c>
      <c r="I507" s="725">
        <v>3</v>
      </c>
      <c r="J507" s="725"/>
      <c r="K507" s="725"/>
      <c r="L507" s="726">
        <v>2018.01</v>
      </c>
      <c r="M507" s="726">
        <v>2018.12</v>
      </c>
      <c r="N507" s="725">
        <v>2.16</v>
      </c>
      <c r="O507" s="725">
        <v>2.16</v>
      </c>
      <c r="P507" s="725"/>
      <c r="Q507" s="725"/>
      <c r="R507" s="725">
        <v>2.16</v>
      </c>
      <c r="S507" s="725"/>
      <c r="T507" s="725"/>
      <c r="U507" s="725"/>
      <c r="V507" s="725"/>
      <c r="W507" s="786"/>
      <c r="X507" s="706" t="s">
        <v>326</v>
      </c>
      <c r="Y507" s="788">
        <v>439</v>
      </c>
      <c r="Z507" s="788">
        <v>1778</v>
      </c>
      <c r="AA507" s="92">
        <v>1</v>
      </c>
      <c r="AB507" s="706"/>
      <c r="AC507" s="706"/>
      <c r="AD507" s="146" t="s">
        <v>305</v>
      </c>
      <c r="AE507" s="146" t="s">
        <v>362</v>
      </c>
      <c r="AF507" s="146" t="s">
        <v>358</v>
      </c>
      <c r="AG507" s="706"/>
    </row>
    <row r="508" s="570" customFormat="1" ht="24.95" customHeight="1" spans="1:33">
      <c r="A508" s="705">
        <v>66</v>
      </c>
      <c r="B508" s="714" t="s">
        <v>211</v>
      </c>
      <c r="C508" s="146" t="s">
        <v>52</v>
      </c>
      <c r="D508" s="152" t="s">
        <v>147</v>
      </c>
      <c r="E508" s="92">
        <v>1</v>
      </c>
      <c r="F508" s="714" t="str">
        <f t="shared" si="67"/>
        <v>营上</v>
      </c>
      <c r="G508" s="708"/>
      <c r="H508" s="726">
        <v>20</v>
      </c>
      <c r="I508" s="726">
        <v>20</v>
      </c>
      <c r="J508" s="726"/>
      <c r="K508" s="726"/>
      <c r="L508" s="726">
        <v>2018.01</v>
      </c>
      <c r="M508" s="726">
        <v>2018.12</v>
      </c>
      <c r="N508" s="726">
        <v>14.4</v>
      </c>
      <c r="O508" s="726">
        <v>14.4</v>
      </c>
      <c r="P508" s="726"/>
      <c r="Q508" s="726"/>
      <c r="R508" s="726">
        <v>14.4</v>
      </c>
      <c r="S508" s="726"/>
      <c r="T508" s="726"/>
      <c r="U508" s="726"/>
      <c r="V508" s="726"/>
      <c r="W508" s="726"/>
      <c r="X508" s="706" t="s">
        <v>326</v>
      </c>
      <c r="Y508" s="763">
        <v>184</v>
      </c>
      <c r="Z508" s="763">
        <v>733</v>
      </c>
      <c r="AA508" s="92">
        <v>1</v>
      </c>
      <c r="AB508" s="708"/>
      <c r="AC508" s="708"/>
      <c r="AD508" s="146" t="s">
        <v>176</v>
      </c>
      <c r="AE508" s="146" t="s">
        <v>377</v>
      </c>
      <c r="AF508" s="146" t="s">
        <v>358</v>
      </c>
      <c r="AG508" s="708"/>
    </row>
    <row r="509" s="570" customFormat="1" ht="24.95" customHeight="1" spans="1:33">
      <c r="A509" s="705" t="s">
        <v>48</v>
      </c>
      <c r="B509" s="714" t="s">
        <v>155</v>
      </c>
      <c r="C509" s="146" t="s">
        <v>52</v>
      </c>
      <c r="D509" s="152" t="s">
        <v>147</v>
      </c>
      <c r="E509" s="92">
        <v>1</v>
      </c>
      <c r="F509" s="714" t="str">
        <f t="shared" si="67"/>
        <v>竹园</v>
      </c>
      <c r="G509" s="92"/>
      <c r="H509" s="724">
        <v>7</v>
      </c>
      <c r="I509" s="724">
        <v>7</v>
      </c>
      <c r="J509" s="724"/>
      <c r="K509" s="724"/>
      <c r="L509" s="726">
        <v>2018.01</v>
      </c>
      <c r="M509" s="726">
        <v>2018.12</v>
      </c>
      <c r="N509" s="724">
        <v>5.04</v>
      </c>
      <c r="O509" s="724">
        <v>5.04</v>
      </c>
      <c r="P509" s="724"/>
      <c r="Q509" s="724"/>
      <c r="R509" s="724">
        <v>5.04</v>
      </c>
      <c r="S509" s="724"/>
      <c r="T509" s="724"/>
      <c r="U509" s="724"/>
      <c r="V509" s="724"/>
      <c r="W509" s="92"/>
      <c r="X509" s="706" t="s">
        <v>326</v>
      </c>
      <c r="Y509" s="738">
        <v>529</v>
      </c>
      <c r="Z509" s="738">
        <v>2334</v>
      </c>
      <c r="AA509" s="92">
        <v>1</v>
      </c>
      <c r="AB509" s="92"/>
      <c r="AC509" s="92"/>
      <c r="AD509" s="146" t="s">
        <v>309</v>
      </c>
      <c r="AE509" s="146" t="s">
        <v>364</v>
      </c>
      <c r="AF509" s="146" t="s">
        <v>358</v>
      </c>
      <c r="AG509" s="92"/>
    </row>
    <row r="510" s="570" customFormat="1" ht="24.95" customHeight="1" spans="1:33">
      <c r="A510" s="705">
        <v>67</v>
      </c>
      <c r="B510" s="714" t="s">
        <v>102</v>
      </c>
      <c r="C510" s="146" t="s">
        <v>52</v>
      </c>
      <c r="D510" s="152" t="s">
        <v>147</v>
      </c>
      <c r="E510" s="92">
        <v>1</v>
      </c>
      <c r="F510" s="714" t="str">
        <f t="shared" si="67"/>
        <v>富村</v>
      </c>
      <c r="G510" s="708"/>
      <c r="H510" s="726">
        <v>23</v>
      </c>
      <c r="I510" s="726">
        <v>23</v>
      </c>
      <c r="J510" s="726"/>
      <c r="K510" s="726"/>
      <c r="L510" s="726">
        <v>2018.01</v>
      </c>
      <c r="M510" s="726">
        <v>2018.12</v>
      </c>
      <c r="N510" s="726">
        <v>16.56</v>
      </c>
      <c r="O510" s="726">
        <v>16.56</v>
      </c>
      <c r="P510" s="726"/>
      <c r="Q510" s="726"/>
      <c r="R510" s="726">
        <v>16.56</v>
      </c>
      <c r="S510" s="726"/>
      <c r="T510" s="726"/>
      <c r="U510" s="726"/>
      <c r="V510" s="726"/>
      <c r="W510" s="726"/>
      <c r="X510" s="706" t="s">
        <v>326</v>
      </c>
      <c r="Y510" s="763">
        <v>2973</v>
      </c>
      <c r="Z510" s="763">
        <v>13383</v>
      </c>
      <c r="AA510" s="92">
        <v>1</v>
      </c>
      <c r="AB510" s="708"/>
      <c r="AC510" s="708"/>
      <c r="AD510" s="146" t="s">
        <v>180</v>
      </c>
      <c r="AE510" s="146" t="s">
        <v>365</v>
      </c>
      <c r="AF510" s="146" t="s">
        <v>358</v>
      </c>
      <c r="AG510" s="708"/>
    </row>
    <row r="511" s="570" customFormat="1" ht="24.95" customHeight="1" spans="1:33">
      <c r="A511" s="705" t="s">
        <v>48</v>
      </c>
      <c r="B511" s="714" t="s">
        <v>100</v>
      </c>
      <c r="C511" s="146" t="s">
        <v>52</v>
      </c>
      <c r="D511" s="152" t="s">
        <v>147</v>
      </c>
      <c r="E511" s="92">
        <v>1</v>
      </c>
      <c r="F511" s="714" t="str">
        <f t="shared" si="67"/>
        <v>黄泥河</v>
      </c>
      <c r="G511" s="92"/>
      <c r="H511" s="724">
        <v>1</v>
      </c>
      <c r="I511" s="724">
        <v>1</v>
      </c>
      <c r="J511" s="724"/>
      <c r="K511" s="724"/>
      <c r="L511" s="726">
        <v>2018.01</v>
      </c>
      <c r="M511" s="726">
        <v>2018.12</v>
      </c>
      <c r="N511" s="724">
        <v>2.16</v>
      </c>
      <c r="O511" s="724">
        <v>2.16</v>
      </c>
      <c r="P511" s="724"/>
      <c r="Q511" s="724"/>
      <c r="R511" s="724">
        <v>2.16</v>
      </c>
      <c r="S511" s="724"/>
      <c r="T511" s="724"/>
      <c r="U511" s="724"/>
      <c r="V511" s="724"/>
      <c r="W511" s="92"/>
      <c r="X511" s="706" t="s">
        <v>326</v>
      </c>
      <c r="Y511" s="738">
        <v>215</v>
      </c>
      <c r="Z511" s="738">
        <v>925</v>
      </c>
      <c r="AA511" s="92">
        <v>1</v>
      </c>
      <c r="AB511" s="92"/>
      <c r="AC511" s="92"/>
      <c r="AD511" s="146" t="s">
        <v>312</v>
      </c>
      <c r="AE511" s="146" t="s">
        <v>71</v>
      </c>
      <c r="AF511" s="146" t="s">
        <v>358</v>
      </c>
      <c r="AG511" s="92"/>
    </row>
    <row r="512" s="570" customFormat="1" ht="24.95" customHeight="1" spans="1:33">
      <c r="A512" s="705">
        <v>68</v>
      </c>
      <c r="B512" s="714" t="s">
        <v>84</v>
      </c>
      <c r="C512" s="146" t="s">
        <v>52</v>
      </c>
      <c r="D512" s="152" t="s">
        <v>147</v>
      </c>
      <c r="E512" s="92">
        <v>1</v>
      </c>
      <c r="F512" s="714" t="str">
        <f t="shared" si="67"/>
        <v>十八连山</v>
      </c>
      <c r="G512" s="708"/>
      <c r="H512" s="726">
        <v>6</v>
      </c>
      <c r="I512" s="726">
        <v>6</v>
      </c>
      <c r="J512" s="726"/>
      <c r="K512" s="726"/>
      <c r="L512" s="726">
        <v>2018.01</v>
      </c>
      <c r="M512" s="726">
        <v>2018.12</v>
      </c>
      <c r="N512" s="726">
        <v>4.32</v>
      </c>
      <c r="O512" s="726">
        <v>4.32</v>
      </c>
      <c r="P512" s="726"/>
      <c r="Q512" s="726"/>
      <c r="R512" s="726">
        <v>4.32</v>
      </c>
      <c r="S512" s="726"/>
      <c r="T512" s="726"/>
      <c r="U512" s="726"/>
      <c r="V512" s="726"/>
      <c r="W512" s="726"/>
      <c r="X512" s="706" t="s">
        <v>326</v>
      </c>
      <c r="Y512" s="763">
        <v>538</v>
      </c>
      <c r="Z512" s="763">
        <v>2266</v>
      </c>
      <c r="AA512" s="92">
        <v>1</v>
      </c>
      <c r="AB512" s="708"/>
      <c r="AC512" s="708"/>
      <c r="AD512" s="146" t="s">
        <v>186</v>
      </c>
      <c r="AE512" s="146" t="s">
        <v>378</v>
      </c>
      <c r="AF512" s="146" t="s">
        <v>358</v>
      </c>
      <c r="AG512" s="708"/>
    </row>
    <row r="513" s="570" customFormat="1" ht="24.95" customHeight="1" spans="1:33">
      <c r="A513" s="705" t="s">
        <v>48</v>
      </c>
      <c r="B513" s="714" t="s">
        <v>259</v>
      </c>
      <c r="C513" s="146" t="s">
        <v>52</v>
      </c>
      <c r="D513" s="152" t="s">
        <v>147</v>
      </c>
      <c r="E513" s="92">
        <v>1</v>
      </c>
      <c r="F513" s="714" t="str">
        <f t="shared" si="67"/>
        <v>古敢</v>
      </c>
      <c r="G513" s="92"/>
      <c r="H513" s="724">
        <v>7</v>
      </c>
      <c r="I513" s="724">
        <v>7</v>
      </c>
      <c r="J513" s="724"/>
      <c r="K513" s="724"/>
      <c r="L513" s="726">
        <v>2018.01</v>
      </c>
      <c r="M513" s="726">
        <v>2018.12</v>
      </c>
      <c r="N513" s="724">
        <v>5.04</v>
      </c>
      <c r="O513" s="724">
        <v>5.04</v>
      </c>
      <c r="P513" s="724"/>
      <c r="Q513" s="724"/>
      <c r="R513" s="724">
        <v>5.04</v>
      </c>
      <c r="S513" s="724"/>
      <c r="T513" s="724"/>
      <c r="U513" s="724"/>
      <c r="V513" s="724"/>
      <c r="W513" s="92"/>
      <c r="X513" s="706" t="s">
        <v>326</v>
      </c>
      <c r="Y513" s="738">
        <v>368</v>
      </c>
      <c r="Z513" s="738">
        <v>1523</v>
      </c>
      <c r="AA513" s="92">
        <v>1</v>
      </c>
      <c r="AB513" s="92"/>
      <c r="AC513" s="92"/>
      <c r="AD513" s="146" t="s">
        <v>366</v>
      </c>
      <c r="AE513" s="146" t="s">
        <v>367</v>
      </c>
      <c r="AF513" s="146" t="s">
        <v>358</v>
      </c>
      <c r="AG513" s="92"/>
    </row>
    <row r="514" s="570" customFormat="1" ht="27" customHeight="1" spans="1:33">
      <c r="A514" s="705">
        <v>69</v>
      </c>
      <c r="B514" s="714" t="s">
        <v>143</v>
      </c>
      <c r="C514" s="146" t="s">
        <v>52</v>
      </c>
      <c r="D514" s="152" t="s">
        <v>147</v>
      </c>
      <c r="E514" s="92">
        <v>1</v>
      </c>
      <c r="F514" s="714" t="str">
        <f t="shared" si="67"/>
        <v>老厂</v>
      </c>
      <c r="G514" s="708"/>
      <c r="H514" s="726">
        <v>11</v>
      </c>
      <c r="I514" s="726">
        <v>11</v>
      </c>
      <c r="J514" s="726"/>
      <c r="K514" s="726"/>
      <c r="L514" s="726">
        <v>2018.01</v>
      </c>
      <c r="M514" s="726">
        <v>2018.12</v>
      </c>
      <c r="N514" s="726">
        <v>7.92</v>
      </c>
      <c r="O514" s="726">
        <v>7.92</v>
      </c>
      <c r="P514" s="726"/>
      <c r="Q514" s="726"/>
      <c r="R514" s="726">
        <v>7.92</v>
      </c>
      <c r="S514" s="726"/>
      <c r="T514" s="726"/>
      <c r="U514" s="726"/>
      <c r="V514" s="726"/>
      <c r="W514" s="708"/>
      <c r="X514" s="706" t="s">
        <v>326</v>
      </c>
      <c r="Y514" s="763">
        <v>1244</v>
      </c>
      <c r="Z514" s="763">
        <v>5815</v>
      </c>
      <c r="AA514" s="92">
        <v>1</v>
      </c>
      <c r="AB514" s="708"/>
      <c r="AC514" s="708"/>
      <c r="AD514" s="146" t="s">
        <v>368</v>
      </c>
      <c r="AE514" s="146" t="s">
        <v>369</v>
      </c>
      <c r="AF514" s="146" t="s">
        <v>358</v>
      </c>
      <c r="AG514" s="708"/>
    </row>
    <row r="515" ht="31" customHeight="1" spans="1:33">
      <c r="A515" s="705">
        <v>63</v>
      </c>
      <c r="B515" s="706" t="s">
        <v>379</v>
      </c>
      <c r="C515" s="706"/>
      <c r="D515" s="707"/>
      <c r="E515" s="706"/>
      <c r="F515" s="706"/>
      <c r="G515" s="706"/>
      <c r="H515" s="725"/>
      <c r="I515" s="725"/>
      <c r="J515" s="725"/>
      <c r="K515" s="725"/>
      <c r="L515" s="725"/>
      <c r="M515" s="725"/>
      <c r="N515" s="725"/>
      <c r="O515" s="725"/>
      <c r="P515" s="725"/>
      <c r="Q515" s="725"/>
      <c r="R515" s="725"/>
      <c r="S515" s="725"/>
      <c r="T515" s="725"/>
      <c r="U515" s="725"/>
      <c r="V515" s="725"/>
      <c r="W515" s="786"/>
      <c r="X515" s="786"/>
      <c r="Y515" s="786"/>
      <c r="Z515" s="786"/>
      <c r="AA515" s="789"/>
      <c r="AB515" s="706"/>
      <c r="AC515" s="706"/>
      <c r="AD515" s="706"/>
      <c r="AE515" s="706"/>
      <c r="AF515" s="706"/>
      <c r="AG515" s="706" t="s">
        <v>41</v>
      </c>
    </row>
    <row r="516" ht="31" customHeight="1" spans="1:33">
      <c r="A516" s="705">
        <v>64</v>
      </c>
      <c r="B516" s="708" t="s">
        <v>380</v>
      </c>
      <c r="C516" s="708"/>
      <c r="D516" s="709" t="s">
        <v>147</v>
      </c>
      <c r="E516" s="708"/>
      <c r="F516" s="708"/>
      <c r="G516" s="708"/>
      <c r="H516" s="726"/>
      <c r="I516" s="726"/>
      <c r="J516" s="726"/>
      <c r="K516" s="726"/>
      <c r="L516" s="726"/>
      <c r="M516" s="726"/>
      <c r="N516" s="726"/>
      <c r="O516" s="726"/>
      <c r="P516" s="726"/>
      <c r="Q516" s="726"/>
      <c r="R516" s="726"/>
      <c r="S516" s="726"/>
      <c r="T516" s="726"/>
      <c r="U516" s="726"/>
      <c r="V516" s="726"/>
      <c r="W516" s="726"/>
      <c r="X516" s="726"/>
      <c r="Y516" s="726"/>
      <c r="Z516" s="726"/>
      <c r="AA516" s="708"/>
      <c r="AB516" s="708"/>
      <c r="AC516" s="708"/>
      <c r="AD516" s="708"/>
      <c r="AE516" s="708"/>
      <c r="AF516" s="708" t="s">
        <v>201</v>
      </c>
      <c r="AG516" s="708" t="s">
        <v>41</v>
      </c>
    </row>
    <row r="517" ht="24.95" customHeight="1" spans="1:33">
      <c r="A517" s="705" t="s">
        <v>48</v>
      </c>
      <c r="B517" s="92" t="s">
        <v>148</v>
      </c>
      <c r="C517" s="92"/>
      <c r="D517" s="76"/>
      <c r="E517" s="92"/>
      <c r="F517" s="92"/>
      <c r="G517" s="92"/>
      <c r="H517" s="724"/>
      <c r="I517" s="724"/>
      <c r="J517" s="724"/>
      <c r="K517" s="724"/>
      <c r="L517" s="724"/>
      <c r="M517" s="724"/>
      <c r="N517" s="724"/>
      <c r="O517" s="724"/>
      <c r="P517" s="724"/>
      <c r="Q517" s="724"/>
      <c r="R517" s="724"/>
      <c r="S517" s="724"/>
      <c r="T517" s="724"/>
      <c r="U517" s="724"/>
      <c r="V517" s="724"/>
      <c r="W517" s="738"/>
      <c r="X517" s="738"/>
      <c r="Y517" s="738"/>
      <c r="Z517" s="738"/>
      <c r="AA517" s="92"/>
      <c r="AB517" s="92"/>
      <c r="AC517" s="92"/>
      <c r="AD517" s="92"/>
      <c r="AE517" s="92"/>
      <c r="AF517" s="92"/>
      <c r="AG517" s="92"/>
    </row>
    <row r="518" ht="24.95" customHeight="1" spans="1:33">
      <c r="A518" s="705">
        <v>65</v>
      </c>
      <c r="B518" s="706" t="s">
        <v>381</v>
      </c>
      <c r="C518" s="706"/>
      <c r="D518" s="707"/>
      <c r="E518" s="706">
        <f>E519+E532+E545+E558</f>
        <v>48</v>
      </c>
      <c r="F518" s="706"/>
      <c r="G518" s="706"/>
      <c r="H518" s="739">
        <f t="shared" ref="F518:AA518" si="72">H519+H532+H545+H558</f>
        <v>18005</v>
      </c>
      <c r="I518" s="739">
        <f t="shared" si="72"/>
        <v>18005</v>
      </c>
      <c r="J518" s="739">
        <f t="shared" si="72"/>
        <v>0</v>
      </c>
      <c r="K518" s="739">
        <f t="shared" si="72"/>
        <v>0</v>
      </c>
      <c r="L518" s="725"/>
      <c r="M518" s="725"/>
      <c r="N518" s="725">
        <f t="shared" si="72"/>
        <v>34211.3</v>
      </c>
      <c r="O518" s="725">
        <f t="shared" si="72"/>
        <v>34211.3</v>
      </c>
      <c r="P518" s="725">
        <f t="shared" si="72"/>
        <v>0</v>
      </c>
      <c r="Q518" s="725">
        <f t="shared" si="72"/>
        <v>0</v>
      </c>
      <c r="R518" s="725">
        <f t="shared" si="72"/>
        <v>0</v>
      </c>
      <c r="S518" s="725">
        <f t="shared" si="72"/>
        <v>30939.3</v>
      </c>
      <c r="T518" s="725">
        <f t="shared" si="72"/>
        <v>3272</v>
      </c>
      <c r="U518" s="725">
        <f t="shared" si="72"/>
        <v>0</v>
      </c>
      <c r="V518" s="725">
        <f t="shared" si="72"/>
        <v>0</v>
      </c>
      <c r="W518" s="706"/>
      <c r="X518" s="706" t="s">
        <v>382</v>
      </c>
      <c r="Y518" s="706">
        <f t="shared" si="72"/>
        <v>10201</v>
      </c>
      <c r="Z518" s="706">
        <f t="shared" si="72"/>
        <v>37463.2</v>
      </c>
      <c r="AA518" s="706">
        <f t="shared" si="72"/>
        <v>48</v>
      </c>
      <c r="AB518" s="706"/>
      <c r="AC518" s="706"/>
      <c r="AD518" s="706"/>
      <c r="AE518" s="706"/>
      <c r="AF518" s="706"/>
      <c r="AG518" s="706"/>
    </row>
    <row r="519" ht="24.95" customHeight="1" spans="1:33">
      <c r="A519" s="705">
        <v>66</v>
      </c>
      <c r="B519" s="708" t="s">
        <v>383</v>
      </c>
      <c r="C519" s="708"/>
      <c r="D519" s="709" t="s">
        <v>384</v>
      </c>
      <c r="E519" s="708">
        <f>SUM(E520:E531)</f>
        <v>12</v>
      </c>
      <c r="F519" s="708"/>
      <c r="G519" s="708"/>
      <c r="H519" s="763">
        <f t="shared" ref="F519:AA519" si="73">SUM(H520:H531)</f>
        <v>2020</v>
      </c>
      <c r="I519" s="763">
        <f t="shared" si="73"/>
        <v>2020</v>
      </c>
      <c r="J519" s="763">
        <f t="shared" si="73"/>
        <v>0</v>
      </c>
      <c r="K519" s="763">
        <f t="shared" si="73"/>
        <v>0</v>
      </c>
      <c r="L519" s="726"/>
      <c r="M519" s="726"/>
      <c r="N519" s="726">
        <f t="shared" si="73"/>
        <v>4242</v>
      </c>
      <c r="O519" s="726">
        <f t="shared" si="73"/>
        <v>4242</v>
      </c>
      <c r="P519" s="726">
        <f t="shared" si="73"/>
        <v>0</v>
      </c>
      <c r="Q519" s="726">
        <f t="shared" si="73"/>
        <v>0</v>
      </c>
      <c r="R519" s="726">
        <f t="shared" si="73"/>
        <v>0</v>
      </c>
      <c r="S519" s="726">
        <f t="shared" si="73"/>
        <v>4242</v>
      </c>
      <c r="T519" s="726">
        <f t="shared" si="73"/>
        <v>0</v>
      </c>
      <c r="U519" s="726">
        <f t="shared" si="73"/>
        <v>0</v>
      </c>
      <c r="V519" s="726">
        <f t="shared" si="73"/>
        <v>0</v>
      </c>
      <c r="W519" s="708"/>
      <c r="X519" s="706" t="s">
        <v>382</v>
      </c>
      <c r="Y519" s="708">
        <f t="shared" si="73"/>
        <v>1856</v>
      </c>
      <c r="Z519" s="708">
        <f t="shared" si="73"/>
        <v>8001.8</v>
      </c>
      <c r="AA519" s="708">
        <f t="shared" si="73"/>
        <v>12</v>
      </c>
      <c r="AB519" s="708"/>
      <c r="AC519" s="708"/>
      <c r="AD519" s="146" t="s">
        <v>385</v>
      </c>
      <c r="AE519" s="753" t="s">
        <v>386</v>
      </c>
      <c r="AF519" s="712" t="s">
        <v>273</v>
      </c>
      <c r="AG519" s="708"/>
    </row>
    <row r="520" ht="24.95" customHeight="1" spans="1:33">
      <c r="A520" s="705"/>
      <c r="B520" s="714" t="s">
        <v>101</v>
      </c>
      <c r="C520" s="146" t="s">
        <v>52</v>
      </c>
      <c r="D520" s="152" t="s">
        <v>384</v>
      </c>
      <c r="E520" s="708">
        <v>1</v>
      </c>
      <c r="F520" s="714" t="str">
        <f t="shared" si="67"/>
        <v>中安</v>
      </c>
      <c r="G520" s="708"/>
      <c r="H520" s="763">
        <f>N520/2.1</f>
        <v>116</v>
      </c>
      <c r="I520" s="763">
        <f t="shared" ref="I519:I531" si="74">O520/2.1</f>
        <v>116</v>
      </c>
      <c r="J520" s="763"/>
      <c r="K520" s="763"/>
      <c r="L520" s="726">
        <v>2018.01</v>
      </c>
      <c r="M520" s="726">
        <v>2018.12</v>
      </c>
      <c r="N520" s="726">
        <v>243.6</v>
      </c>
      <c r="O520" s="726">
        <v>243.6</v>
      </c>
      <c r="P520" s="726"/>
      <c r="Q520" s="726"/>
      <c r="R520" s="726"/>
      <c r="S520" s="726">
        <v>243.6</v>
      </c>
      <c r="T520" s="726"/>
      <c r="U520" s="726"/>
      <c r="V520" s="726"/>
      <c r="W520" s="726"/>
      <c r="X520" s="706" t="s">
        <v>382</v>
      </c>
      <c r="Y520" s="763">
        <v>73</v>
      </c>
      <c r="Z520" s="763">
        <v>313</v>
      </c>
      <c r="AA520" s="708">
        <v>1</v>
      </c>
      <c r="AB520" s="708"/>
      <c r="AC520" s="708"/>
      <c r="AD520" s="146" t="s">
        <v>387</v>
      </c>
      <c r="AE520" s="146" t="s">
        <v>388</v>
      </c>
      <c r="AF520" s="438" t="s">
        <v>273</v>
      </c>
      <c r="AG520" s="708"/>
    </row>
    <row r="521" ht="24.95" customHeight="1" spans="1:33">
      <c r="A521" s="705"/>
      <c r="B521" s="714" t="s">
        <v>151</v>
      </c>
      <c r="C521" s="146" t="s">
        <v>52</v>
      </c>
      <c r="D521" s="152" t="s">
        <v>384</v>
      </c>
      <c r="E521" s="708">
        <v>1</v>
      </c>
      <c r="F521" s="714" t="str">
        <f t="shared" si="67"/>
        <v>胜境</v>
      </c>
      <c r="G521" s="708"/>
      <c r="H521" s="763">
        <f t="shared" ref="H521:H532" si="75">N521/2.1</f>
        <v>51</v>
      </c>
      <c r="I521" s="763">
        <f t="shared" si="74"/>
        <v>51</v>
      </c>
      <c r="J521" s="763"/>
      <c r="K521" s="763"/>
      <c r="L521" s="726">
        <v>2018.01</v>
      </c>
      <c r="M521" s="726">
        <v>2018.12</v>
      </c>
      <c r="N521" s="726">
        <v>107.1</v>
      </c>
      <c r="O521" s="726">
        <v>107.1</v>
      </c>
      <c r="P521" s="726"/>
      <c r="Q521" s="726"/>
      <c r="R521" s="726"/>
      <c r="S521" s="726">
        <v>107.1</v>
      </c>
      <c r="T521" s="726"/>
      <c r="U521" s="726"/>
      <c r="V521" s="726"/>
      <c r="W521" s="726"/>
      <c r="X521" s="706" t="s">
        <v>382</v>
      </c>
      <c r="Y521" s="763">
        <v>49</v>
      </c>
      <c r="Z521" s="763">
        <v>84</v>
      </c>
      <c r="AA521" s="708">
        <v>1</v>
      </c>
      <c r="AB521" s="708"/>
      <c r="AC521" s="708"/>
      <c r="AD521" s="146" t="s">
        <v>389</v>
      </c>
      <c r="AE521" s="146" t="s">
        <v>390</v>
      </c>
      <c r="AF521" s="438" t="s">
        <v>273</v>
      </c>
      <c r="AG521" s="708"/>
    </row>
    <row r="522" ht="24.95" customHeight="1" spans="1:33">
      <c r="A522" s="705"/>
      <c r="B522" s="714" t="s">
        <v>154</v>
      </c>
      <c r="C522" s="146" t="s">
        <v>52</v>
      </c>
      <c r="D522" s="152" t="s">
        <v>384</v>
      </c>
      <c r="E522" s="708">
        <v>1</v>
      </c>
      <c r="F522" s="714" t="str">
        <f t="shared" si="67"/>
        <v>后所</v>
      </c>
      <c r="G522" s="708"/>
      <c r="H522" s="763">
        <f t="shared" si="75"/>
        <v>203</v>
      </c>
      <c r="I522" s="763">
        <f t="shared" si="74"/>
        <v>203</v>
      </c>
      <c r="J522" s="763"/>
      <c r="K522" s="763"/>
      <c r="L522" s="726">
        <v>2018.01</v>
      </c>
      <c r="M522" s="726">
        <v>2018.12</v>
      </c>
      <c r="N522" s="726">
        <v>426.3</v>
      </c>
      <c r="O522" s="726">
        <v>426.3</v>
      </c>
      <c r="P522" s="726"/>
      <c r="Q522" s="726"/>
      <c r="R522" s="726"/>
      <c r="S522" s="726">
        <v>426.3</v>
      </c>
      <c r="T522" s="726"/>
      <c r="U522" s="726"/>
      <c r="V522" s="726"/>
      <c r="W522" s="726"/>
      <c r="X522" s="706" t="s">
        <v>382</v>
      </c>
      <c r="Y522" s="763">
        <v>164</v>
      </c>
      <c r="Z522" s="763">
        <v>679</v>
      </c>
      <c r="AA522" s="708">
        <v>1</v>
      </c>
      <c r="AB522" s="708"/>
      <c r="AC522" s="708"/>
      <c r="AD522" s="146" t="s">
        <v>391</v>
      </c>
      <c r="AE522" s="146" t="s">
        <v>392</v>
      </c>
      <c r="AF522" s="438" t="s">
        <v>273</v>
      </c>
      <c r="AG522" s="708"/>
    </row>
    <row r="523" ht="24.95" customHeight="1" spans="1:33">
      <c r="A523" s="705"/>
      <c r="B523" s="714" t="s">
        <v>81</v>
      </c>
      <c r="C523" s="146" t="s">
        <v>52</v>
      </c>
      <c r="D523" s="152" t="s">
        <v>384</v>
      </c>
      <c r="E523" s="708">
        <v>1</v>
      </c>
      <c r="F523" s="714" t="str">
        <f t="shared" si="67"/>
        <v>墨红</v>
      </c>
      <c r="G523" s="708"/>
      <c r="H523" s="763">
        <f t="shared" si="75"/>
        <v>189</v>
      </c>
      <c r="I523" s="763">
        <f t="shared" si="74"/>
        <v>189</v>
      </c>
      <c r="J523" s="763"/>
      <c r="K523" s="763"/>
      <c r="L523" s="726">
        <v>2018.01</v>
      </c>
      <c r="M523" s="726">
        <v>2018.12</v>
      </c>
      <c r="N523" s="726">
        <v>396.9</v>
      </c>
      <c r="O523" s="726">
        <v>396.9</v>
      </c>
      <c r="P523" s="726"/>
      <c r="Q523" s="726"/>
      <c r="R523" s="726"/>
      <c r="S523" s="726">
        <v>396.9</v>
      </c>
      <c r="T523" s="726"/>
      <c r="U523" s="726"/>
      <c r="V523" s="726"/>
      <c r="W523" s="726"/>
      <c r="X523" s="706" t="s">
        <v>382</v>
      </c>
      <c r="Y523" s="763">
        <v>203</v>
      </c>
      <c r="Z523" s="763">
        <v>583</v>
      </c>
      <c r="AA523" s="708">
        <v>1</v>
      </c>
      <c r="AB523" s="708"/>
      <c r="AC523" s="708"/>
      <c r="AD523" s="146" t="s">
        <v>393</v>
      </c>
      <c r="AE523" s="146" t="s">
        <v>394</v>
      </c>
      <c r="AF523" s="438" t="s">
        <v>273</v>
      </c>
      <c r="AG523" s="708"/>
    </row>
    <row r="524" ht="24.95" customHeight="1" spans="1:33">
      <c r="A524" s="705"/>
      <c r="B524" s="714" t="s">
        <v>98</v>
      </c>
      <c r="C524" s="146" t="s">
        <v>52</v>
      </c>
      <c r="D524" s="152" t="s">
        <v>384</v>
      </c>
      <c r="E524" s="708">
        <v>1</v>
      </c>
      <c r="F524" s="714" t="str">
        <f t="shared" ref="F524:F587" si="76">B524</f>
        <v>大河</v>
      </c>
      <c r="G524" s="708"/>
      <c r="H524" s="763">
        <f t="shared" si="75"/>
        <v>304</v>
      </c>
      <c r="I524" s="763">
        <f t="shared" si="74"/>
        <v>304</v>
      </c>
      <c r="J524" s="763"/>
      <c r="K524" s="763"/>
      <c r="L524" s="726">
        <v>2018.01</v>
      </c>
      <c r="M524" s="726">
        <v>2018.12</v>
      </c>
      <c r="N524" s="726">
        <v>638.4</v>
      </c>
      <c r="O524" s="726">
        <v>638.4</v>
      </c>
      <c r="P524" s="726"/>
      <c r="Q524" s="726"/>
      <c r="R524" s="726"/>
      <c r="S524" s="726">
        <v>638.4</v>
      </c>
      <c r="T524" s="726"/>
      <c r="U524" s="726"/>
      <c r="V524" s="726"/>
      <c r="W524" s="726"/>
      <c r="X524" s="706" t="s">
        <v>382</v>
      </c>
      <c r="Y524" s="763">
        <v>351</v>
      </c>
      <c r="Z524" s="763">
        <v>1572</v>
      </c>
      <c r="AA524" s="708">
        <v>1</v>
      </c>
      <c r="AB524" s="708"/>
      <c r="AC524" s="708"/>
      <c r="AD524" s="146" t="s">
        <v>395</v>
      </c>
      <c r="AE524" s="146" t="s">
        <v>396</v>
      </c>
      <c r="AF524" s="438" t="s">
        <v>273</v>
      </c>
      <c r="AG524" s="708"/>
    </row>
    <row r="525" ht="24.95" customHeight="1" spans="1:33">
      <c r="A525" s="705"/>
      <c r="B525" s="714" t="s">
        <v>211</v>
      </c>
      <c r="C525" s="146" t="s">
        <v>52</v>
      </c>
      <c r="D525" s="152" t="s">
        <v>384</v>
      </c>
      <c r="E525" s="708">
        <v>1</v>
      </c>
      <c r="F525" s="714" t="str">
        <f t="shared" si="76"/>
        <v>营上</v>
      </c>
      <c r="G525" s="708"/>
      <c r="H525" s="763">
        <f t="shared" si="75"/>
        <v>241</v>
      </c>
      <c r="I525" s="763">
        <f t="shared" si="74"/>
        <v>241</v>
      </c>
      <c r="J525" s="763"/>
      <c r="K525" s="763"/>
      <c r="L525" s="726">
        <v>2018.01</v>
      </c>
      <c r="M525" s="726">
        <v>2018.12</v>
      </c>
      <c r="N525" s="726">
        <v>506.1</v>
      </c>
      <c r="O525" s="726">
        <v>506.1</v>
      </c>
      <c r="P525" s="726"/>
      <c r="Q525" s="726"/>
      <c r="R525" s="726"/>
      <c r="S525" s="726">
        <v>506.1</v>
      </c>
      <c r="T525" s="726"/>
      <c r="U525" s="726"/>
      <c r="V525" s="726"/>
      <c r="W525" s="726"/>
      <c r="X525" s="706" t="s">
        <v>382</v>
      </c>
      <c r="Y525" s="763">
        <v>207</v>
      </c>
      <c r="Z525" s="763">
        <v>987</v>
      </c>
      <c r="AA525" s="708">
        <v>1</v>
      </c>
      <c r="AB525" s="708"/>
      <c r="AC525" s="708"/>
      <c r="AD525" s="146" t="s">
        <v>397</v>
      </c>
      <c r="AE525" s="146" t="s">
        <v>398</v>
      </c>
      <c r="AF525" s="438" t="s">
        <v>273</v>
      </c>
      <c r="AG525" s="708"/>
    </row>
    <row r="526" ht="24.95" customHeight="1" spans="1:33">
      <c r="A526" s="705"/>
      <c r="B526" s="714" t="s">
        <v>155</v>
      </c>
      <c r="C526" s="146" t="s">
        <v>52</v>
      </c>
      <c r="D526" s="152" t="s">
        <v>384</v>
      </c>
      <c r="E526" s="708">
        <v>1</v>
      </c>
      <c r="F526" s="714" t="str">
        <f t="shared" si="76"/>
        <v>竹园</v>
      </c>
      <c r="G526" s="708"/>
      <c r="H526" s="763">
        <f t="shared" si="75"/>
        <v>94</v>
      </c>
      <c r="I526" s="763">
        <f t="shared" si="74"/>
        <v>94</v>
      </c>
      <c r="J526" s="763"/>
      <c r="K526" s="763"/>
      <c r="L526" s="726">
        <v>2018.01</v>
      </c>
      <c r="M526" s="726">
        <v>2018.12</v>
      </c>
      <c r="N526" s="726">
        <v>197.4</v>
      </c>
      <c r="O526" s="726">
        <v>197.4</v>
      </c>
      <c r="P526" s="726"/>
      <c r="Q526" s="726"/>
      <c r="R526" s="726"/>
      <c r="S526" s="726">
        <v>197.4</v>
      </c>
      <c r="T526" s="726"/>
      <c r="U526" s="726"/>
      <c r="V526" s="726"/>
      <c r="W526" s="726"/>
      <c r="X526" s="706" t="s">
        <v>382</v>
      </c>
      <c r="Y526" s="763">
        <v>136</v>
      </c>
      <c r="Z526" s="763">
        <v>581</v>
      </c>
      <c r="AA526" s="708">
        <v>1</v>
      </c>
      <c r="AB526" s="708"/>
      <c r="AC526" s="708"/>
      <c r="AD526" s="146" t="s">
        <v>399</v>
      </c>
      <c r="AE526" s="146" t="s">
        <v>400</v>
      </c>
      <c r="AF526" s="438" t="s">
        <v>273</v>
      </c>
      <c r="AG526" s="708"/>
    </row>
    <row r="527" ht="24.95" customHeight="1" spans="1:33">
      <c r="A527" s="705"/>
      <c r="B527" s="714" t="s">
        <v>102</v>
      </c>
      <c r="C527" s="146" t="s">
        <v>52</v>
      </c>
      <c r="D527" s="152" t="s">
        <v>384</v>
      </c>
      <c r="E527" s="708">
        <v>1</v>
      </c>
      <c r="F527" s="714" t="str">
        <f t="shared" si="76"/>
        <v>富村</v>
      </c>
      <c r="G527" s="708"/>
      <c r="H527" s="763">
        <f t="shared" si="75"/>
        <v>443</v>
      </c>
      <c r="I527" s="763">
        <f t="shared" si="74"/>
        <v>443</v>
      </c>
      <c r="J527" s="763"/>
      <c r="K527" s="763"/>
      <c r="L527" s="726">
        <v>2018.01</v>
      </c>
      <c r="M527" s="726">
        <v>2018.12</v>
      </c>
      <c r="N527" s="726">
        <v>930.3</v>
      </c>
      <c r="O527" s="726">
        <v>930.3</v>
      </c>
      <c r="P527" s="726"/>
      <c r="Q527" s="726"/>
      <c r="R527" s="726"/>
      <c r="S527" s="726">
        <v>930.3</v>
      </c>
      <c r="T527" s="726"/>
      <c r="U527" s="726"/>
      <c r="V527" s="726"/>
      <c r="W527" s="726"/>
      <c r="X527" s="706" t="s">
        <v>382</v>
      </c>
      <c r="Y527" s="763">
        <v>410</v>
      </c>
      <c r="Z527" s="763">
        <v>2012</v>
      </c>
      <c r="AA527" s="708">
        <v>1</v>
      </c>
      <c r="AB527" s="708"/>
      <c r="AC527" s="708"/>
      <c r="AD527" s="146" t="s">
        <v>401</v>
      </c>
      <c r="AE527" s="146" t="s">
        <v>402</v>
      </c>
      <c r="AF527" s="438" t="s">
        <v>273</v>
      </c>
      <c r="AG527" s="708"/>
    </row>
    <row r="528" ht="24.95" customHeight="1" spans="1:33">
      <c r="A528" s="705"/>
      <c r="B528" s="714" t="s">
        <v>100</v>
      </c>
      <c r="C528" s="146" t="s">
        <v>52</v>
      </c>
      <c r="D528" s="152" t="s">
        <v>384</v>
      </c>
      <c r="E528" s="708">
        <v>1</v>
      </c>
      <c r="F528" s="714" t="str">
        <f t="shared" si="76"/>
        <v>黄泥河</v>
      </c>
      <c r="G528" s="708"/>
      <c r="H528" s="763">
        <f t="shared" si="75"/>
        <v>90</v>
      </c>
      <c r="I528" s="763">
        <f t="shared" si="74"/>
        <v>90</v>
      </c>
      <c r="J528" s="763"/>
      <c r="K528" s="763"/>
      <c r="L528" s="726">
        <v>2018.01</v>
      </c>
      <c r="M528" s="726">
        <v>2018.12</v>
      </c>
      <c r="N528" s="726">
        <v>189</v>
      </c>
      <c r="O528" s="726">
        <v>189</v>
      </c>
      <c r="P528" s="726"/>
      <c r="Q528" s="726"/>
      <c r="R528" s="726"/>
      <c r="S528" s="726">
        <v>189</v>
      </c>
      <c r="T528" s="726"/>
      <c r="U528" s="726"/>
      <c r="V528" s="726"/>
      <c r="W528" s="726"/>
      <c r="X528" s="706" t="s">
        <v>382</v>
      </c>
      <c r="Y528" s="763">
        <v>63</v>
      </c>
      <c r="Z528" s="763">
        <v>267</v>
      </c>
      <c r="AA528" s="708">
        <v>1</v>
      </c>
      <c r="AB528" s="708"/>
      <c r="AC528" s="708"/>
      <c r="AD528" s="146" t="s">
        <v>217</v>
      </c>
      <c r="AE528" s="146" t="s">
        <v>403</v>
      </c>
      <c r="AF528" s="438" t="s">
        <v>273</v>
      </c>
      <c r="AG528" s="708"/>
    </row>
    <row r="529" ht="24.95" customHeight="1" spans="1:33">
      <c r="A529" s="705"/>
      <c r="B529" s="714" t="s">
        <v>259</v>
      </c>
      <c r="C529" s="146" t="s">
        <v>52</v>
      </c>
      <c r="D529" s="152" t="s">
        <v>384</v>
      </c>
      <c r="E529" s="708">
        <v>1</v>
      </c>
      <c r="F529" s="714" t="str">
        <f t="shared" si="76"/>
        <v>古敢</v>
      </c>
      <c r="G529" s="708"/>
      <c r="H529" s="763">
        <f t="shared" si="75"/>
        <v>31</v>
      </c>
      <c r="I529" s="763">
        <f t="shared" si="74"/>
        <v>31</v>
      </c>
      <c r="J529" s="763"/>
      <c r="K529" s="763"/>
      <c r="L529" s="726">
        <v>2018.01</v>
      </c>
      <c r="M529" s="726">
        <v>2018.12</v>
      </c>
      <c r="N529" s="726">
        <v>65.1</v>
      </c>
      <c r="O529" s="726">
        <v>65.1</v>
      </c>
      <c r="P529" s="726"/>
      <c r="Q529" s="726"/>
      <c r="R529" s="726"/>
      <c r="S529" s="726">
        <v>65.1</v>
      </c>
      <c r="T529" s="726"/>
      <c r="U529" s="726"/>
      <c r="V529" s="726"/>
      <c r="W529" s="726"/>
      <c r="X529" s="706" t="s">
        <v>382</v>
      </c>
      <c r="Y529" s="763">
        <v>28</v>
      </c>
      <c r="Z529" s="763">
        <v>131</v>
      </c>
      <c r="AA529" s="708">
        <v>1</v>
      </c>
      <c r="AB529" s="708"/>
      <c r="AC529" s="708"/>
      <c r="AD529" s="146" t="s">
        <v>404</v>
      </c>
      <c r="AE529" s="146" t="s">
        <v>405</v>
      </c>
      <c r="AF529" s="438" t="s">
        <v>273</v>
      </c>
      <c r="AG529" s="708"/>
    </row>
    <row r="530" ht="24.95" customHeight="1" spans="1:33">
      <c r="A530" s="705"/>
      <c r="B530" s="714" t="s">
        <v>84</v>
      </c>
      <c r="C530" s="146" t="s">
        <v>52</v>
      </c>
      <c r="D530" s="152" t="s">
        <v>384</v>
      </c>
      <c r="E530" s="708">
        <v>1</v>
      </c>
      <c r="F530" s="714" t="str">
        <f t="shared" si="76"/>
        <v>十八连山</v>
      </c>
      <c r="G530" s="708"/>
      <c r="H530" s="763">
        <f t="shared" si="75"/>
        <v>173</v>
      </c>
      <c r="I530" s="763">
        <f t="shared" si="74"/>
        <v>173</v>
      </c>
      <c r="J530" s="763"/>
      <c r="K530" s="763"/>
      <c r="L530" s="726">
        <v>2018.01</v>
      </c>
      <c r="M530" s="726">
        <v>2018.12</v>
      </c>
      <c r="N530" s="726">
        <v>363.3</v>
      </c>
      <c r="O530" s="726">
        <v>363.3</v>
      </c>
      <c r="P530" s="726"/>
      <c r="Q530" s="726"/>
      <c r="R530" s="726"/>
      <c r="S530" s="726">
        <v>363.3</v>
      </c>
      <c r="T530" s="726"/>
      <c r="U530" s="726"/>
      <c r="V530" s="726"/>
      <c r="W530" s="726"/>
      <c r="X530" s="706" t="s">
        <v>382</v>
      </c>
      <c r="Y530" s="763">
        <v>119</v>
      </c>
      <c r="Z530" s="763">
        <v>549</v>
      </c>
      <c r="AA530" s="708">
        <v>1</v>
      </c>
      <c r="AB530" s="708"/>
      <c r="AC530" s="708"/>
      <c r="AD530" s="146" t="s">
        <v>219</v>
      </c>
      <c r="AE530" s="146" t="s">
        <v>406</v>
      </c>
      <c r="AF530" s="438" t="s">
        <v>273</v>
      </c>
      <c r="AG530" s="708"/>
    </row>
    <row r="531" ht="24.95" customHeight="1" spans="1:33">
      <c r="A531" s="705"/>
      <c r="B531" s="714" t="s">
        <v>143</v>
      </c>
      <c r="C531" s="146" t="s">
        <v>52</v>
      </c>
      <c r="D531" s="152" t="s">
        <v>384</v>
      </c>
      <c r="E531" s="708">
        <v>1</v>
      </c>
      <c r="F531" s="714" t="str">
        <f t="shared" si="76"/>
        <v>老厂</v>
      </c>
      <c r="G531" s="708"/>
      <c r="H531" s="763">
        <f t="shared" si="75"/>
        <v>85</v>
      </c>
      <c r="I531" s="763">
        <f t="shared" si="74"/>
        <v>85</v>
      </c>
      <c r="J531" s="763"/>
      <c r="K531" s="763"/>
      <c r="L531" s="726">
        <v>2018.01</v>
      </c>
      <c r="M531" s="726">
        <v>2018.12</v>
      </c>
      <c r="N531" s="726">
        <v>178.5</v>
      </c>
      <c r="O531" s="726">
        <v>178.5</v>
      </c>
      <c r="P531" s="726"/>
      <c r="Q531" s="726"/>
      <c r="R531" s="726"/>
      <c r="S531" s="726">
        <v>178.5</v>
      </c>
      <c r="T531" s="726"/>
      <c r="U531" s="726"/>
      <c r="V531" s="726"/>
      <c r="W531" s="726"/>
      <c r="X531" s="706" t="s">
        <v>382</v>
      </c>
      <c r="Y531" s="763">
        <v>53</v>
      </c>
      <c r="Z531" s="763">
        <v>243.8</v>
      </c>
      <c r="AA531" s="708">
        <v>1</v>
      </c>
      <c r="AB531" s="708"/>
      <c r="AC531" s="708"/>
      <c r="AD531" s="775" t="s">
        <v>221</v>
      </c>
      <c r="AE531" s="146" t="s">
        <v>407</v>
      </c>
      <c r="AF531" s="438" t="s">
        <v>273</v>
      </c>
      <c r="AG531" s="708"/>
    </row>
    <row r="532" ht="24.95" customHeight="1" spans="1:33">
      <c r="A532" s="705">
        <v>67</v>
      </c>
      <c r="B532" s="708" t="s">
        <v>408</v>
      </c>
      <c r="C532" s="708"/>
      <c r="D532" s="709" t="s">
        <v>384</v>
      </c>
      <c r="E532" s="708">
        <f>SUM(E533:E544)</f>
        <v>12</v>
      </c>
      <c r="F532" s="708"/>
      <c r="G532" s="708"/>
      <c r="H532" s="763">
        <f t="shared" ref="F532:AA532" si="77">SUM(H533:H544)</f>
        <v>12293</v>
      </c>
      <c r="I532" s="763">
        <f t="shared" si="77"/>
        <v>12293</v>
      </c>
      <c r="J532" s="763">
        <f t="shared" si="77"/>
        <v>0</v>
      </c>
      <c r="K532" s="763">
        <f t="shared" si="77"/>
        <v>0</v>
      </c>
      <c r="L532" s="726"/>
      <c r="M532" s="726"/>
      <c r="N532" s="726">
        <f t="shared" si="77"/>
        <v>25815.3</v>
      </c>
      <c r="O532" s="726">
        <f t="shared" si="77"/>
        <v>25815.3</v>
      </c>
      <c r="P532" s="726">
        <f t="shared" si="77"/>
        <v>0</v>
      </c>
      <c r="Q532" s="726">
        <f t="shared" si="77"/>
        <v>0</v>
      </c>
      <c r="R532" s="726">
        <f t="shared" si="77"/>
        <v>0</v>
      </c>
      <c r="S532" s="726">
        <f t="shared" si="77"/>
        <v>25815.3</v>
      </c>
      <c r="T532" s="726">
        <f t="shared" si="77"/>
        <v>0</v>
      </c>
      <c r="U532" s="726">
        <f t="shared" si="77"/>
        <v>0</v>
      </c>
      <c r="V532" s="726">
        <f t="shared" si="77"/>
        <v>0</v>
      </c>
      <c r="W532" s="708"/>
      <c r="X532" s="706" t="s">
        <v>382</v>
      </c>
      <c r="Y532" s="708">
        <f t="shared" si="77"/>
        <v>7916</v>
      </c>
      <c r="Z532" s="708">
        <f t="shared" si="77"/>
        <v>28515</v>
      </c>
      <c r="AA532" s="708">
        <f t="shared" si="77"/>
        <v>12</v>
      </c>
      <c r="AB532" s="708"/>
      <c r="AC532" s="708"/>
      <c r="AD532" s="146" t="s">
        <v>385</v>
      </c>
      <c r="AE532" s="753" t="s">
        <v>386</v>
      </c>
      <c r="AF532" s="712" t="s">
        <v>273</v>
      </c>
      <c r="AG532" s="708"/>
    </row>
    <row r="533" ht="24.95" customHeight="1" spans="1:33">
      <c r="A533" s="705"/>
      <c r="B533" s="714" t="s">
        <v>101</v>
      </c>
      <c r="C533" s="146" t="s">
        <v>409</v>
      </c>
      <c r="D533" s="152" t="s">
        <v>384</v>
      </c>
      <c r="E533" s="708">
        <v>1</v>
      </c>
      <c r="F533" s="714" t="str">
        <f t="shared" si="76"/>
        <v>中安</v>
      </c>
      <c r="G533" s="708"/>
      <c r="H533" s="763">
        <f t="shared" ref="H533:H544" si="78">N533/2.1</f>
        <v>416</v>
      </c>
      <c r="I533" s="763">
        <v>416</v>
      </c>
      <c r="J533" s="763"/>
      <c r="K533" s="763"/>
      <c r="L533" s="726">
        <v>2018.01</v>
      </c>
      <c r="M533" s="726">
        <v>2018.12</v>
      </c>
      <c r="N533" s="726">
        <v>873.6</v>
      </c>
      <c r="O533" s="726">
        <v>873.6</v>
      </c>
      <c r="P533" s="726"/>
      <c r="Q533" s="726"/>
      <c r="R533" s="726"/>
      <c r="S533" s="726">
        <v>873.6</v>
      </c>
      <c r="T533" s="726"/>
      <c r="U533" s="726"/>
      <c r="V533" s="726"/>
      <c r="W533" s="726"/>
      <c r="X533" s="706" t="s">
        <v>382</v>
      </c>
      <c r="Y533" s="763">
        <v>225</v>
      </c>
      <c r="Z533" s="763">
        <v>834</v>
      </c>
      <c r="AA533" s="708">
        <v>1</v>
      </c>
      <c r="AB533" s="708"/>
      <c r="AC533" s="708"/>
      <c r="AD533" s="146" t="s">
        <v>387</v>
      </c>
      <c r="AE533" s="146" t="s">
        <v>388</v>
      </c>
      <c r="AF533" s="438" t="s">
        <v>273</v>
      </c>
      <c r="AG533" s="708"/>
    </row>
    <row r="534" ht="24.95" customHeight="1" spans="1:33">
      <c r="A534" s="705"/>
      <c r="B534" s="714" t="s">
        <v>151</v>
      </c>
      <c r="C534" s="146" t="s">
        <v>409</v>
      </c>
      <c r="D534" s="152" t="s">
        <v>384</v>
      </c>
      <c r="E534" s="708">
        <v>1</v>
      </c>
      <c r="F534" s="714" t="str">
        <f t="shared" si="76"/>
        <v>胜境</v>
      </c>
      <c r="G534" s="708"/>
      <c r="H534" s="763">
        <f t="shared" si="78"/>
        <v>384</v>
      </c>
      <c r="I534" s="763">
        <v>384</v>
      </c>
      <c r="J534" s="763"/>
      <c r="K534" s="763"/>
      <c r="L534" s="726">
        <v>2018.01</v>
      </c>
      <c r="M534" s="726">
        <v>2018.12</v>
      </c>
      <c r="N534" s="726">
        <v>806.4</v>
      </c>
      <c r="O534" s="726">
        <v>806.4</v>
      </c>
      <c r="P534" s="726"/>
      <c r="Q534" s="726"/>
      <c r="R534" s="726"/>
      <c r="S534" s="726">
        <v>806.4</v>
      </c>
      <c r="T534" s="726"/>
      <c r="U534" s="726"/>
      <c r="V534" s="726"/>
      <c r="W534" s="726"/>
      <c r="X534" s="706" t="s">
        <v>382</v>
      </c>
      <c r="Y534" s="763">
        <v>272</v>
      </c>
      <c r="Z534" s="763">
        <v>1022</v>
      </c>
      <c r="AA534" s="708">
        <v>1</v>
      </c>
      <c r="AB534" s="708"/>
      <c r="AC534" s="708"/>
      <c r="AD534" s="146" t="s">
        <v>389</v>
      </c>
      <c r="AE534" s="146" t="s">
        <v>390</v>
      </c>
      <c r="AF534" s="438" t="s">
        <v>273</v>
      </c>
      <c r="AG534" s="708"/>
    </row>
    <row r="535" ht="24.95" customHeight="1" spans="1:33">
      <c r="A535" s="705"/>
      <c r="B535" s="714" t="s">
        <v>154</v>
      </c>
      <c r="C535" s="146" t="s">
        <v>409</v>
      </c>
      <c r="D535" s="152" t="s">
        <v>384</v>
      </c>
      <c r="E535" s="708">
        <v>1</v>
      </c>
      <c r="F535" s="714" t="str">
        <f t="shared" si="76"/>
        <v>后所</v>
      </c>
      <c r="G535" s="708"/>
      <c r="H535" s="763">
        <f t="shared" si="78"/>
        <v>1385</v>
      </c>
      <c r="I535" s="763">
        <v>1385</v>
      </c>
      <c r="J535" s="763"/>
      <c r="K535" s="763"/>
      <c r="L535" s="726">
        <v>2018.01</v>
      </c>
      <c r="M535" s="726">
        <v>2018.12</v>
      </c>
      <c r="N535" s="726">
        <v>2908.5</v>
      </c>
      <c r="O535" s="726">
        <v>2908.5</v>
      </c>
      <c r="P535" s="726"/>
      <c r="Q535" s="726"/>
      <c r="R535" s="726"/>
      <c r="S535" s="726">
        <v>2908.5</v>
      </c>
      <c r="T535" s="726"/>
      <c r="U535" s="726"/>
      <c r="V535" s="726"/>
      <c r="W535" s="726"/>
      <c r="X535" s="706" t="s">
        <v>382</v>
      </c>
      <c r="Y535" s="763">
        <v>635</v>
      </c>
      <c r="Z535" s="763">
        <v>2405</v>
      </c>
      <c r="AA535" s="708">
        <v>1</v>
      </c>
      <c r="AB535" s="708"/>
      <c r="AC535" s="708"/>
      <c r="AD535" s="146" t="s">
        <v>391</v>
      </c>
      <c r="AE535" s="146" t="s">
        <v>392</v>
      </c>
      <c r="AF535" s="438" t="s">
        <v>273</v>
      </c>
      <c r="AG535" s="708"/>
    </row>
    <row r="536" ht="24.95" customHeight="1" spans="1:33">
      <c r="A536" s="705"/>
      <c r="B536" s="714" t="s">
        <v>81</v>
      </c>
      <c r="C536" s="146" t="s">
        <v>409</v>
      </c>
      <c r="D536" s="152" t="s">
        <v>384</v>
      </c>
      <c r="E536" s="708">
        <v>1</v>
      </c>
      <c r="F536" s="714" t="str">
        <f t="shared" si="76"/>
        <v>墨红</v>
      </c>
      <c r="G536" s="708"/>
      <c r="H536" s="763">
        <f t="shared" si="78"/>
        <v>1282</v>
      </c>
      <c r="I536" s="763">
        <v>1282</v>
      </c>
      <c r="J536" s="763"/>
      <c r="K536" s="763"/>
      <c r="L536" s="726">
        <v>2018.01</v>
      </c>
      <c r="M536" s="726">
        <v>2018.12</v>
      </c>
      <c r="N536" s="726">
        <v>2692.2</v>
      </c>
      <c r="O536" s="726">
        <v>2692.2</v>
      </c>
      <c r="P536" s="726"/>
      <c r="Q536" s="726"/>
      <c r="R536" s="726"/>
      <c r="S536" s="726">
        <v>2692.2</v>
      </c>
      <c r="T536" s="726"/>
      <c r="U536" s="726"/>
      <c r="V536" s="726"/>
      <c r="W536" s="726"/>
      <c r="X536" s="706" t="s">
        <v>382</v>
      </c>
      <c r="Y536" s="763">
        <v>1328</v>
      </c>
      <c r="Z536" s="763">
        <v>2389</v>
      </c>
      <c r="AA536" s="708">
        <v>1</v>
      </c>
      <c r="AB536" s="708"/>
      <c r="AC536" s="708"/>
      <c r="AD536" s="146" t="s">
        <v>393</v>
      </c>
      <c r="AE536" s="146" t="s">
        <v>394</v>
      </c>
      <c r="AF536" s="438" t="s">
        <v>273</v>
      </c>
      <c r="AG536" s="708"/>
    </row>
    <row r="537" ht="24.95" customHeight="1" spans="1:33">
      <c r="A537" s="705"/>
      <c r="B537" s="714" t="s">
        <v>98</v>
      </c>
      <c r="C537" s="146" t="s">
        <v>409</v>
      </c>
      <c r="D537" s="152" t="s">
        <v>384</v>
      </c>
      <c r="E537" s="708">
        <v>1</v>
      </c>
      <c r="F537" s="714" t="str">
        <f t="shared" si="76"/>
        <v>大河</v>
      </c>
      <c r="G537" s="708"/>
      <c r="H537" s="763">
        <f t="shared" si="78"/>
        <v>1575</v>
      </c>
      <c r="I537" s="763">
        <v>1575</v>
      </c>
      <c r="J537" s="763"/>
      <c r="K537" s="763"/>
      <c r="L537" s="726">
        <v>2018.01</v>
      </c>
      <c r="M537" s="726">
        <v>2018.12</v>
      </c>
      <c r="N537" s="726">
        <v>3307.5</v>
      </c>
      <c r="O537" s="726">
        <v>3307.5</v>
      </c>
      <c r="P537" s="726"/>
      <c r="Q537" s="726"/>
      <c r="R537" s="726"/>
      <c r="S537" s="726">
        <v>3307.5</v>
      </c>
      <c r="T537" s="726"/>
      <c r="U537" s="726"/>
      <c r="V537" s="726"/>
      <c r="W537" s="726"/>
      <c r="X537" s="706" t="s">
        <v>382</v>
      </c>
      <c r="Y537" s="763">
        <v>1072</v>
      </c>
      <c r="Z537" s="763">
        <v>4141</v>
      </c>
      <c r="AA537" s="708">
        <v>1</v>
      </c>
      <c r="AB537" s="708"/>
      <c r="AC537" s="708"/>
      <c r="AD537" s="146" t="s">
        <v>395</v>
      </c>
      <c r="AE537" s="146" t="s">
        <v>396</v>
      </c>
      <c r="AF537" s="438" t="s">
        <v>273</v>
      </c>
      <c r="AG537" s="708"/>
    </row>
    <row r="538" ht="24.95" customHeight="1" spans="1:33">
      <c r="A538" s="705"/>
      <c r="B538" s="714" t="s">
        <v>211</v>
      </c>
      <c r="C538" s="146" t="s">
        <v>409</v>
      </c>
      <c r="D538" s="152" t="s">
        <v>384</v>
      </c>
      <c r="E538" s="708">
        <v>1</v>
      </c>
      <c r="F538" s="714" t="str">
        <f t="shared" si="76"/>
        <v>营上</v>
      </c>
      <c r="G538" s="708"/>
      <c r="H538" s="763">
        <f t="shared" si="78"/>
        <v>1426</v>
      </c>
      <c r="I538" s="763">
        <v>1426</v>
      </c>
      <c r="J538" s="763"/>
      <c r="K538" s="763"/>
      <c r="L538" s="726">
        <v>2018.01</v>
      </c>
      <c r="M538" s="726">
        <v>2018.12</v>
      </c>
      <c r="N538" s="726">
        <v>2994.6</v>
      </c>
      <c r="O538" s="726">
        <v>2994.6</v>
      </c>
      <c r="P538" s="726"/>
      <c r="Q538" s="726"/>
      <c r="R538" s="726"/>
      <c r="S538" s="726">
        <v>2994.6</v>
      </c>
      <c r="T538" s="726"/>
      <c r="U538" s="726"/>
      <c r="V538" s="726"/>
      <c r="W538" s="726"/>
      <c r="X538" s="706" t="s">
        <v>382</v>
      </c>
      <c r="Y538" s="763">
        <v>918</v>
      </c>
      <c r="Z538" s="763">
        <v>3811</v>
      </c>
      <c r="AA538" s="708">
        <v>1</v>
      </c>
      <c r="AB538" s="708"/>
      <c r="AC538" s="708"/>
      <c r="AD538" s="146" t="s">
        <v>397</v>
      </c>
      <c r="AE538" s="146" t="s">
        <v>398</v>
      </c>
      <c r="AF538" s="438" t="s">
        <v>273</v>
      </c>
      <c r="AG538" s="708"/>
    </row>
    <row r="539" ht="24.95" customHeight="1" spans="1:33">
      <c r="A539" s="705"/>
      <c r="B539" s="714" t="s">
        <v>155</v>
      </c>
      <c r="C539" s="146" t="s">
        <v>409</v>
      </c>
      <c r="D539" s="152" t="s">
        <v>384</v>
      </c>
      <c r="E539" s="708">
        <v>1</v>
      </c>
      <c r="F539" s="714" t="str">
        <f t="shared" si="76"/>
        <v>竹园</v>
      </c>
      <c r="G539" s="708"/>
      <c r="H539" s="763">
        <f t="shared" si="78"/>
        <v>659</v>
      </c>
      <c r="I539" s="763">
        <v>659</v>
      </c>
      <c r="J539" s="763"/>
      <c r="K539" s="763"/>
      <c r="L539" s="726">
        <v>2018.01</v>
      </c>
      <c r="M539" s="726">
        <v>2018.12</v>
      </c>
      <c r="N539" s="726">
        <v>1383.9</v>
      </c>
      <c r="O539" s="726">
        <v>1383.9</v>
      </c>
      <c r="P539" s="726"/>
      <c r="Q539" s="726"/>
      <c r="R539" s="726"/>
      <c r="S539" s="726">
        <v>1383.9</v>
      </c>
      <c r="T539" s="726"/>
      <c r="U539" s="726"/>
      <c r="V539" s="726"/>
      <c r="W539" s="726"/>
      <c r="X539" s="706" t="s">
        <v>382</v>
      </c>
      <c r="Y539" s="763">
        <v>222</v>
      </c>
      <c r="Z539" s="763">
        <v>925</v>
      </c>
      <c r="AA539" s="708">
        <v>1</v>
      </c>
      <c r="AB539" s="708"/>
      <c r="AC539" s="708"/>
      <c r="AD539" s="146" t="s">
        <v>399</v>
      </c>
      <c r="AE539" s="146" t="s">
        <v>400</v>
      </c>
      <c r="AF539" s="438" t="s">
        <v>273</v>
      </c>
      <c r="AG539" s="708"/>
    </row>
    <row r="540" ht="24.95" customHeight="1" spans="1:33">
      <c r="A540" s="705"/>
      <c r="B540" s="714" t="s">
        <v>102</v>
      </c>
      <c r="C540" s="146" t="s">
        <v>409</v>
      </c>
      <c r="D540" s="152" t="s">
        <v>384</v>
      </c>
      <c r="E540" s="708">
        <v>1</v>
      </c>
      <c r="F540" s="714" t="str">
        <f t="shared" si="76"/>
        <v>富村</v>
      </c>
      <c r="G540" s="708"/>
      <c r="H540" s="763">
        <f t="shared" si="78"/>
        <v>2186</v>
      </c>
      <c r="I540" s="763">
        <v>2186</v>
      </c>
      <c r="J540" s="763"/>
      <c r="K540" s="763"/>
      <c r="L540" s="726">
        <v>2018.01</v>
      </c>
      <c r="M540" s="726">
        <v>2018.12</v>
      </c>
      <c r="N540" s="726">
        <v>4590.6</v>
      </c>
      <c r="O540" s="726">
        <v>4590.6</v>
      </c>
      <c r="P540" s="726"/>
      <c r="Q540" s="726"/>
      <c r="R540" s="726"/>
      <c r="S540" s="726">
        <v>4590.6</v>
      </c>
      <c r="T540" s="726"/>
      <c r="U540" s="726"/>
      <c r="V540" s="726"/>
      <c r="W540" s="726"/>
      <c r="X540" s="706" t="s">
        <v>382</v>
      </c>
      <c r="Y540" s="763">
        <v>1596</v>
      </c>
      <c r="Z540" s="763">
        <v>6571</v>
      </c>
      <c r="AA540" s="708">
        <v>1</v>
      </c>
      <c r="AB540" s="708"/>
      <c r="AC540" s="708"/>
      <c r="AD540" s="146" t="s">
        <v>401</v>
      </c>
      <c r="AE540" s="146" t="s">
        <v>402</v>
      </c>
      <c r="AF540" s="438" t="s">
        <v>273</v>
      </c>
      <c r="AG540" s="708"/>
    </row>
    <row r="541" ht="24.95" customHeight="1" spans="1:33">
      <c r="A541" s="705"/>
      <c r="B541" s="714" t="s">
        <v>100</v>
      </c>
      <c r="C541" s="146" t="s">
        <v>409</v>
      </c>
      <c r="D541" s="152" t="s">
        <v>384</v>
      </c>
      <c r="E541" s="708">
        <v>1</v>
      </c>
      <c r="F541" s="714" t="str">
        <f t="shared" si="76"/>
        <v>黄泥河</v>
      </c>
      <c r="G541" s="708"/>
      <c r="H541" s="763">
        <f t="shared" si="78"/>
        <v>425</v>
      </c>
      <c r="I541" s="763">
        <v>425</v>
      </c>
      <c r="J541" s="763"/>
      <c r="K541" s="763"/>
      <c r="L541" s="726">
        <v>2018.01</v>
      </c>
      <c r="M541" s="726">
        <v>2018.12</v>
      </c>
      <c r="N541" s="726">
        <v>892.5</v>
      </c>
      <c r="O541" s="726">
        <v>892.5</v>
      </c>
      <c r="P541" s="726"/>
      <c r="Q541" s="726"/>
      <c r="R541" s="726"/>
      <c r="S541" s="726">
        <v>892.5</v>
      </c>
      <c r="T541" s="726"/>
      <c r="U541" s="726"/>
      <c r="V541" s="726"/>
      <c r="W541" s="726"/>
      <c r="X541" s="706" t="s">
        <v>382</v>
      </c>
      <c r="Y541" s="763">
        <v>270</v>
      </c>
      <c r="Z541" s="763">
        <v>927</v>
      </c>
      <c r="AA541" s="708">
        <v>1</v>
      </c>
      <c r="AB541" s="708"/>
      <c r="AC541" s="708"/>
      <c r="AD541" s="438" t="s">
        <v>217</v>
      </c>
      <c r="AE541" s="146" t="s">
        <v>403</v>
      </c>
      <c r="AF541" s="438" t="s">
        <v>273</v>
      </c>
      <c r="AG541" s="708"/>
    </row>
    <row r="542" ht="24.95" customHeight="1" spans="1:33">
      <c r="A542" s="705"/>
      <c r="B542" s="714" t="s">
        <v>259</v>
      </c>
      <c r="C542" s="146" t="s">
        <v>409</v>
      </c>
      <c r="D542" s="152" t="s">
        <v>384</v>
      </c>
      <c r="E542" s="708">
        <v>1</v>
      </c>
      <c r="F542" s="714" t="str">
        <f t="shared" si="76"/>
        <v>古敢</v>
      </c>
      <c r="G542" s="708"/>
      <c r="H542" s="763">
        <f t="shared" si="78"/>
        <v>176</v>
      </c>
      <c r="I542" s="763">
        <v>176</v>
      </c>
      <c r="J542" s="763"/>
      <c r="K542" s="763"/>
      <c r="L542" s="726">
        <v>2018.01</v>
      </c>
      <c r="M542" s="726">
        <v>2018.12</v>
      </c>
      <c r="N542" s="726">
        <v>369.6</v>
      </c>
      <c r="O542" s="726">
        <v>369.6</v>
      </c>
      <c r="P542" s="726"/>
      <c r="Q542" s="726"/>
      <c r="R542" s="726"/>
      <c r="S542" s="726">
        <v>369.6</v>
      </c>
      <c r="T542" s="726"/>
      <c r="U542" s="726"/>
      <c r="V542" s="726"/>
      <c r="W542" s="726"/>
      <c r="X542" s="706" t="s">
        <v>382</v>
      </c>
      <c r="Y542" s="763">
        <v>101</v>
      </c>
      <c r="Z542" s="763">
        <v>393</v>
      </c>
      <c r="AA542" s="708">
        <v>1</v>
      </c>
      <c r="AB542" s="708"/>
      <c r="AC542" s="708"/>
      <c r="AD542" s="146" t="s">
        <v>404</v>
      </c>
      <c r="AE542" s="146" t="s">
        <v>405</v>
      </c>
      <c r="AF542" s="438" t="s">
        <v>273</v>
      </c>
      <c r="AG542" s="708"/>
    </row>
    <row r="543" ht="24.95" customHeight="1" spans="1:33">
      <c r="A543" s="705"/>
      <c r="B543" s="714" t="s">
        <v>84</v>
      </c>
      <c r="C543" s="146" t="s">
        <v>409</v>
      </c>
      <c r="D543" s="152" t="s">
        <v>384</v>
      </c>
      <c r="E543" s="708">
        <v>1</v>
      </c>
      <c r="F543" s="714" t="str">
        <f t="shared" si="76"/>
        <v>十八连山</v>
      </c>
      <c r="G543" s="708"/>
      <c r="H543" s="763">
        <f t="shared" si="78"/>
        <v>1414</v>
      </c>
      <c r="I543" s="763">
        <v>1414</v>
      </c>
      <c r="J543" s="763"/>
      <c r="K543" s="763"/>
      <c r="L543" s="726">
        <v>2018.01</v>
      </c>
      <c r="M543" s="726">
        <v>2018.12</v>
      </c>
      <c r="N543" s="726">
        <v>2969.4</v>
      </c>
      <c r="O543" s="726">
        <v>2969.4</v>
      </c>
      <c r="P543" s="726"/>
      <c r="Q543" s="726"/>
      <c r="R543" s="726"/>
      <c r="S543" s="726">
        <v>2969.4</v>
      </c>
      <c r="T543" s="726"/>
      <c r="U543" s="726"/>
      <c r="V543" s="726"/>
      <c r="W543" s="726"/>
      <c r="X543" s="706" t="s">
        <v>382</v>
      </c>
      <c r="Y543" s="763">
        <v>897</v>
      </c>
      <c r="Z543" s="763">
        <v>3349</v>
      </c>
      <c r="AA543" s="708">
        <v>1</v>
      </c>
      <c r="AB543" s="708"/>
      <c r="AC543" s="708"/>
      <c r="AD543" s="146" t="s">
        <v>219</v>
      </c>
      <c r="AE543" s="146" t="s">
        <v>406</v>
      </c>
      <c r="AF543" s="438" t="s">
        <v>273</v>
      </c>
      <c r="AG543" s="708"/>
    </row>
    <row r="544" ht="24.95" customHeight="1" spans="1:33">
      <c r="A544" s="705"/>
      <c r="B544" s="714" t="s">
        <v>143</v>
      </c>
      <c r="C544" s="146" t="s">
        <v>409</v>
      </c>
      <c r="D544" s="152" t="s">
        <v>384</v>
      </c>
      <c r="E544" s="708">
        <v>1</v>
      </c>
      <c r="F544" s="714" t="str">
        <f t="shared" si="76"/>
        <v>老厂</v>
      </c>
      <c r="G544" s="708"/>
      <c r="H544" s="763">
        <f t="shared" si="78"/>
        <v>965</v>
      </c>
      <c r="I544" s="763">
        <v>965</v>
      </c>
      <c r="J544" s="763"/>
      <c r="K544" s="763"/>
      <c r="L544" s="726">
        <v>2018.01</v>
      </c>
      <c r="M544" s="726">
        <v>2018.12</v>
      </c>
      <c r="N544" s="726">
        <v>2026.5</v>
      </c>
      <c r="O544" s="726">
        <v>2026.5</v>
      </c>
      <c r="P544" s="726"/>
      <c r="Q544" s="726"/>
      <c r="R544" s="726"/>
      <c r="S544" s="726">
        <v>2026.5</v>
      </c>
      <c r="T544" s="726"/>
      <c r="U544" s="726"/>
      <c r="V544" s="726"/>
      <c r="W544" s="726"/>
      <c r="X544" s="706" t="s">
        <v>382</v>
      </c>
      <c r="Y544" s="763">
        <v>380</v>
      </c>
      <c r="Z544" s="763">
        <v>1748</v>
      </c>
      <c r="AA544" s="708">
        <v>1</v>
      </c>
      <c r="AB544" s="708"/>
      <c r="AC544" s="708"/>
      <c r="AD544" s="775" t="s">
        <v>221</v>
      </c>
      <c r="AE544" s="146" t="s">
        <v>407</v>
      </c>
      <c r="AF544" s="438" t="s">
        <v>273</v>
      </c>
      <c r="AG544" s="708"/>
    </row>
    <row r="545" ht="24.95" customHeight="1" spans="1:33">
      <c r="A545" s="705">
        <v>68</v>
      </c>
      <c r="B545" s="708" t="s">
        <v>410</v>
      </c>
      <c r="C545" s="708"/>
      <c r="D545" s="709" t="s">
        <v>384</v>
      </c>
      <c r="E545" s="708">
        <f>SUM(E546:E557)</f>
        <v>12</v>
      </c>
      <c r="F545" s="708"/>
      <c r="G545" s="708"/>
      <c r="H545" s="763">
        <f t="shared" ref="F545:AA545" si="79">SUM(H546:H557)</f>
        <v>420</v>
      </c>
      <c r="I545" s="763">
        <f t="shared" si="79"/>
        <v>420</v>
      </c>
      <c r="J545" s="763">
        <f t="shared" si="79"/>
        <v>0</v>
      </c>
      <c r="K545" s="763">
        <f t="shared" si="79"/>
        <v>0</v>
      </c>
      <c r="L545" s="726"/>
      <c r="M545" s="726"/>
      <c r="N545" s="726">
        <f t="shared" si="79"/>
        <v>882</v>
      </c>
      <c r="O545" s="726">
        <f t="shared" si="79"/>
        <v>882</v>
      </c>
      <c r="P545" s="726">
        <f t="shared" si="79"/>
        <v>0</v>
      </c>
      <c r="Q545" s="726">
        <f t="shared" si="79"/>
        <v>0</v>
      </c>
      <c r="R545" s="726">
        <f t="shared" si="79"/>
        <v>0</v>
      </c>
      <c r="S545" s="726">
        <f t="shared" si="79"/>
        <v>882</v>
      </c>
      <c r="T545" s="726">
        <f t="shared" si="79"/>
        <v>0</v>
      </c>
      <c r="U545" s="726">
        <f t="shared" si="79"/>
        <v>0</v>
      </c>
      <c r="V545" s="726">
        <f t="shared" si="79"/>
        <v>0</v>
      </c>
      <c r="W545" s="708"/>
      <c r="X545" s="706" t="s">
        <v>382</v>
      </c>
      <c r="Y545" s="708">
        <f t="shared" si="79"/>
        <v>429</v>
      </c>
      <c r="Z545" s="708">
        <f t="shared" si="79"/>
        <v>946.4</v>
      </c>
      <c r="AA545" s="708">
        <f t="shared" si="79"/>
        <v>12</v>
      </c>
      <c r="AB545" s="708"/>
      <c r="AC545" s="708"/>
      <c r="AD545" s="775" t="s">
        <v>385</v>
      </c>
      <c r="AE545" s="753" t="s">
        <v>386</v>
      </c>
      <c r="AF545" s="712" t="s">
        <v>273</v>
      </c>
      <c r="AG545" s="708"/>
    </row>
    <row r="546" ht="24.95" customHeight="1" spans="1:33">
      <c r="A546" s="705"/>
      <c r="B546" s="714" t="s">
        <v>101</v>
      </c>
      <c r="C546" s="146" t="s">
        <v>52</v>
      </c>
      <c r="D546" s="152" t="s">
        <v>384</v>
      </c>
      <c r="E546" s="708">
        <v>1</v>
      </c>
      <c r="F546" s="714" t="str">
        <f t="shared" si="76"/>
        <v>中安</v>
      </c>
      <c r="G546" s="708"/>
      <c r="H546" s="763">
        <f t="shared" ref="H545:H557" si="80">N546/2.1</f>
        <v>10</v>
      </c>
      <c r="I546" s="763">
        <v>10</v>
      </c>
      <c r="J546" s="763"/>
      <c r="K546" s="763"/>
      <c r="L546" s="726">
        <v>2018.01</v>
      </c>
      <c r="M546" s="726">
        <v>2018.12</v>
      </c>
      <c r="N546" s="726">
        <v>21</v>
      </c>
      <c r="O546" s="726">
        <v>21</v>
      </c>
      <c r="P546" s="726"/>
      <c r="Q546" s="726"/>
      <c r="R546" s="726"/>
      <c r="S546" s="726">
        <v>21</v>
      </c>
      <c r="T546" s="726"/>
      <c r="U546" s="726"/>
      <c r="V546" s="726"/>
      <c r="W546" s="726"/>
      <c r="X546" s="706" t="s">
        <v>382</v>
      </c>
      <c r="Y546" s="763">
        <v>22</v>
      </c>
      <c r="Z546" s="763">
        <v>60</v>
      </c>
      <c r="AA546" s="708">
        <v>1</v>
      </c>
      <c r="AB546" s="708"/>
      <c r="AC546" s="708"/>
      <c r="AD546" s="146" t="s">
        <v>387</v>
      </c>
      <c r="AE546" s="146" t="s">
        <v>388</v>
      </c>
      <c r="AF546" s="438" t="s">
        <v>273</v>
      </c>
      <c r="AG546" s="708"/>
    </row>
    <row r="547" ht="24.95" customHeight="1" spans="1:33">
      <c r="A547" s="705"/>
      <c r="B547" s="714" t="s">
        <v>151</v>
      </c>
      <c r="C547" s="146" t="s">
        <v>52</v>
      </c>
      <c r="D547" s="152" t="s">
        <v>384</v>
      </c>
      <c r="E547" s="708">
        <v>1</v>
      </c>
      <c r="F547" s="714" t="str">
        <f t="shared" si="76"/>
        <v>胜境</v>
      </c>
      <c r="G547" s="708"/>
      <c r="H547" s="763">
        <f t="shared" si="80"/>
        <v>13</v>
      </c>
      <c r="I547" s="763">
        <v>13</v>
      </c>
      <c r="J547" s="763"/>
      <c r="K547" s="763"/>
      <c r="L547" s="726">
        <v>2018.01</v>
      </c>
      <c r="M547" s="726">
        <v>2018.12</v>
      </c>
      <c r="N547" s="726">
        <v>27.3</v>
      </c>
      <c r="O547" s="726">
        <v>27.3</v>
      </c>
      <c r="P547" s="726"/>
      <c r="Q547" s="726"/>
      <c r="R547" s="726"/>
      <c r="S547" s="726">
        <v>27.3</v>
      </c>
      <c r="T547" s="726"/>
      <c r="U547" s="726"/>
      <c r="V547" s="726"/>
      <c r="W547" s="726"/>
      <c r="X547" s="706" t="s">
        <v>382</v>
      </c>
      <c r="Y547" s="763">
        <v>18</v>
      </c>
      <c r="Z547" s="763">
        <v>69</v>
      </c>
      <c r="AA547" s="708">
        <v>1</v>
      </c>
      <c r="AB547" s="708"/>
      <c r="AC547" s="708"/>
      <c r="AD547" s="146" t="s">
        <v>389</v>
      </c>
      <c r="AE547" s="146" t="s">
        <v>390</v>
      </c>
      <c r="AF547" s="438" t="s">
        <v>273</v>
      </c>
      <c r="AG547" s="708"/>
    </row>
    <row r="548" ht="24.95" customHeight="1" spans="1:33">
      <c r="A548" s="705"/>
      <c r="B548" s="714" t="s">
        <v>154</v>
      </c>
      <c r="C548" s="146" t="s">
        <v>52</v>
      </c>
      <c r="D548" s="152" t="s">
        <v>384</v>
      </c>
      <c r="E548" s="708">
        <v>1</v>
      </c>
      <c r="F548" s="714" t="str">
        <f t="shared" si="76"/>
        <v>后所</v>
      </c>
      <c r="G548" s="708"/>
      <c r="H548" s="763">
        <f t="shared" si="80"/>
        <v>44</v>
      </c>
      <c r="I548" s="763">
        <v>44</v>
      </c>
      <c r="J548" s="763"/>
      <c r="K548" s="763"/>
      <c r="L548" s="726">
        <v>2018.01</v>
      </c>
      <c r="M548" s="726">
        <v>2018.12</v>
      </c>
      <c r="N548" s="726">
        <v>92.4</v>
      </c>
      <c r="O548" s="726">
        <v>92.4</v>
      </c>
      <c r="P548" s="726"/>
      <c r="Q548" s="726"/>
      <c r="R548" s="726"/>
      <c r="S548" s="726">
        <v>92.4</v>
      </c>
      <c r="T548" s="726"/>
      <c r="U548" s="726"/>
      <c r="V548" s="726"/>
      <c r="W548" s="726"/>
      <c r="X548" s="706" t="s">
        <v>382</v>
      </c>
      <c r="Y548" s="763">
        <v>46</v>
      </c>
      <c r="Z548" s="763">
        <v>46</v>
      </c>
      <c r="AA548" s="708">
        <v>1</v>
      </c>
      <c r="AB548" s="708"/>
      <c r="AC548" s="708"/>
      <c r="AD548" s="146" t="s">
        <v>391</v>
      </c>
      <c r="AE548" s="146" t="s">
        <v>392</v>
      </c>
      <c r="AF548" s="438" t="s">
        <v>273</v>
      </c>
      <c r="AG548" s="708"/>
    </row>
    <row r="549" ht="24.95" customHeight="1" spans="1:33">
      <c r="A549" s="705"/>
      <c r="B549" s="714" t="s">
        <v>81</v>
      </c>
      <c r="C549" s="146" t="s">
        <v>52</v>
      </c>
      <c r="D549" s="152" t="s">
        <v>384</v>
      </c>
      <c r="E549" s="708">
        <v>1</v>
      </c>
      <c r="F549" s="714" t="str">
        <f t="shared" si="76"/>
        <v>墨红</v>
      </c>
      <c r="G549" s="708"/>
      <c r="H549" s="763">
        <f t="shared" si="80"/>
        <v>43</v>
      </c>
      <c r="I549" s="763">
        <v>43</v>
      </c>
      <c r="J549" s="763"/>
      <c r="K549" s="763"/>
      <c r="L549" s="726">
        <v>2018.01</v>
      </c>
      <c r="M549" s="726">
        <v>2018.12</v>
      </c>
      <c r="N549" s="726">
        <v>90.3</v>
      </c>
      <c r="O549" s="726">
        <v>90.3</v>
      </c>
      <c r="P549" s="726"/>
      <c r="Q549" s="726"/>
      <c r="R549" s="726"/>
      <c r="S549" s="726">
        <v>90.3</v>
      </c>
      <c r="T549" s="726"/>
      <c r="U549" s="726"/>
      <c r="V549" s="726"/>
      <c r="W549" s="726"/>
      <c r="X549" s="706" t="s">
        <v>382</v>
      </c>
      <c r="Y549" s="763">
        <v>43</v>
      </c>
      <c r="Z549" s="763">
        <v>43</v>
      </c>
      <c r="AA549" s="708">
        <v>1</v>
      </c>
      <c r="AB549" s="708"/>
      <c r="AC549" s="708"/>
      <c r="AD549" s="790" t="s">
        <v>393</v>
      </c>
      <c r="AE549" s="790" t="s">
        <v>394</v>
      </c>
      <c r="AF549" s="790" t="s">
        <v>273</v>
      </c>
      <c r="AG549" s="708"/>
    </row>
    <row r="550" ht="24.95" customHeight="1" spans="1:33">
      <c r="A550" s="705"/>
      <c r="B550" s="714" t="s">
        <v>98</v>
      </c>
      <c r="C550" s="146" t="s">
        <v>52</v>
      </c>
      <c r="D550" s="152" t="s">
        <v>384</v>
      </c>
      <c r="E550" s="708">
        <v>1</v>
      </c>
      <c r="F550" s="714" t="str">
        <f t="shared" si="76"/>
        <v>大河</v>
      </c>
      <c r="G550" s="708"/>
      <c r="H550" s="763">
        <f t="shared" si="80"/>
        <v>26</v>
      </c>
      <c r="I550" s="763">
        <v>26</v>
      </c>
      <c r="J550" s="763"/>
      <c r="K550" s="763"/>
      <c r="L550" s="726">
        <v>2018.01</v>
      </c>
      <c r="M550" s="726">
        <v>2018.12</v>
      </c>
      <c r="N550" s="726">
        <v>54.6</v>
      </c>
      <c r="O550" s="726">
        <v>54.6</v>
      </c>
      <c r="P550" s="726"/>
      <c r="Q550" s="726"/>
      <c r="R550" s="726"/>
      <c r="S550" s="726">
        <v>54.6</v>
      </c>
      <c r="T550" s="726"/>
      <c r="U550" s="726"/>
      <c r="V550" s="726"/>
      <c r="W550" s="726"/>
      <c r="X550" s="706" t="s">
        <v>382</v>
      </c>
      <c r="Y550" s="763">
        <v>34</v>
      </c>
      <c r="Z550" s="763">
        <v>81</v>
      </c>
      <c r="AA550" s="708">
        <v>1</v>
      </c>
      <c r="AB550" s="708"/>
      <c r="AC550" s="708"/>
      <c r="AD550" s="146" t="s">
        <v>395</v>
      </c>
      <c r="AE550" s="146" t="s">
        <v>396</v>
      </c>
      <c r="AF550" s="438" t="s">
        <v>273</v>
      </c>
      <c r="AG550" s="708"/>
    </row>
    <row r="551" ht="24.95" customHeight="1" spans="1:33">
      <c r="A551" s="705"/>
      <c r="B551" s="714" t="s">
        <v>211</v>
      </c>
      <c r="C551" s="146" t="s">
        <v>52</v>
      </c>
      <c r="D551" s="152" t="s">
        <v>384</v>
      </c>
      <c r="E551" s="708">
        <v>1</v>
      </c>
      <c r="F551" s="714" t="str">
        <f t="shared" si="76"/>
        <v>营上</v>
      </c>
      <c r="G551" s="708"/>
      <c r="H551" s="763">
        <f t="shared" si="80"/>
        <v>66</v>
      </c>
      <c r="I551" s="763">
        <v>66</v>
      </c>
      <c r="J551" s="763"/>
      <c r="K551" s="763"/>
      <c r="L551" s="726">
        <v>2018.01</v>
      </c>
      <c r="M551" s="726">
        <v>2018.12</v>
      </c>
      <c r="N551" s="726">
        <v>138.6</v>
      </c>
      <c r="O551" s="726">
        <v>138.6</v>
      </c>
      <c r="P551" s="726"/>
      <c r="Q551" s="726"/>
      <c r="R551" s="726"/>
      <c r="S551" s="726">
        <v>138.6</v>
      </c>
      <c r="T551" s="726"/>
      <c r="U551" s="726"/>
      <c r="V551" s="726"/>
      <c r="W551" s="726"/>
      <c r="X551" s="706" t="s">
        <v>382</v>
      </c>
      <c r="Y551" s="763">
        <v>45</v>
      </c>
      <c r="Z551" s="763">
        <v>117</v>
      </c>
      <c r="AA551" s="708">
        <v>1</v>
      </c>
      <c r="AB551" s="708"/>
      <c r="AC551" s="708"/>
      <c r="AD551" s="146" t="s">
        <v>397</v>
      </c>
      <c r="AE551" s="146" t="s">
        <v>398</v>
      </c>
      <c r="AF551" s="438" t="s">
        <v>273</v>
      </c>
      <c r="AG551" s="708"/>
    </row>
    <row r="552" ht="24.95" customHeight="1" spans="1:33">
      <c r="A552" s="705"/>
      <c r="B552" s="714" t="s">
        <v>155</v>
      </c>
      <c r="C552" s="146" t="s">
        <v>52</v>
      </c>
      <c r="D552" s="152" t="s">
        <v>384</v>
      </c>
      <c r="E552" s="708">
        <v>1</v>
      </c>
      <c r="F552" s="714" t="str">
        <f t="shared" si="76"/>
        <v>竹园</v>
      </c>
      <c r="G552" s="708"/>
      <c r="H552" s="763">
        <f t="shared" si="80"/>
        <v>30</v>
      </c>
      <c r="I552" s="763">
        <v>30</v>
      </c>
      <c r="J552" s="763"/>
      <c r="K552" s="763"/>
      <c r="L552" s="726">
        <v>2018.01</v>
      </c>
      <c r="M552" s="726">
        <v>2018.12</v>
      </c>
      <c r="N552" s="726">
        <v>63</v>
      </c>
      <c r="O552" s="726">
        <v>63</v>
      </c>
      <c r="P552" s="726"/>
      <c r="Q552" s="726"/>
      <c r="R552" s="726"/>
      <c r="S552" s="726">
        <v>63</v>
      </c>
      <c r="T552" s="726"/>
      <c r="U552" s="726"/>
      <c r="V552" s="726"/>
      <c r="W552" s="726"/>
      <c r="X552" s="706" t="s">
        <v>382</v>
      </c>
      <c r="Y552" s="763">
        <v>30</v>
      </c>
      <c r="Z552" s="763">
        <v>30</v>
      </c>
      <c r="AA552" s="708">
        <v>1</v>
      </c>
      <c r="AB552" s="708"/>
      <c r="AC552" s="708"/>
      <c r="AD552" s="146" t="s">
        <v>399</v>
      </c>
      <c r="AE552" s="146" t="s">
        <v>400</v>
      </c>
      <c r="AF552" s="438" t="s">
        <v>273</v>
      </c>
      <c r="AG552" s="708"/>
    </row>
    <row r="553" ht="24.95" customHeight="1" spans="1:33">
      <c r="A553" s="705"/>
      <c r="B553" s="714" t="s">
        <v>102</v>
      </c>
      <c r="C553" s="146" t="s">
        <v>52</v>
      </c>
      <c r="D553" s="152" t="s">
        <v>384</v>
      </c>
      <c r="E553" s="708">
        <v>1</v>
      </c>
      <c r="F553" s="714" t="str">
        <f t="shared" si="76"/>
        <v>富村</v>
      </c>
      <c r="G553" s="708"/>
      <c r="H553" s="763">
        <f t="shared" si="80"/>
        <v>135</v>
      </c>
      <c r="I553" s="763">
        <v>135</v>
      </c>
      <c r="J553" s="763"/>
      <c r="K553" s="763"/>
      <c r="L553" s="726">
        <v>2018.01</v>
      </c>
      <c r="M553" s="726">
        <v>2018.12</v>
      </c>
      <c r="N553" s="726">
        <v>283.5</v>
      </c>
      <c r="O553" s="726">
        <v>283.5</v>
      </c>
      <c r="P553" s="726"/>
      <c r="Q553" s="726"/>
      <c r="R553" s="726"/>
      <c r="S553" s="726">
        <v>283.5</v>
      </c>
      <c r="T553" s="726"/>
      <c r="U553" s="726"/>
      <c r="V553" s="726"/>
      <c r="W553" s="726"/>
      <c r="X553" s="706" t="s">
        <v>382</v>
      </c>
      <c r="Y553" s="763">
        <v>121</v>
      </c>
      <c r="Z553" s="763">
        <v>310</v>
      </c>
      <c r="AA553" s="708">
        <v>1</v>
      </c>
      <c r="AB553" s="708"/>
      <c r="AC553" s="708"/>
      <c r="AD553" s="146" t="s">
        <v>401</v>
      </c>
      <c r="AE553" s="146" t="s">
        <v>402</v>
      </c>
      <c r="AF553" s="438" t="s">
        <v>273</v>
      </c>
      <c r="AG553" s="708"/>
    </row>
    <row r="554" ht="24.95" customHeight="1" spans="1:33">
      <c r="A554" s="705"/>
      <c r="B554" s="714" t="s">
        <v>100</v>
      </c>
      <c r="C554" s="146" t="s">
        <v>52</v>
      </c>
      <c r="D554" s="152" t="s">
        <v>384</v>
      </c>
      <c r="E554" s="708">
        <v>1</v>
      </c>
      <c r="F554" s="714" t="str">
        <f t="shared" si="76"/>
        <v>黄泥河</v>
      </c>
      <c r="G554" s="708"/>
      <c r="H554" s="763">
        <f t="shared" si="80"/>
        <v>12</v>
      </c>
      <c r="I554" s="763">
        <v>12</v>
      </c>
      <c r="J554" s="763"/>
      <c r="K554" s="763"/>
      <c r="L554" s="726">
        <v>2018.01</v>
      </c>
      <c r="M554" s="726">
        <v>2018.12</v>
      </c>
      <c r="N554" s="726">
        <v>25.2</v>
      </c>
      <c r="O554" s="726">
        <v>25.2</v>
      </c>
      <c r="P554" s="726"/>
      <c r="Q554" s="726"/>
      <c r="R554" s="726"/>
      <c r="S554" s="726">
        <v>25.2</v>
      </c>
      <c r="T554" s="726"/>
      <c r="U554" s="726"/>
      <c r="V554" s="726"/>
      <c r="W554" s="726"/>
      <c r="X554" s="706" t="s">
        <v>382</v>
      </c>
      <c r="Y554" s="763">
        <v>12</v>
      </c>
      <c r="Z554" s="763">
        <v>12</v>
      </c>
      <c r="AA554" s="708">
        <v>1</v>
      </c>
      <c r="AB554" s="708"/>
      <c r="AC554" s="708"/>
      <c r="AD554" s="438" t="s">
        <v>217</v>
      </c>
      <c r="AE554" s="146" t="s">
        <v>403</v>
      </c>
      <c r="AF554" s="438" t="s">
        <v>273</v>
      </c>
      <c r="AG554" s="708"/>
    </row>
    <row r="555" ht="24.95" customHeight="1" spans="1:33">
      <c r="A555" s="705"/>
      <c r="B555" s="714" t="s">
        <v>259</v>
      </c>
      <c r="C555" s="146" t="s">
        <v>52</v>
      </c>
      <c r="D555" s="152" t="s">
        <v>384</v>
      </c>
      <c r="E555" s="708">
        <v>1</v>
      </c>
      <c r="F555" s="714" t="str">
        <f t="shared" si="76"/>
        <v>古敢</v>
      </c>
      <c r="G555" s="708"/>
      <c r="H555" s="763">
        <f t="shared" si="80"/>
        <v>4</v>
      </c>
      <c r="I555" s="763">
        <v>4</v>
      </c>
      <c r="J555" s="763"/>
      <c r="K555" s="763"/>
      <c r="L555" s="726">
        <v>2018.01</v>
      </c>
      <c r="M555" s="726">
        <v>2018.12</v>
      </c>
      <c r="N555" s="726">
        <v>8.4</v>
      </c>
      <c r="O555" s="726">
        <v>8.4</v>
      </c>
      <c r="P555" s="726"/>
      <c r="Q555" s="726"/>
      <c r="R555" s="726"/>
      <c r="S555" s="726">
        <v>8.4</v>
      </c>
      <c r="T555" s="726"/>
      <c r="U555" s="726"/>
      <c r="V555" s="726"/>
      <c r="W555" s="726"/>
      <c r="X555" s="706" t="s">
        <v>382</v>
      </c>
      <c r="Y555" s="763">
        <v>8</v>
      </c>
      <c r="Z555" s="763">
        <v>27</v>
      </c>
      <c r="AA555" s="708">
        <v>1</v>
      </c>
      <c r="AB555" s="708"/>
      <c r="AC555" s="708"/>
      <c r="AD555" s="146" t="s">
        <v>404</v>
      </c>
      <c r="AE555" s="146" t="s">
        <v>405</v>
      </c>
      <c r="AF555" s="438" t="s">
        <v>273</v>
      </c>
      <c r="AG555" s="708"/>
    </row>
    <row r="556" ht="24.95" customHeight="1" spans="1:33">
      <c r="A556" s="705"/>
      <c r="B556" s="714" t="s">
        <v>84</v>
      </c>
      <c r="C556" s="146" t="s">
        <v>52</v>
      </c>
      <c r="D556" s="152" t="s">
        <v>384</v>
      </c>
      <c r="E556" s="708">
        <v>1</v>
      </c>
      <c r="F556" s="714" t="str">
        <f t="shared" si="76"/>
        <v>十八连山</v>
      </c>
      <c r="G556" s="708"/>
      <c r="H556" s="763">
        <f t="shared" si="80"/>
        <v>27</v>
      </c>
      <c r="I556" s="763">
        <v>27</v>
      </c>
      <c r="J556" s="763"/>
      <c r="K556" s="763"/>
      <c r="L556" s="726">
        <v>2018.01</v>
      </c>
      <c r="M556" s="726">
        <v>2018.12</v>
      </c>
      <c r="N556" s="726">
        <v>56.7</v>
      </c>
      <c r="O556" s="726">
        <v>56.7</v>
      </c>
      <c r="P556" s="726"/>
      <c r="Q556" s="726"/>
      <c r="R556" s="726"/>
      <c r="S556" s="726">
        <v>56.7</v>
      </c>
      <c r="T556" s="726"/>
      <c r="U556" s="726"/>
      <c r="V556" s="726"/>
      <c r="W556" s="726"/>
      <c r="X556" s="706" t="s">
        <v>382</v>
      </c>
      <c r="Y556" s="763">
        <v>31</v>
      </c>
      <c r="Z556" s="763">
        <v>64</v>
      </c>
      <c r="AA556" s="708">
        <v>1</v>
      </c>
      <c r="AB556" s="708"/>
      <c r="AC556" s="708"/>
      <c r="AD556" s="146" t="s">
        <v>219</v>
      </c>
      <c r="AE556" s="146" t="s">
        <v>406</v>
      </c>
      <c r="AF556" s="438" t="s">
        <v>273</v>
      </c>
      <c r="AG556" s="708"/>
    </row>
    <row r="557" ht="24.95" customHeight="1" spans="1:33">
      <c r="A557" s="705"/>
      <c r="B557" s="714" t="s">
        <v>143</v>
      </c>
      <c r="C557" s="146" t="s">
        <v>52</v>
      </c>
      <c r="D557" s="152" t="s">
        <v>384</v>
      </c>
      <c r="E557" s="708">
        <v>1</v>
      </c>
      <c r="F557" s="714" t="str">
        <f t="shared" si="76"/>
        <v>老厂</v>
      </c>
      <c r="G557" s="708"/>
      <c r="H557" s="763">
        <f t="shared" si="80"/>
        <v>10</v>
      </c>
      <c r="I557" s="763">
        <v>10</v>
      </c>
      <c r="J557" s="763"/>
      <c r="K557" s="763"/>
      <c r="L557" s="726">
        <v>2018.01</v>
      </c>
      <c r="M557" s="726">
        <v>2018.12</v>
      </c>
      <c r="N557" s="726">
        <v>21</v>
      </c>
      <c r="O557" s="726">
        <v>21</v>
      </c>
      <c r="P557" s="726"/>
      <c r="Q557" s="726"/>
      <c r="R557" s="726"/>
      <c r="S557" s="726">
        <v>21</v>
      </c>
      <c r="T557" s="726"/>
      <c r="U557" s="726"/>
      <c r="V557" s="726"/>
      <c r="W557" s="726"/>
      <c r="X557" s="706" t="s">
        <v>382</v>
      </c>
      <c r="Y557" s="763">
        <v>19</v>
      </c>
      <c r="Z557" s="763">
        <v>87.4</v>
      </c>
      <c r="AA557" s="708">
        <v>1</v>
      </c>
      <c r="AB557" s="708"/>
      <c r="AC557" s="708"/>
      <c r="AD557" s="775" t="s">
        <v>221</v>
      </c>
      <c r="AE557" s="146" t="s">
        <v>407</v>
      </c>
      <c r="AF557" s="438" t="s">
        <v>273</v>
      </c>
      <c r="AG557" s="708"/>
    </row>
    <row r="558" ht="24" spans="1:33">
      <c r="A558" s="705">
        <v>69</v>
      </c>
      <c r="B558" s="708" t="s">
        <v>411</v>
      </c>
      <c r="C558" s="708"/>
      <c r="D558" s="709" t="s">
        <v>384</v>
      </c>
      <c r="E558" s="708">
        <f>SUM(E559:E570)</f>
        <v>12</v>
      </c>
      <c r="F558" s="708"/>
      <c r="G558" s="708"/>
      <c r="H558" s="763">
        <f t="shared" ref="F558:AA558" si="81">SUM(H559:H570)</f>
        <v>3272</v>
      </c>
      <c r="I558" s="763">
        <f t="shared" si="81"/>
        <v>3272</v>
      </c>
      <c r="J558" s="763">
        <f t="shared" si="81"/>
        <v>0</v>
      </c>
      <c r="K558" s="763">
        <f t="shared" si="81"/>
        <v>0</v>
      </c>
      <c r="L558" s="726"/>
      <c r="M558" s="726"/>
      <c r="N558" s="726">
        <f t="shared" si="81"/>
        <v>3272</v>
      </c>
      <c r="O558" s="726">
        <f t="shared" si="81"/>
        <v>3272</v>
      </c>
      <c r="P558" s="726">
        <f t="shared" si="81"/>
        <v>0</v>
      </c>
      <c r="Q558" s="726">
        <f t="shared" si="81"/>
        <v>0</v>
      </c>
      <c r="R558" s="726">
        <f t="shared" si="81"/>
        <v>0</v>
      </c>
      <c r="S558" s="726">
        <f t="shared" si="81"/>
        <v>0</v>
      </c>
      <c r="T558" s="726">
        <f t="shared" si="81"/>
        <v>3272</v>
      </c>
      <c r="U558" s="726">
        <f t="shared" si="81"/>
        <v>0</v>
      </c>
      <c r="V558" s="726">
        <f t="shared" si="81"/>
        <v>0</v>
      </c>
      <c r="W558" s="708"/>
      <c r="X558" s="706" t="s">
        <v>382</v>
      </c>
      <c r="Y558" s="708">
        <f t="shared" si="81"/>
        <v>0</v>
      </c>
      <c r="Z558" s="708">
        <f t="shared" si="81"/>
        <v>0</v>
      </c>
      <c r="AA558" s="708">
        <f t="shared" si="81"/>
        <v>12</v>
      </c>
      <c r="AB558" s="708"/>
      <c r="AC558" s="708"/>
      <c r="AD558" s="775" t="s">
        <v>385</v>
      </c>
      <c r="AE558" s="753" t="s">
        <v>386</v>
      </c>
      <c r="AF558" s="712" t="s">
        <v>273</v>
      </c>
      <c r="AG558" s="708" t="s">
        <v>41</v>
      </c>
    </row>
    <row r="559" ht="30" customHeight="1" spans="1:33">
      <c r="A559" s="705"/>
      <c r="B559" s="714" t="s">
        <v>101</v>
      </c>
      <c r="C559" s="146" t="s">
        <v>52</v>
      </c>
      <c r="D559" s="152" t="s">
        <v>384</v>
      </c>
      <c r="E559" s="708">
        <v>1</v>
      </c>
      <c r="F559" s="714" t="str">
        <f t="shared" si="76"/>
        <v>中安</v>
      </c>
      <c r="G559" s="708"/>
      <c r="H559" s="763">
        <v>143</v>
      </c>
      <c r="I559" s="763">
        <v>143</v>
      </c>
      <c r="J559" s="763"/>
      <c r="K559" s="763"/>
      <c r="L559" s="726">
        <v>2018.01</v>
      </c>
      <c r="M559" s="726">
        <v>2018.12</v>
      </c>
      <c r="N559" s="726">
        <v>143</v>
      </c>
      <c r="O559" s="726">
        <v>143</v>
      </c>
      <c r="P559" s="726"/>
      <c r="Q559" s="726"/>
      <c r="R559" s="726"/>
      <c r="S559" s="726"/>
      <c r="T559" s="726">
        <v>143</v>
      </c>
      <c r="U559" s="726"/>
      <c r="V559" s="726"/>
      <c r="W559" s="708"/>
      <c r="X559" s="706" t="s">
        <v>382</v>
      </c>
      <c r="Y559" s="708"/>
      <c r="Z559" s="708"/>
      <c r="AA559" s="708">
        <v>1</v>
      </c>
      <c r="AB559" s="708"/>
      <c r="AC559" s="708"/>
      <c r="AD559" s="146" t="s">
        <v>387</v>
      </c>
      <c r="AE559" s="146" t="s">
        <v>388</v>
      </c>
      <c r="AF559" s="438" t="s">
        <v>273</v>
      </c>
      <c r="AG559" s="708"/>
    </row>
    <row r="560" ht="30" customHeight="1" spans="1:33">
      <c r="A560" s="705"/>
      <c r="B560" s="714" t="s">
        <v>151</v>
      </c>
      <c r="C560" s="146" t="s">
        <v>52</v>
      </c>
      <c r="D560" s="152" t="s">
        <v>384</v>
      </c>
      <c r="E560" s="708">
        <v>1</v>
      </c>
      <c r="F560" s="714" t="str">
        <f t="shared" si="76"/>
        <v>胜境</v>
      </c>
      <c r="G560" s="708"/>
      <c r="H560" s="763">
        <v>52</v>
      </c>
      <c r="I560" s="763">
        <v>52</v>
      </c>
      <c r="J560" s="763"/>
      <c r="K560" s="763"/>
      <c r="L560" s="726">
        <v>2018.01</v>
      </c>
      <c r="M560" s="726">
        <v>2018.12</v>
      </c>
      <c r="N560" s="726">
        <v>52</v>
      </c>
      <c r="O560" s="726">
        <v>52</v>
      </c>
      <c r="P560" s="726"/>
      <c r="Q560" s="726"/>
      <c r="R560" s="726"/>
      <c r="S560" s="726"/>
      <c r="T560" s="726">
        <v>52</v>
      </c>
      <c r="U560" s="726"/>
      <c r="V560" s="726"/>
      <c r="W560" s="708"/>
      <c r="X560" s="706" t="s">
        <v>382</v>
      </c>
      <c r="Y560" s="708"/>
      <c r="Z560" s="708"/>
      <c r="AA560" s="708">
        <v>1</v>
      </c>
      <c r="AB560" s="708"/>
      <c r="AC560" s="708"/>
      <c r="AD560" s="146" t="s">
        <v>389</v>
      </c>
      <c r="AE560" s="146" t="s">
        <v>390</v>
      </c>
      <c r="AF560" s="438" t="s">
        <v>273</v>
      </c>
      <c r="AG560" s="708"/>
    </row>
    <row r="561" ht="30" customHeight="1" spans="1:33">
      <c r="A561" s="705"/>
      <c r="B561" s="714" t="s">
        <v>154</v>
      </c>
      <c r="C561" s="146" t="s">
        <v>52</v>
      </c>
      <c r="D561" s="152" t="s">
        <v>384</v>
      </c>
      <c r="E561" s="708">
        <v>1</v>
      </c>
      <c r="F561" s="714" t="str">
        <f t="shared" si="76"/>
        <v>后所</v>
      </c>
      <c r="G561" s="708"/>
      <c r="H561" s="763">
        <v>130</v>
      </c>
      <c r="I561" s="763">
        <v>130</v>
      </c>
      <c r="J561" s="763"/>
      <c r="K561" s="763"/>
      <c r="L561" s="726">
        <v>2018.01</v>
      </c>
      <c r="M561" s="726">
        <v>2018.12</v>
      </c>
      <c r="N561" s="726">
        <v>130</v>
      </c>
      <c r="O561" s="726">
        <v>130</v>
      </c>
      <c r="P561" s="726"/>
      <c r="Q561" s="726"/>
      <c r="R561" s="726"/>
      <c r="S561" s="726"/>
      <c r="T561" s="726">
        <v>130</v>
      </c>
      <c r="U561" s="726"/>
      <c r="V561" s="726"/>
      <c r="W561" s="708"/>
      <c r="X561" s="706" t="s">
        <v>382</v>
      </c>
      <c r="Y561" s="708"/>
      <c r="Z561" s="708"/>
      <c r="AA561" s="708">
        <v>1</v>
      </c>
      <c r="AB561" s="708"/>
      <c r="AC561" s="708"/>
      <c r="AD561" s="146" t="s">
        <v>391</v>
      </c>
      <c r="AE561" s="146" t="s">
        <v>392</v>
      </c>
      <c r="AF561" s="438" t="s">
        <v>273</v>
      </c>
      <c r="AG561" s="708"/>
    </row>
    <row r="562" ht="30" customHeight="1" spans="1:33">
      <c r="A562" s="705"/>
      <c r="B562" s="714" t="s">
        <v>81</v>
      </c>
      <c r="C562" s="146" t="s">
        <v>52</v>
      </c>
      <c r="D562" s="152" t="s">
        <v>384</v>
      </c>
      <c r="E562" s="708">
        <v>1</v>
      </c>
      <c r="F562" s="714" t="str">
        <f t="shared" si="76"/>
        <v>墨红</v>
      </c>
      <c r="G562" s="708"/>
      <c r="H562" s="763">
        <v>442</v>
      </c>
      <c r="I562" s="763">
        <v>442</v>
      </c>
      <c r="J562" s="763"/>
      <c r="K562" s="763"/>
      <c r="L562" s="726">
        <v>2018.01</v>
      </c>
      <c r="M562" s="726">
        <v>2018.12</v>
      </c>
      <c r="N562" s="726">
        <v>442</v>
      </c>
      <c r="O562" s="726">
        <v>442</v>
      </c>
      <c r="P562" s="726"/>
      <c r="Q562" s="726"/>
      <c r="R562" s="726"/>
      <c r="S562" s="726"/>
      <c r="T562" s="726">
        <v>442</v>
      </c>
      <c r="U562" s="726"/>
      <c r="V562" s="726"/>
      <c r="W562" s="708"/>
      <c r="X562" s="706" t="s">
        <v>382</v>
      </c>
      <c r="Y562" s="708"/>
      <c r="Z562" s="708"/>
      <c r="AA562" s="708">
        <v>1</v>
      </c>
      <c r="AB562" s="708"/>
      <c r="AC562" s="708"/>
      <c r="AD562" s="146" t="s">
        <v>393</v>
      </c>
      <c r="AE562" s="146" t="s">
        <v>394</v>
      </c>
      <c r="AF562" s="146" t="s">
        <v>273</v>
      </c>
      <c r="AG562" s="708"/>
    </row>
    <row r="563" ht="30" customHeight="1" spans="1:33">
      <c r="A563" s="705"/>
      <c r="B563" s="714" t="s">
        <v>98</v>
      </c>
      <c r="C563" s="146" t="s">
        <v>52</v>
      </c>
      <c r="D563" s="152" t="s">
        <v>384</v>
      </c>
      <c r="E563" s="708">
        <v>1</v>
      </c>
      <c r="F563" s="714" t="str">
        <f t="shared" si="76"/>
        <v>大河</v>
      </c>
      <c r="G563" s="708"/>
      <c r="H563" s="763">
        <v>514</v>
      </c>
      <c r="I563" s="763">
        <v>514</v>
      </c>
      <c r="J563" s="763"/>
      <c r="K563" s="763"/>
      <c r="L563" s="726">
        <v>2018.01</v>
      </c>
      <c r="M563" s="726">
        <v>2018.12</v>
      </c>
      <c r="N563" s="726">
        <v>514</v>
      </c>
      <c r="O563" s="726">
        <v>514</v>
      </c>
      <c r="P563" s="726"/>
      <c r="Q563" s="726"/>
      <c r="R563" s="726"/>
      <c r="S563" s="726"/>
      <c r="T563" s="726">
        <v>514</v>
      </c>
      <c r="U563" s="726"/>
      <c r="V563" s="726"/>
      <c r="W563" s="708"/>
      <c r="X563" s="706" t="s">
        <v>382</v>
      </c>
      <c r="Y563" s="708"/>
      <c r="Z563" s="708"/>
      <c r="AA563" s="708">
        <v>1</v>
      </c>
      <c r="AB563" s="708"/>
      <c r="AC563" s="708"/>
      <c r="AD563" s="146" t="s">
        <v>395</v>
      </c>
      <c r="AE563" s="146" t="s">
        <v>396</v>
      </c>
      <c r="AF563" s="438" t="s">
        <v>273</v>
      </c>
      <c r="AG563" s="708"/>
    </row>
    <row r="564" ht="30" customHeight="1" spans="1:33">
      <c r="A564" s="705"/>
      <c r="B564" s="714" t="s">
        <v>211</v>
      </c>
      <c r="C564" s="146" t="s">
        <v>52</v>
      </c>
      <c r="D564" s="152" t="s">
        <v>384</v>
      </c>
      <c r="E564" s="708">
        <v>1</v>
      </c>
      <c r="F564" s="714" t="str">
        <f t="shared" si="76"/>
        <v>营上</v>
      </c>
      <c r="G564" s="708"/>
      <c r="H564" s="763">
        <v>198</v>
      </c>
      <c r="I564" s="763">
        <v>198</v>
      </c>
      <c r="J564" s="763"/>
      <c r="K564" s="763"/>
      <c r="L564" s="726">
        <v>2018.01</v>
      </c>
      <c r="M564" s="726">
        <v>2018.12</v>
      </c>
      <c r="N564" s="726">
        <v>198</v>
      </c>
      <c r="O564" s="726">
        <v>198</v>
      </c>
      <c r="P564" s="726"/>
      <c r="Q564" s="726"/>
      <c r="R564" s="726"/>
      <c r="S564" s="726"/>
      <c r="T564" s="726">
        <v>198</v>
      </c>
      <c r="U564" s="726"/>
      <c r="V564" s="726"/>
      <c r="W564" s="708"/>
      <c r="X564" s="706" t="s">
        <v>382</v>
      </c>
      <c r="Y564" s="708"/>
      <c r="Z564" s="708"/>
      <c r="AA564" s="708">
        <v>1</v>
      </c>
      <c r="AB564" s="708"/>
      <c r="AC564" s="708"/>
      <c r="AD564" s="146" t="s">
        <v>397</v>
      </c>
      <c r="AE564" s="146" t="s">
        <v>398</v>
      </c>
      <c r="AF564" s="438" t="s">
        <v>273</v>
      </c>
      <c r="AG564" s="708"/>
    </row>
    <row r="565" ht="30" customHeight="1" spans="1:33">
      <c r="A565" s="705"/>
      <c r="B565" s="714" t="s">
        <v>155</v>
      </c>
      <c r="C565" s="146" t="s">
        <v>52</v>
      </c>
      <c r="D565" s="152" t="s">
        <v>384</v>
      </c>
      <c r="E565" s="708">
        <v>1</v>
      </c>
      <c r="F565" s="714" t="str">
        <f t="shared" si="76"/>
        <v>竹园</v>
      </c>
      <c r="G565" s="708"/>
      <c r="H565" s="763">
        <v>143</v>
      </c>
      <c r="I565" s="763">
        <v>143</v>
      </c>
      <c r="J565" s="763"/>
      <c r="K565" s="763"/>
      <c r="L565" s="726">
        <v>2018.01</v>
      </c>
      <c r="M565" s="726">
        <v>2018.12</v>
      </c>
      <c r="N565" s="726">
        <v>143</v>
      </c>
      <c r="O565" s="726">
        <v>143</v>
      </c>
      <c r="P565" s="726"/>
      <c r="Q565" s="726"/>
      <c r="R565" s="726"/>
      <c r="S565" s="726"/>
      <c r="T565" s="726">
        <v>143</v>
      </c>
      <c r="U565" s="726"/>
      <c r="V565" s="726"/>
      <c r="W565" s="708"/>
      <c r="X565" s="706" t="s">
        <v>382</v>
      </c>
      <c r="Y565" s="708"/>
      <c r="Z565" s="708"/>
      <c r="AA565" s="708">
        <v>1</v>
      </c>
      <c r="AB565" s="708"/>
      <c r="AC565" s="708"/>
      <c r="AD565" s="146" t="s">
        <v>399</v>
      </c>
      <c r="AE565" s="146" t="s">
        <v>400</v>
      </c>
      <c r="AF565" s="438" t="s">
        <v>273</v>
      </c>
      <c r="AG565" s="708"/>
    </row>
    <row r="566" ht="30" customHeight="1" spans="1:33">
      <c r="A566" s="705"/>
      <c r="B566" s="714" t="s">
        <v>102</v>
      </c>
      <c r="C566" s="146" t="s">
        <v>52</v>
      </c>
      <c r="D566" s="152" t="s">
        <v>384</v>
      </c>
      <c r="E566" s="708">
        <v>1</v>
      </c>
      <c r="F566" s="714" t="str">
        <f t="shared" si="76"/>
        <v>富村</v>
      </c>
      <c r="G566" s="708"/>
      <c r="H566" s="763">
        <v>525</v>
      </c>
      <c r="I566" s="763">
        <v>525</v>
      </c>
      <c r="J566" s="763"/>
      <c r="K566" s="763"/>
      <c r="L566" s="726">
        <v>2018.01</v>
      </c>
      <c r="M566" s="726">
        <v>2018.12</v>
      </c>
      <c r="N566" s="726">
        <v>525</v>
      </c>
      <c r="O566" s="726">
        <v>525</v>
      </c>
      <c r="P566" s="726"/>
      <c r="Q566" s="726"/>
      <c r="R566" s="726"/>
      <c r="S566" s="726"/>
      <c r="T566" s="726">
        <v>525</v>
      </c>
      <c r="U566" s="726"/>
      <c r="V566" s="726"/>
      <c r="W566" s="708"/>
      <c r="X566" s="706" t="s">
        <v>382</v>
      </c>
      <c r="Y566" s="708"/>
      <c r="Z566" s="708"/>
      <c r="AA566" s="708">
        <v>1</v>
      </c>
      <c r="AB566" s="708"/>
      <c r="AC566" s="708"/>
      <c r="AD566" s="146" t="s">
        <v>401</v>
      </c>
      <c r="AE566" s="146" t="s">
        <v>402</v>
      </c>
      <c r="AF566" s="438" t="s">
        <v>273</v>
      </c>
      <c r="AG566" s="708"/>
    </row>
    <row r="567" ht="30" customHeight="1" spans="1:33">
      <c r="A567" s="705"/>
      <c r="B567" s="714" t="s">
        <v>100</v>
      </c>
      <c r="C567" s="146" t="s">
        <v>52</v>
      </c>
      <c r="D567" s="152" t="s">
        <v>384</v>
      </c>
      <c r="E567" s="708">
        <v>1</v>
      </c>
      <c r="F567" s="714" t="str">
        <f t="shared" si="76"/>
        <v>黄泥河</v>
      </c>
      <c r="G567" s="708"/>
      <c r="H567" s="763">
        <v>267</v>
      </c>
      <c r="I567" s="763">
        <v>267</v>
      </c>
      <c r="J567" s="763"/>
      <c r="K567" s="763"/>
      <c r="L567" s="726">
        <v>2018.01</v>
      </c>
      <c r="M567" s="726">
        <v>2018.12</v>
      </c>
      <c r="N567" s="726">
        <v>267</v>
      </c>
      <c r="O567" s="726">
        <v>267</v>
      </c>
      <c r="P567" s="726"/>
      <c r="Q567" s="726"/>
      <c r="R567" s="726"/>
      <c r="S567" s="726"/>
      <c r="T567" s="726">
        <v>267</v>
      </c>
      <c r="U567" s="726"/>
      <c r="V567" s="726"/>
      <c r="W567" s="708"/>
      <c r="X567" s="706" t="s">
        <v>382</v>
      </c>
      <c r="Y567" s="708"/>
      <c r="Z567" s="708"/>
      <c r="AA567" s="708">
        <v>1</v>
      </c>
      <c r="AB567" s="708"/>
      <c r="AC567" s="708"/>
      <c r="AD567" s="146" t="s">
        <v>217</v>
      </c>
      <c r="AE567" s="146" t="s">
        <v>403</v>
      </c>
      <c r="AF567" s="438" t="s">
        <v>273</v>
      </c>
      <c r="AG567" s="708"/>
    </row>
    <row r="568" ht="30" customHeight="1" spans="1:33">
      <c r="A568" s="705"/>
      <c r="B568" s="714" t="s">
        <v>84</v>
      </c>
      <c r="C568" s="146" t="s">
        <v>52</v>
      </c>
      <c r="D568" s="152" t="s">
        <v>384</v>
      </c>
      <c r="E568" s="708">
        <v>1</v>
      </c>
      <c r="F568" s="714" t="str">
        <f t="shared" si="76"/>
        <v>十八连山</v>
      </c>
      <c r="G568" s="708"/>
      <c r="H568" s="763">
        <v>119</v>
      </c>
      <c r="I568" s="763">
        <v>119</v>
      </c>
      <c r="J568" s="763"/>
      <c r="K568" s="763"/>
      <c r="L568" s="726">
        <v>2018.01</v>
      </c>
      <c r="M568" s="726">
        <v>2018.12</v>
      </c>
      <c r="N568" s="726">
        <v>119</v>
      </c>
      <c r="O568" s="726">
        <v>119</v>
      </c>
      <c r="P568" s="726"/>
      <c r="Q568" s="726"/>
      <c r="R568" s="726"/>
      <c r="S568" s="726"/>
      <c r="T568" s="726">
        <v>119</v>
      </c>
      <c r="U568" s="726"/>
      <c r="V568" s="726"/>
      <c r="W568" s="708"/>
      <c r="X568" s="706" t="s">
        <v>382</v>
      </c>
      <c r="Y568" s="708"/>
      <c r="Z568" s="708"/>
      <c r="AA568" s="708">
        <v>1</v>
      </c>
      <c r="AB568" s="708"/>
      <c r="AC568" s="708"/>
      <c r="AD568" s="146" t="s">
        <v>219</v>
      </c>
      <c r="AE568" s="146" t="s">
        <v>406</v>
      </c>
      <c r="AF568" s="438" t="s">
        <v>273</v>
      </c>
      <c r="AG568" s="708"/>
    </row>
    <row r="569" ht="30" customHeight="1" spans="1:33">
      <c r="A569" s="705"/>
      <c r="B569" s="714" t="s">
        <v>259</v>
      </c>
      <c r="C569" s="146" t="s">
        <v>52</v>
      </c>
      <c r="D569" s="152" t="s">
        <v>384</v>
      </c>
      <c r="E569" s="708">
        <v>1</v>
      </c>
      <c r="F569" s="714" t="str">
        <f t="shared" si="76"/>
        <v>古敢</v>
      </c>
      <c r="G569" s="708"/>
      <c r="H569" s="763">
        <v>300</v>
      </c>
      <c r="I569" s="763">
        <v>300</v>
      </c>
      <c r="J569" s="763"/>
      <c r="K569" s="763"/>
      <c r="L569" s="726">
        <v>2018.01</v>
      </c>
      <c r="M569" s="726">
        <v>2018.12</v>
      </c>
      <c r="N569" s="726">
        <v>300</v>
      </c>
      <c r="O569" s="726">
        <v>300</v>
      </c>
      <c r="P569" s="726"/>
      <c r="Q569" s="726"/>
      <c r="R569" s="726"/>
      <c r="S569" s="726"/>
      <c r="T569" s="726">
        <v>300</v>
      </c>
      <c r="U569" s="726"/>
      <c r="V569" s="726"/>
      <c r="W569" s="708"/>
      <c r="X569" s="706" t="s">
        <v>382</v>
      </c>
      <c r="Y569" s="708"/>
      <c r="Z569" s="708"/>
      <c r="AA569" s="708">
        <v>1</v>
      </c>
      <c r="AB569" s="708"/>
      <c r="AC569" s="708"/>
      <c r="AD569" s="146" t="s">
        <v>404</v>
      </c>
      <c r="AE569" s="146" t="s">
        <v>405</v>
      </c>
      <c r="AF569" s="438" t="s">
        <v>273</v>
      </c>
      <c r="AG569" s="708"/>
    </row>
    <row r="570" ht="30" customHeight="1" spans="1:33">
      <c r="A570" s="705"/>
      <c r="B570" s="714" t="s">
        <v>143</v>
      </c>
      <c r="C570" s="146" t="s">
        <v>52</v>
      </c>
      <c r="D570" s="152" t="s">
        <v>384</v>
      </c>
      <c r="E570" s="708">
        <v>1</v>
      </c>
      <c r="F570" s="714" t="str">
        <f t="shared" si="76"/>
        <v>老厂</v>
      </c>
      <c r="G570" s="708"/>
      <c r="H570" s="739">
        <v>439</v>
      </c>
      <c r="I570" s="739">
        <v>439</v>
      </c>
      <c r="J570" s="763"/>
      <c r="K570" s="763"/>
      <c r="L570" s="726">
        <v>2018.01</v>
      </c>
      <c r="M570" s="726">
        <v>2018.12</v>
      </c>
      <c r="N570" s="726">
        <v>439</v>
      </c>
      <c r="O570" s="726">
        <v>439</v>
      </c>
      <c r="P570" s="726"/>
      <c r="Q570" s="726"/>
      <c r="R570" s="726"/>
      <c r="S570" s="726"/>
      <c r="T570" s="726">
        <v>439</v>
      </c>
      <c r="U570" s="726"/>
      <c r="V570" s="726"/>
      <c r="W570" s="708"/>
      <c r="X570" s="706" t="s">
        <v>382</v>
      </c>
      <c r="Y570" s="708"/>
      <c r="Z570" s="708"/>
      <c r="AA570" s="708">
        <v>1</v>
      </c>
      <c r="AB570" s="708"/>
      <c r="AC570" s="708"/>
      <c r="AD570" s="775" t="s">
        <v>221</v>
      </c>
      <c r="AE570" s="146" t="s">
        <v>407</v>
      </c>
      <c r="AF570" s="438" t="s">
        <v>273</v>
      </c>
      <c r="AG570" s="708"/>
    </row>
    <row r="571" ht="33" customHeight="1" spans="1:33">
      <c r="A571" s="705">
        <v>70</v>
      </c>
      <c r="B571" s="706" t="s">
        <v>412</v>
      </c>
      <c r="C571" s="706"/>
      <c r="D571" s="707"/>
      <c r="E571" s="706">
        <f>E572+E574+E580+E594</f>
        <v>21</v>
      </c>
      <c r="F571" s="706"/>
      <c r="G571" s="706"/>
      <c r="H571" s="725">
        <f t="shared" ref="F571:AA571" si="82">H572+H574+H580+H594</f>
        <v>4525</v>
      </c>
      <c r="I571" s="725">
        <f t="shared" si="82"/>
        <v>4525</v>
      </c>
      <c r="J571" s="725">
        <f t="shared" si="82"/>
        <v>0</v>
      </c>
      <c r="K571" s="725">
        <f t="shared" si="82"/>
        <v>0</v>
      </c>
      <c r="L571" s="725"/>
      <c r="M571" s="725"/>
      <c r="N571" s="725">
        <f t="shared" si="82"/>
        <v>856</v>
      </c>
      <c r="O571" s="725">
        <f t="shared" si="82"/>
        <v>856</v>
      </c>
      <c r="P571" s="725">
        <f t="shared" si="82"/>
        <v>0</v>
      </c>
      <c r="Q571" s="725">
        <f t="shared" si="82"/>
        <v>0</v>
      </c>
      <c r="R571" s="725">
        <f t="shared" si="82"/>
        <v>0</v>
      </c>
      <c r="S571" s="725">
        <f t="shared" si="82"/>
        <v>856</v>
      </c>
      <c r="T571" s="725">
        <f t="shared" si="82"/>
        <v>0</v>
      </c>
      <c r="U571" s="725">
        <f t="shared" si="82"/>
        <v>0</v>
      </c>
      <c r="V571" s="725">
        <f t="shared" si="82"/>
        <v>0</v>
      </c>
      <c r="W571" s="706"/>
      <c r="X571" s="706"/>
      <c r="Y571" s="706">
        <f t="shared" si="82"/>
        <v>2432</v>
      </c>
      <c r="Z571" s="706">
        <f t="shared" si="82"/>
        <v>10458.5</v>
      </c>
      <c r="AA571" s="706">
        <f t="shared" si="82"/>
        <v>21</v>
      </c>
      <c r="AB571" s="706"/>
      <c r="AC571" s="706"/>
      <c r="AD571" s="706"/>
      <c r="AE571" s="706"/>
      <c r="AF571" s="706"/>
      <c r="AG571" s="706" t="s">
        <v>41</v>
      </c>
    </row>
    <row r="572" ht="24.95" customHeight="1" spans="1:33">
      <c r="A572" s="705">
        <v>71</v>
      </c>
      <c r="B572" s="708" t="s">
        <v>413</v>
      </c>
      <c r="C572" s="708"/>
      <c r="D572" s="709" t="s">
        <v>45</v>
      </c>
      <c r="E572" s="708">
        <f>E573</f>
        <v>1</v>
      </c>
      <c r="F572" s="708"/>
      <c r="G572" s="708"/>
      <c r="H572" s="726">
        <f t="shared" ref="F572:AA572" si="83">H573</f>
        <v>100</v>
      </c>
      <c r="I572" s="726">
        <f t="shared" si="83"/>
        <v>100</v>
      </c>
      <c r="J572" s="726">
        <f t="shared" si="83"/>
        <v>0</v>
      </c>
      <c r="K572" s="726">
        <f t="shared" si="83"/>
        <v>0</v>
      </c>
      <c r="L572" s="726"/>
      <c r="M572" s="726"/>
      <c r="N572" s="726">
        <f t="shared" si="83"/>
        <v>16</v>
      </c>
      <c r="O572" s="726">
        <f t="shared" si="83"/>
        <v>16</v>
      </c>
      <c r="P572" s="726">
        <f t="shared" si="83"/>
        <v>0</v>
      </c>
      <c r="Q572" s="726">
        <f t="shared" si="83"/>
        <v>0</v>
      </c>
      <c r="R572" s="726">
        <f t="shared" si="83"/>
        <v>0</v>
      </c>
      <c r="S572" s="726">
        <f t="shared" si="83"/>
        <v>16</v>
      </c>
      <c r="T572" s="726">
        <f t="shared" si="83"/>
        <v>0</v>
      </c>
      <c r="U572" s="726">
        <f t="shared" si="83"/>
        <v>0</v>
      </c>
      <c r="V572" s="726">
        <f t="shared" si="83"/>
        <v>0</v>
      </c>
      <c r="W572" s="708"/>
      <c r="X572" s="708" t="s">
        <v>47</v>
      </c>
      <c r="Y572" s="708">
        <f t="shared" si="83"/>
        <v>7</v>
      </c>
      <c r="Z572" s="708">
        <f t="shared" si="83"/>
        <v>31</v>
      </c>
      <c r="AA572" s="708">
        <f t="shared" si="83"/>
        <v>1</v>
      </c>
      <c r="AB572" s="708"/>
      <c r="AC572" s="708"/>
      <c r="AD572" s="146" t="s">
        <v>415</v>
      </c>
      <c r="AE572" s="146" t="s">
        <v>416</v>
      </c>
      <c r="AF572" s="146" t="s">
        <v>417</v>
      </c>
      <c r="AG572" s="708" t="s">
        <v>41</v>
      </c>
    </row>
    <row r="573" ht="24.95" customHeight="1" spans="1:33">
      <c r="A573" s="705"/>
      <c r="B573" s="708" t="s">
        <v>91</v>
      </c>
      <c r="C573" s="708" t="s">
        <v>52</v>
      </c>
      <c r="D573" s="709" t="s">
        <v>45</v>
      </c>
      <c r="E573" s="708">
        <v>1</v>
      </c>
      <c r="F573" s="708" t="str">
        <f t="shared" si="76"/>
        <v>墨红镇</v>
      </c>
      <c r="G573" s="92"/>
      <c r="H573" s="726">
        <v>100</v>
      </c>
      <c r="I573" s="146">
        <v>100</v>
      </c>
      <c r="J573" s="726"/>
      <c r="K573" s="726"/>
      <c r="L573" s="726">
        <v>2018.01</v>
      </c>
      <c r="M573" s="726">
        <v>2018.12</v>
      </c>
      <c r="N573" s="146">
        <v>16</v>
      </c>
      <c r="O573" s="726">
        <v>16</v>
      </c>
      <c r="P573" s="726"/>
      <c r="Q573" s="726"/>
      <c r="R573" s="726"/>
      <c r="S573" s="726">
        <v>16</v>
      </c>
      <c r="T573" s="726"/>
      <c r="U573" s="726"/>
      <c r="V573" s="726"/>
      <c r="W573" s="726"/>
      <c r="X573" s="708" t="s">
        <v>47</v>
      </c>
      <c r="Y573" s="152">
        <v>7</v>
      </c>
      <c r="Z573" s="152">
        <v>31</v>
      </c>
      <c r="AA573" s="708">
        <v>1</v>
      </c>
      <c r="AB573" s="708"/>
      <c r="AC573" s="708"/>
      <c r="AD573" s="146" t="s">
        <v>418</v>
      </c>
      <c r="AE573" s="146" t="s">
        <v>419</v>
      </c>
      <c r="AF573" s="146" t="s">
        <v>417</v>
      </c>
      <c r="AG573" s="708"/>
    </row>
    <row r="574" ht="24.95" customHeight="1" spans="1:33">
      <c r="A574" s="705"/>
      <c r="B574" s="750" t="s">
        <v>414</v>
      </c>
      <c r="C574" s="146" t="s">
        <v>52</v>
      </c>
      <c r="D574" s="152" t="s">
        <v>45</v>
      </c>
      <c r="E574" s="708">
        <f>SUM(E575:E579)</f>
        <v>2</v>
      </c>
      <c r="F574" s="708"/>
      <c r="G574" s="708"/>
      <c r="H574" s="726">
        <f t="shared" ref="F574:AA574" si="84">SUM(H575:H579)</f>
        <v>2000</v>
      </c>
      <c r="I574" s="726">
        <f t="shared" si="84"/>
        <v>2000</v>
      </c>
      <c r="J574" s="726">
        <f t="shared" si="84"/>
        <v>0</v>
      </c>
      <c r="K574" s="726">
        <f t="shared" si="84"/>
        <v>0</v>
      </c>
      <c r="L574" s="726"/>
      <c r="M574" s="726"/>
      <c r="N574" s="726">
        <f t="shared" si="84"/>
        <v>300</v>
      </c>
      <c r="O574" s="726">
        <f t="shared" si="84"/>
        <v>300</v>
      </c>
      <c r="P574" s="726">
        <f t="shared" si="84"/>
        <v>0</v>
      </c>
      <c r="Q574" s="726">
        <f t="shared" si="84"/>
        <v>0</v>
      </c>
      <c r="R574" s="726">
        <f t="shared" si="84"/>
        <v>0</v>
      </c>
      <c r="S574" s="726">
        <f t="shared" si="84"/>
        <v>300</v>
      </c>
      <c r="T574" s="726">
        <f t="shared" si="84"/>
        <v>0</v>
      </c>
      <c r="U574" s="726">
        <f t="shared" si="84"/>
        <v>0</v>
      </c>
      <c r="V574" s="726">
        <f t="shared" si="84"/>
        <v>0</v>
      </c>
      <c r="W574" s="708"/>
      <c r="X574" s="708" t="s">
        <v>47</v>
      </c>
      <c r="Y574" s="708">
        <f t="shared" si="84"/>
        <v>0</v>
      </c>
      <c r="Z574" s="708">
        <f t="shared" si="84"/>
        <v>0</v>
      </c>
      <c r="AA574" s="708">
        <f t="shared" si="84"/>
        <v>2</v>
      </c>
      <c r="AB574" s="708"/>
      <c r="AC574" s="708"/>
      <c r="AD574" s="146" t="s">
        <v>415</v>
      </c>
      <c r="AE574" s="146" t="s">
        <v>416</v>
      </c>
      <c r="AF574" s="146" t="s">
        <v>417</v>
      </c>
      <c r="AG574" s="708"/>
    </row>
    <row r="575" ht="24.95" customHeight="1" spans="1:33">
      <c r="A575" s="705"/>
      <c r="B575" s="714" t="s">
        <v>78</v>
      </c>
      <c r="C575" s="146" t="s">
        <v>52</v>
      </c>
      <c r="D575" s="152" t="s">
        <v>45</v>
      </c>
      <c r="E575" s="708">
        <v>1</v>
      </c>
      <c r="F575" s="714" t="str">
        <f t="shared" si="76"/>
        <v>黄泥河镇</v>
      </c>
      <c r="G575" s="92"/>
      <c r="H575" s="726">
        <v>1940</v>
      </c>
      <c r="I575" s="146">
        <v>1940</v>
      </c>
      <c r="J575" s="726"/>
      <c r="K575" s="726"/>
      <c r="L575" s="726">
        <v>2018.01</v>
      </c>
      <c r="M575" s="726">
        <v>2018.12</v>
      </c>
      <c r="N575" s="146">
        <v>291</v>
      </c>
      <c r="O575" s="726">
        <v>291</v>
      </c>
      <c r="P575" s="726"/>
      <c r="Q575" s="726"/>
      <c r="R575" s="726"/>
      <c r="S575" s="726">
        <v>291</v>
      </c>
      <c r="T575" s="726"/>
      <c r="U575" s="726"/>
      <c r="V575" s="726"/>
      <c r="W575" s="726"/>
      <c r="X575" s="708" t="s">
        <v>47</v>
      </c>
      <c r="Y575" s="152"/>
      <c r="Z575" s="152"/>
      <c r="AA575" s="708">
        <v>1</v>
      </c>
      <c r="AB575" s="708"/>
      <c r="AC575" s="708"/>
      <c r="AD575" s="86" t="s">
        <v>217</v>
      </c>
      <c r="AE575" s="71" t="s">
        <v>431</v>
      </c>
      <c r="AF575" s="146" t="s">
        <v>417</v>
      </c>
      <c r="AG575" s="708"/>
    </row>
    <row r="576" ht="24.95" customHeight="1" spans="1:33">
      <c r="A576" s="705"/>
      <c r="B576" s="714" t="s">
        <v>55</v>
      </c>
      <c r="C576" s="715" t="s">
        <v>52</v>
      </c>
      <c r="D576" s="716" t="s">
        <v>45</v>
      </c>
      <c r="E576" s="708">
        <v>1</v>
      </c>
      <c r="F576" s="714" t="str">
        <f t="shared" si="76"/>
        <v>大河镇</v>
      </c>
      <c r="G576" s="92"/>
      <c r="H576" s="726">
        <v>60</v>
      </c>
      <c r="I576" s="146">
        <v>60</v>
      </c>
      <c r="J576" s="726"/>
      <c r="K576" s="726"/>
      <c r="L576" s="726">
        <v>2018.01</v>
      </c>
      <c r="M576" s="726">
        <v>2018.12</v>
      </c>
      <c r="N576" s="146">
        <v>9</v>
      </c>
      <c r="O576" s="726">
        <v>9</v>
      </c>
      <c r="P576" s="726"/>
      <c r="Q576" s="726"/>
      <c r="R576" s="726"/>
      <c r="S576" s="726">
        <v>9</v>
      </c>
      <c r="T576" s="726"/>
      <c r="U576" s="726"/>
      <c r="V576" s="726"/>
      <c r="W576" s="726"/>
      <c r="X576" s="708" t="s">
        <v>47</v>
      </c>
      <c r="Y576" s="152"/>
      <c r="Z576" s="152"/>
      <c r="AA576" s="708">
        <v>1</v>
      </c>
      <c r="AB576" s="708"/>
      <c r="AC576" s="708"/>
      <c r="AD576" s="146" t="s">
        <v>395</v>
      </c>
      <c r="AE576" s="146" t="s">
        <v>441</v>
      </c>
      <c r="AF576" s="146" t="s">
        <v>417</v>
      </c>
      <c r="AG576" s="708"/>
    </row>
    <row r="577" ht="24.95" customHeight="1" spans="1:33">
      <c r="A577" s="705"/>
      <c r="B577" s="714" t="s">
        <v>91</v>
      </c>
      <c r="C577" s="146" t="s">
        <v>52</v>
      </c>
      <c r="D577" s="152" t="s">
        <v>45</v>
      </c>
      <c r="E577" s="708"/>
      <c r="F577" s="714" t="str">
        <f t="shared" si="76"/>
        <v>墨红镇</v>
      </c>
      <c r="G577" s="92"/>
      <c r="H577" s="726"/>
      <c r="I577" s="146"/>
      <c r="J577" s="726"/>
      <c r="K577" s="726"/>
      <c r="L577" s="726"/>
      <c r="M577" s="726"/>
      <c r="N577" s="146"/>
      <c r="O577" s="726"/>
      <c r="P577" s="726"/>
      <c r="Q577" s="726"/>
      <c r="R577" s="726"/>
      <c r="S577" s="726"/>
      <c r="T577" s="726"/>
      <c r="U577" s="726"/>
      <c r="V577" s="726"/>
      <c r="W577" s="726"/>
      <c r="X577" s="708" t="s">
        <v>47</v>
      </c>
      <c r="Y577" s="152"/>
      <c r="Z577" s="152"/>
      <c r="AA577" s="708"/>
      <c r="AB577" s="708"/>
      <c r="AC577" s="708"/>
      <c r="AD577" s="146"/>
      <c r="AE577" s="146"/>
      <c r="AF577" s="146"/>
      <c r="AG577" s="708"/>
    </row>
    <row r="578" ht="24.95" customHeight="1" spans="1:33">
      <c r="A578" s="705"/>
      <c r="B578" s="714" t="s">
        <v>92</v>
      </c>
      <c r="C578" s="146" t="s">
        <v>52</v>
      </c>
      <c r="D578" s="152" t="s">
        <v>45</v>
      </c>
      <c r="E578" s="708"/>
      <c r="F578" s="714" t="str">
        <f t="shared" si="76"/>
        <v>老厂镇</v>
      </c>
      <c r="G578" s="92"/>
      <c r="H578" s="726"/>
      <c r="I578" s="146"/>
      <c r="J578" s="726"/>
      <c r="K578" s="726"/>
      <c r="L578" s="726"/>
      <c r="M578" s="726"/>
      <c r="N578" s="146"/>
      <c r="O578" s="726"/>
      <c r="P578" s="726"/>
      <c r="Q578" s="726"/>
      <c r="R578" s="726"/>
      <c r="S578" s="726"/>
      <c r="T578" s="726"/>
      <c r="U578" s="726"/>
      <c r="V578" s="726"/>
      <c r="W578" s="726"/>
      <c r="X578" s="708" t="s">
        <v>47</v>
      </c>
      <c r="Y578" s="152"/>
      <c r="Z578" s="152"/>
      <c r="AA578" s="708"/>
      <c r="AB578" s="708"/>
      <c r="AC578" s="708"/>
      <c r="AD578" s="146"/>
      <c r="AE578" s="146"/>
      <c r="AF578" s="146"/>
      <c r="AG578" s="708"/>
    </row>
    <row r="579" ht="24.95" customHeight="1" spans="1:33">
      <c r="A579" s="705"/>
      <c r="B579" s="714" t="s">
        <v>61</v>
      </c>
      <c r="C579" s="146" t="s">
        <v>52</v>
      </c>
      <c r="D579" s="152" t="s">
        <v>45</v>
      </c>
      <c r="E579" s="708"/>
      <c r="F579" s="714" t="str">
        <f t="shared" si="76"/>
        <v>富村镇</v>
      </c>
      <c r="G579" s="92"/>
      <c r="H579" s="726"/>
      <c r="I579" s="146"/>
      <c r="J579" s="726"/>
      <c r="K579" s="726"/>
      <c r="L579" s="726"/>
      <c r="M579" s="726"/>
      <c r="N579" s="146"/>
      <c r="O579" s="726"/>
      <c r="P579" s="726"/>
      <c r="Q579" s="726"/>
      <c r="R579" s="726"/>
      <c r="S579" s="726"/>
      <c r="T579" s="726"/>
      <c r="U579" s="726"/>
      <c r="V579" s="726"/>
      <c r="W579" s="726"/>
      <c r="X579" s="708" t="s">
        <v>47</v>
      </c>
      <c r="Y579" s="152"/>
      <c r="Z579" s="152"/>
      <c r="AA579" s="708"/>
      <c r="AB579" s="708"/>
      <c r="AC579" s="708"/>
      <c r="AD579" s="146"/>
      <c r="AE579" s="146"/>
      <c r="AF579" s="146"/>
      <c r="AG579" s="708"/>
    </row>
    <row r="580" ht="24.95" customHeight="1" spans="1:33">
      <c r="A580" s="705">
        <v>73</v>
      </c>
      <c r="B580" s="791" t="s">
        <v>423</v>
      </c>
      <c r="C580" s="708"/>
      <c r="D580" s="709" t="s">
        <v>147</v>
      </c>
      <c r="E580" s="708">
        <f>SUM(E581:E589)</f>
        <v>6</v>
      </c>
      <c r="F580" s="708"/>
      <c r="G580" s="708"/>
      <c r="H580" s="726">
        <f t="shared" ref="F580:AB580" si="85">SUM(H581:H589)</f>
        <v>425</v>
      </c>
      <c r="I580" s="726">
        <f t="shared" si="85"/>
        <v>425</v>
      </c>
      <c r="J580" s="726">
        <f t="shared" si="85"/>
        <v>0</v>
      </c>
      <c r="K580" s="726">
        <f t="shared" si="85"/>
        <v>0</v>
      </c>
      <c r="L580" s="726"/>
      <c r="M580" s="726"/>
      <c r="N580" s="726">
        <f t="shared" si="85"/>
        <v>340</v>
      </c>
      <c r="O580" s="726">
        <f t="shared" si="85"/>
        <v>340</v>
      </c>
      <c r="P580" s="726">
        <f t="shared" si="85"/>
        <v>0</v>
      </c>
      <c r="Q580" s="726">
        <f t="shared" si="85"/>
        <v>0</v>
      </c>
      <c r="R580" s="726">
        <f t="shared" si="85"/>
        <v>0</v>
      </c>
      <c r="S580" s="726">
        <f t="shared" si="85"/>
        <v>340</v>
      </c>
      <c r="T580" s="726">
        <f t="shared" si="85"/>
        <v>0</v>
      </c>
      <c r="U580" s="726">
        <f t="shared" si="85"/>
        <v>0</v>
      </c>
      <c r="V580" s="726">
        <f t="shared" si="85"/>
        <v>0</v>
      </c>
      <c r="W580" s="708"/>
      <c r="X580" s="708" t="s">
        <v>47</v>
      </c>
      <c r="Y580" s="708">
        <f t="shared" si="85"/>
        <v>425</v>
      </c>
      <c r="Z580" s="708">
        <f t="shared" si="85"/>
        <v>1827.5</v>
      </c>
      <c r="AA580" s="708">
        <f t="shared" si="85"/>
        <v>6</v>
      </c>
      <c r="AB580" s="708">
        <f t="shared" si="85"/>
        <v>0</v>
      </c>
      <c r="AC580" s="708"/>
      <c r="AD580" s="146" t="s">
        <v>415</v>
      </c>
      <c r="AE580" s="146" t="s">
        <v>424</v>
      </c>
      <c r="AF580" s="146" t="s">
        <v>417</v>
      </c>
      <c r="AG580" s="708" t="s">
        <v>41</v>
      </c>
    </row>
    <row r="581" ht="24.95" customHeight="1" spans="1:33">
      <c r="A581" s="705"/>
      <c r="B581" s="199" t="s">
        <v>69</v>
      </c>
      <c r="C581" s="146" t="s">
        <v>52</v>
      </c>
      <c r="D581" s="141" t="s">
        <v>147</v>
      </c>
      <c r="E581" s="708">
        <v>1</v>
      </c>
      <c r="F581" s="199" t="str">
        <f t="shared" si="76"/>
        <v>中安街道</v>
      </c>
      <c r="G581" s="708"/>
      <c r="H581" s="726">
        <v>134</v>
      </c>
      <c r="I581" s="726">
        <v>134</v>
      </c>
      <c r="J581" s="726"/>
      <c r="K581" s="726"/>
      <c r="L581" s="726">
        <v>2018.01</v>
      </c>
      <c r="M581" s="726">
        <v>2018.12</v>
      </c>
      <c r="N581" s="726">
        <v>107.2</v>
      </c>
      <c r="O581" s="726">
        <v>107.2</v>
      </c>
      <c r="P581" s="726"/>
      <c r="Q581" s="726"/>
      <c r="R581" s="726"/>
      <c r="S581" s="726">
        <v>107.2</v>
      </c>
      <c r="T581" s="726"/>
      <c r="U581" s="726"/>
      <c r="V581" s="726"/>
      <c r="W581" s="726"/>
      <c r="X581" s="708" t="s">
        <v>47</v>
      </c>
      <c r="Y581" s="152">
        <v>134</v>
      </c>
      <c r="Z581" s="763">
        <f t="shared" ref="Z581:Z586" si="86">Y581*4.3</f>
        <v>576.2</v>
      </c>
      <c r="AA581" s="708">
        <v>1</v>
      </c>
      <c r="AB581" s="708"/>
      <c r="AC581" s="708"/>
      <c r="AD581" s="146" t="s">
        <v>425</v>
      </c>
      <c r="AE581" s="146" t="s">
        <v>426</v>
      </c>
      <c r="AF581" s="146" t="s">
        <v>417</v>
      </c>
      <c r="AG581" s="708"/>
    </row>
    <row r="582" ht="24.95" customHeight="1" spans="1:33">
      <c r="A582" s="705"/>
      <c r="B582" s="199" t="s">
        <v>51</v>
      </c>
      <c r="C582" s="146" t="s">
        <v>52</v>
      </c>
      <c r="D582" s="141" t="s">
        <v>147</v>
      </c>
      <c r="E582" s="708">
        <v>1</v>
      </c>
      <c r="F582" s="199" t="str">
        <f t="shared" si="76"/>
        <v>胜境街道</v>
      </c>
      <c r="G582" s="708"/>
      <c r="H582" s="726">
        <v>84</v>
      </c>
      <c r="I582" s="726">
        <v>84</v>
      </c>
      <c r="J582" s="726"/>
      <c r="K582" s="726"/>
      <c r="L582" s="726">
        <v>2018.01</v>
      </c>
      <c r="M582" s="726">
        <v>2018.12</v>
      </c>
      <c r="N582" s="726">
        <v>67.2</v>
      </c>
      <c r="O582" s="726">
        <v>67.2</v>
      </c>
      <c r="P582" s="726"/>
      <c r="Q582" s="726"/>
      <c r="R582" s="726"/>
      <c r="S582" s="726">
        <v>67.2</v>
      </c>
      <c r="T582" s="726"/>
      <c r="U582" s="726"/>
      <c r="V582" s="726"/>
      <c r="W582" s="726"/>
      <c r="X582" s="708" t="s">
        <v>47</v>
      </c>
      <c r="Y582" s="152">
        <v>84</v>
      </c>
      <c r="Z582" s="763">
        <f t="shared" si="86"/>
        <v>361.2</v>
      </c>
      <c r="AA582" s="708">
        <v>1</v>
      </c>
      <c r="AB582" s="708"/>
      <c r="AC582" s="708"/>
      <c r="AD582" s="71" t="s">
        <v>53</v>
      </c>
      <c r="AE582" s="71" t="s">
        <v>427</v>
      </c>
      <c r="AF582" s="146" t="s">
        <v>417</v>
      </c>
      <c r="AG582" s="708"/>
    </row>
    <row r="583" ht="24.95" customHeight="1" spans="1:33">
      <c r="A583" s="705"/>
      <c r="B583" s="199" t="s">
        <v>72</v>
      </c>
      <c r="C583" s="146" t="s">
        <v>52</v>
      </c>
      <c r="D583" s="141" t="s">
        <v>147</v>
      </c>
      <c r="E583" s="708">
        <v>1</v>
      </c>
      <c r="F583" s="199" t="str">
        <f t="shared" si="76"/>
        <v>后所镇</v>
      </c>
      <c r="G583" s="708"/>
      <c r="H583" s="726">
        <v>103</v>
      </c>
      <c r="I583" s="726">
        <v>103</v>
      </c>
      <c r="J583" s="726"/>
      <c r="K583" s="726"/>
      <c r="L583" s="726">
        <v>2018.01</v>
      </c>
      <c r="M583" s="726">
        <v>2018.12</v>
      </c>
      <c r="N583" s="726">
        <v>82.4</v>
      </c>
      <c r="O583" s="726">
        <v>82.4</v>
      </c>
      <c r="P583" s="726"/>
      <c r="Q583" s="726"/>
      <c r="R583" s="726"/>
      <c r="S583" s="726">
        <v>82.4</v>
      </c>
      <c r="T583" s="726"/>
      <c r="U583" s="726"/>
      <c r="V583" s="726"/>
      <c r="W583" s="726"/>
      <c r="X583" s="708" t="s">
        <v>47</v>
      </c>
      <c r="Y583" s="152">
        <v>103</v>
      </c>
      <c r="Z583" s="763">
        <f t="shared" si="86"/>
        <v>442.9</v>
      </c>
      <c r="AA583" s="708">
        <v>1</v>
      </c>
      <c r="AB583" s="708"/>
      <c r="AC583" s="708"/>
      <c r="AD583" s="146" t="s">
        <v>428</v>
      </c>
      <c r="AE583" s="146" t="s">
        <v>429</v>
      </c>
      <c r="AF583" s="146" t="s">
        <v>417</v>
      </c>
      <c r="AG583" s="708"/>
    </row>
    <row r="584" ht="24.95" customHeight="1" spans="1:33">
      <c r="A584" s="705"/>
      <c r="B584" s="199" t="s">
        <v>58</v>
      </c>
      <c r="C584" s="146" t="s">
        <v>52</v>
      </c>
      <c r="D584" s="141" t="s">
        <v>147</v>
      </c>
      <c r="E584" s="708">
        <v>1</v>
      </c>
      <c r="F584" s="199" t="str">
        <f t="shared" si="76"/>
        <v>竹园镇</v>
      </c>
      <c r="G584" s="708"/>
      <c r="H584" s="726">
        <v>7</v>
      </c>
      <c r="I584" s="726">
        <v>7</v>
      </c>
      <c r="J584" s="726"/>
      <c r="K584" s="726"/>
      <c r="L584" s="726">
        <v>2018.01</v>
      </c>
      <c r="M584" s="726">
        <v>2018.12</v>
      </c>
      <c r="N584" s="726">
        <v>5.6</v>
      </c>
      <c r="O584" s="726">
        <v>5.6</v>
      </c>
      <c r="P584" s="726"/>
      <c r="Q584" s="726"/>
      <c r="R584" s="726"/>
      <c r="S584" s="726">
        <v>5.6</v>
      </c>
      <c r="T584" s="726"/>
      <c r="U584" s="726"/>
      <c r="V584" s="726"/>
      <c r="W584" s="726"/>
      <c r="X584" s="708" t="s">
        <v>47</v>
      </c>
      <c r="Y584" s="152">
        <v>7</v>
      </c>
      <c r="Z584" s="763">
        <f t="shared" si="86"/>
        <v>30.1</v>
      </c>
      <c r="AA584" s="708">
        <v>1</v>
      </c>
      <c r="AB584" s="708"/>
      <c r="AC584" s="708"/>
      <c r="AD584" s="86" t="s">
        <v>399</v>
      </c>
      <c r="AE584" s="86" t="s">
        <v>430</v>
      </c>
      <c r="AF584" s="146" t="s">
        <v>417</v>
      </c>
      <c r="AG584" s="708"/>
    </row>
    <row r="585" ht="24.95" customHeight="1" spans="1:33">
      <c r="A585" s="705"/>
      <c r="B585" s="199" t="s">
        <v>78</v>
      </c>
      <c r="C585" s="146" t="s">
        <v>52</v>
      </c>
      <c r="D585" s="141" t="s">
        <v>147</v>
      </c>
      <c r="E585" s="708">
        <v>1</v>
      </c>
      <c r="F585" s="199" t="str">
        <f t="shared" si="76"/>
        <v>黄泥河镇</v>
      </c>
      <c r="G585" s="708"/>
      <c r="H585" s="726">
        <v>87</v>
      </c>
      <c r="I585" s="726">
        <v>87</v>
      </c>
      <c r="J585" s="726"/>
      <c r="K585" s="726"/>
      <c r="L585" s="726">
        <v>2018.01</v>
      </c>
      <c r="M585" s="726">
        <v>2018.12</v>
      </c>
      <c r="N585" s="726">
        <v>69.6</v>
      </c>
      <c r="O585" s="726">
        <v>69.6</v>
      </c>
      <c r="P585" s="726"/>
      <c r="Q585" s="726"/>
      <c r="R585" s="726"/>
      <c r="S585" s="726">
        <v>69.6</v>
      </c>
      <c r="T585" s="726"/>
      <c r="U585" s="726"/>
      <c r="V585" s="726"/>
      <c r="W585" s="726"/>
      <c r="X585" s="708" t="s">
        <v>47</v>
      </c>
      <c r="Y585" s="152">
        <v>87</v>
      </c>
      <c r="Z585" s="763">
        <f t="shared" si="86"/>
        <v>374.1</v>
      </c>
      <c r="AA585" s="708">
        <v>1</v>
      </c>
      <c r="AB585" s="708"/>
      <c r="AC585" s="708"/>
      <c r="AD585" s="86" t="s">
        <v>217</v>
      </c>
      <c r="AE585" s="71" t="s">
        <v>431</v>
      </c>
      <c r="AF585" s="146" t="s">
        <v>417</v>
      </c>
      <c r="AG585" s="708"/>
    </row>
    <row r="586" ht="24.95" customHeight="1" spans="1:33">
      <c r="A586" s="705"/>
      <c r="B586" s="199" t="s">
        <v>92</v>
      </c>
      <c r="C586" s="146" t="s">
        <v>52</v>
      </c>
      <c r="D586" s="141" t="s">
        <v>147</v>
      </c>
      <c r="E586" s="708">
        <v>1</v>
      </c>
      <c r="F586" s="199" t="str">
        <f t="shared" si="76"/>
        <v>老厂镇</v>
      </c>
      <c r="G586" s="708"/>
      <c r="H586" s="726">
        <v>10</v>
      </c>
      <c r="I586" s="726">
        <v>10</v>
      </c>
      <c r="J586" s="726"/>
      <c r="K586" s="726"/>
      <c r="L586" s="726">
        <v>2018.01</v>
      </c>
      <c r="M586" s="726">
        <v>2018.12</v>
      </c>
      <c r="N586" s="726">
        <v>8</v>
      </c>
      <c r="O586" s="726">
        <v>8</v>
      </c>
      <c r="P586" s="726"/>
      <c r="Q586" s="726"/>
      <c r="R586" s="726"/>
      <c r="S586" s="726">
        <v>8</v>
      </c>
      <c r="T586" s="726"/>
      <c r="U586" s="726"/>
      <c r="V586" s="726"/>
      <c r="W586" s="726"/>
      <c r="X586" s="708" t="s">
        <v>47</v>
      </c>
      <c r="Y586" s="152">
        <v>10</v>
      </c>
      <c r="Z586" s="763">
        <f t="shared" si="86"/>
        <v>43</v>
      </c>
      <c r="AA586" s="708">
        <v>1</v>
      </c>
      <c r="AB586" s="708"/>
      <c r="AC586" s="708"/>
      <c r="AD586" s="86" t="s">
        <v>93</v>
      </c>
      <c r="AE586" s="86" t="s">
        <v>420</v>
      </c>
      <c r="AF586" s="146" t="s">
        <v>417</v>
      </c>
      <c r="AG586" s="708"/>
    </row>
    <row r="587" ht="24.95" customHeight="1" spans="1:33">
      <c r="A587" s="705"/>
      <c r="B587" s="199" t="s">
        <v>61</v>
      </c>
      <c r="C587" s="146" t="s">
        <v>52</v>
      </c>
      <c r="D587" s="141" t="s">
        <v>147</v>
      </c>
      <c r="E587" s="708"/>
      <c r="F587" s="199" t="str">
        <f t="shared" si="76"/>
        <v>富村镇</v>
      </c>
      <c r="G587" s="708"/>
      <c r="H587" s="726"/>
      <c r="I587" s="726"/>
      <c r="J587" s="726"/>
      <c r="K587" s="726"/>
      <c r="L587" s="726"/>
      <c r="M587" s="726"/>
      <c r="N587" s="726"/>
      <c r="O587" s="726"/>
      <c r="P587" s="726"/>
      <c r="Q587" s="726"/>
      <c r="R587" s="726"/>
      <c r="S587" s="726"/>
      <c r="T587" s="726"/>
      <c r="U587" s="726"/>
      <c r="V587" s="726"/>
      <c r="W587" s="726"/>
      <c r="X587" s="708" t="s">
        <v>47</v>
      </c>
      <c r="Y587" s="726"/>
      <c r="Z587" s="726"/>
      <c r="AA587" s="708"/>
      <c r="AB587" s="708"/>
      <c r="AC587" s="708"/>
      <c r="AD587" s="708"/>
      <c r="AE587" s="708"/>
      <c r="AF587" s="708"/>
      <c r="AG587" s="708"/>
    </row>
    <row r="588" ht="24.95" customHeight="1" spans="1:33">
      <c r="A588" s="705"/>
      <c r="B588" s="199" t="s">
        <v>64</v>
      </c>
      <c r="C588" s="146" t="s">
        <v>52</v>
      </c>
      <c r="D588" s="141" t="s">
        <v>147</v>
      </c>
      <c r="E588" s="708"/>
      <c r="F588" s="199" t="str">
        <f t="shared" ref="F588:F651" si="87">B588</f>
        <v>十八连山镇</v>
      </c>
      <c r="G588" s="708"/>
      <c r="H588" s="726"/>
      <c r="I588" s="726"/>
      <c r="J588" s="726"/>
      <c r="K588" s="726"/>
      <c r="L588" s="726"/>
      <c r="M588" s="726"/>
      <c r="N588" s="726"/>
      <c r="O588" s="726"/>
      <c r="P588" s="726"/>
      <c r="Q588" s="726"/>
      <c r="R588" s="726"/>
      <c r="S588" s="726"/>
      <c r="T588" s="726"/>
      <c r="U588" s="726"/>
      <c r="V588" s="726"/>
      <c r="W588" s="726"/>
      <c r="X588" s="708" t="s">
        <v>47</v>
      </c>
      <c r="Y588" s="726"/>
      <c r="Z588" s="726"/>
      <c r="AA588" s="708"/>
      <c r="AB588" s="708"/>
      <c r="AC588" s="708"/>
      <c r="AD588" s="708"/>
      <c r="AE588" s="708"/>
      <c r="AF588" s="708"/>
      <c r="AG588" s="708"/>
    </row>
    <row r="589" ht="24.95" customHeight="1" spans="1:33">
      <c r="A589" s="705"/>
      <c r="B589" s="199" t="s">
        <v>114</v>
      </c>
      <c r="C589" s="146" t="s">
        <v>52</v>
      </c>
      <c r="D589" s="141" t="s">
        <v>147</v>
      </c>
      <c r="E589" s="708"/>
      <c r="F589" s="199" t="str">
        <f t="shared" si="87"/>
        <v>古敢乡</v>
      </c>
      <c r="G589" s="708"/>
      <c r="H589" s="726"/>
      <c r="I589" s="726"/>
      <c r="J589" s="726"/>
      <c r="K589" s="726"/>
      <c r="L589" s="726"/>
      <c r="M589" s="726"/>
      <c r="N589" s="726"/>
      <c r="O589" s="726"/>
      <c r="P589" s="726"/>
      <c r="Q589" s="726"/>
      <c r="R589" s="726"/>
      <c r="S589" s="726"/>
      <c r="T589" s="726"/>
      <c r="U589" s="726"/>
      <c r="V589" s="726"/>
      <c r="W589" s="726"/>
      <c r="X589" s="708" t="s">
        <v>47</v>
      </c>
      <c r="Y589" s="726"/>
      <c r="Z589" s="726"/>
      <c r="AA589" s="708"/>
      <c r="AB589" s="708"/>
      <c r="AC589" s="708"/>
      <c r="AD589" s="708"/>
      <c r="AE589" s="708"/>
      <c r="AF589" s="708"/>
      <c r="AG589" s="708"/>
    </row>
    <row r="590" ht="24.95" customHeight="1" spans="1:33">
      <c r="A590" s="705">
        <v>74</v>
      </c>
      <c r="B590" s="791" t="s">
        <v>434</v>
      </c>
      <c r="C590" s="708"/>
      <c r="D590" s="709" t="s">
        <v>147</v>
      </c>
      <c r="E590" s="708"/>
      <c r="F590" s="708"/>
      <c r="G590" s="708"/>
      <c r="H590" s="726"/>
      <c r="I590" s="726"/>
      <c r="J590" s="726"/>
      <c r="K590" s="726"/>
      <c r="L590" s="726"/>
      <c r="M590" s="726"/>
      <c r="N590" s="726"/>
      <c r="O590" s="726"/>
      <c r="P590" s="726"/>
      <c r="Q590" s="726"/>
      <c r="R590" s="726"/>
      <c r="S590" s="726"/>
      <c r="T590" s="726"/>
      <c r="U590" s="726"/>
      <c r="V590" s="726"/>
      <c r="W590" s="726"/>
      <c r="X590" s="726"/>
      <c r="Y590" s="726"/>
      <c r="Z590" s="726"/>
      <c r="AA590" s="708"/>
      <c r="AB590" s="708"/>
      <c r="AC590" s="708"/>
      <c r="AD590" s="708"/>
      <c r="AE590" s="708"/>
      <c r="AF590" s="708" t="s">
        <v>435</v>
      </c>
      <c r="AG590" s="708" t="s">
        <v>41</v>
      </c>
    </row>
    <row r="591" ht="24.95" customHeight="1" spans="1:33">
      <c r="A591" s="705" t="s">
        <v>48</v>
      </c>
      <c r="B591" s="92" t="s">
        <v>148</v>
      </c>
      <c r="C591" s="92"/>
      <c r="D591" s="76"/>
      <c r="E591" s="92"/>
      <c r="F591" s="92"/>
      <c r="G591" s="92"/>
      <c r="H591" s="724"/>
      <c r="I591" s="724"/>
      <c r="J591" s="724"/>
      <c r="K591" s="724"/>
      <c r="L591" s="724"/>
      <c r="M591" s="724"/>
      <c r="N591" s="724"/>
      <c r="O591" s="724"/>
      <c r="P591" s="724"/>
      <c r="Q591" s="724"/>
      <c r="R591" s="724"/>
      <c r="S591" s="724"/>
      <c r="T591" s="724"/>
      <c r="U591" s="724"/>
      <c r="V591" s="724"/>
      <c r="W591" s="92"/>
      <c r="X591" s="92"/>
      <c r="Y591" s="92"/>
      <c r="Z591" s="92"/>
      <c r="AA591" s="92"/>
      <c r="AB591" s="92"/>
      <c r="AC591" s="92"/>
      <c r="AD591" s="92"/>
      <c r="AE591" s="92"/>
      <c r="AF591" s="92"/>
      <c r="AG591" s="92"/>
    </row>
    <row r="592" ht="40" customHeight="1" spans="1:33">
      <c r="A592" s="705">
        <v>75</v>
      </c>
      <c r="B592" s="708" t="s">
        <v>436</v>
      </c>
      <c r="C592" s="708"/>
      <c r="D592" s="709" t="s">
        <v>150</v>
      </c>
      <c r="E592" s="708"/>
      <c r="F592" s="708"/>
      <c r="G592" s="708"/>
      <c r="H592" s="726"/>
      <c r="I592" s="726"/>
      <c r="J592" s="726"/>
      <c r="K592" s="726"/>
      <c r="L592" s="726"/>
      <c r="M592" s="726"/>
      <c r="N592" s="726"/>
      <c r="O592" s="726"/>
      <c r="P592" s="726"/>
      <c r="Q592" s="726"/>
      <c r="R592" s="726"/>
      <c r="S592" s="726"/>
      <c r="T592" s="726"/>
      <c r="U592" s="726"/>
      <c r="V592" s="726"/>
      <c r="W592" s="726"/>
      <c r="X592" s="726"/>
      <c r="Y592" s="726"/>
      <c r="Z592" s="726"/>
      <c r="AA592" s="708"/>
      <c r="AB592" s="708"/>
      <c r="AC592" s="708"/>
      <c r="AD592" s="708"/>
      <c r="AE592" s="708"/>
      <c r="AF592" s="708" t="s">
        <v>417</v>
      </c>
      <c r="AG592" s="708" t="s">
        <v>41</v>
      </c>
    </row>
    <row r="593" ht="24.95" customHeight="1" spans="1:33">
      <c r="A593" s="705" t="s">
        <v>48</v>
      </c>
      <c r="B593" s="92" t="s">
        <v>148</v>
      </c>
      <c r="C593" s="92"/>
      <c r="D593" s="76"/>
      <c r="E593" s="92"/>
      <c r="F593" s="92"/>
      <c r="G593" s="92"/>
      <c r="H593" s="724"/>
      <c r="I593" s="724"/>
      <c r="J593" s="724"/>
      <c r="K593" s="724"/>
      <c r="L593" s="724"/>
      <c r="M593" s="724"/>
      <c r="N593" s="724"/>
      <c r="O593" s="724"/>
      <c r="P593" s="724"/>
      <c r="Q593" s="724"/>
      <c r="R593" s="724"/>
      <c r="S593" s="724"/>
      <c r="T593" s="724"/>
      <c r="U593" s="724"/>
      <c r="V593" s="724"/>
      <c r="W593" s="724"/>
      <c r="X593" s="724"/>
      <c r="Y593" s="724"/>
      <c r="Z593" s="724"/>
      <c r="AA593" s="92"/>
      <c r="AB593" s="92"/>
      <c r="AC593" s="92"/>
      <c r="AD593" s="92"/>
      <c r="AE593" s="92"/>
      <c r="AF593" s="92"/>
      <c r="AG593" s="92"/>
    </row>
    <row r="594" customFormat="1" ht="24.95" customHeight="1" spans="1:33">
      <c r="A594" s="705"/>
      <c r="B594" s="711" t="s">
        <v>437</v>
      </c>
      <c r="C594" s="141" t="s">
        <v>52</v>
      </c>
      <c r="D594" s="141" t="s">
        <v>438</v>
      </c>
      <c r="E594" s="92">
        <f>SUM(E595:E606)</f>
        <v>12</v>
      </c>
      <c r="F594" s="92"/>
      <c r="G594" s="92"/>
      <c r="H594" s="724">
        <f t="shared" ref="F594:AA594" si="88">SUM(H595:H606)</f>
        <v>2000</v>
      </c>
      <c r="I594" s="724">
        <f t="shared" si="88"/>
        <v>2000</v>
      </c>
      <c r="J594" s="724">
        <f t="shared" si="88"/>
        <v>0</v>
      </c>
      <c r="K594" s="724">
        <f t="shared" si="88"/>
        <v>0</v>
      </c>
      <c r="L594" s="724"/>
      <c r="M594" s="724"/>
      <c r="N594" s="724">
        <f t="shared" si="88"/>
        <v>200</v>
      </c>
      <c r="O594" s="724">
        <f t="shared" si="88"/>
        <v>200</v>
      </c>
      <c r="P594" s="724">
        <f t="shared" si="88"/>
        <v>0</v>
      </c>
      <c r="Q594" s="724">
        <f t="shared" si="88"/>
        <v>0</v>
      </c>
      <c r="R594" s="724">
        <f t="shared" si="88"/>
        <v>0</v>
      </c>
      <c r="S594" s="724">
        <f t="shared" si="88"/>
        <v>200</v>
      </c>
      <c r="T594" s="724">
        <f t="shared" si="88"/>
        <v>0</v>
      </c>
      <c r="U594" s="724">
        <f t="shared" si="88"/>
        <v>0</v>
      </c>
      <c r="V594" s="724">
        <f t="shared" si="88"/>
        <v>0</v>
      </c>
      <c r="W594" s="92"/>
      <c r="X594" s="92" t="s">
        <v>439</v>
      </c>
      <c r="Y594" s="92">
        <f t="shared" si="88"/>
        <v>2000</v>
      </c>
      <c r="Z594" s="92">
        <f t="shared" si="88"/>
        <v>8600</v>
      </c>
      <c r="AA594" s="92">
        <f t="shared" si="88"/>
        <v>12</v>
      </c>
      <c r="AB594" s="92"/>
      <c r="AC594" s="92"/>
      <c r="AD594" s="146" t="s">
        <v>415</v>
      </c>
      <c r="AE594" s="146" t="s">
        <v>440</v>
      </c>
      <c r="AF594" s="146" t="s">
        <v>417</v>
      </c>
      <c r="AG594" s="92"/>
    </row>
    <row r="595" customFormat="1" ht="24.95" customHeight="1" spans="1:33">
      <c r="A595" s="705"/>
      <c r="B595" s="199" t="s">
        <v>69</v>
      </c>
      <c r="C595" s="141" t="s">
        <v>52</v>
      </c>
      <c r="D595" s="141" t="s">
        <v>438</v>
      </c>
      <c r="E595" s="92">
        <v>1</v>
      </c>
      <c r="F595" s="199" t="str">
        <f t="shared" si="87"/>
        <v>中安街道</v>
      </c>
      <c r="G595" s="92"/>
      <c r="H595" s="724">
        <f t="shared" ref="H595:H606" si="89">N595/0.1</f>
        <v>100</v>
      </c>
      <c r="I595" s="724">
        <v>100</v>
      </c>
      <c r="J595" s="724"/>
      <c r="K595" s="724"/>
      <c r="L595" s="726">
        <v>2018.01</v>
      </c>
      <c r="M595" s="726">
        <v>2018.12</v>
      </c>
      <c r="N595" s="724">
        <v>10</v>
      </c>
      <c r="O595" s="724">
        <v>10</v>
      </c>
      <c r="P595" s="724"/>
      <c r="Q595" s="724"/>
      <c r="R595" s="724"/>
      <c r="S595" s="724">
        <v>10</v>
      </c>
      <c r="T595" s="724"/>
      <c r="U595" s="724"/>
      <c r="V595" s="724"/>
      <c r="W595" s="724"/>
      <c r="X595" s="92" t="s">
        <v>439</v>
      </c>
      <c r="Y595" s="92">
        <v>100</v>
      </c>
      <c r="Z595" s="738">
        <f t="shared" ref="Z595:Z606" si="90">Y595*4.3</f>
        <v>430</v>
      </c>
      <c r="AA595" s="92">
        <v>1</v>
      </c>
      <c r="AB595" s="92"/>
      <c r="AC595" s="92"/>
      <c r="AD595" s="146" t="s">
        <v>425</v>
      </c>
      <c r="AE595" s="146" t="s">
        <v>426</v>
      </c>
      <c r="AF595" s="146" t="s">
        <v>417</v>
      </c>
      <c r="AG595" s="92"/>
    </row>
    <row r="596" customFormat="1" ht="24.95" customHeight="1" spans="1:33">
      <c r="A596" s="705"/>
      <c r="B596" s="199" t="s">
        <v>51</v>
      </c>
      <c r="C596" s="141" t="s">
        <v>52</v>
      </c>
      <c r="D596" s="141" t="s">
        <v>438</v>
      </c>
      <c r="E596" s="92">
        <v>1</v>
      </c>
      <c r="F596" s="199" t="str">
        <f t="shared" si="87"/>
        <v>胜境街道</v>
      </c>
      <c r="G596" s="92"/>
      <c r="H596" s="724">
        <f t="shared" si="89"/>
        <v>100</v>
      </c>
      <c r="I596" s="724">
        <v>100</v>
      </c>
      <c r="J596" s="724"/>
      <c r="K596" s="724"/>
      <c r="L596" s="726">
        <v>2018.01</v>
      </c>
      <c r="M596" s="726">
        <v>2018.12</v>
      </c>
      <c r="N596" s="724">
        <v>10</v>
      </c>
      <c r="O596" s="724">
        <v>10</v>
      </c>
      <c r="P596" s="724"/>
      <c r="Q596" s="724"/>
      <c r="R596" s="724"/>
      <c r="S596" s="724">
        <v>10</v>
      </c>
      <c r="T596" s="724"/>
      <c r="U596" s="724"/>
      <c r="V596" s="724"/>
      <c r="W596" s="724"/>
      <c r="X596" s="92" t="s">
        <v>439</v>
      </c>
      <c r="Y596" s="92">
        <v>100</v>
      </c>
      <c r="Z596" s="738">
        <f t="shared" si="90"/>
        <v>430</v>
      </c>
      <c r="AA596" s="92">
        <v>1</v>
      </c>
      <c r="AB596" s="92"/>
      <c r="AC596" s="92"/>
      <c r="AD596" s="71" t="s">
        <v>53</v>
      </c>
      <c r="AE596" s="71" t="s">
        <v>427</v>
      </c>
      <c r="AF596" s="146" t="s">
        <v>417</v>
      </c>
      <c r="AG596" s="92"/>
    </row>
    <row r="597" customFormat="1" ht="24.95" customHeight="1" spans="1:33">
      <c r="A597" s="705"/>
      <c r="B597" s="199" t="s">
        <v>72</v>
      </c>
      <c r="C597" s="141" t="s">
        <v>52</v>
      </c>
      <c r="D597" s="141" t="s">
        <v>438</v>
      </c>
      <c r="E597" s="92">
        <v>1</v>
      </c>
      <c r="F597" s="199" t="str">
        <f t="shared" si="87"/>
        <v>后所镇</v>
      </c>
      <c r="G597" s="92"/>
      <c r="H597" s="724">
        <f t="shared" si="89"/>
        <v>150</v>
      </c>
      <c r="I597" s="724">
        <v>150</v>
      </c>
      <c r="J597" s="724"/>
      <c r="K597" s="724"/>
      <c r="L597" s="726">
        <v>2018.01</v>
      </c>
      <c r="M597" s="726">
        <v>2018.12</v>
      </c>
      <c r="N597" s="724">
        <v>15</v>
      </c>
      <c r="O597" s="724">
        <v>15</v>
      </c>
      <c r="P597" s="724"/>
      <c r="Q597" s="724"/>
      <c r="R597" s="724"/>
      <c r="S597" s="724">
        <v>15</v>
      </c>
      <c r="T597" s="724"/>
      <c r="U597" s="724"/>
      <c r="V597" s="724"/>
      <c r="W597" s="724"/>
      <c r="X597" s="92" t="s">
        <v>439</v>
      </c>
      <c r="Y597" s="92">
        <v>150</v>
      </c>
      <c r="Z597" s="738">
        <f t="shared" si="90"/>
        <v>645</v>
      </c>
      <c r="AA597" s="92">
        <v>1</v>
      </c>
      <c r="AB597" s="92"/>
      <c r="AC597" s="92"/>
      <c r="AD597" s="146" t="s">
        <v>428</v>
      </c>
      <c r="AE597" s="146" t="s">
        <v>429</v>
      </c>
      <c r="AF597" s="146" t="s">
        <v>417</v>
      </c>
      <c r="AG597" s="92"/>
    </row>
    <row r="598" customFormat="1" ht="24.95" customHeight="1" spans="1:33">
      <c r="A598" s="705"/>
      <c r="B598" s="199" t="s">
        <v>55</v>
      </c>
      <c r="C598" s="141" t="s">
        <v>52</v>
      </c>
      <c r="D598" s="141" t="s">
        <v>438</v>
      </c>
      <c r="E598" s="92">
        <v>1</v>
      </c>
      <c r="F598" s="199" t="str">
        <f t="shared" si="87"/>
        <v>大河镇</v>
      </c>
      <c r="G598" s="92"/>
      <c r="H598" s="724">
        <f t="shared" si="89"/>
        <v>150</v>
      </c>
      <c r="I598" s="724">
        <v>150</v>
      </c>
      <c r="J598" s="724"/>
      <c r="K598" s="724"/>
      <c r="L598" s="726">
        <v>2018.01</v>
      </c>
      <c r="M598" s="726">
        <v>2018.12</v>
      </c>
      <c r="N598" s="724">
        <v>15</v>
      </c>
      <c r="O598" s="724">
        <v>15</v>
      </c>
      <c r="P598" s="724"/>
      <c r="Q598" s="724"/>
      <c r="R598" s="724"/>
      <c r="S598" s="724">
        <v>15</v>
      </c>
      <c r="T598" s="724"/>
      <c r="U598" s="724"/>
      <c r="V598" s="724"/>
      <c r="W598" s="724"/>
      <c r="X598" s="92" t="s">
        <v>439</v>
      </c>
      <c r="Y598" s="92">
        <v>150</v>
      </c>
      <c r="Z598" s="738">
        <f t="shared" si="90"/>
        <v>645</v>
      </c>
      <c r="AA598" s="92">
        <v>1</v>
      </c>
      <c r="AB598" s="92"/>
      <c r="AC598" s="92"/>
      <c r="AD598" s="146" t="s">
        <v>395</v>
      </c>
      <c r="AE598" s="146" t="s">
        <v>441</v>
      </c>
      <c r="AF598" s="146" t="s">
        <v>417</v>
      </c>
      <c r="AG598" s="92"/>
    </row>
    <row r="599" customFormat="1" ht="24.95" customHeight="1" spans="1:33">
      <c r="A599" s="705"/>
      <c r="B599" s="199" t="s">
        <v>91</v>
      </c>
      <c r="C599" s="141" t="s">
        <v>52</v>
      </c>
      <c r="D599" s="141" t="s">
        <v>438</v>
      </c>
      <c r="E599" s="92">
        <v>1</v>
      </c>
      <c r="F599" s="199" t="str">
        <f t="shared" si="87"/>
        <v>墨红镇</v>
      </c>
      <c r="G599" s="92"/>
      <c r="H599" s="724">
        <f t="shared" si="89"/>
        <v>250</v>
      </c>
      <c r="I599" s="724">
        <v>250</v>
      </c>
      <c r="J599" s="724"/>
      <c r="K599" s="724"/>
      <c r="L599" s="726">
        <v>2018.01</v>
      </c>
      <c r="M599" s="726">
        <v>2018.12</v>
      </c>
      <c r="N599" s="724">
        <v>25</v>
      </c>
      <c r="O599" s="724">
        <v>25</v>
      </c>
      <c r="P599" s="724"/>
      <c r="Q599" s="724"/>
      <c r="R599" s="724"/>
      <c r="S599" s="724">
        <v>25</v>
      </c>
      <c r="T599" s="724"/>
      <c r="U599" s="724"/>
      <c r="V599" s="724"/>
      <c r="W599" s="724"/>
      <c r="X599" s="92" t="s">
        <v>439</v>
      </c>
      <c r="Y599" s="92">
        <v>250</v>
      </c>
      <c r="Z599" s="738">
        <f t="shared" si="90"/>
        <v>1075</v>
      </c>
      <c r="AA599" s="92">
        <v>1</v>
      </c>
      <c r="AB599" s="92"/>
      <c r="AC599" s="92"/>
      <c r="AD599" s="146" t="s">
        <v>418</v>
      </c>
      <c r="AE599" s="146" t="s">
        <v>419</v>
      </c>
      <c r="AF599" s="146" t="s">
        <v>417</v>
      </c>
      <c r="AG599" s="92"/>
    </row>
    <row r="600" customFormat="1" ht="24.95" customHeight="1" spans="1:33">
      <c r="A600" s="705"/>
      <c r="B600" s="199" t="s">
        <v>75</v>
      </c>
      <c r="C600" s="141" t="s">
        <v>52</v>
      </c>
      <c r="D600" s="141" t="s">
        <v>438</v>
      </c>
      <c r="E600" s="92">
        <v>1</v>
      </c>
      <c r="F600" s="199" t="str">
        <f t="shared" si="87"/>
        <v>营上镇</v>
      </c>
      <c r="G600" s="92"/>
      <c r="H600" s="724">
        <f t="shared" si="89"/>
        <v>100</v>
      </c>
      <c r="I600" s="724">
        <v>100</v>
      </c>
      <c r="J600" s="724"/>
      <c r="K600" s="724"/>
      <c r="L600" s="726">
        <v>2018.01</v>
      </c>
      <c r="M600" s="726">
        <v>2018.12</v>
      </c>
      <c r="N600" s="724">
        <v>10</v>
      </c>
      <c r="O600" s="724">
        <v>10</v>
      </c>
      <c r="P600" s="724"/>
      <c r="Q600" s="724"/>
      <c r="R600" s="724"/>
      <c r="S600" s="724">
        <v>10</v>
      </c>
      <c r="T600" s="724"/>
      <c r="U600" s="724"/>
      <c r="V600" s="724"/>
      <c r="W600" s="724"/>
      <c r="X600" s="92" t="s">
        <v>439</v>
      </c>
      <c r="Y600" s="92">
        <v>100</v>
      </c>
      <c r="Z600" s="738">
        <f t="shared" si="90"/>
        <v>430</v>
      </c>
      <c r="AA600" s="92">
        <v>1</v>
      </c>
      <c r="AB600" s="92"/>
      <c r="AC600" s="92"/>
      <c r="AD600" s="86" t="s">
        <v>76</v>
      </c>
      <c r="AE600" s="86"/>
      <c r="AF600" s="146" t="s">
        <v>417</v>
      </c>
      <c r="AG600" s="92"/>
    </row>
    <row r="601" customFormat="1" ht="24.95" customHeight="1" spans="1:33">
      <c r="A601" s="705"/>
      <c r="B601" s="199" t="s">
        <v>58</v>
      </c>
      <c r="C601" s="141" t="s">
        <v>52</v>
      </c>
      <c r="D601" s="141" t="s">
        <v>438</v>
      </c>
      <c r="E601" s="92">
        <v>1</v>
      </c>
      <c r="F601" s="199" t="str">
        <f t="shared" si="87"/>
        <v>竹园镇</v>
      </c>
      <c r="G601" s="92"/>
      <c r="H601" s="724">
        <f t="shared" si="89"/>
        <v>150</v>
      </c>
      <c r="I601" s="724">
        <v>150</v>
      </c>
      <c r="J601" s="724"/>
      <c r="K601" s="724"/>
      <c r="L601" s="726">
        <v>2018.01</v>
      </c>
      <c r="M601" s="726">
        <v>2018.12</v>
      </c>
      <c r="N601" s="724">
        <v>15</v>
      </c>
      <c r="O601" s="724">
        <v>15</v>
      </c>
      <c r="P601" s="724"/>
      <c r="Q601" s="724"/>
      <c r="R601" s="724"/>
      <c r="S601" s="724">
        <v>15</v>
      </c>
      <c r="T601" s="724"/>
      <c r="U601" s="724"/>
      <c r="V601" s="724"/>
      <c r="W601" s="724"/>
      <c r="X601" s="92" t="s">
        <v>439</v>
      </c>
      <c r="Y601" s="92">
        <v>150</v>
      </c>
      <c r="Z601" s="738">
        <f t="shared" si="90"/>
        <v>645</v>
      </c>
      <c r="AA601" s="92">
        <v>1</v>
      </c>
      <c r="AB601" s="92"/>
      <c r="AC601" s="92"/>
      <c r="AD601" s="86" t="s">
        <v>399</v>
      </c>
      <c r="AE601" s="86" t="s">
        <v>430</v>
      </c>
      <c r="AF601" s="146" t="s">
        <v>417</v>
      </c>
      <c r="AG601" s="92"/>
    </row>
    <row r="602" customFormat="1" ht="24.95" customHeight="1" spans="1:33">
      <c r="A602" s="705"/>
      <c r="B602" s="199" t="s">
        <v>61</v>
      </c>
      <c r="C602" s="141" t="s">
        <v>52</v>
      </c>
      <c r="D602" s="141" t="s">
        <v>438</v>
      </c>
      <c r="E602" s="92">
        <v>1</v>
      </c>
      <c r="F602" s="199" t="str">
        <f t="shared" si="87"/>
        <v>富村镇</v>
      </c>
      <c r="G602" s="92"/>
      <c r="H602" s="724">
        <f t="shared" si="89"/>
        <v>350</v>
      </c>
      <c r="I602" s="724">
        <v>350</v>
      </c>
      <c r="J602" s="724"/>
      <c r="K602" s="724"/>
      <c r="L602" s="726">
        <v>2018.01</v>
      </c>
      <c r="M602" s="726">
        <v>2018.12</v>
      </c>
      <c r="N602" s="724">
        <v>35</v>
      </c>
      <c r="O602" s="724">
        <v>35</v>
      </c>
      <c r="P602" s="724"/>
      <c r="Q602" s="724"/>
      <c r="R602" s="724"/>
      <c r="S602" s="724">
        <v>35</v>
      </c>
      <c r="T602" s="724"/>
      <c r="U602" s="724"/>
      <c r="V602" s="724"/>
      <c r="W602" s="724"/>
      <c r="X602" s="92" t="s">
        <v>439</v>
      </c>
      <c r="Y602" s="92">
        <v>350</v>
      </c>
      <c r="Z602" s="738">
        <f t="shared" si="90"/>
        <v>1505</v>
      </c>
      <c r="AA602" s="92">
        <v>1</v>
      </c>
      <c r="AB602" s="92"/>
      <c r="AC602" s="92"/>
      <c r="AD602" s="146" t="s">
        <v>421</v>
      </c>
      <c r="AE602" s="146" t="s">
        <v>422</v>
      </c>
      <c r="AF602" s="146" t="s">
        <v>417</v>
      </c>
      <c r="AG602" s="92"/>
    </row>
    <row r="603" customFormat="1" ht="24.95" customHeight="1" spans="1:33">
      <c r="A603" s="705"/>
      <c r="B603" s="199" t="s">
        <v>78</v>
      </c>
      <c r="C603" s="141" t="s">
        <v>52</v>
      </c>
      <c r="D603" s="141" t="s">
        <v>438</v>
      </c>
      <c r="E603" s="92">
        <v>1</v>
      </c>
      <c r="F603" s="199" t="str">
        <f t="shared" si="87"/>
        <v>黄泥河镇</v>
      </c>
      <c r="G603" s="92"/>
      <c r="H603" s="724">
        <f t="shared" si="89"/>
        <v>100</v>
      </c>
      <c r="I603" s="724">
        <v>100</v>
      </c>
      <c r="J603" s="724"/>
      <c r="K603" s="724"/>
      <c r="L603" s="726">
        <v>2018.01</v>
      </c>
      <c r="M603" s="726">
        <v>2018.12</v>
      </c>
      <c r="N603" s="724">
        <v>10</v>
      </c>
      <c r="O603" s="724">
        <v>10</v>
      </c>
      <c r="P603" s="724"/>
      <c r="Q603" s="724"/>
      <c r="R603" s="724"/>
      <c r="S603" s="724">
        <v>10</v>
      </c>
      <c r="T603" s="724"/>
      <c r="U603" s="724"/>
      <c r="V603" s="724"/>
      <c r="W603" s="724"/>
      <c r="X603" s="92" t="s">
        <v>439</v>
      </c>
      <c r="Y603" s="92">
        <v>100</v>
      </c>
      <c r="Z603" s="738">
        <f t="shared" si="90"/>
        <v>430</v>
      </c>
      <c r="AA603" s="92">
        <v>1</v>
      </c>
      <c r="AB603" s="92"/>
      <c r="AC603" s="92"/>
      <c r="AD603" s="86" t="s">
        <v>217</v>
      </c>
      <c r="AE603" s="71" t="s">
        <v>431</v>
      </c>
      <c r="AF603" s="146" t="s">
        <v>417</v>
      </c>
      <c r="AG603" s="92"/>
    </row>
    <row r="604" customFormat="1" ht="24.95" customHeight="1" spans="1:33">
      <c r="A604" s="705"/>
      <c r="B604" s="199" t="s">
        <v>114</v>
      </c>
      <c r="C604" s="141" t="s">
        <v>52</v>
      </c>
      <c r="D604" s="141" t="s">
        <v>438</v>
      </c>
      <c r="E604" s="92">
        <v>1</v>
      </c>
      <c r="F604" s="199" t="str">
        <f t="shared" si="87"/>
        <v>古敢乡</v>
      </c>
      <c r="G604" s="92"/>
      <c r="H604" s="724">
        <f t="shared" si="89"/>
        <v>100</v>
      </c>
      <c r="I604" s="724">
        <v>100</v>
      </c>
      <c r="J604" s="724"/>
      <c r="K604" s="724"/>
      <c r="L604" s="726">
        <v>2018.01</v>
      </c>
      <c r="M604" s="726">
        <v>2018.12</v>
      </c>
      <c r="N604" s="724">
        <v>10</v>
      </c>
      <c r="O604" s="724">
        <v>10</v>
      </c>
      <c r="P604" s="724"/>
      <c r="Q604" s="724"/>
      <c r="R604" s="724"/>
      <c r="S604" s="724">
        <v>10</v>
      </c>
      <c r="T604" s="724"/>
      <c r="U604" s="724"/>
      <c r="V604" s="724"/>
      <c r="W604" s="724"/>
      <c r="X604" s="92" t="s">
        <v>439</v>
      </c>
      <c r="Y604" s="92">
        <v>100</v>
      </c>
      <c r="Z604" s="738">
        <f t="shared" si="90"/>
        <v>430</v>
      </c>
      <c r="AA604" s="92">
        <v>1</v>
      </c>
      <c r="AB604" s="92"/>
      <c r="AC604" s="92"/>
      <c r="AD604" s="146" t="s">
        <v>115</v>
      </c>
      <c r="AE604" s="146" t="s">
        <v>433</v>
      </c>
      <c r="AF604" s="146" t="s">
        <v>417</v>
      </c>
      <c r="AG604" s="92"/>
    </row>
    <row r="605" customFormat="1" ht="24.95" customHeight="1" spans="1:33">
      <c r="A605" s="705"/>
      <c r="B605" s="199" t="s">
        <v>64</v>
      </c>
      <c r="C605" s="141" t="s">
        <v>52</v>
      </c>
      <c r="D605" s="141" t="s">
        <v>438</v>
      </c>
      <c r="E605" s="92">
        <v>1</v>
      </c>
      <c r="F605" s="199" t="str">
        <f t="shared" si="87"/>
        <v>十八连山镇</v>
      </c>
      <c r="G605" s="92"/>
      <c r="H605" s="724">
        <f t="shared" si="89"/>
        <v>250</v>
      </c>
      <c r="I605" s="724">
        <v>250</v>
      </c>
      <c r="J605" s="724"/>
      <c r="K605" s="724"/>
      <c r="L605" s="726">
        <v>2018.01</v>
      </c>
      <c r="M605" s="726">
        <v>2018.12</v>
      </c>
      <c r="N605" s="724">
        <v>25</v>
      </c>
      <c r="O605" s="724">
        <v>25</v>
      </c>
      <c r="P605" s="724"/>
      <c r="Q605" s="724"/>
      <c r="R605" s="724"/>
      <c r="S605" s="724">
        <v>25</v>
      </c>
      <c r="T605" s="724"/>
      <c r="U605" s="724"/>
      <c r="V605" s="724"/>
      <c r="W605" s="724"/>
      <c r="X605" s="92" t="s">
        <v>439</v>
      </c>
      <c r="Y605" s="92">
        <v>250</v>
      </c>
      <c r="Z605" s="738">
        <f t="shared" si="90"/>
        <v>1075</v>
      </c>
      <c r="AA605" s="92">
        <v>1</v>
      </c>
      <c r="AB605" s="92"/>
      <c r="AC605" s="92"/>
      <c r="AD605" s="146" t="s">
        <v>185</v>
      </c>
      <c r="AE605" s="146" t="s">
        <v>432</v>
      </c>
      <c r="AF605" s="146" t="s">
        <v>417</v>
      </c>
      <c r="AG605" s="92"/>
    </row>
    <row r="606" customFormat="1" ht="24.95" customHeight="1" spans="1:33">
      <c r="A606" s="705"/>
      <c r="B606" s="199" t="s">
        <v>92</v>
      </c>
      <c r="C606" s="141" t="s">
        <v>52</v>
      </c>
      <c r="D606" s="141" t="s">
        <v>438</v>
      </c>
      <c r="E606" s="92">
        <v>1</v>
      </c>
      <c r="F606" s="199" t="str">
        <f t="shared" si="87"/>
        <v>老厂镇</v>
      </c>
      <c r="G606" s="92"/>
      <c r="H606" s="724">
        <f t="shared" si="89"/>
        <v>200</v>
      </c>
      <c r="I606" s="724">
        <v>200</v>
      </c>
      <c r="J606" s="724"/>
      <c r="K606" s="724"/>
      <c r="L606" s="726">
        <v>2018.01</v>
      </c>
      <c r="M606" s="726">
        <v>2018.12</v>
      </c>
      <c r="N606" s="724">
        <v>20</v>
      </c>
      <c r="O606" s="724">
        <v>20</v>
      </c>
      <c r="P606" s="724"/>
      <c r="Q606" s="724"/>
      <c r="R606" s="724"/>
      <c r="S606" s="724">
        <v>20</v>
      </c>
      <c r="T606" s="724"/>
      <c r="U606" s="724"/>
      <c r="V606" s="724"/>
      <c r="W606" s="724"/>
      <c r="X606" s="92" t="s">
        <v>439</v>
      </c>
      <c r="Y606" s="92">
        <v>200</v>
      </c>
      <c r="Z606" s="738">
        <f t="shared" si="90"/>
        <v>860</v>
      </c>
      <c r="AA606" s="92">
        <v>1</v>
      </c>
      <c r="AB606" s="92"/>
      <c r="AC606" s="92"/>
      <c r="AD606" s="86" t="s">
        <v>93</v>
      </c>
      <c r="AE606" s="86" t="s">
        <v>420</v>
      </c>
      <c r="AF606" s="146" t="s">
        <v>417</v>
      </c>
      <c r="AG606" s="92"/>
    </row>
    <row r="607" s="570" customFormat="1" ht="32.1" customHeight="1" spans="1:33">
      <c r="A607" s="705">
        <v>76</v>
      </c>
      <c r="B607" s="706" t="s">
        <v>442</v>
      </c>
      <c r="C607" s="706"/>
      <c r="D607" s="707"/>
      <c r="E607" s="706">
        <f>E608+E621+E637</f>
        <v>37</v>
      </c>
      <c r="F607" s="706"/>
      <c r="G607" s="706"/>
      <c r="H607" s="725">
        <f t="shared" ref="F607:AA607" si="91">H608+H621+H637</f>
        <v>7532</v>
      </c>
      <c r="I607" s="725">
        <f t="shared" si="91"/>
        <v>7532</v>
      </c>
      <c r="J607" s="725">
        <f t="shared" si="91"/>
        <v>0</v>
      </c>
      <c r="K607" s="725">
        <f t="shared" si="91"/>
        <v>0</v>
      </c>
      <c r="L607" s="725"/>
      <c r="M607" s="725"/>
      <c r="N607" s="725">
        <f t="shared" si="91"/>
        <v>151.668</v>
      </c>
      <c r="O607" s="725">
        <f t="shared" si="91"/>
        <v>151.668</v>
      </c>
      <c r="P607" s="725">
        <f t="shared" si="91"/>
        <v>0</v>
      </c>
      <c r="Q607" s="725">
        <f t="shared" si="91"/>
        <v>0</v>
      </c>
      <c r="R607" s="725">
        <f t="shared" si="91"/>
        <v>151.668</v>
      </c>
      <c r="S607" s="725">
        <f t="shared" si="91"/>
        <v>0</v>
      </c>
      <c r="T607" s="725">
        <f t="shared" si="91"/>
        <v>0</v>
      </c>
      <c r="U607" s="725">
        <f t="shared" si="91"/>
        <v>0</v>
      </c>
      <c r="V607" s="725">
        <f t="shared" si="91"/>
        <v>0</v>
      </c>
      <c r="W607" s="706"/>
      <c r="X607" s="706"/>
      <c r="Y607" s="706">
        <f t="shared" si="91"/>
        <v>7532</v>
      </c>
      <c r="Z607" s="706">
        <f t="shared" si="91"/>
        <v>21730</v>
      </c>
      <c r="AA607" s="706">
        <f t="shared" si="91"/>
        <v>37</v>
      </c>
      <c r="AB607" s="706"/>
      <c r="AC607" s="706"/>
      <c r="AD607" s="706"/>
      <c r="AE607" s="706"/>
      <c r="AF607" s="706"/>
      <c r="AG607" s="706" t="s">
        <v>41</v>
      </c>
    </row>
    <row r="608" s="570" customFormat="1" ht="29" customHeight="1" spans="1:33">
      <c r="A608" s="705">
        <v>77</v>
      </c>
      <c r="B608" s="708" t="s">
        <v>443</v>
      </c>
      <c r="C608" s="708"/>
      <c r="D608" s="709" t="s">
        <v>384</v>
      </c>
      <c r="E608" s="708">
        <f>SUM(E609:E620)</f>
        <v>12</v>
      </c>
      <c r="F608" s="708"/>
      <c r="G608" s="708"/>
      <c r="H608" s="726">
        <f t="shared" ref="F608:AA608" si="92">SUM(H609:H620)</f>
        <v>5968</v>
      </c>
      <c r="I608" s="726">
        <f t="shared" si="92"/>
        <v>5968</v>
      </c>
      <c r="J608" s="726">
        <f t="shared" si="92"/>
        <v>0</v>
      </c>
      <c r="K608" s="726">
        <f t="shared" si="92"/>
        <v>0</v>
      </c>
      <c r="L608" s="726"/>
      <c r="M608" s="726"/>
      <c r="N608" s="726">
        <f t="shared" si="92"/>
        <v>0</v>
      </c>
      <c r="O608" s="726">
        <f t="shared" si="92"/>
        <v>0</v>
      </c>
      <c r="P608" s="726">
        <f t="shared" si="92"/>
        <v>0</v>
      </c>
      <c r="Q608" s="726">
        <f t="shared" si="92"/>
        <v>0</v>
      </c>
      <c r="R608" s="726">
        <f t="shared" si="92"/>
        <v>0</v>
      </c>
      <c r="S608" s="726">
        <f t="shared" si="92"/>
        <v>0</v>
      </c>
      <c r="T608" s="726">
        <f t="shared" si="92"/>
        <v>0</v>
      </c>
      <c r="U608" s="726">
        <f t="shared" si="92"/>
        <v>0</v>
      </c>
      <c r="V608" s="726">
        <f t="shared" si="92"/>
        <v>0</v>
      </c>
      <c r="W608" s="708"/>
      <c r="X608" s="708" t="s">
        <v>444</v>
      </c>
      <c r="Y608" s="708">
        <f t="shared" si="92"/>
        <v>5968</v>
      </c>
      <c r="Z608" s="708">
        <f t="shared" si="92"/>
        <v>15806</v>
      </c>
      <c r="AA608" s="708">
        <f t="shared" si="92"/>
        <v>12</v>
      </c>
      <c r="AB608" s="708"/>
      <c r="AC608" s="708"/>
      <c r="AD608" s="146" t="s">
        <v>336</v>
      </c>
      <c r="AE608" s="146" t="s">
        <v>337</v>
      </c>
      <c r="AF608" s="146" t="s">
        <v>338</v>
      </c>
      <c r="AG608" s="708" t="s">
        <v>41</v>
      </c>
    </row>
    <row r="609" s="694" customFormat="1" ht="24.95" customHeight="1" spans="1:33">
      <c r="A609" s="705"/>
      <c r="B609" s="714" t="s">
        <v>101</v>
      </c>
      <c r="C609" s="146" t="s">
        <v>52</v>
      </c>
      <c r="D609" s="152" t="s">
        <v>384</v>
      </c>
      <c r="E609" s="708">
        <v>1</v>
      </c>
      <c r="F609" s="714" t="str">
        <f t="shared" si="87"/>
        <v>中安</v>
      </c>
      <c r="G609" s="708"/>
      <c r="H609" s="726">
        <v>225</v>
      </c>
      <c r="I609" s="726">
        <v>225</v>
      </c>
      <c r="J609" s="726"/>
      <c r="K609" s="726"/>
      <c r="L609" s="726">
        <v>2018.01</v>
      </c>
      <c r="M609" s="726">
        <v>2018.12</v>
      </c>
      <c r="N609" s="726"/>
      <c r="O609" s="726"/>
      <c r="P609" s="726"/>
      <c r="Q609" s="726"/>
      <c r="R609" s="726"/>
      <c r="S609" s="726"/>
      <c r="T609" s="726"/>
      <c r="U609" s="726"/>
      <c r="V609" s="726"/>
      <c r="W609" s="726"/>
      <c r="X609" s="708" t="s">
        <v>444</v>
      </c>
      <c r="Y609" s="763">
        <v>225</v>
      </c>
      <c r="Z609" s="763">
        <v>539</v>
      </c>
      <c r="AA609" s="708">
        <v>1</v>
      </c>
      <c r="AB609" s="708"/>
      <c r="AC609" s="708"/>
      <c r="AD609" s="146" t="s">
        <v>244</v>
      </c>
      <c r="AE609" s="146" t="s">
        <v>333</v>
      </c>
      <c r="AF609" s="146" t="s">
        <v>338</v>
      </c>
      <c r="AG609" s="708"/>
    </row>
    <row r="610" s="694" customFormat="1" ht="24.95" customHeight="1" spans="1:33">
      <c r="A610" s="705"/>
      <c r="B610" s="714" t="s">
        <v>151</v>
      </c>
      <c r="C610" s="146" t="s">
        <v>52</v>
      </c>
      <c r="D610" s="152" t="s">
        <v>384</v>
      </c>
      <c r="E610" s="708">
        <v>1</v>
      </c>
      <c r="F610" s="714" t="str">
        <f t="shared" si="87"/>
        <v>胜境</v>
      </c>
      <c r="G610" s="708"/>
      <c r="H610" s="726">
        <v>282</v>
      </c>
      <c r="I610" s="726">
        <v>282</v>
      </c>
      <c r="J610" s="726"/>
      <c r="K610" s="726"/>
      <c r="L610" s="726">
        <v>2018.01</v>
      </c>
      <c r="M610" s="726">
        <v>2018.12</v>
      </c>
      <c r="N610" s="726"/>
      <c r="O610" s="726"/>
      <c r="P610" s="726"/>
      <c r="Q610" s="726"/>
      <c r="R610" s="726"/>
      <c r="S610" s="726"/>
      <c r="T610" s="726"/>
      <c r="U610" s="726"/>
      <c r="V610" s="726"/>
      <c r="W610" s="726"/>
      <c r="X610" s="708" t="s">
        <v>444</v>
      </c>
      <c r="Y610" s="763">
        <v>282</v>
      </c>
      <c r="Z610" s="763">
        <v>627</v>
      </c>
      <c r="AA610" s="708">
        <v>1</v>
      </c>
      <c r="AB610" s="708"/>
      <c r="AC610" s="708"/>
      <c r="AD610" s="146" t="s">
        <v>339</v>
      </c>
      <c r="AE610" s="146" t="s">
        <v>445</v>
      </c>
      <c r="AF610" s="146" t="s">
        <v>338</v>
      </c>
      <c r="AG610" s="708"/>
    </row>
    <row r="611" s="694" customFormat="1" ht="24.95" customHeight="1" spans="1:33">
      <c r="A611" s="705"/>
      <c r="B611" s="714" t="s">
        <v>154</v>
      </c>
      <c r="C611" s="146" t="s">
        <v>52</v>
      </c>
      <c r="D611" s="152" t="s">
        <v>384</v>
      </c>
      <c r="E611" s="708">
        <v>1</v>
      </c>
      <c r="F611" s="714" t="str">
        <f t="shared" si="87"/>
        <v>后所</v>
      </c>
      <c r="G611" s="708"/>
      <c r="H611" s="726">
        <v>748</v>
      </c>
      <c r="I611" s="726">
        <v>748</v>
      </c>
      <c r="J611" s="726"/>
      <c r="K611" s="726"/>
      <c r="L611" s="726">
        <v>2018.01</v>
      </c>
      <c r="M611" s="726">
        <v>2018.12</v>
      </c>
      <c r="N611" s="726"/>
      <c r="O611" s="726"/>
      <c r="P611" s="726"/>
      <c r="Q611" s="726"/>
      <c r="R611" s="726"/>
      <c r="S611" s="726"/>
      <c r="T611" s="726"/>
      <c r="U611" s="726"/>
      <c r="V611" s="726"/>
      <c r="W611" s="726"/>
      <c r="X611" s="708" t="s">
        <v>444</v>
      </c>
      <c r="Y611" s="763">
        <v>748</v>
      </c>
      <c r="Z611" s="763">
        <v>2172</v>
      </c>
      <c r="AA611" s="708">
        <v>1</v>
      </c>
      <c r="AB611" s="708"/>
      <c r="AC611" s="708"/>
      <c r="AD611" s="146" t="s">
        <v>247</v>
      </c>
      <c r="AE611" s="146" t="s">
        <v>341</v>
      </c>
      <c r="AF611" s="146" t="s">
        <v>338</v>
      </c>
      <c r="AG611" s="708"/>
    </row>
    <row r="612" s="694" customFormat="1" ht="24.95" customHeight="1" spans="1:33">
      <c r="A612" s="705"/>
      <c r="B612" s="714" t="s">
        <v>81</v>
      </c>
      <c r="C612" s="146" t="s">
        <v>52</v>
      </c>
      <c r="D612" s="152" t="s">
        <v>384</v>
      </c>
      <c r="E612" s="708">
        <v>1</v>
      </c>
      <c r="F612" s="714" t="str">
        <f t="shared" si="87"/>
        <v>墨红</v>
      </c>
      <c r="G612" s="708"/>
      <c r="H612" s="726">
        <v>626</v>
      </c>
      <c r="I612" s="726">
        <v>626</v>
      </c>
      <c r="J612" s="726"/>
      <c r="K612" s="726"/>
      <c r="L612" s="726">
        <v>2018.01</v>
      </c>
      <c r="M612" s="726">
        <v>2018.12</v>
      </c>
      <c r="N612" s="726"/>
      <c r="O612" s="726"/>
      <c r="P612" s="726"/>
      <c r="Q612" s="726"/>
      <c r="R612" s="726"/>
      <c r="S612" s="726"/>
      <c r="T612" s="726"/>
      <c r="U612" s="726"/>
      <c r="V612" s="726"/>
      <c r="W612" s="726"/>
      <c r="X612" s="708" t="s">
        <v>444</v>
      </c>
      <c r="Y612" s="763">
        <v>626</v>
      </c>
      <c r="Z612" s="763">
        <v>1581</v>
      </c>
      <c r="AA612" s="708">
        <v>1</v>
      </c>
      <c r="AB612" s="708"/>
      <c r="AC612" s="708"/>
      <c r="AD612" s="146" t="s">
        <v>342</v>
      </c>
      <c r="AE612" s="146" t="s">
        <v>343</v>
      </c>
      <c r="AF612" s="146" t="s">
        <v>338</v>
      </c>
      <c r="AG612" s="708"/>
    </row>
    <row r="613" s="694" customFormat="1" ht="24.95" customHeight="1" spans="1:33">
      <c r="A613" s="705"/>
      <c r="B613" s="714" t="s">
        <v>98</v>
      </c>
      <c r="C613" s="146" t="s">
        <v>52</v>
      </c>
      <c r="D613" s="152" t="s">
        <v>384</v>
      </c>
      <c r="E613" s="708">
        <v>1</v>
      </c>
      <c r="F613" s="714" t="str">
        <f t="shared" si="87"/>
        <v>大河</v>
      </c>
      <c r="G613" s="708"/>
      <c r="H613" s="726">
        <v>965</v>
      </c>
      <c r="I613" s="726">
        <v>965</v>
      </c>
      <c r="J613" s="726"/>
      <c r="K613" s="726"/>
      <c r="L613" s="726">
        <v>2018.01</v>
      </c>
      <c r="M613" s="726">
        <v>2018.12</v>
      </c>
      <c r="N613" s="726"/>
      <c r="O613" s="726"/>
      <c r="P613" s="726"/>
      <c r="Q613" s="726"/>
      <c r="R613" s="726"/>
      <c r="S613" s="726"/>
      <c r="T613" s="726"/>
      <c r="U613" s="726"/>
      <c r="V613" s="726"/>
      <c r="W613" s="726"/>
      <c r="X613" s="708" t="s">
        <v>444</v>
      </c>
      <c r="Y613" s="763">
        <v>965</v>
      </c>
      <c r="Z613" s="763">
        <v>2505</v>
      </c>
      <c r="AA613" s="708">
        <v>1</v>
      </c>
      <c r="AB613" s="708"/>
      <c r="AC613" s="708"/>
      <c r="AD613" s="146" t="s">
        <v>344</v>
      </c>
      <c r="AE613" s="146" t="s">
        <v>345</v>
      </c>
      <c r="AF613" s="146" t="s">
        <v>338</v>
      </c>
      <c r="AG613" s="708"/>
    </row>
    <row r="614" s="694" customFormat="1" ht="24.95" customHeight="1" spans="1:33">
      <c r="A614" s="705"/>
      <c r="B614" s="714" t="s">
        <v>211</v>
      </c>
      <c r="C614" s="146" t="s">
        <v>52</v>
      </c>
      <c r="D614" s="152" t="s">
        <v>384</v>
      </c>
      <c r="E614" s="708">
        <v>1</v>
      </c>
      <c r="F614" s="714" t="str">
        <f t="shared" si="87"/>
        <v>营上</v>
      </c>
      <c r="G614" s="708"/>
      <c r="H614" s="726">
        <v>597</v>
      </c>
      <c r="I614" s="726">
        <v>597</v>
      </c>
      <c r="J614" s="726"/>
      <c r="K614" s="726"/>
      <c r="L614" s="726">
        <v>2018.01</v>
      </c>
      <c r="M614" s="726">
        <v>2018.12</v>
      </c>
      <c r="N614" s="726"/>
      <c r="O614" s="726"/>
      <c r="P614" s="726"/>
      <c r="Q614" s="726"/>
      <c r="R614" s="726"/>
      <c r="S614" s="726"/>
      <c r="T614" s="726"/>
      <c r="U614" s="726"/>
      <c r="V614" s="726"/>
      <c r="W614" s="726"/>
      <c r="X614" s="708" t="s">
        <v>444</v>
      </c>
      <c r="Y614" s="763">
        <v>597</v>
      </c>
      <c r="Z614" s="763">
        <v>1413</v>
      </c>
      <c r="AA614" s="708">
        <v>1</v>
      </c>
      <c r="AB614" s="708"/>
      <c r="AC614" s="708"/>
      <c r="AD614" s="146" t="s">
        <v>346</v>
      </c>
      <c r="AE614" s="146" t="s">
        <v>347</v>
      </c>
      <c r="AF614" s="146" t="s">
        <v>338</v>
      </c>
      <c r="AG614" s="708"/>
    </row>
    <row r="615" s="694" customFormat="1" ht="24.95" customHeight="1" spans="1:33">
      <c r="A615" s="705"/>
      <c r="B615" s="714" t="s">
        <v>155</v>
      </c>
      <c r="C615" s="146" t="s">
        <v>52</v>
      </c>
      <c r="D615" s="152" t="s">
        <v>384</v>
      </c>
      <c r="E615" s="708">
        <v>1</v>
      </c>
      <c r="F615" s="714" t="str">
        <f t="shared" si="87"/>
        <v>竹园</v>
      </c>
      <c r="G615" s="708"/>
      <c r="H615" s="726">
        <v>228</v>
      </c>
      <c r="I615" s="726">
        <v>228</v>
      </c>
      <c r="J615" s="726"/>
      <c r="K615" s="726"/>
      <c r="L615" s="726">
        <v>2018.01</v>
      </c>
      <c r="M615" s="726">
        <v>2018.12</v>
      </c>
      <c r="N615" s="726"/>
      <c r="O615" s="726"/>
      <c r="P615" s="726"/>
      <c r="Q615" s="726"/>
      <c r="R615" s="726"/>
      <c r="S615" s="726"/>
      <c r="T615" s="726"/>
      <c r="U615" s="726"/>
      <c r="V615" s="726"/>
      <c r="W615" s="726"/>
      <c r="X615" s="708" t="s">
        <v>444</v>
      </c>
      <c r="Y615" s="763">
        <v>228</v>
      </c>
      <c r="Z615" s="763">
        <v>614</v>
      </c>
      <c r="AA615" s="708">
        <v>1</v>
      </c>
      <c r="AB615" s="708"/>
      <c r="AC615" s="708"/>
      <c r="AD615" s="146" t="s">
        <v>253</v>
      </c>
      <c r="AE615" s="146" t="s">
        <v>348</v>
      </c>
      <c r="AF615" s="146" t="s">
        <v>338</v>
      </c>
      <c r="AG615" s="708"/>
    </row>
    <row r="616" s="694" customFormat="1" ht="24.95" customHeight="1" spans="1:33">
      <c r="A616" s="705"/>
      <c r="B616" s="714" t="s">
        <v>102</v>
      </c>
      <c r="C616" s="146" t="s">
        <v>52</v>
      </c>
      <c r="D616" s="152" t="s">
        <v>384</v>
      </c>
      <c r="E616" s="708">
        <v>1</v>
      </c>
      <c r="F616" s="714" t="str">
        <f t="shared" si="87"/>
        <v>富村</v>
      </c>
      <c r="G616" s="708"/>
      <c r="H616" s="726">
        <v>810</v>
      </c>
      <c r="I616" s="726">
        <v>810</v>
      </c>
      <c r="J616" s="726"/>
      <c r="K616" s="726"/>
      <c r="L616" s="726">
        <v>2018.01</v>
      </c>
      <c r="M616" s="726">
        <v>2018.12</v>
      </c>
      <c r="N616" s="726"/>
      <c r="O616" s="726"/>
      <c r="P616" s="726"/>
      <c r="Q616" s="726"/>
      <c r="R616" s="726"/>
      <c r="S616" s="726"/>
      <c r="T616" s="726"/>
      <c r="U616" s="726"/>
      <c r="V616" s="726"/>
      <c r="W616" s="726"/>
      <c r="X616" s="708" t="s">
        <v>444</v>
      </c>
      <c r="Y616" s="763">
        <v>810</v>
      </c>
      <c r="Z616" s="763">
        <v>2440</v>
      </c>
      <c r="AA616" s="708">
        <v>1</v>
      </c>
      <c r="AB616" s="708"/>
      <c r="AC616" s="708"/>
      <c r="AD616" s="146" t="s">
        <v>255</v>
      </c>
      <c r="AE616" s="146" t="s">
        <v>349</v>
      </c>
      <c r="AF616" s="146" t="s">
        <v>338</v>
      </c>
      <c r="AG616" s="708"/>
    </row>
    <row r="617" s="694" customFormat="1" ht="24.95" customHeight="1" spans="1:33">
      <c r="A617" s="705"/>
      <c r="B617" s="714" t="s">
        <v>100</v>
      </c>
      <c r="C617" s="146" t="s">
        <v>52</v>
      </c>
      <c r="D617" s="152" t="s">
        <v>384</v>
      </c>
      <c r="E617" s="708">
        <v>1</v>
      </c>
      <c r="F617" s="714" t="str">
        <f t="shared" si="87"/>
        <v>黄泥河</v>
      </c>
      <c r="G617" s="708"/>
      <c r="H617" s="726">
        <v>340</v>
      </c>
      <c r="I617" s="726">
        <v>340</v>
      </c>
      <c r="J617" s="726"/>
      <c r="K617" s="726"/>
      <c r="L617" s="726">
        <v>2018.01</v>
      </c>
      <c r="M617" s="726">
        <v>2018.12</v>
      </c>
      <c r="N617" s="726"/>
      <c r="O617" s="726"/>
      <c r="P617" s="726"/>
      <c r="Q617" s="726"/>
      <c r="R617" s="726"/>
      <c r="S617" s="726"/>
      <c r="T617" s="726"/>
      <c r="U617" s="726"/>
      <c r="V617" s="726"/>
      <c r="W617" s="726"/>
      <c r="X617" s="708" t="s">
        <v>444</v>
      </c>
      <c r="Y617" s="763">
        <v>340</v>
      </c>
      <c r="Z617" s="763">
        <v>797</v>
      </c>
      <c r="AA617" s="708">
        <v>1</v>
      </c>
      <c r="AB617" s="708"/>
      <c r="AC617" s="708"/>
      <c r="AD617" s="146" t="s">
        <v>312</v>
      </c>
      <c r="AE617" s="146" t="s">
        <v>352</v>
      </c>
      <c r="AF617" s="146" t="s">
        <v>338</v>
      </c>
      <c r="AG617" s="708"/>
    </row>
    <row r="618" s="694" customFormat="1" ht="24.95" customHeight="1" spans="1:33">
      <c r="A618" s="705"/>
      <c r="B618" s="714" t="s">
        <v>84</v>
      </c>
      <c r="C618" s="146" t="s">
        <v>52</v>
      </c>
      <c r="D618" s="152" t="s">
        <v>384</v>
      </c>
      <c r="E618" s="708">
        <v>1</v>
      </c>
      <c r="F618" s="714" t="str">
        <f t="shared" si="87"/>
        <v>十八连山</v>
      </c>
      <c r="G618" s="708"/>
      <c r="H618" s="726">
        <v>692</v>
      </c>
      <c r="I618" s="726">
        <v>692</v>
      </c>
      <c r="J618" s="726"/>
      <c r="K618" s="726"/>
      <c r="L618" s="726">
        <v>2018.01</v>
      </c>
      <c r="M618" s="726">
        <v>2018.12</v>
      </c>
      <c r="N618" s="726"/>
      <c r="O618" s="726"/>
      <c r="P618" s="726"/>
      <c r="Q618" s="726"/>
      <c r="R618" s="726"/>
      <c r="S618" s="726"/>
      <c r="T618" s="726"/>
      <c r="U618" s="726"/>
      <c r="V618" s="726"/>
      <c r="W618" s="726"/>
      <c r="X618" s="708" t="s">
        <v>444</v>
      </c>
      <c r="Y618" s="763">
        <v>692</v>
      </c>
      <c r="Z618" s="763">
        <v>1692</v>
      </c>
      <c r="AA618" s="708">
        <v>1</v>
      </c>
      <c r="AB618" s="708"/>
      <c r="AC618" s="708"/>
      <c r="AD618" s="146" t="s">
        <v>350</v>
      </c>
      <c r="AE618" s="146" t="s">
        <v>351</v>
      </c>
      <c r="AF618" s="146" t="s">
        <v>338</v>
      </c>
      <c r="AG618" s="708"/>
    </row>
    <row r="619" s="694" customFormat="1" ht="24.95" customHeight="1" spans="1:33">
      <c r="A619" s="705"/>
      <c r="B619" s="714" t="s">
        <v>259</v>
      </c>
      <c r="C619" s="146" t="s">
        <v>52</v>
      </c>
      <c r="D619" s="152" t="s">
        <v>384</v>
      </c>
      <c r="E619" s="708">
        <v>1</v>
      </c>
      <c r="F619" s="714" t="str">
        <f t="shared" si="87"/>
        <v>古敢</v>
      </c>
      <c r="G619" s="708"/>
      <c r="H619" s="726">
        <v>91</v>
      </c>
      <c r="I619" s="726">
        <v>91</v>
      </c>
      <c r="J619" s="726"/>
      <c r="K619" s="726"/>
      <c r="L619" s="726">
        <v>2018.01</v>
      </c>
      <c r="M619" s="726">
        <v>2018.12</v>
      </c>
      <c r="N619" s="726"/>
      <c r="O619" s="726"/>
      <c r="P619" s="726"/>
      <c r="Q619" s="726"/>
      <c r="R619" s="726"/>
      <c r="S619" s="726"/>
      <c r="T619" s="726"/>
      <c r="U619" s="726"/>
      <c r="V619" s="726"/>
      <c r="W619" s="726"/>
      <c r="X619" s="708" t="s">
        <v>444</v>
      </c>
      <c r="Y619" s="763">
        <v>91</v>
      </c>
      <c r="Z619" s="763">
        <v>251</v>
      </c>
      <c r="AA619" s="708">
        <v>1</v>
      </c>
      <c r="AB619" s="708"/>
      <c r="AC619" s="708"/>
      <c r="AD619" s="146" t="s">
        <v>183</v>
      </c>
      <c r="AE619" s="146" t="s">
        <v>353</v>
      </c>
      <c r="AF619" s="146" t="s">
        <v>338</v>
      </c>
      <c r="AG619" s="708"/>
    </row>
    <row r="620" s="694" customFormat="1" ht="24.95" customHeight="1" spans="1:33">
      <c r="A620" s="705"/>
      <c r="B620" s="714" t="s">
        <v>143</v>
      </c>
      <c r="C620" s="146" t="s">
        <v>52</v>
      </c>
      <c r="D620" s="152" t="s">
        <v>384</v>
      </c>
      <c r="E620" s="708">
        <v>1</v>
      </c>
      <c r="F620" s="714" t="str">
        <f t="shared" si="87"/>
        <v>老厂</v>
      </c>
      <c r="G620" s="708"/>
      <c r="H620" s="726">
        <v>364</v>
      </c>
      <c r="I620" s="726">
        <v>364</v>
      </c>
      <c r="J620" s="726"/>
      <c r="K620" s="726"/>
      <c r="L620" s="726">
        <v>2018.01</v>
      </c>
      <c r="M620" s="726">
        <v>2018.12</v>
      </c>
      <c r="N620" s="726"/>
      <c r="O620" s="726"/>
      <c r="P620" s="726"/>
      <c r="Q620" s="726"/>
      <c r="R620" s="726"/>
      <c r="S620" s="726"/>
      <c r="T620" s="726"/>
      <c r="U620" s="726"/>
      <c r="V620" s="726"/>
      <c r="W620" s="726"/>
      <c r="X620" s="708" t="s">
        <v>444</v>
      </c>
      <c r="Y620" s="763">
        <v>364</v>
      </c>
      <c r="Z620" s="763">
        <v>1175</v>
      </c>
      <c r="AA620" s="708">
        <v>1</v>
      </c>
      <c r="AB620" s="708"/>
      <c r="AC620" s="708"/>
      <c r="AD620" s="146" t="s">
        <v>354</v>
      </c>
      <c r="AE620" s="146" t="s">
        <v>263</v>
      </c>
      <c r="AF620" s="146" t="s">
        <v>338</v>
      </c>
      <c r="AG620" s="708"/>
    </row>
    <row r="621" s="570" customFormat="1" ht="37" customHeight="1" spans="1:33">
      <c r="A621" s="705">
        <v>78</v>
      </c>
      <c r="B621" s="708" t="s">
        <v>446</v>
      </c>
      <c r="C621" s="708"/>
      <c r="D621" s="709" t="s">
        <v>147</v>
      </c>
      <c r="E621" s="708">
        <f>E622+E634</f>
        <v>13</v>
      </c>
      <c r="F621" s="708"/>
      <c r="G621" s="708"/>
      <c r="H621" s="726">
        <f t="shared" ref="F621:AA621" si="93">H622+H634</f>
        <v>317</v>
      </c>
      <c r="I621" s="726">
        <f t="shared" si="93"/>
        <v>317</v>
      </c>
      <c r="J621" s="726">
        <f t="shared" si="93"/>
        <v>0</v>
      </c>
      <c r="K621" s="726">
        <f t="shared" si="93"/>
        <v>0</v>
      </c>
      <c r="L621" s="726"/>
      <c r="M621" s="726"/>
      <c r="N621" s="726">
        <f t="shared" si="93"/>
        <v>0</v>
      </c>
      <c r="O621" s="726">
        <f t="shared" si="93"/>
        <v>0</v>
      </c>
      <c r="P621" s="726">
        <f t="shared" si="93"/>
        <v>0</v>
      </c>
      <c r="Q621" s="726">
        <f t="shared" si="93"/>
        <v>0</v>
      </c>
      <c r="R621" s="726">
        <f t="shared" si="93"/>
        <v>0</v>
      </c>
      <c r="S621" s="726">
        <f t="shared" si="93"/>
        <v>0</v>
      </c>
      <c r="T621" s="726">
        <f t="shared" si="93"/>
        <v>0</v>
      </c>
      <c r="U621" s="726">
        <f t="shared" si="93"/>
        <v>0</v>
      </c>
      <c r="V621" s="726">
        <f t="shared" si="93"/>
        <v>0</v>
      </c>
      <c r="W621" s="708"/>
      <c r="X621" s="708" t="s">
        <v>444</v>
      </c>
      <c r="Y621" s="708">
        <f t="shared" si="93"/>
        <v>317</v>
      </c>
      <c r="Z621" s="708">
        <f t="shared" si="93"/>
        <v>317</v>
      </c>
      <c r="AA621" s="708">
        <f t="shared" si="93"/>
        <v>13</v>
      </c>
      <c r="AB621" s="708"/>
      <c r="AC621" s="708"/>
      <c r="AD621" s="708"/>
      <c r="AE621" s="708"/>
      <c r="AF621" s="708" t="s">
        <v>338</v>
      </c>
      <c r="AG621" s="708" t="s">
        <v>41</v>
      </c>
    </row>
    <row r="622" s="570" customFormat="1" ht="24.95" customHeight="1" spans="1:33">
      <c r="A622" s="705">
        <v>79</v>
      </c>
      <c r="B622" s="750" t="s">
        <v>447</v>
      </c>
      <c r="C622" s="146" t="s">
        <v>52</v>
      </c>
      <c r="D622" s="152" t="s">
        <v>147</v>
      </c>
      <c r="E622" s="92">
        <f>SUM(E623:E633)</f>
        <v>11</v>
      </c>
      <c r="F622" s="92"/>
      <c r="G622" s="92"/>
      <c r="H622" s="724">
        <f t="shared" ref="F622:AA622" si="94">SUM(H623:H633)</f>
        <v>314</v>
      </c>
      <c r="I622" s="724">
        <f t="shared" si="94"/>
        <v>314</v>
      </c>
      <c r="J622" s="724">
        <f t="shared" si="94"/>
        <v>0</v>
      </c>
      <c r="K622" s="724">
        <f t="shared" si="94"/>
        <v>0</v>
      </c>
      <c r="L622" s="724"/>
      <c r="M622" s="724"/>
      <c r="N622" s="724">
        <f t="shared" si="94"/>
        <v>0</v>
      </c>
      <c r="O622" s="724">
        <f t="shared" si="94"/>
        <v>0</v>
      </c>
      <c r="P622" s="724">
        <f t="shared" si="94"/>
        <v>0</v>
      </c>
      <c r="Q622" s="724">
        <f t="shared" si="94"/>
        <v>0</v>
      </c>
      <c r="R622" s="724">
        <f t="shared" si="94"/>
        <v>0</v>
      </c>
      <c r="S622" s="724">
        <f t="shared" si="94"/>
        <v>0</v>
      </c>
      <c r="T622" s="724">
        <f t="shared" si="94"/>
        <v>0</v>
      </c>
      <c r="U622" s="724">
        <f t="shared" si="94"/>
        <v>0</v>
      </c>
      <c r="V622" s="724">
        <f t="shared" si="94"/>
        <v>0</v>
      </c>
      <c r="W622" s="92"/>
      <c r="X622" s="708" t="s">
        <v>444</v>
      </c>
      <c r="Y622" s="92">
        <f t="shared" si="94"/>
        <v>314</v>
      </c>
      <c r="Z622" s="92">
        <f t="shared" si="94"/>
        <v>314</v>
      </c>
      <c r="AA622" s="92">
        <f t="shared" si="94"/>
        <v>11</v>
      </c>
      <c r="AB622" s="92"/>
      <c r="AC622" s="92"/>
      <c r="AD622" s="146" t="s">
        <v>336</v>
      </c>
      <c r="AE622" s="146" t="s">
        <v>337</v>
      </c>
      <c r="AF622" s="146" t="s">
        <v>338</v>
      </c>
      <c r="AG622" s="92" t="s">
        <v>41</v>
      </c>
    </row>
    <row r="623" s="694" customFormat="1" ht="24.95" customHeight="1" spans="1:33">
      <c r="A623" s="705"/>
      <c r="B623" s="714" t="s">
        <v>101</v>
      </c>
      <c r="C623" s="146" t="s">
        <v>52</v>
      </c>
      <c r="D623" s="152" t="s">
        <v>147</v>
      </c>
      <c r="E623" s="92">
        <v>1</v>
      </c>
      <c r="F623" s="714" t="str">
        <f t="shared" si="87"/>
        <v>中安</v>
      </c>
      <c r="G623" s="92"/>
      <c r="H623" s="724">
        <v>23</v>
      </c>
      <c r="I623" s="86">
        <v>23</v>
      </c>
      <c r="J623" s="724"/>
      <c r="K623" s="724"/>
      <c r="L623" s="726">
        <v>2018.01</v>
      </c>
      <c r="M623" s="726">
        <v>2018.12</v>
      </c>
      <c r="N623" s="724"/>
      <c r="O623" s="724"/>
      <c r="P623" s="724"/>
      <c r="Q623" s="724"/>
      <c r="R623" s="724"/>
      <c r="S623" s="724"/>
      <c r="T623" s="724"/>
      <c r="U623" s="724"/>
      <c r="V623" s="724"/>
      <c r="W623" s="724"/>
      <c r="X623" s="708" t="s">
        <v>444</v>
      </c>
      <c r="Y623" s="76">
        <v>23</v>
      </c>
      <c r="Z623" s="76">
        <v>23</v>
      </c>
      <c r="AA623" s="92">
        <v>1</v>
      </c>
      <c r="AB623" s="92"/>
      <c r="AC623" s="92"/>
      <c r="AD623" s="146" t="s">
        <v>244</v>
      </c>
      <c r="AE623" s="146" t="s">
        <v>333</v>
      </c>
      <c r="AF623" s="146" t="s">
        <v>338</v>
      </c>
      <c r="AG623" s="92"/>
    </row>
    <row r="624" s="694" customFormat="1" ht="24.95" customHeight="1" spans="1:33">
      <c r="A624" s="705"/>
      <c r="B624" s="714" t="s">
        <v>151</v>
      </c>
      <c r="C624" s="146" t="s">
        <v>52</v>
      </c>
      <c r="D624" s="152" t="s">
        <v>147</v>
      </c>
      <c r="E624" s="92">
        <v>1</v>
      </c>
      <c r="F624" s="714" t="str">
        <f t="shared" si="87"/>
        <v>胜境</v>
      </c>
      <c r="G624" s="92"/>
      <c r="H624" s="724">
        <v>5</v>
      </c>
      <c r="I624" s="86">
        <v>5</v>
      </c>
      <c r="J624" s="724"/>
      <c r="K624" s="724"/>
      <c r="L624" s="726">
        <v>2018.01</v>
      </c>
      <c r="M624" s="726">
        <v>2018.12</v>
      </c>
      <c r="N624" s="724"/>
      <c r="O624" s="724"/>
      <c r="P624" s="724"/>
      <c r="Q624" s="724"/>
      <c r="R624" s="724"/>
      <c r="S624" s="724"/>
      <c r="T624" s="724"/>
      <c r="U624" s="724"/>
      <c r="V624" s="724"/>
      <c r="W624" s="724"/>
      <c r="X624" s="708" t="s">
        <v>444</v>
      </c>
      <c r="Y624" s="76">
        <v>5</v>
      </c>
      <c r="Z624" s="76">
        <v>5</v>
      </c>
      <c r="AA624" s="92">
        <v>1</v>
      </c>
      <c r="AB624" s="92"/>
      <c r="AC624" s="92"/>
      <c r="AD624" s="146" t="s">
        <v>339</v>
      </c>
      <c r="AE624" s="146" t="s">
        <v>445</v>
      </c>
      <c r="AF624" s="146" t="s">
        <v>338</v>
      </c>
      <c r="AG624" s="92"/>
    </row>
    <row r="625" s="694" customFormat="1" ht="24.95" customHeight="1" spans="1:33">
      <c r="A625" s="705"/>
      <c r="B625" s="714" t="s">
        <v>154</v>
      </c>
      <c r="C625" s="146" t="s">
        <v>52</v>
      </c>
      <c r="D625" s="152" t="s">
        <v>147</v>
      </c>
      <c r="E625" s="92">
        <v>1</v>
      </c>
      <c r="F625" s="714" t="str">
        <f t="shared" si="87"/>
        <v>后所</v>
      </c>
      <c r="G625" s="92"/>
      <c r="H625" s="724">
        <v>14</v>
      </c>
      <c r="I625" s="86">
        <v>14</v>
      </c>
      <c r="J625" s="724"/>
      <c r="K625" s="724"/>
      <c r="L625" s="726">
        <v>2018.01</v>
      </c>
      <c r="M625" s="726">
        <v>2018.12</v>
      </c>
      <c r="N625" s="724"/>
      <c r="O625" s="724"/>
      <c r="P625" s="724"/>
      <c r="Q625" s="724"/>
      <c r="R625" s="724"/>
      <c r="S625" s="724"/>
      <c r="T625" s="724"/>
      <c r="U625" s="724"/>
      <c r="V625" s="724"/>
      <c r="W625" s="724"/>
      <c r="X625" s="708" t="s">
        <v>444</v>
      </c>
      <c r="Y625" s="76">
        <v>14</v>
      </c>
      <c r="Z625" s="76">
        <v>14</v>
      </c>
      <c r="AA625" s="92">
        <v>1</v>
      </c>
      <c r="AB625" s="92"/>
      <c r="AC625" s="92"/>
      <c r="AD625" s="146" t="s">
        <v>247</v>
      </c>
      <c r="AE625" s="146" t="s">
        <v>341</v>
      </c>
      <c r="AF625" s="146" t="s">
        <v>338</v>
      </c>
      <c r="AG625" s="92"/>
    </row>
    <row r="626" s="694" customFormat="1" ht="24.95" customHeight="1" spans="1:33">
      <c r="A626" s="705"/>
      <c r="B626" s="714" t="s">
        <v>81</v>
      </c>
      <c r="C626" s="146" t="s">
        <v>52</v>
      </c>
      <c r="D626" s="152" t="s">
        <v>147</v>
      </c>
      <c r="E626" s="92">
        <v>1</v>
      </c>
      <c r="F626" s="714" t="str">
        <f t="shared" si="87"/>
        <v>墨红</v>
      </c>
      <c r="G626" s="92"/>
      <c r="H626" s="724">
        <v>7</v>
      </c>
      <c r="I626" s="86">
        <v>7</v>
      </c>
      <c r="J626" s="724"/>
      <c r="K626" s="724"/>
      <c r="L626" s="726">
        <v>2018.01</v>
      </c>
      <c r="M626" s="726">
        <v>2018.12</v>
      </c>
      <c r="N626" s="724"/>
      <c r="O626" s="724"/>
      <c r="P626" s="724"/>
      <c r="Q626" s="724"/>
      <c r="R626" s="724"/>
      <c r="S626" s="724"/>
      <c r="T626" s="724"/>
      <c r="U626" s="724"/>
      <c r="V626" s="724"/>
      <c r="W626" s="724"/>
      <c r="X626" s="708" t="s">
        <v>444</v>
      </c>
      <c r="Y626" s="76">
        <v>7</v>
      </c>
      <c r="Z626" s="76">
        <v>7</v>
      </c>
      <c r="AA626" s="92">
        <v>1</v>
      </c>
      <c r="AB626" s="92"/>
      <c r="AC626" s="92"/>
      <c r="AD626" s="146" t="s">
        <v>342</v>
      </c>
      <c r="AE626" s="146" t="s">
        <v>343</v>
      </c>
      <c r="AF626" s="146" t="s">
        <v>338</v>
      </c>
      <c r="AG626" s="92"/>
    </row>
    <row r="627" s="694" customFormat="1" ht="24.95" customHeight="1" spans="1:33">
      <c r="A627" s="705"/>
      <c r="B627" s="714" t="s">
        <v>98</v>
      </c>
      <c r="C627" s="146" t="s">
        <v>52</v>
      </c>
      <c r="D627" s="152" t="s">
        <v>147</v>
      </c>
      <c r="E627" s="92">
        <v>1</v>
      </c>
      <c r="F627" s="714" t="str">
        <f t="shared" si="87"/>
        <v>大河</v>
      </c>
      <c r="G627" s="92"/>
      <c r="H627" s="724">
        <v>38</v>
      </c>
      <c r="I627" s="86">
        <v>38</v>
      </c>
      <c r="J627" s="724"/>
      <c r="K627" s="724"/>
      <c r="L627" s="726">
        <v>2018.01</v>
      </c>
      <c r="M627" s="726">
        <v>2018.12</v>
      </c>
      <c r="N627" s="724"/>
      <c r="O627" s="724"/>
      <c r="P627" s="724"/>
      <c r="Q627" s="724"/>
      <c r="R627" s="724"/>
      <c r="S627" s="724"/>
      <c r="T627" s="724"/>
      <c r="U627" s="724"/>
      <c r="V627" s="724"/>
      <c r="W627" s="724"/>
      <c r="X627" s="708" t="s">
        <v>444</v>
      </c>
      <c r="Y627" s="76">
        <v>38</v>
      </c>
      <c r="Z627" s="76">
        <v>38</v>
      </c>
      <c r="AA627" s="92">
        <v>1</v>
      </c>
      <c r="AB627" s="92"/>
      <c r="AC627" s="92"/>
      <c r="AD627" s="146" t="s">
        <v>344</v>
      </c>
      <c r="AE627" s="146" t="s">
        <v>345</v>
      </c>
      <c r="AF627" s="146" t="s">
        <v>338</v>
      </c>
      <c r="AG627" s="92"/>
    </row>
    <row r="628" s="694" customFormat="1" ht="24.95" customHeight="1" spans="1:33">
      <c r="A628" s="705"/>
      <c r="B628" s="714" t="s">
        <v>211</v>
      </c>
      <c r="C628" s="146" t="s">
        <v>52</v>
      </c>
      <c r="D628" s="152" t="s">
        <v>147</v>
      </c>
      <c r="E628" s="92">
        <v>1</v>
      </c>
      <c r="F628" s="714" t="str">
        <f t="shared" si="87"/>
        <v>营上</v>
      </c>
      <c r="G628" s="92"/>
      <c r="H628" s="724">
        <v>28</v>
      </c>
      <c r="I628" s="86">
        <v>28</v>
      </c>
      <c r="J628" s="724"/>
      <c r="K628" s="724"/>
      <c r="L628" s="726">
        <v>2018.01</v>
      </c>
      <c r="M628" s="726">
        <v>2018.12</v>
      </c>
      <c r="N628" s="724"/>
      <c r="O628" s="724"/>
      <c r="P628" s="724"/>
      <c r="Q628" s="724"/>
      <c r="R628" s="724"/>
      <c r="S628" s="724"/>
      <c r="T628" s="724"/>
      <c r="U628" s="724"/>
      <c r="V628" s="724"/>
      <c r="W628" s="724"/>
      <c r="X628" s="708" t="s">
        <v>444</v>
      </c>
      <c r="Y628" s="76">
        <v>28</v>
      </c>
      <c r="Z628" s="76">
        <v>28</v>
      </c>
      <c r="AA628" s="92">
        <v>1</v>
      </c>
      <c r="AB628" s="92"/>
      <c r="AC628" s="92"/>
      <c r="AD628" s="146" t="s">
        <v>346</v>
      </c>
      <c r="AE628" s="146" t="s">
        <v>347</v>
      </c>
      <c r="AF628" s="146" t="s">
        <v>338</v>
      </c>
      <c r="AG628" s="92"/>
    </row>
    <row r="629" s="694" customFormat="1" ht="24.95" customHeight="1" spans="1:33">
      <c r="A629" s="705"/>
      <c r="B629" s="714" t="s">
        <v>155</v>
      </c>
      <c r="C629" s="146" t="s">
        <v>52</v>
      </c>
      <c r="D629" s="152" t="s">
        <v>147</v>
      </c>
      <c r="E629" s="92">
        <v>1</v>
      </c>
      <c r="F629" s="714" t="str">
        <f t="shared" si="87"/>
        <v>竹园</v>
      </c>
      <c r="G629" s="92"/>
      <c r="H629" s="724">
        <v>6</v>
      </c>
      <c r="I629" s="86">
        <v>6</v>
      </c>
      <c r="J629" s="724"/>
      <c r="K629" s="724"/>
      <c r="L629" s="726">
        <v>2018.01</v>
      </c>
      <c r="M629" s="726">
        <v>2018.12</v>
      </c>
      <c r="N629" s="724"/>
      <c r="O629" s="724"/>
      <c r="P629" s="724"/>
      <c r="Q629" s="724"/>
      <c r="R629" s="724"/>
      <c r="S629" s="724"/>
      <c r="T629" s="724"/>
      <c r="U629" s="724"/>
      <c r="V629" s="724"/>
      <c r="W629" s="724"/>
      <c r="X629" s="708" t="s">
        <v>444</v>
      </c>
      <c r="Y629" s="76">
        <v>6</v>
      </c>
      <c r="Z629" s="76">
        <v>6</v>
      </c>
      <c r="AA629" s="92">
        <v>1</v>
      </c>
      <c r="AB629" s="92"/>
      <c r="AC629" s="92"/>
      <c r="AD629" s="146" t="s">
        <v>253</v>
      </c>
      <c r="AE629" s="146" t="s">
        <v>348</v>
      </c>
      <c r="AF629" s="146" t="s">
        <v>338</v>
      </c>
      <c r="AG629" s="92"/>
    </row>
    <row r="630" s="694" customFormat="1" ht="24.95" customHeight="1" spans="1:33">
      <c r="A630" s="705"/>
      <c r="B630" s="714" t="s">
        <v>102</v>
      </c>
      <c r="C630" s="146" t="s">
        <v>52</v>
      </c>
      <c r="D630" s="152" t="s">
        <v>147</v>
      </c>
      <c r="E630" s="92">
        <v>1</v>
      </c>
      <c r="F630" s="714" t="str">
        <f t="shared" si="87"/>
        <v>富村</v>
      </c>
      <c r="G630" s="92"/>
      <c r="H630" s="724">
        <v>119</v>
      </c>
      <c r="I630" s="86">
        <v>119</v>
      </c>
      <c r="J630" s="724"/>
      <c r="K630" s="724"/>
      <c r="L630" s="726">
        <v>2018.01</v>
      </c>
      <c r="M630" s="726">
        <v>2018.12</v>
      </c>
      <c r="N630" s="724"/>
      <c r="O630" s="724"/>
      <c r="P630" s="724"/>
      <c r="Q630" s="724"/>
      <c r="R630" s="724"/>
      <c r="S630" s="724"/>
      <c r="T630" s="724"/>
      <c r="U630" s="724"/>
      <c r="V630" s="724"/>
      <c r="W630" s="724"/>
      <c r="X630" s="708" t="s">
        <v>444</v>
      </c>
      <c r="Y630" s="76">
        <v>119</v>
      </c>
      <c r="Z630" s="76">
        <v>119</v>
      </c>
      <c r="AA630" s="92">
        <v>1</v>
      </c>
      <c r="AB630" s="92"/>
      <c r="AC630" s="92"/>
      <c r="AD630" s="787" t="s">
        <v>255</v>
      </c>
      <c r="AE630" s="792" t="s">
        <v>349</v>
      </c>
      <c r="AF630" s="146" t="s">
        <v>338</v>
      </c>
      <c r="AG630" s="92"/>
    </row>
    <row r="631" s="694" customFormat="1" ht="24.95" customHeight="1" spans="1:33">
      <c r="A631" s="705"/>
      <c r="B631" s="714" t="s">
        <v>100</v>
      </c>
      <c r="C631" s="146" t="s">
        <v>52</v>
      </c>
      <c r="D631" s="152" t="s">
        <v>147</v>
      </c>
      <c r="E631" s="92">
        <v>1</v>
      </c>
      <c r="F631" s="714" t="str">
        <f t="shared" si="87"/>
        <v>黄泥河</v>
      </c>
      <c r="G631" s="92"/>
      <c r="H631" s="724">
        <v>27</v>
      </c>
      <c r="I631" s="86">
        <v>27</v>
      </c>
      <c r="J631" s="724"/>
      <c r="K631" s="724"/>
      <c r="L631" s="726">
        <v>2018.01</v>
      </c>
      <c r="M631" s="726">
        <v>2018.12</v>
      </c>
      <c r="N631" s="724"/>
      <c r="O631" s="724"/>
      <c r="P631" s="724"/>
      <c r="Q631" s="724"/>
      <c r="R631" s="724"/>
      <c r="S631" s="724"/>
      <c r="T631" s="724"/>
      <c r="U631" s="724"/>
      <c r="V631" s="724"/>
      <c r="W631" s="724"/>
      <c r="X631" s="708" t="s">
        <v>444</v>
      </c>
      <c r="Y631" s="76">
        <v>27</v>
      </c>
      <c r="Z631" s="76">
        <v>27</v>
      </c>
      <c r="AA631" s="92">
        <v>1</v>
      </c>
      <c r="AB631" s="92"/>
      <c r="AC631" s="92"/>
      <c r="AD631" s="146" t="s">
        <v>312</v>
      </c>
      <c r="AE631" s="146" t="s">
        <v>352</v>
      </c>
      <c r="AF631" s="146" t="s">
        <v>338</v>
      </c>
      <c r="AG631" s="92"/>
    </row>
    <row r="632" s="694" customFormat="1" ht="24.95" customHeight="1" spans="1:33">
      <c r="A632" s="705"/>
      <c r="B632" s="714" t="s">
        <v>84</v>
      </c>
      <c r="C632" s="146" t="s">
        <v>52</v>
      </c>
      <c r="D632" s="152" t="s">
        <v>147</v>
      </c>
      <c r="E632" s="92">
        <v>1</v>
      </c>
      <c r="F632" s="714" t="str">
        <f t="shared" si="87"/>
        <v>十八连山</v>
      </c>
      <c r="G632" s="92"/>
      <c r="H632" s="724">
        <v>14</v>
      </c>
      <c r="I632" s="86">
        <v>14</v>
      </c>
      <c r="J632" s="724"/>
      <c r="K632" s="724"/>
      <c r="L632" s="726">
        <v>2018.01</v>
      </c>
      <c r="M632" s="726">
        <v>2018.12</v>
      </c>
      <c r="N632" s="724"/>
      <c r="O632" s="724"/>
      <c r="P632" s="724"/>
      <c r="Q632" s="724"/>
      <c r="R632" s="724"/>
      <c r="S632" s="724"/>
      <c r="T632" s="724"/>
      <c r="U632" s="724"/>
      <c r="V632" s="724"/>
      <c r="W632" s="724"/>
      <c r="X632" s="708" t="s">
        <v>444</v>
      </c>
      <c r="Y632" s="76">
        <v>14</v>
      </c>
      <c r="Z632" s="76">
        <v>14</v>
      </c>
      <c r="AA632" s="92">
        <v>1</v>
      </c>
      <c r="AB632" s="92"/>
      <c r="AC632" s="92"/>
      <c r="AD632" s="146" t="s">
        <v>350</v>
      </c>
      <c r="AE632" s="146" t="s">
        <v>351</v>
      </c>
      <c r="AF632" s="146" t="s">
        <v>338</v>
      </c>
      <c r="AG632" s="92"/>
    </row>
    <row r="633" s="694" customFormat="1" ht="24.95" customHeight="1" spans="1:33">
      <c r="A633" s="705"/>
      <c r="B633" s="714" t="s">
        <v>143</v>
      </c>
      <c r="C633" s="146" t="s">
        <v>52</v>
      </c>
      <c r="D633" s="152" t="s">
        <v>147</v>
      </c>
      <c r="E633" s="92">
        <v>1</v>
      </c>
      <c r="F633" s="714" t="str">
        <f t="shared" si="87"/>
        <v>老厂</v>
      </c>
      <c r="G633" s="92"/>
      <c r="H633" s="724">
        <v>33</v>
      </c>
      <c r="I633" s="86">
        <v>33</v>
      </c>
      <c r="J633" s="724"/>
      <c r="K633" s="724"/>
      <c r="L633" s="726">
        <v>2018.01</v>
      </c>
      <c r="M633" s="726">
        <v>2018.12</v>
      </c>
      <c r="N633" s="724"/>
      <c r="O633" s="724"/>
      <c r="P633" s="724"/>
      <c r="Q633" s="724"/>
      <c r="R633" s="724"/>
      <c r="S633" s="724"/>
      <c r="T633" s="724"/>
      <c r="U633" s="724"/>
      <c r="V633" s="724"/>
      <c r="W633" s="724"/>
      <c r="X633" s="708" t="s">
        <v>444</v>
      </c>
      <c r="Y633" s="76">
        <v>33</v>
      </c>
      <c r="Z633" s="76">
        <v>33</v>
      </c>
      <c r="AA633" s="92">
        <v>1</v>
      </c>
      <c r="AB633" s="92"/>
      <c r="AC633" s="92"/>
      <c r="AD633" s="146" t="s">
        <v>354</v>
      </c>
      <c r="AE633" s="146" t="s">
        <v>263</v>
      </c>
      <c r="AF633" s="146" t="s">
        <v>338</v>
      </c>
      <c r="AG633" s="92"/>
    </row>
    <row r="634" s="570" customFormat="1" ht="24.95" customHeight="1" spans="1:33">
      <c r="A634" s="705">
        <v>80</v>
      </c>
      <c r="B634" s="750" t="s">
        <v>448</v>
      </c>
      <c r="C634" s="146" t="s">
        <v>52</v>
      </c>
      <c r="D634" s="152" t="s">
        <v>147</v>
      </c>
      <c r="E634" s="92">
        <f>SUM(E635:E636)</f>
        <v>2</v>
      </c>
      <c r="F634" s="92"/>
      <c r="G634" s="92"/>
      <c r="H634" s="724">
        <f t="shared" ref="F634:AA634" si="95">SUM(H635:H636)</f>
        <v>3</v>
      </c>
      <c r="I634" s="724">
        <f t="shared" si="95"/>
        <v>3</v>
      </c>
      <c r="J634" s="724">
        <f t="shared" si="95"/>
        <v>0</v>
      </c>
      <c r="K634" s="724">
        <f t="shared" si="95"/>
        <v>0</v>
      </c>
      <c r="L634" s="724"/>
      <c r="M634" s="724"/>
      <c r="N634" s="724">
        <f t="shared" si="95"/>
        <v>0</v>
      </c>
      <c r="O634" s="724">
        <f t="shared" si="95"/>
        <v>0</v>
      </c>
      <c r="P634" s="724">
        <f t="shared" si="95"/>
        <v>0</v>
      </c>
      <c r="Q634" s="724">
        <f t="shared" si="95"/>
        <v>0</v>
      </c>
      <c r="R634" s="724">
        <f t="shared" si="95"/>
        <v>0</v>
      </c>
      <c r="S634" s="724">
        <f t="shared" si="95"/>
        <v>0</v>
      </c>
      <c r="T634" s="724">
        <f t="shared" si="95"/>
        <v>0</v>
      </c>
      <c r="U634" s="724">
        <f t="shared" si="95"/>
        <v>0</v>
      </c>
      <c r="V634" s="724">
        <f t="shared" si="95"/>
        <v>0</v>
      </c>
      <c r="W634" s="92"/>
      <c r="X634" s="708" t="s">
        <v>444</v>
      </c>
      <c r="Y634" s="92">
        <f t="shared" si="95"/>
        <v>3</v>
      </c>
      <c r="Z634" s="92">
        <f t="shared" si="95"/>
        <v>3</v>
      </c>
      <c r="AA634" s="92">
        <f t="shared" si="95"/>
        <v>2</v>
      </c>
      <c r="AB634" s="92"/>
      <c r="AC634" s="92"/>
      <c r="AD634" s="146" t="s">
        <v>336</v>
      </c>
      <c r="AE634" s="146" t="s">
        <v>337</v>
      </c>
      <c r="AF634" s="146" t="s">
        <v>338</v>
      </c>
      <c r="AG634" s="92" t="s">
        <v>41</v>
      </c>
    </row>
    <row r="635" s="694" customFormat="1" ht="24.95" customHeight="1" spans="1:33">
      <c r="A635" s="705"/>
      <c r="B635" s="714" t="s">
        <v>101</v>
      </c>
      <c r="C635" s="146" t="s">
        <v>52</v>
      </c>
      <c r="D635" s="152" t="s">
        <v>147</v>
      </c>
      <c r="E635" s="92">
        <v>1</v>
      </c>
      <c r="F635" s="714" t="str">
        <f t="shared" si="87"/>
        <v>中安</v>
      </c>
      <c r="G635" s="92"/>
      <c r="H635" s="86">
        <v>1</v>
      </c>
      <c r="I635" s="86">
        <v>1</v>
      </c>
      <c r="J635" s="724"/>
      <c r="K635" s="724"/>
      <c r="L635" s="726">
        <v>2018.01</v>
      </c>
      <c r="M635" s="726">
        <v>2018.12</v>
      </c>
      <c r="N635" s="724"/>
      <c r="O635" s="724"/>
      <c r="P635" s="724"/>
      <c r="Q635" s="724"/>
      <c r="R635" s="724"/>
      <c r="S635" s="724"/>
      <c r="T635" s="724"/>
      <c r="U635" s="724"/>
      <c r="V635" s="724"/>
      <c r="W635" s="724"/>
      <c r="X635" s="708" t="s">
        <v>444</v>
      </c>
      <c r="Y635" s="76">
        <v>1</v>
      </c>
      <c r="Z635" s="76">
        <v>1</v>
      </c>
      <c r="AA635" s="92">
        <v>1</v>
      </c>
      <c r="AB635" s="92"/>
      <c r="AC635" s="92"/>
      <c r="AD635" s="146" t="s">
        <v>244</v>
      </c>
      <c r="AE635" s="146" t="s">
        <v>333</v>
      </c>
      <c r="AF635" s="146" t="s">
        <v>338</v>
      </c>
      <c r="AG635" s="92"/>
    </row>
    <row r="636" s="694" customFormat="1" ht="24.95" customHeight="1" spans="1:33">
      <c r="A636" s="705"/>
      <c r="B636" s="714" t="s">
        <v>143</v>
      </c>
      <c r="C636" s="146" t="s">
        <v>52</v>
      </c>
      <c r="D636" s="152" t="s">
        <v>147</v>
      </c>
      <c r="E636" s="92">
        <v>1</v>
      </c>
      <c r="F636" s="714" t="str">
        <f t="shared" si="87"/>
        <v>老厂</v>
      </c>
      <c r="G636" s="92"/>
      <c r="H636" s="86">
        <v>2</v>
      </c>
      <c r="I636" s="86">
        <v>2</v>
      </c>
      <c r="J636" s="724"/>
      <c r="K636" s="724"/>
      <c r="L636" s="726">
        <v>2018.01</v>
      </c>
      <c r="M636" s="726">
        <v>2018.12</v>
      </c>
      <c r="N636" s="724"/>
      <c r="O636" s="724"/>
      <c r="P636" s="724"/>
      <c r="Q636" s="724"/>
      <c r="R636" s="724"/>
      <c r="S636" s="724"/>
      <c r="T636" s="724"/>
      <c r="U636" s="724"/>
      <c r="V636" s="724"/>
      <c r="W636" s="724"/>
      <c r="X636" s="708" t="s">
        <v>444</v>
      </c>
      <c r="Y636" s="76">
        <v>2</v>
      </c>
      <c r="Z636" s="76">
        <v>2</v>
      </c>
      <c r="AA636" s="92">
        <v>1</v>
      </c>
      <c r="AB636" s="92"/>
      <c r="AC636" s="92"/>
      <c r="AD636" s="146" t="s">
        <v>354</v>
      </c>
      <c r="AE636" s="146" t="s">
        <v>263</v>
      </c>
      <c r="AF636" s="146" t="s">
        <v>338</v>
      </c>
      <c r="AG636" s="92"/>
    </row>
    <row r="637" s="570" customFormat="1" ht="24.95" customHeight="1" spans="1:33">
      <c r="A637" s="705">
        <v>81</v>
      </c>
      <c r="B637" s="708" t="s">
        <v>449</v>
      </c>
      <c r="C637" s="708"/>
      <c r="D637" s="709" t="s">
        <v>147</v>
      </c>
      <c r="E637" s="708">
        <f>SUM(E638:E649)</f>
        <v>12</v>
      </c>
      <c r="F637" s="708"/>
      <c r="G637" s="708"/>
      <c r="H637" s="726">
        <f t="shared" ref="F637:AA637" si="96">SUM(H638:H649)</f>
        <v>1247</v>
      </c>
      <c r="I637" s="726">
        <f t="shared" si="96"/>
        <v>1247</v>
      </c>
      <c r="J637" s="726">
        <f t="shared" si="96"/>
        <v>0</v>
      </c>
      <c r="K637" s="726">
        <f t="shared" si="96"/>
        <v>0</v>
      </c>
      <c r="L637" s="726"/>
      <c r="M637" s="726"/>
      <c r="N637" s="726">
        <f t="shared" si="96"/>
        <v>151.668</v>
      </c>
      <c r="O637" s="726">
        <f t="shared" si="96"/>
        <v>151.668</v>
      </c>
      <c r="P637" s="726">
        <f t="shared" si="96"/>
        <v>0</v>
      </c>
      <c r="Q637" s="726">
        <f t="shared" si="96"/>
        <v>0</v>
      </c>
      <c r="R637" s="726">
        <f t="shared" si="96"/>
        <v>151.668</v>
      </c>
      <c r="S637" s="726">
        <f t="shared" si="96"/>
        <v>0</v>
      </c>
      <c r="T637" s="726">
        <f t="shared" si="96"/>
        <v>0</v>
      </c>
      <c r="U637" s="726">
        <f t="shared" si="96"/>
        <v>0</v>
      </c>
      <c r="V637" s="726">
        <f t="shared" si="96"/>
        <v>0</v>
      </c>
      <c r="W637" s="708"/>
      <c r="X637" s="708" t="s">
        <v>444</v>
      </c>
      <c r="Y637" s="708">
        <f t="shared" si="96"/>
        <v>1247</v>
      </c>
      <c r="Z637" s="708">
        <f t="shared" si="96"/>
        <v>5607</v>
      </c>
      <c r="AA637" s="708">
        <f t="shared" si="96"/>
        <v>12</v>
      </c>
      <c r="AB637" s="708"/>
      <c r="AC637" s="708"/>
      <c r="AD637" s="146" t="s">
        <v>450</v>
      </c>
      <c r="AE637" s="146" t="s">
        <v>451</v>
      </c>
      <c r="AF637" s="146" t="s">
        <v>452</v>
      </c>
      <c r="AG637" s="708" t="s">
        <v>41</v>
      </c>
    </row>
    <row r="638" s="694" customFormat="1" ht="24.95" customHeight="1" spans="1:33">
      <c r="A638" s="705"/>
      <c r="B638" s="714" t="s">
        <v>101</v>
      </c>
      <c r="C638" s="146" t="s">
        <v>52</v>
      </c>
      <c r="D638" s="152" t="s">
        <v>147</v>
      </c>
      <c r="E638" s="92">
        <v>1</v>
      </c>
      <c r="F638" s="714" t="str">
        <f t="shared" si="87"/>
        <v>中安</v>
      </c>
      <c r="G638" s="708"/>
      <c r="H638" s="726">
        <v>77</v>
      </c>
      <c r="I638" s="726">
        <v>77</v>
      </c>
      <c r="J638" s="726"/>
      <c r="K638" s="726"/>
      <c r="L638" s="726">
        <v>2018.01</v>
      </c>
      <c r="M638" s="726">
        <v>2018.12</v>
      </c>
      <c r="N638" s="726">
        <v>9.036</v>
      </c>
      <c r="O638" s="726">
        <v>9.036</v>
      </c>
      <c r="P638" s="726"/>
      <c r="Q638" s="726"/>
      <c r="R638" s="726">
        <v>9.036</v>
      </c>
      <c r="S638" s="726"/>
      <c r="T638" s="726"/>
      <c r="U638" s="726"/>
      <c r="V638" s="726"/>
      <c r="W638" s="726"/>
      <c r="X638" s="708" t="s">
        <v>444</v>
      </c>
      <c r="Y638" s="763">
        <v>77</v>
      </c>
      <c r="Z638" s="763">
        <v>346</v>
      </c>
      <c r="AA638" s="92">
        <v>1</v>
      </c>
      <c r="AB638" s="708"/>
      <c r="AC638" s="708"/>
      <c r="AD638" s="146" t="s">
        <v>244</v>
      </c>
      <c r="AE638" s="146" t="s">
        <v>333</v>
      </c>
      <c r="AF638" s="146" t="s">
        <v>452</v>
      </c>
      <c r="AG638" s="708"/>
    </row>
    <row r="639" s="694" customFormat="1" ht="24.95" customHeight="1" spans="1:33">
      <c r="A639" s="705"/>
      <c r="B639" s="714" t="s">
        <v>151</v>
      </c>
      <c r="C639" s="146" t="s">
        <v>52</v>
      </c>
      <c r="D639" s="152" t="s">
        <v>147</v>
      </c>
      <c r="E639" s="92">
        <v>1</v>
      </c>
      <c r="F639" s="714" t="str">
        <f t="shared" si="87"/>
        <v>胜境</v>
      </c>
      <c r="G639" s="708"/>
      <c r="H639" s="726">
        <v>93</v>
      </c>
      <c r="I639" s="726">
        <v>93</v>
      </c>
      <c r="J639" s="726"/>
      <c r="K639" s="726"/>
      <c r="L639" s="726">
        <v>2018.01</v>
      </c>
      <c r="M639" s="726">
        <v>2018.12</v>
      </c>
      <c r="N639" s="726">
        <v>11.268</v>
      </c>
      <c r="O639" s="726">
        <v>11.268</v>
      </c>
      <c r="P639" s="726"/>
      <c r="Q639" s="726"/>
      <c r="R639" s="726">
        <v>11.268</v>
      </c>
      <c r="S639" s="726"/>
      <c r="T639" s="726"/>
      <c r="U639" s="726"/>
      <c r="V639" s="726"/>
      <c r="W639" s="726"/>
      <c r="X639" s="708" t="s">
        <v>444</v>
      </c>
      <c r="Y639" s="763">
        <v>93</v>
      </c>
      <c r="Z639" s="763">
        <v>418</v>
      </c>
      <c r="AA639" s="92">
        <v>1</v>
      </c>
      <c r="AB639" s="708"/>
      <c r="AC639" s="708"/>
      <c r="AD639" s="146" t="s">
        <v>339</v>
      </c>
      <c r="AE639" s="146" t="s">
        <v>340</v>
      </c>
      <c r="AF639" s="146" t="s">
        <v>452</v>
      </c>
      <c r="AG639" s="708"/>
    </row>
    <row r="640" s="694" customFormat="1" ht="24.95" customHeight="1" spans="1:33">
      <c r="A640" s="705"/>
      <c r="B640" s="714" t="s">
        <v>154</v>
      </c>
      <c r="C640" s="146" t="s">
        <v>52</v>
      </c>
      <c r="D640" s="152" t="s">
        <v>147</v>
      </c>
      <c r="E640" s="92">
        <v>1</v>
      </c>
      <c r="F640" s="714" t="str">
        <f t="shared" si="87"/>
        <v>后所</v>
      </c>
      <c r="G640" s="708"/>
      <c r="H640" s="726">
        <v>135</v>
      </c>
      <c r="I640" s="726">
        <v>135</v>
      </c>
      <c r="J640" s="726"/>
      <c r="K640" s="726"/>
      <c r="L640" s="726">
        <v>2018.01</v>
      </c>
      <c r="M640" s="726">
        <v>2018.12</v>
      </c>
      <c r="N640" s="726">
        <v>16.236</v>
      </c>
      <c r="O640" s="726">
        <v>16.236</v>
      </c>
      <c r="P640" s="726"/>
      <c r="Q640" s="726"/>
      <c r="R640" s="726">
        <v>16.236</v>
      </c>
      <c r="S640" s="726"/>
      <c r="T640" s="726"/>
      <c r="U640" s="726"/>
      <c r="V640" s="726"/>
      <c r="W640" s="726"/>
      <c r="X640" s="708" t="s">
        <v>444</v>
      </c>
      <c r="Y640" s="763">
        <v>135</v>
      </c>
      <c r="Z640" s="763">
        <v>607</v>
      </c>
      <c r="AA640" s="92">
        <v>1</v>
      </c>
      <c r="AB640" s="708"/>
      <c r="AC640" s="708"/>
      <c r="AD640" s="146" t="s">
        <v>453</v>
      </c>
      <c r="AE640" s="146" t="s">
        <v>454</v>
      </c>
      <c r="AF640" s="146" t="s">
        <v>452</v>
      </c>
      <c r="AG640" s="708"/>
    </row>
    <row r="641" s="694" customFormat="1" ht="24.95" customHeight="1" spans="1:33">
      <c r="A641" s="705"/>
      <c r="B641" s="714" t="s">
        <v>81</v>
      </c>
      <c r="C641" s="146" t="s">
        <v>52</v>
      </c>
      <c r="D641" s="152" t="s">
        <v>147</v>
      </c>
      <c r="E641" s="92">
        <v>1</v>
      </c>
      <c r="F641" s="714" t="str">
        <f t="shared" si="87"/>
        <v>墨红</v>
      </c>
      <c r="G641" s="708"/>
      <c r="H641" s="726">
        <v>95</v>
      </c>
      <c r="I641" s="726">
        <v>95</v>
      </c>
      <c r="J641" s="726"/>
      <c r="K641" s="726"/>
      <c r="L641" s="726">
        <v>2018.01</v>
      </c>
      <c r="M641" s="726">
        <v>2018.12</v>
      </c>
      <c r="N641" s="726">
        <v>12.06</v>
      </c>
      <c r="O641" s="726">
        <v>12.06</v>
      </c>
      <c r="P641" s="726"/>
      <c r="Q641" s="726"/>
      <c r="R641" s="726">
        <v>12.06</v>
      </c>
      <c r="S641" s="726"/>
      <c r="T641" s="726"/>
      <c r="U641" s="726"/>
      <c r="V641" s="726"/>
      <c r="W641" s="726"/>
      <c r="X641" s="708" t="s">
        <v>444</v>
      </c>
      <c r="Y641" s="763">
        <v>95</v>
      </c>
      <c r="Z641" s="763">
        <v>427</v>
      </c>
      <c r="AA641" s="92">
        <v>1</v>
      </c>
      <c r="AB641" s="708"/>
      <c r="AC641" s="708"/>
      <c r="AD641" s="146" t="s">
        <v>305</v>
      </c>
      <c r="AE641" s="146" t="s">
        <v>362</v>
      </c>
      <c r="AF641" s="146" t="s">
        <v>452</v>
      </c>
      <c r="AG641" s="708"/>
    </row>
    <row r="642" s="694" customFormat="1" ht="24.95" customHeight="1" spans="1:33">
      <c r="A642" s="705"/>
      <c r="B642" s="714" t="s">
        <v>98</v>
      </c>
      <c r="C642" s="146" t="s">
        <v>52</v>
      </c>
      <c r="D642" s="152" t="s">
        <v>147</v>
      </c>
      <c r="E642" s="92">
        <v>1</v>
      </c>
      <c r="F642" s="714" t="str">
        <f t="shared" si="87"/>
        <v>大河</v>
      </c>
      <c r="G642" s="708"/>
      <c r="H642" s="726">
        <v>187</v>
      </c>
      <c r="I642" s="726">
        <v>187</v>
      </c>
      <c r="J642" s="726"/>
      <c r="K642" s="726"/>
      <c r="L642" s="726">
        <v>2018.01</v>
      </c>
      <c r="M642" s="726">
        <v>2018.12</v>
      </c>
      <c r="N642" s="726">
        <v>22.212</v>
      </c>
      <c r="O642" s="726">
        <v>22.212</v>
      </c>
      <c r="P642" s="726"/>
      <c r="Q642" s="726"/>
      <c r="R642" s="726">
        <v>22.212</v>
      </c>
      <c r="S642" s="726"/>
      <c r="T642" s="726"/>
      <c r="U642" s="726"/>
      <c r="V642" s="726"/>
      <c r="W642" s="726"/>
      <c r="X642" s="708" t="s">
        <v>444</v>
      </c>
      <c r="Y642" s="763">
        <v>187</v>
      </c>
      <c r="Z642" s="763">
        <v>841</v>
      </c>
      <c r="AA642" s="92">
        <v>1</v>
      </c>
      <c r="AB642" s="708"/>
      <c r="AC642" s="708"/>
      <c r="AD642" s="146" t="s">
        <v>344</v>
      </c>
      <c r="AE642" s="146" t="s">
        <v>455</v>
      </c>
      <c r="AF642" s="146" t="s">
        <v>452</v>
      </c>
      <c r="AG642" s="708"/>
    </row>
    <row r="643" s="694" customFormat="1" ht="24.95" customHeight="1" spans="1:33">
      <c r="A643" s="705"/>
      <c r="B643" s="714" t="s">
        <v>211</v>
      </c>
      <c r="C643" s="146" t="s">
        <v>52</v>
      </c>
      <c r="D643" s="152" t="s">
        <v>147</v>
      </c>
      <c r="E643" s="92">
        <v>1</v>
      </c>
      <c r="F643" s="714" t="str">
        <f t="shared" si="87"/>
        <v>营上</v>
      </c>
      <c r="G643" s="708"/>
      <c r="H643" s="726">
        <v>112</v>
      </c>
      <c r="I643" s="726">
        <v>112</v>
      </c>
      <c r="J643" s="726"/>
      <c r="K643" s="726"/>
      <c r="L643" s="726">
        <v>2018.01</v>
      </c>
      <c r="M643" s="726">
        <v>2018.12</v>
      </c>
      <c r="N643" s="726">
        <v>13.68</v>
      </c>
      <c r="O643" s="726">
        <v>13.68</v>
      </c>
      <c r="P643" s="726"/>
      <c r="Q643" s="726"/>
      <c r="R643" s="726">
        <v>13.68</v>
      </c>
      <c r="S643" s="726"/>
      <c r="T643" s="726"/>
      <c r="U643" s="726"/>
      <c r="V643" s="726"/>
      <c r="W643" s="726"/>
      <c r="X643" s="708" t="s">
        <v>444</v>
      </c>
      <c r="Y643" s="763">
        <v>112</v>
      </c>
      <c r="Z643" s="763">
        <v>504</v>
      </c>
      <c r="AA643" s="92">
        <v>1</v>
      </c>
      <c r="AB643" s="708"/>
      <c r="AC643" s="708"/>
      <c r="AD643" s="146" t="s">
        <v>346</v>
      </c>
      <c r="AE643" s="146" t="s">
        <v>347</v>
      </c>
      <c r="AF643" s="146" t="s">
        <v>452</v>
      </c>
      <c r="AG643" s="708"/>
    </row>
    <row r="644" s="694" customFormat="1" ht="24.95" customHeight="1" spans="1:33">
      <c r="A644" s="705"/>
      <c r="B644" s="714" t="s">
        <v>155</v>
      </c>
      <c r="C644" s="146" t="s">
        <v>52</v>
      </c>
      <c r="D644" s="152" t="s">
        <v>147</v>
      </c>
      <c r="E644" s="92">
        <v>1</v>
      </c>
      <c r="F644" s="714" t="str">
        <f t="shared" si="87"/>
        <v>竹园</v>
      </c>
      <c r="G644" s="708"/>
      <c r="H644" s="726">
        <v>27</v>
      </c>
      <c r="I644" s="726">
        <v>27</v>
      </c>
      <c r="J644" s="726"/>
      <c r="K644" s="726"/>
      <c r="L644" s="726">
        <v>2018.01</v>
      </c>
      <c r="M644" s="726">
        <v>2018.12</v>
      </c>
      <c r="N644" s="726">
        <v>3.348</v>
      </c>
      <c r="O644" s="726">
        <v>3.348</v>
      </c>
      <c r="P644" s="726"/>
      <c r="Q644" s="726"/>
      <c r="R644" s="726">
        <v>3.348</v>
      </c>
      <c r="S644" s="726"/>
      <c r="T644" s="726"/>
      <c r="U644" s="726"/>
      <c r="V644" s="726"/>
      <c r="W644" s="726"/>
      <c r="X644" s="708" t="s">
        <v>444</v>
      </c>
      <c r="Y644" s="763">
        <v>27</v>
      </c>
      <c r="Z644" s="763">
        <v>121</v>
      </c>
      <c r="AA644" s="92">
        <v>1</v>
      </c>
      <c r="AB644" s="708"/>
      <c r="AC644" s="708"/>
      <c r="AD644" s="146" t="s">
        <v>253</v>
      </c>
      <c r="AE644" s="146" t="s">
        <v>348</v>
      </c>
      <c r="AF644" s="146" t="s">
        <v>452</v>
      </c>
      <c r="AG644" s="708"/>
    </row>
    <row r="645" s="694" customFormat="1" ht="24.95" customHeight="1" spans="1:33">
      <c r="A645" s="705"/>
      <c r="B645" s="714" t="s">
        <v>102</v>
      </c>
      <c r="C645" s="146" t="s">
        <v>52</v>
      </c>
      <c r="D645" s="152" t="s">
        <v>147</v>
      </c>
      <c r="E645" s="92">
        <v>1</v>
      </c>
      <c r="F645" s="714" t="str">
        <f t="shared" si="87"/>
        <v>富村</v>
      </c>
      <c r="G645" s="708"/>
      <c r="H645" s="726">
        <v>173</v>
      </c>
      <c r="I645" s="726">
        <v>173</v>
      </c>
      <c r="J645" s="726"/>
      <c r="K645" s="726"/>
      <c r="L645" s="726">
        <v>2018.01</v>
      </c>
      <c r="M645" s="726">
        <v>2018.12</v>
      </c>
      <c r="N645" s="726">
        <v>21.564</v>
      </c>
      <c r="O645" s="726">
        <v>21.564</v>
      </c>
      <c r="P645" s="726"/>
      <c r="Q645" s="726"/>
      <c r="R645" s="726">
        <v>21.564</v>
      </c>
      <c r="S645" s="726"/>
      <c r="T645" s="726"/>
      <c r="U645" s="726"/>
      <c r="V645" s="726"/>
      <c r="W645" s="726"/>
      <c r="X645" s="708" t="s">
        <v>444</v>
      </c>
      <c r="Y645" s="763">
        <v>173</v>
      </c>
      <c r="Z645" s="763">
        <v>778</v>
      </c>
      <c r="AA645" s="92">
        <v>1</v>
      </c>
      <c r="AB645" s="708"/>
      <c r="AC645" s="708"/>
      <c r="AD645" s="146" t="s">
        <v>255</v>
      </c>
      <c r="AE645" s="146" t="s">
        <v>456</v>
      </c>
      <c r="AF645" s="146" t="s">
        <v>452</v>
      </c>
      <c r="AG645" s="708"/>
    </row>
    <row r="646" s="694" customFormat="1" ht="24.95" customHeight="1" spans="1:33">
      <c r="A646" s="705"/>
      <c r="B646" s="714" t="s">
        <v>100</v>
      </c>
      <c r="C646" s="146" t="s">
        <v>52</v>
      </c>
      <c r="D646" s="152" t="s">
        <v>147</v>
      </c>
      <c r="E646" s="92">
        <v>1</v>
      </c>
      <c r="F646" s="714" t="str">
        <f t="shared" si="87"/>
        <v>黄泥河</v>
      </c>
      <c r="G646" s="708"/>
      <c r="H646" s="726">
        <v>153</v>
      </c>
      <c r="I646" s="726">
        <v>153</v>
      </c>
      <c r="J646" s="726"/>
      <c r="K646" s="726"/>
      <c r="L646" s="726">
        <v>2018.01</v>
      </c>
      <c r="M646" s="726">
        <v>2018.12</v>
      </c>
      <c r="N646" s="726">
        <v>18.504</v>
      </c>
      <c r="O646" s="726">
        <v>18.504</v>
      </c>
      <c r="P646" s="726"/>
      <c r="Q646" s="726"/>
      <c r="R646" s="726">
        <v>18.504</v>
      </c>
      <c r="S646" s="726"/>
      <c r="T646" s="726"/>
      <c r="U646" s="726"/>
      <c r="V646" s="726"/>
      <c r="W646" s="726"/>
      <c r="X646" s="708" t="s">
        <v>444</v>
      </c>
      <c r="Y646" s="763">
        <v>153</v>
      </c>
      <c r="Z646" s="763">
        <v>688</v>
      </c>
      <c r="AA646" s="92">
        <v>1</v>
      </c>
      <c r="AB646" s="708"/>
      <c r="AC646" s="708"/>
      <c r="AD646" s="146" t="s">
        <v>312</v>
      </c>
      <c r="AE646" s="146" t="s">
        <v>352</v>
      </c>
      <c r="AF646" s="146" t="s">
        <v>452</v>
      </c>
      <c r="AG646" s="708"/>
    </row>
    <row r="647" s="694" customFormat="1" ht="24.95" customHeight="1" spans="1:33">
      <c r="A647" s="705"/>
      <c r="B647" s="714" t="s">
        <v>259</v>
      </c>
      <c r="C647" s="146" t="s">
        <v>52</v>
      </c>
      <c r="D647" s="152" t="s">
        <v>147</v>
      </c>
      <c r="E647" s="92">
        <v>1</v>
      </c>
      <c r="F647" s="714" t="str">
        <f t="shared" si="87"/>
        <v>古敢</v>
      </c>
      <c r="G647" s="708"/>
      <c r="H647" s="726">
        <v>11</v>
      </c>
      <c r="I647" s="726">
        <v>11</v>
      </c>
      <c r="J647" s="726"/>
      <c r="K647" s="726"/>
      <c r="L647" s="726">
        <v>2018.01</v>
      </c>
      <c r="M647" s="726">
        <v>2018.12</v>
      </c>
      <c r="N647" s="726">
        <v>1.26</v>
      </c>
      <c r="O647" s="726">
        <v>1.26</v>
      </c>
      <c r="P647" s="726"/>
      <c r="Q647" s="726"/>
      <c r="R647" s="726">
        <v>1.26</v>
      </c>
      <c r="S647" s="726"/>
      <c r="T647" s="726"/>
      <c r="U647" s="726"/>
      <c r="V647" s="726"/>
      <c r="W647" s="726"/>
      <c r="X647" s="708" t="s">
        <v>444</v>
      </c>
      <c r="Y647" s="763">
        <v>11</v>
      </c>
      <c r="Z647" s="763">
        <v>49</v>
      </c>
      <c r="AA647" s="92">
        <v>1</v>
      </c>
      <c r="AB647" s="708"/>
      <c r="AC647" s="708"/>
      <c r="AD647" s="146" t="s">
        <v>183</v>
      </c>
      <c r="AE647" s="146" t="s">
        <v>184</v>
      </c>
      <c r="AF647" s="146" t="s">
        <v>452</v>
      </c>
      <c r="AG647" s="708"/>
    </row>
    <row r="648" s="694" customFormat="1" ht="24.95" customHeight="1" spans="1:33">
      <c r="A648" s="705"/>
      <c r="B648" s="714" t="s">
        <v>84</v>
      </c>
      <c r="C648" s="146" t="s">
        <v>52</v>
      </c>
      <c r="D648" s="152" t="s">
        <v>147</v>
      </c>
      <c r="E648" s="92">
        <v>1</v>
      </c>
      <c r="F648" s="714" t="str">
        <f t="shared" si="87"/>
        <v>十八连山</v>
      </c>
      <c r="G648" s="708"/>
      <c r="H648" s="726">
        <v>136</v>
      </c>
      <c r="I648" s="726">
        <v>136</v>
      </c>
      <c r="J648" s="726"/>
      <c r="K648" s="726"/>
      <c r="L648" s="726">
        <v>2018.01</v>
      </c>
      <c r="M648" s="726">
        <v>2018.12</v>
      </c>
      <c r="N648" s="726">
        <v>16.704</v>
      </c>
      <c r="O648" s="726">
        <v>16.704</v>
      </c>
      <c r="P648" s="726"/>
      <c r="Q648" s="726"/>
      <c r="R648" s="726">
        <v>16.704</v>
      </c>
      <c r="S648" s="726"/>
      <c r="T648" s="726"/>
      <c r="U648" s="726"/>
      <c r="V648" s="726"/>
      <c r="W648" s="726"/>
      <c r="X648" s="708" t="s">
        <v>444</v>
      </c>
      <c r="Y648" s="763">
        <v>136</v>
      </c>
      <c r="Z648" s="763">
        <v>612</v>
      </c>
      <c r="AA648" s="92">
        <v>1</v>
      </c>
      <c r="AB648" s="708"/>
      <c r="AC648" s="708"/>
      <c r="AD648" s="146" t="s">
        <v>350</v>
      </c>
      <c r="AE648" s="146" t="s">
        <v>351</v>
      </c>
      <c r="AF648" s="146" t="s">
        <v>452</v>
      </c>
      <c r="AG648" s="708"/>
    </row>
    <row r="649" s="694" customFormat="1" ht="24.95" customHeight="1" spans="1:33">
      <c r="A649" s="705"/>
      <c r="B649" s="714" t="s">
        <v>143</v>
      </c>
      <c r="C649" s="146" t="s">
        <v>52</v>
      </c>
      <c r="D649" s="152" t="s">
        <v>147</v>
      </c>
      <c r="E649" s="92">
        <v>1</v>
      </c>
      <c r="F649" s="714" t="str">
        <f t="shared" si="87"/>
        <v>老厂</v>
      </c>
      <c r="G649" s="708"/>
      <c r="H649" s="726">
        <v>48</v>
      </c>
      <c r="I649" s="726">
        <v>48</v>
      </c>
      <c r="J649" s="726"/>
      <c r="K649" s="726"/>
      <c r="L649" s="726">
        <v>2018.01</v>
      </c>
      <c r="M649" s="726">
        <v>2018.12</v>
      </c>
      <c r="N649" s="726">
        <v>5.796</v>
      </c>
      <c r="O649" s="726">
        <v>5.796</v>
      </c>
      <c r="P649" s="726"/>
      <c r="Q649" s="726"/>
      <c r="R649" s="726">
        <v>5.796</v>
      </c>
      <c r="S649" s="726"/>
      <c r="T649" s="726"/>
      <c r="U649" s="726"/>
      <c r="V649" s="726"/>
      <c r="W649" s="726"/>
      <c r="X649" s="708" t="s">
        <v>444</v>
      </c>
      <c r="Y649" s="763">
        <v>48</v>
      </c>
      <c r="Z649" s="763">
        <v>216</v>
      </c>
      <c r="AA649" s="92">
        <v>1</v>
      </c>
      <c r="AB649" s="708"/>
      <c r="AC649" s="708"/>
      <c r="AD649" s="777" t="s">
        <v>262</v>
      </c>
      <c r="AE649" s="777" t="s">
        <v>263</v>
      </c>
      <c r="AF649" s="146" t="s">
        <v>452</v>
      </c>
      <c r="AG649" s="708"/>
    </row>
    <row r="650" s="570" customFormat="1" ht="24.95" customHeight="1" spans="1:33">
      <c r="A650" s="705">
        <v>82</v>
      </c>
      <c r="B650" s="708" t="s">
        <v>457</v>
      </c>
      <c r="C650" s="708"/>
      <c r="D650" s="709"/>
      <c r="E650" s="708"/>
      <c r="F650" s="708"/>
      <c r="G650" s="708"/>
      <c r="H650" s="726"/>
      <c r="I650" s="726"/>
      <c r="J650" s="726"/>
      <c r="K650" s="726"/>
      <c r="L650" s="726"/>
      <c r="M650" s="726"/>
      <c r="N650" s="726"/>
      <c r="O650" s="726"/>
      <c r="P650" s="726"/>
      <c r="Q650" s="726"/>
      <c r="R650" s="726"/>
      <c r="S650" s="726"/>
      <c r="T650" s="726"/>
      <c r="U650" s="726"/>
      <c r="V650" s="726"/>
      <c r="W650" s="726"/>
      <c r="X650" s="726"/>
      <c r="Y650" s="726"/>
      <c r="Z650" s="726"/>
      <c r="AA650" s="708"/>
      <c r="AB650" s="708"/>
      <c r="AC650" s="708"/>
      <c r="AD650" s="708"/>
      <c r="AE650" s="708"/>
      <c r="AF650" s="708"/>
      <c r="AG650" s="708" t="s">
        <v>41</v>
      </c>
    </row>
    <row r="651" s="570" customFormat="1" ht="24.95" customHeight="1" spans="1:33">
      <c r="A651" s="705">
        <v>83</v>
      </c>
      <c r="B651" s="92" t="s">
        <v>458</v>
      </c>
      <c r="C651" s="92"/>
      <c r="D651" s="76" t="s">
        <v>147</v>
      </c>
      <c r="E651" s="92"/>
      <c r="F651" s="92"/>
      <c r="G651" s="92"/>
      <c r="H651" s="724"/>
      <c r="I651" s="724"/>
      <c r="J651" s="724"/>
      <c r="K651" s="724"/>
      <c r="L651" s="724"/>
      <c r="M651" s="724"/>
      <c r="N651" s="724"/>
      <c r="O651" s="724"/>
      <c r="P651" s="724"/>
      <c r="Q651" s="724"/>
      <c r="R651" s="724"/>
      <c r="S651" s="724"/>
      <c r="T651" s="724"/>
      <c r="U651" s="724"/>
      <c r="V651" s="724"/>
      <c r="W651" s="724"/>
      <c r="X651" s="724"/>
      <c r="Y651" s="724"/>
      <c r="Z651" s="724"/>
      <c r="AA651" s="92"/>
      <c r="AB651" s="92"/>
      <c r="AC651" s="92"/>
      <c r="AD651" s="92"/>
      <c r="AE651" s="92"/>
      <c r="AF651" s="92" t="s">
        <v>338</v>
      </c>
      <c r="AG651" s="92" t="s">
        <v>41</v>
      </c>
    </row>
    <row r="652" ht="24.95" customHeight="1" spans="1:33">
      <c r="A652" s="705" t="s">
        <v>48</v>
      </c>
      <c r="B652" s="92" t="s">
        <v>148</v>
      </c>
      <c r="C652" s="92"/>
      <c r="D652" s="76"/>
      <c r="E652" s="92"/>
      <c r="F652" s="92"/>
      <c r="G652" s="92"/>
      <c r="H652" s="724"/>
      <c r="I652" s="724"/>
      <c r="J652" s="724"/>
      <c r="K652" s="724"/>
      <c r="L652" s="724"/>
      <c r="M652" s="724"/>
      <c r="N652" s="724"/>
      <c r="O652" s="724"/>
      <c r="P652" s="724"/>
      <c r="Q652" s="724"/>
      <c r="R652" s="724"/>
      <c r="S652" s="724"/>
      <c r="T652" s="724"/>
      <c r="U652" s="724"/>
      <c r="V652" s="724"/>
      <c r="W652" s="724"/>
      <c r="X652" s="724"/>
      <c r="Y652" s="724"/>
      <c r="Z652" s="724"/>
      <c r="AA652" s="92"/>
      <c r="AB652" s="92"/>
      <c r="AC652" s="92"/>
      <c r="AD652" s="92"/>
      <c r="AE652" s="92"/>
      <c r="AF652" s="92"/>
      <c r="AG652" s="92"/>
    </row>
    <row r="653" s="570" customFormat="1" ht="24.95" customHeight="1" spans="1:33">
      <c r="A653" s="705">
        <v>84</v>
      </c>
      <c r="B653" s="92" t="s">
        <v>459</v>
      </c>
      <c r="C653" s="92"/>
      <c r="D653" s="76" t="s">
        <v>147</v>
      </c>
      <c r="E653" s="92"/>
      <c r="F653" s="92"/>
      <c r="G653" s="92"/>
      <c r="H653" s="724"/>
      <c r="I653" s="724"/>
      <c r="J653" s="724"/>
      <c r="K653" s="724"/>
      <c r="L653" s="724"/>
      <c r="M653" s="724"/>
      <c r="N653" s="724"/>
      <c r="O653" s="724"/>
      <c r="P653" s="724"/>
      <c r="Q653" s="724"/>
      <c r="R653" s="724"/>
      <c r="S653" s="724"/>
      <c r="T653" s="724"/>
      <c r="U653" s="724"/>
      <c r="V653" s="724"/>
      <c r="W653" s="724"/>
      <c r="X653" s="724"/>
      <c r="Y653" s="724"/>
      <c r="Z653" s="724"/>
      <c r="AA653" s="92"/>
      <c r="AB653" s="92"/>
      <c r="AC653" s="92"/>
      <c r="AD653" s="92"/>
      <c r="AE653" s="92"/>
      <c r="AF653" s="92" t="s">
        <v>338</v>
      </c>
      <c r="AG653" s="92" t="s">
        <v>41</v>
      </c>
    </row>
    <row r="654" ht="24.95" customHeight="1" spans="1:33">
      <c r="A654" s="705" t="s">
        <v>48</v>
      </c>
      <c r="B654" s="92" t="s">
        <v>148</v>
      </c>
      <c r="C654" s="92"/>
      <c r="D654" s="76"/>
      <c r="E654" s="92"/>
      <c r="F654" s="92"/>
      <c r="G654" s="92"/>
      <c r="H654" s="724"/>
      <c r="I654" s="724"/>
      <c r="J654" s="724"/>
      <c r="K654" s="724"/>
      <c r="L654" s="724"/>
      <c r="M654" s="724"/>
      <c r="N654" s="724"/>
      <c r="O654" s="724"/>
      <c r="P654" s="724"/>
      <c r="Q654" s="724"/>
      <c r="R654" s="724"/>
      <c r="S654" s="724"/>
      <c r="T654" s="724"/>
      <c r="U654" s="724"/>
      <c r="V654" s="724"/>
      <c r="W654" s="724"/>
      <c r="X654" s="724"/>
      <c r="Y654" s="724"/>
      <c r="Z654" s="724"/>
      <c r="AA654" s="92"/>
      <c r="AB654" s="92"/>
      <c r="AC654" s="92"/>
      <c r="AD654" s="92"/>
      <c r="AE654" s="92"/>
      <c r="AF654" s="92"/>
      <c r="AG654" s="92"/>
    </row>
    <row r="655" ht="32.1" customHeight="1" spans="1:33">
      <c r="A655" s="705">
        <v>85</v>
      </c>
      <c r="B655" s="706" t="s">
        <v>460</v>
      </c>
      <c r="C655" s="706"/>
      <c r="D655" s="707"/>
      <c r="E655" s="706">
        <f>E658+E707+E729+E755+E780+E826</f>
        <v>1050</v>
      </c>
      <c r="F655" s="706"/>
      <c r="G655" s="706"/>
      <c r="H655" s="725">
        <f t="shared" ref="F655:AA655" si="97">H658+H707+H729+H755+H780+H826</f>
        <v>860960.064</v>
      </c>
      <c r="I655" s="725">
        <f t="shared" si="97"/>
        <v>860960.064</v>
      </c>
      <c r="J655" s="725">
        <f t="shared" si="97"/>
        <v>0</v>
      </c>
      <c r="K655" s="725">
        <f t="shared" si="97"/>
        <v>0</v>
      </c>
      <c r="L655" s="725"/>
      <c r="M655" s="725"/>
      <c r="N655" s="725">
        <f t="shared" si="97"/>
        <v>49030.936364</v>
      </c>
      <c r="O655" s="725">
        <f t="shared" si="97"/>
        <v>49030.936364</v>
      </c>
      <c r="P655" s="725">
        <f t="shared" si="97"/>
        <v>0</v>
      </c>
      <c r="Q655" s="725">
        <f t="shared" si="97"/>
        <v>0</v>
      </c>
      <c r="R655" s="725">
        <f t="shared" si="97"/>
        <v>19858.4655</v>
      </c>
      <c r="S655" s="725">
        <f t="shared" si="97"/>
        <v>29172.470864</v>
      </c>
      <c r="T655" s="725">
        <f t="shared" si="97"/>
        <v>0</v>
      </c>
      <c r="U655" s="725">
        <f t="shared" si="97"/>
        <v>0</v>
      </c>
      <c r="V655" s="725">
        <f t="shared" si="97"/>
        <v>0</v>
      </c>
      <c r="W655" s="706"/>
      <c r="X655" s="706"/>
      <c r="Y655" s="739">
        <f t="shared" si="97"/>
        <v>124471.210526316</v>
      </c>
      <c r="Z655" s="739">
        <f t="shared" si="97"/>
        <v>521195</v>
      </c>
      <c r="AA655" s="706">
        <f t="shared" si="97"/>
        <v>1050</v>
      </c>
      <c r="AB655" s="706"/>
      <c r="AC655" s="706"/>
      <c r="AD655" s="706"/>
      <c r="AE655" s="706"/>
      <c r="AF655" s="706"/>
      <c r="AG655" s="706" t="s">
        <v>41</v>
      </c>
    </row>
    <row r="656" ht="24.95" customHeight="1" spans="1:33">
      <c r="A656" s="705">
        <v>86</v>
      </c>
      <c r="B656" s="791" t="s">
        <v>461</v>
      </c>
      <c r="C656" s="708"/>
      <c r="D656" s="709"/>
      <c r="E656" s="708"/>
      <c r="F656" s="708"/>
      <c r="G656" s="708"/>
      <c r="H656" s="726"/>
      <c r="I656" s="726"/>
      <c r="J656" s="726"/>
      <c r="K656" s="726"/>
      <c r="L656" s="726"/>
      <c r="M656" s="726"/>
      <c r="N656" s="726"/>
      <c r="O656" s="726"/>
      <c r="P656" s="726"/>
      <c r="Q656" s="726"/>
      <c r="R656" s="726"/>
      <c r="S656" s="726"/>
      <c r="T656" s="726"/>
      <c r="U656" s="726"/>
      <c r="V656" s="726"/>
      <c r="W656" s="726"/>
      <c r="X656" s="726"/>
      <c r="Y656" s="726"/>
      <c r="Z656" s="726"/>
      <c r="AA656" s="708"/>
      <c r="AB656" s="708"/>
      <c r="AC656" s="708"/>
      <c r="AD656" s="708"/>
      <c r="AE656" s="708"/>
      <c r="AF656" s="708"/>
      <c r="AG656" s="708"/>
    </row>
    <row r="657" ht="24.95" customHeight="1" spans="1:33">
      <c r="A657" s="705" t="s">
        <v>48</v>
      </c>
      <c r="B657" s="92" t="s">
        <v>148</v>
      </c>
      <c r="C657" s="92"/>
      <c r="D657" s="76"/>
      <c r="E657" s="92"/>
      <c r="F657" s="92"/>
      <c r="G657" s="92"/>
      <c r="H657" s="724"/>
      <c r="I657" s="724"/>
      <c r="J657" s="724"/>
      <c r="K657" s="724"/>
      <c r="L657" s="724"/>
      <c r="M657" s="724"/>
      <c r="N657" s="724"/>
      <c r="O657" s="724"/>
      <c r="P657" s="724"/>
      <c r="Q657" s="724"/>
      <c r="R657" s="724"/>
      <c r="S657" s="724"/>
      <c r="T657" s="724"/>
      <c r="U657" s="724"/>
      <c r="V657" s="724"/>
      <c r="W657" s="92"/>
      <c r="X657" s="92"/>
      <c r="Y657" s="92"/>
      <c r="Z657" s="92"/>
      <c r="AA657" s="92"/>
      <c r="AB657" s="92"/>
      <c r="AC657" s="92"/>
      <c r="AD657" s="92"/>
      <c r="AE657" s="92"/>
      <c r="AF657" s="92"/>
      <c r="AG657" s="92"/>
    </row>
    <row r="658" ht="24.95" customHeight="1" spans="1:33">
      <c r="A658" s="705">
        <v>87</v>
      </c>
      <c r="B658" s="791" t="s">
        <v>462</v>
      </c>
      <c r="C658" s="708"/>
      <c r="D658" s="709" t="s">
        <v>192</v>
      </c>
      <c r="E658" s="708">
        <f>E659+E672+E689+E702+E706</f>
        <v>32</v>
      </c>
      <c r="F658" s="708"/>
      <c r="G658" s="708"/>
      <c r="H658" s="726">
        <f t="shared" ref="F658:AA658" si="98">H659+H672+H689+H702+H706</f>
        <v>846479.233</v>
      </c>
      <c r="I658" s="726">
        <f t="shared" si="98"/>
        <v>846479.233</v>
      </c>
      <c r="J658" s="726">
        <f t="shared" si="98"/>
        <v>0</v>
      </c>
      <c r="K658" s="726">
        <f t="shared" si="98"/>
        <v>0</v>
      </c>
      <c r="L658" s="726"/>
      <c r="M658" s="726"/>
      <c r="N658" s="726">
        <f t="shared" si="98"/>
        <v>18488.590864</v>
      </c>
      <c r="O658" s="726">
        <f t="shared" si="98"/>
        <v>18488.590864</v>
      </c>
      <c r="P658" s="726">
        <f t="shared" si="98"/>
        <v>0</v>
      </c>
      <c r="Q658" s="726">
        <f t="shared" si="98"/>
        <v>0</v>
      </c>
      <c r="R658" s="726">
        <f t="shared" si="98"/>
        <v>0</v>
      </c>
      <c r="S658" s="726">
        <f t="shared" si="98"/>
        <v>18488.590864</v>
      </c>
      <c r="T658" s="726">
        <f t="shared" si="98"/>
        <v>0</v>
      </c>
      <c r="U658" s="726">
        <f t="shared" si="98"/>
        <v>0</v>
      </c>
      <c r="V658" s="726">
        <f t="shared" si="98"/>
        <v>0</v>
      </c>
      <c r="W658" s="708"/>
      <c r="X658" s="708" t="s">
        <v>463</v>
      </c>
      <c r="Y658" s="708">
        <f t="shared" si="98"/>
        <v>39736</v>
      </c>
      <c r="Z658" s="708">
        <f t="shared" si="98"/>
        <v>168730</v>
      </c>
      <c r="AA658" s="708">
        <f t="shared" si="98"/>
        <v>32</v>
      </c>
      <c r="AB658" s="708"/>
      <c r="AC658" s="708"/>
      <c r="AD658" s="708"/>
      <c r="AE658" s="708"/>
      <c r="AF658" s="708" t="s">
        <v>271</v>
      </c>
      <c r="AG658" s="708" t="s">
        <v>41</v>
      </c>
    </row>
    <row r="659" ht="48" spans="1:33">
      <c r="A659" s="705">
        <v>88</v>
      </c>
      <c r="B659" s="95" t="s">
        <v>464</v>
      </c>
      <c r="C659" s="92"/>
      <c r="D659" s="76" t="s">
        <v>192</v>
      </c>
      <c r="E659" s="92">
        <f>SUM(E660:E671)</f>
        <v>9</v>
      </c>
      <c r="F659" s="92"/>
      <c r="G659" s="92"/>
      <c r="H659" s="724">
        <f t="shared" ref="F659:AA659" si="99">SUM(H660:H671)</f>
        <v>195.86</v>
      </c>
      <c r="I659" s="724">
        <f t="shared" si="99"/>
        <v>195.86</v>
      </c>
      <c r="J659" s="724">
        <f t="shared" si="99"/>
        <v>0</v>
      </c>
      <c r="K659" s="724">
        <f t="shared" si="99"/>
        <v>0</v>
      </c>
      <c r="L659" s="724"/>
      <c r="M659" s="724"/>
      <c r="N659" s="724">
        <f t="shared" si="99"/>
        <v>1370.817</v>
      </c>
      <c r="O659" s="724">
        <f t="shared" si="99"/>
        <v>1370.817</v>
      </c>
      <c r="P659" s="724">
        <f t="shared" si="99"/>
        <v>0</v>
      </c>
      <c r="Q659" s="724">
        <f t="shared" si="99"/>
        <v>0</v>
      </c>
      <c r="R659" s="724">
        <f t="shared" si="99"/>
        <v>0</v>
      </c>
      <c r="S659" s="724">
        <f t="shared" si="99"/>
        <v>1370.817</v>
      </c>
      <c r="T659" s="724">
        <f t="shared" si="99"/>
        <v>0</v>
      </c>
      <c r="U659" s="724">
        <f t="shared" si="99"/>
        <v>0</v>
      </c>
      <c r="V659" s="724">
        <f t="shared" si="99"/>
        <v>0</v>
      </c>
      <c r="W659" s="92"/>
      <c r="X659" s="708" t="s">
        <v>463</v>
      </c>
      <c r="Y659" s="92">
        <f t="shared" si="99"/>
        <v>8896</v>
      </c>
      <c r="Z659" s="92">
        <f t="shared" si="99"/>
        <v>37902</v>
      </c>
      <c r="AA659" s="92">
        <f t="shared" si="99"/>
        <v>9</v>
      </c>
      <c r="AB659" s="92"/>
      <c r="AC659" s="92"/>
      <c r="AD659" s="753" t="s">
        <v>465</v>
      </c>
      <c r="AE659" s="753" t="s">
        <v>466</v>
      </c>
      <c r="AF659" s="712" t="s">
        <v>271</v>
      </c>
      <c r="AG659" s="92" t="s">
        <v>41</v>
      </c>
    </row>
    <row r="660" ht="29" customHeight="1" spans="1:33">
      <c r="A660" s="705"/>
      <c r="B660" s="97" t="s">
        <v>69</v>
      </c>
      <c r="C660" s="71" t="s">
        <v>52</v>
      </c>
      <c r="D660" s="71" t="s">
        <v>192</v>
      </c>
      <c r="E660" s="92"/>
      <c r="F660" s="97" t="str">
        <f t="shared" ref="F652:F719" si="100">B660</f>
        <v>中安街道</v>
      </c>
      <c r="G660" s="92"/>
      <c r="H660" s="724"/>
      <c r="I660" s="724"/>
      <c r="J660" s="724"/>
      <c r="K660" s="724"/>
      <c r="L660" s="726"/>
      <c r="M660" s="726"/>
      <c r="N660" s="724"/>
      <c r="O660" s="724"/>
      <c r="P660" s="724"/>
      <c r="Q660" s="724"/>
      <c r="R660" s="724"/>
      <c r="S660" s="724"/>
      <c r="T660" s="724"/>
      <c r="U660" s="724"/>
      <c r="V660" s="724"/>
      <c r="W660" s="724"/>
      <c r="X660" s="708" t="s">
        <v>463</v>
      </c>
      <c r="Y660" s="738"/>
      <c r="Z660" s="738"/>
      <c r="AA660" s="92"/>
      <c r="AB660" s="92"/>
      <c r="AC660" s="92"/>
      <c r="AD660" s="146"/>
      <c r="AE660" s="146"/>
      <c r="AF660" s="712"/>
      <c r="AG660" s="92"/>
    </row>
    <row r="661" ht="29" customHeight="1" spans="1:33">
      <c r="A661" s="705"/>
      <c r="B661" s="97" t="s">
        <v>51</v>
      </c>
      <c r="C661" s="71" t="s">
        <v>52</v>
      </c>
      <c r="D661" s="71" t="s">
        <v>192</v>
      </c>
      <c r="E661" s="92"/>
      <c r="F661" s="97" t="str">
        <f t="shared" si="100"/>
        <v>胜境街道</v>
      </c>
      <c r="G661" s="92"/>
      <c r="H661" s="724"/>
      <c r="I661" s="724"/>
      <c r="J661" s="724"/>
      <c r="K661" s="724"/>
      <c r="L661" s="726"/>
      <c r="M661" s="726"/>
      <c r="N661" s="724"/>
      <c r="O661" s="724"/>
      <c r="P661" s="724"/>
      <c r="Q661" s="724"/>
      <c r="R661" s="724"/>
      <c r="S661" s="724"/>
      <c r="T661" s="724"/>
      <c r="U661" s="724"/>
      <c r="V661" s="724"/>
      <c r="W661" s="724"/>
      <c r="X661" s="708" t="s">
        <v>463</v>
      </c>
      <c r="Y661" s="738"/>
      <c r="Z661" s="738"/>
      <c r="AA661" s="92"/>
      <c r="AB661" s="92"/>
      <c r="AC661" s="92"/>
      <c r="AD661" s="146"/>
      <c r="AE661" s="146"/>
      <c r="AF661" s="712"/>
      <c r="AG661" s="92"/>
    </row>
    <row r="662" ht="29" customHeight="1" spans="1:33">
      <c r="A662" s="705"/>
      <c r="B662" s="97" t="s">
        <v>72</v>
      </c>
      <c r="C662" s="71" t="s">
        <v>52</v>
      </c>
      <c r="D662" s="71" t="s">
        <v>192</v>
      </c>
      <c r="E662" s="92">
        <v>1</v>
      </c>
      <c r="F662" s="97" t="str">
        <f t="shared" si="100"/>
        <v>后所镇</v>
      </c>
      <c r="G662" s="92"/>
      <c r="H662" s="724">
        <v>6.2</v>
      </c>
      <c r="I662" s="724">
        <v>6.2</v>
      </c>
      <c r="J662" s="724"/>
      <c r="K662" s="724"/>
      <c r="L662" s="726">
        <v>2018.01</v>
      </c>
      <c r="M662" s="726">
        <v>2018.12</v>
      </c>
      <c r="N662" s="724">
        <v>43.4</v>
      </c>
      <c r="O662" s="724">
        <v>43.4</v>
      </c>
      <c r="P662" s="724"/>
      <c r="Q662" s="724"/>
      <c r="R662" s="724"/>
      <c r="S662" s="724">
        <v>43.4</v>
      </c>
      <c r="T662" s="724"/>
      <c r="U662" s="724"/>
      <c r="V662" s="724"/>
      <c r="W662" s="724"/>
      <c r="X662" s="708" t="s">
        <v>463</v>
      </c>
      <c r="Y662" s="738">
        <v>711</v>
      </c>
      <c r="Z662" s="738">
        <v>2994</v>
      </c>
      <c r="AA662" s="92">
        <v>1</v>
      </c>
      <c r="AB662" s="92"/>
      <c r="AC662" s="92"/>
      <c r="AD662" s="146" t="s">
        <v>469</v>
      </c>
      <c r="AE662" s="146" t="s">
        <v>470</v>
      </c>
      <c r="AF662" s="712" t="s">
        <v>271</v>
      </c>
      <c r="AG662" s="92"/>
    </row>
    <row r="663" ht="29" customHeight="1" spans="1:33">
      <c r="A663" s="705"/>
      <c r="B663" s="97" t="s">
        <v>91</v>
      </c>
      <c r="C663" s="71" t="s">
        <v>52</v>
      </c>
      <c r="D663" s="71" t="s">
        <v>192</v>
      </c>
      <c r="E663" s="92">
        <v>1</v>
      </c>
      <c r="F663" s="97" t="str">
        <f t="shared" si="100"/>
        <v>墨红镇</v>
      </c>
      <c r="G663" s="92"/>
      <c r="H663" s="724">
        <v>7.72</v>
      </c>
      <c r="I663" s="724">
        <v>7.72</v>
      </c>
      <c r="J663" s="724"/>
      <c r="K663" s="724"/>
      <c r="L663" s="726">
        <v>2018.01</v>
      </c>
      <c r="M663" s="726">
        <v>2018.12</v>
      </c>
      <c r="N663" s="724">
        <v>54.012</v>
      </c>
      <c r="O663" s="724">
        <v>54.012</v>
      </c>
      <c r="P663" s="724"/>
      <c r="Q663" s="724"/>
      <c r="R663" s="724"/>
      <c r="S663" s="724">
        <v>54.012</v>
      </c>
      <c r="T663" s="724"/>
      <c r="U663" s="724"/>
      <c r="V663" s="724"/>
      <c r="W663" s="724"/>
      <c r="X663" s="708" t="s">
        <v>463</v>
      </c>
      <c r="Y663" s="738">
        <v>1045</v>
      </c>
      <c r="Z663" s="738">
        <v>4154</v>
      </c>
      <c r="AA663" s="92">
        <v>1</v>
      </c>
      <c r="AB663" s="92"/>
      <c r="AC663" s="92"/>
      <c r="AD663" s="146" t="s">
        <v>471</v>
      </c>
      <c r="AE663" s="146" t="s">
        <v>472</v>
      </c>
      <c r="AF663" s="712" t="s">
        <v>271</v>
      </c>
      <c r="AG663" s="92"/>
    </row>
    <row r="664" ht="29" customHeight="1" spans="1:33">
      <c r="A664" s="705"/>
      <c r="B664" s="97" t="s">
        <v>55</v>
      </c>
      <c r="C664" s="71" t="s">
        <v>52</v>
      </c>
      <c r="D664" s="71" t="s">
        <v>192</v>
      </c>
      <c r="E664" s="92">
        <v>1</v>
      </c>
      <c r="F664" s="97" t="str">
        <f t="shared" si="100"/>
        <v>大河镇</v>
      </c>
      <c r="G664" s="92"/>
      <c r="H664" s="724">
        <v>23</v>
      </c>
      <c r="I664" s="724">
        <v>23</v>
      </c>
      <c r="J664" s="724"/>
      <c r="K664" s="724"/>
      <c r="L664" s="726">
        <v>2018.01</v>
      </c>
      <c r="M664" s="726">
        <v>2018.12</v>
      </c>
      <c r="N664" s="724">
        <v>160.888</v>
      </c>
      <c r="O664" s="724">
        <v>160.888</v>
      </c>
      <c r="P664" s="724"/>
      <c r="Q664" s="724"/>
      <c r="R664" s="724"/>
      <c r="S664" s="724">
        <v>160.888</v>
      </c>
      <c r="T664" s="724"/>
      <c r="U664" s="724"/>
      <c r="V664" s="724"/>
      <c r="W664" s="724"/>
      <c r="X664" s="708" t="s">
        <v>463</v>
      </c>
      <c r="Y664" s="738">
        <v>2920</v>
      </c>
      <c r="Z664" s="738">
        <v>12305</v>
      </c>
      <c r="AA664" s="92">
        <v>1</v>
      </c>
      <c r="AB664" s="92"/>
      <c r="AC664" s="92"/>
      <c r="AD664" s="146" t="s">
        <v>473</v>
      </c>
      <c r="AE664" s="146" t="s">
        <v>474</v>
      </c>
      <c r="AF664" s="712" t="s">
        <v>271</v>
      </c>
      <c r="AG664" s="92"/>
    </row>
    <row r="665" ht="29" customHeight="1" spans="1:33">
      <c r="A665" s="705"/>
      <c r="B665" s="97" t="s">
        <v>75</v>
      </c>
      <c r="C665" s="71" t="s">
        <v>52</v>
      </c>
      <c r="D665" s="71" t="s">
        <v>192</v>
      </c>
      <c r="E665" s="92"/>
      <c r="F665" s="97" t="str">
        <f t="shared" si="100"/>
        <v>营上镇</v>
      </c>
      <c r="G665" s="92"/>
      <c r="H665" s="724"/>
      <c r="I665" s="724"/>
      <c r="J665" s="724"/>
      <c r="K665" s="724"/>
      <c r="L665" s="726"/>
      <c r="M665" s="726"/>
      <c r="N665" s="724"/>
      <c r="O665" s="724"/>
      <c r="P665" s="724"/>
      <c r="Q665" s="724"/>
      <c r="R665" s="724"/>
      <c r="S665" s="724"/>
      <c r="T665" s="724"/>
      <c r="U665" s="724"/>
      <c r="V665" s="724"/>
      <c r="W665" s="724"/>
      <c r="X665" s="708" t="s">
        <v>463</v>
      </c>
      <c r="Y665" s="738"/>
      <c r="Z665" s="738"/>
      <c r="AA665" s="92"/>
      <c r="AB665" s="92"/>
      <c r="AC665" s="92"/>
      <c r="AD665" s="146"/>
      <c r="AE665" s="146"/>
      <c r="AF665" s="712"/>
      <c r="AG665" s="92"/>
    </row>
    <row r="666" ht="29" customHeight="1" spans="1:33">
      <c r="A666" s="705"/>
      <c r="B666" s="97" t="s">
        <v>58</v>
      </c>
      <c r="C666" s="71" t="s">
        <v>52</v>
      </c>
      <c r="D666" s="71" t="s">
        <v>192</v>
      </c>
      <c r="E666" s="92">
        <v>1</v>
      </c>
      <c r="F666" s="97" t="str">
        <f t="shared" si="100"/>
        <v>竹园镇</v>
      </c>
      <c r="G666" s="92"/>
      <c r="H666" s="724">
        <v>12.41</v>
      </c>
      <c r="I666" s="724">
        <v>12.41</v>
      </c>
      <c r="J666" s="724"/>
      <c r="K666" s="724"/>
      <c r="L666" s="726">
        <v>2018.01</v>
      </c>
      <c r="M666" s="726">
        <v>2018.12</v>
      </c>
      <c r="N666" s="724">
        <v>86.877</v>
      </c>
      <c r="O666" s="724">
        <v>86.877</v>
      </c>
      <c r="P666" s="724"/>
      <c r="Q666" s="724"/>
      <c r="R666" s="724"/>
      <c r="S666" s="724">
        <v>86.877</v>
      </c>
      <c r="T666" s="724"/>
      <c r="U666" s="724"/>
      <c r="V666" s="724"/>
      <c r="W666" s="724"/>
      <c r="X666" s="708" t="s">
        <v>463</v>
      </c>
      <c r="Y666" s="738">
        <v>624</v>
      </c>
      <c r="Z666" s="738">
        <v>2650</v>
      </c>
      <c r="AA666" s="92">
        <v>1</v>
      </c>
      <c r="AB666" s="92"/>
      <c r="AC666" s="92"/>
      <c r="AD666" s="146" t="s">
        <v>476</v>
      </c>
      <c r="AE666" s="146" t="s">
        <v>477</v>
      </c>
      <c r="AF666" s="712" t="s">
        <v>271</v>
      </c>
      <c r="AG666" s="92"/>
    </row>
    <row r="667" ht="29" customHeight="1" spans="1:33">
      <c r="A667" s="705"/>
      <c r="B667" s="97" t="s">
        <v>61</v>
      </c>
      <c r="C667" s="71" t="s">
        <v>52</v>
      </c>
      <c r="D667" s="71" t="s">
        <v>192</v>
      </c>
      <c r="E667" s="92">
        <v>1</v>
      </c>
      <c r="F667" s="97" t="str">
        <f t="shared" si="100"/>
        <v>富村镇</v>
      </c>
      <c r="G667" s="92"/>
      <c r="H667" s="724">
        <v>40.34</v>
      </c>
      <c r="I667" s="724">
        <v>40.34</v>
      </c>
      <c r="J667" s="724"/>
      <c r="K667" s="724"/>
      <c r="L667" s="726">
        <v>2018.01</v>
      </c>
      <c r="M667" s="726">
        <v>2018.12</v>
      </c>
      <c r="N667" s="724">
        <v>282.387</v>
      </c>
      <c r="O667" s="724">
        <v>282.387</v>
      </c>
      <c r="P667" s="724"/>
      <c r="Q667" s="724"/>
      <c r="R667" s="724"/>
      <c r="S667" s="724">
        <v>282.387</v>
      </c>
      <c r="T667" s="724"/>
      <c r="U667" s="724"/>
      <c r="V667" s="724"/>
      <c r="W667" s="724"/>
      <c r="X667" s="708" t="s">
        <v>463</v>
      </c>
      <c r="Y667" s="738">
        <v>1271</v>
      </c>
      <c r="Z667" s="738">
        <v>5750</v>
      </c>
      <c r="AA667" s="92">
        <v>1</v>
      </c>
      <c r="AB667" s="92"/>
      <c r="AC667" s="92"/>
      <c r="AD667" s="146" t="s">
        <v>478</v>
      </c>
      <c r="AE667" s="146" t="s">
        <v>479</v>
      </c>
      <c r="AF667" s="712" t="s">
        <v>271</v>
      </c>
      <c r="AG667" s="92"/>
    </row>
    <row r="668" ht="29" customHeight="1" spans="1:33">
      <c r="A668" s="705"/>
      <c r="B668" s="97" t="s">
        <v>92</v>
      </c>
      <c r="C668" s="71" t="s">
        <v>52</v>
      </c>
      <c r="D668" s="71" t="s">
        <v>192</v>
      </c>
      <c r="E668" s="92">
        <v>1</v>
      </c>
      <c r="F668" s="97" t="str">
        <f t="shared" si="100"/>
        <v>老厂镇</v>
      </c>
      <c r="G668" s="92"/>
      <c r="H668" s="724">
        <v>8.69</v>
      </c>
      <c r="I668" s="724">
        <v>8.69</v>
      </c>
      <c r="J668" s="724"/>
      <c r="K668" s="724"/>
      <c r="L668" s="726">
        <v>2018.01</v>
      </c>
      <c r="M668" s="726">
        <v>2018.12</v>
      </c>
      <c r="N668" s="724">
        <v>60.823</v>
      </c>
      <c r="O668" s="724">
        <v>60.823</v>
      </c>
      <c r="P668" s="724"/>
      <c r="Q668" s="724"/>
      <c r="R668" s="724"/>
      <c r="S668" s="724">
        <v>60.823</v>
      </c>
      <c r="T668" s="724"/>
      <c r="U668" s="724"/>
      <c r="V668" s="724"/>
      <c r="W668" s="724"/>
      <c r="X668" s="708" t="s">
        <v>463</v>
      </c>
      <c r="Y668" s="738">
        <v>927</v>
      </c>
      <c r="Z668" s="738">
        <v>4326</v>
      </c>
      <c r="AA668" s="92">
        <v>1</v>
      </c>
      <c r="AB668" s="92"/>
      <c r="AC668" s="92"/>
      <c r="AD668" s="146" t="s">
        <v>480</v>
      </c>
      <c r="AE668" s="146" t="s">
        <v>481</v>
      </c>
      <c r="AF668" s="712" t="s">
        <v>271</v>
      </c>
      <c r="AG668" s="92"/>
    </row>
    <row r="669" ht="29" customHeight="1" spans="1:33">
      <c r="A669" s="705"/>
      <c r="B669" s="97" t="s">
        <v>114</v>
      </c>
      <c r="C669" s="71" t="s">
        <v>52</v>
      </c>
      <c r="D669" s="71" t="s">
        <v>192</v>
      </c>
      <c r="E669" s="92">
        <v>1</v>
      </c>
      <c r="F669" s="97" t="str">
        <f t="shared" si="100"/>
        <v>古敢乡</v>
      </c>
      <c r="G669" s="92"/>
      <c r="H669" s="724">
        <v>22.88</v>
      </c>
      <c r="I669" s="724">
        <v>22.88</v>
      </c>
      <c r="J669" s="724"/>
      <c r="K669" s="724"/>
      <c r="L669" s="726">
        <v>2018.01</v>
      </c>
      <c r="M669" s="726">
        <v>2018.12</v>
      </c>
      <c r="N669" s="724">
        <v>160.139</v>
      </c>
      <c r="O669" s="724">
        <v>160.139</v>
      </c>
      <c r="P669" s="724"/>
      <c r="Q669" s="724"/>
      <c r="R669" s="724"/>
      <c r="S669" s="724">
        <v>160.139</v>
      </c>
      <c r="T669" s="724"/>
      <c r="U669" s="724"/>
      <c r="V669" s="724"/>
      <c r="W669" s="724"/>
      <c r="X669" s="708" t="s">
        <v>463</v>
      </c>
      <c r="Y669" s="738">
        <v>570</v>
      </c>
      <c r="Z669" s="738">
        <v>2354</v>
      </c>
      <c r="AA669" s="92">
        <v>1</v>
      </c>
      <c r="AB669" s="92"/>
      <c r="AC669" s="92"/>
      <c r="AD669" s="146" t="s">
        <v>315</v>
      </c>
      <c r="AE669" s="146" t="s">
        <v>482</v>
      </c>
      <c r="AF669" s="712" t="s">
        <v>271</v>
      </c>
      <c r="AG669" s="92"/>
    </row>
    <row r="670" ht="29" customHeight="1" spans="1:33">
      <c r="A670" s="705"/>
      <c r="B670" s="97" t="s">
        <v>78</v>
      </c>
      <c r="C670" s="71" t="s">
        <v>52</v>
      </c>
      <c r="D670" s="71" t="s">
        <v>192</v>
      </c>
      <c r="E670" s="92">
        <v>1</v>
      </c>
      <c r="F670" s="97" t="str">
        <f t="shared" si="100"/>
        <v>黄泥河镇</v>
      </c>
      <c r="G670" s="92"/>
      <c r="H670" s="724">
        <v>21.63</v>
      </c>
      <c r="I670" s="724">
        <v>21.63</v>
      </c>
      <c r="J670" s="724"/>
      <c r="K670" s="724"/>
      <c r="L670" s="726">
        <v>2018.01</v>
      </c>
      <c r="M670" s="726">
        <v>2018.12</v>
      </c>
      <c r="N670" s="724">
        <v>151.396</v>
      </c>
      <c r="O670" s="724">
        <v>151.396</v>
      </c>
      <c r="P670" s="724"/>
      <c r="Q670" s="724"/>
      <c r="R670" s="724"/>
      <c r="S670" s="724">
        <v>151.396</v>
      </c>
      <c r="T670" s="724"/>
      <c r="U670" s="724"/>
      <c r="V670" s="724"/>
      <c r="W670" s="724"/>
      <c r="X670" s="708" t="s">
        <v>463</v>
      </c>
      <c r="Y670" s="738">
        <v>144</v>
      </c>
      <c r="Z670" s="738">
        <v>689</v>
      </c>
      <c r="AA670" s="92">
        <v>1</v>
      </c>
      <c r="AB670" s="92"/>
      <c r="AC670" s="92"/>
      <c r="AD670" s="146" t="s">
        <v>483</v>
      </c>
      <c r="AE670" s="146" t="s">
        <v>484</v>
      </c>
      <c r="AF670" s="712" t="s">
        <v>271</v>
      </c>
      <c r="AG670" s="92"/>
    </row>
    <row r="671" ht="29" customHeight="1" spans="1:33">
      <c r="A671" s="705"/>
      <c r="B671" s="793" t="s">
        <v>64</v>
      </c>
      <c r="C671" s="71" t="s">
        <v>52</v>
      </c>
      <c r="D671" s="71" t="s">
        <v>192</v>
      </c>
      <c r="E671" s="92">
        <v>1</v>
      </c>
      <c r="F671" s="793" t="str">
        <f t="shared" si="100"/>
        <v>十八连山镇</v>
      </c>
      <c r="G671" s="92"/>
      <c r="H671" s="796">
        <v>52.99</v>
      </c>
      <c r="I671" s="796">
        <v>52.99</v>
      </c>
      <c r="J671" s="724"/>
      <c r="K671" s="724"/>
      <c r="L671" s="726">
        <v>2018.01</v>
      </c>
      <c r="M671" s="726">
        <v>2018.12</v>
      </c>
      <c r="N671" s="724">
        <v>370.895</v>
      </c>
      <c r="O671" s="724">
        <v>370.895</v>
      </c>
      <c r="P671" s="724"/>
      <c r="Q671" s="724"/>
      <c r="R671" s="724"/>
      <c r="S671" s="724">
        <v>370.895</v>
      </c>
      <c r="T671" s="724"/>
      <c r="U671" s="724"/>
      <c r="V671" s="724"/>
      <c r="W671" s="724"/>
      <c r="X671" s="708" t="s">
        <v>463</v>
      </c>
      <c r="Y671" s="738">
        <v>684</v>
      </c>
      <c r="Z671" s="738">
        <v>2680</v>
      </c>
      <c r="AA671" s="92">
        <v>1</v>
      </c>
      <c r="AB671" s="92"/>
      <c r="AC671" s="92"/>
      <c r="AD671" s="146" t="s">
        <v>485</v>
      </c>
      <c r="AE671" s="146" t="s">
        <v>486</v>
      </c>
      <c r="AF671" s="712" t="s">
        <v>271</v>
      </c>
      <c r="AG671" s="92"/>
    </row>
    <row r="672" ht="24.95" customHeight="1" spans="1:33">
      <c r="A672" s="794">
        <v>89</v>
      </c>
      <c r="B672" s="95" t="s">
        <v>487</v>
      </c>
      <c r="C672" s="95"/>
      <c r="D672" s="795"/>
      <c r="E672" s="95">
        <f>SUM(E673:E684)</f>
        <v>10</v>
      </c>
      <c r="F672" s="95"/>
      <c r="G672" s="95"/>
      <c r="H672" s="796">
        <f t="shared" ref="F672:AA672" si="101">SUM(H673:H684)</f>
        <v>204.39</v>
      </c>
      <c r="I672" s="796">
        <f t="shared" si="101"/>
        <v>204.39</v>
      </c>
      <c r="J672" s="796">
        <f t="shared" si="101"/>
        <v>0</v>
      </c>
      <c r="K672" s="796">
        <f t="shared" si="101"/>
        <v>0</v>
      </c>
      <c r="L672" s="796"/>
      <c r="M672" s="796"/>
      <c r="N672" s="796">
        <f t="shared" si="101"/>
        <v>10219.15</v>
      </c>
      <c r="O672" s="796">
        <f t="shared" si="101"/>
        <v>10219.15</v>
      </c>
      <c r="P672" s="796">
        <f t="shared" si="101"/>
        <v>0</v>
      </c>
      <c r="Q672" s="796">
        <f t="shared" si="101"/>
        <v>0</v>
      </c>
      <c r="R672" s="796">
        <f t="shared" si="101"/>
        <v>0</v>
      </c>
      <c r="S672" s="796">
        <f t="shared" si="101"/>
        <v>10219.15</v>
      </c>
      <c r="T672" s="796">
        <f t="shared" si="101"/>
        <v>0</v>
      </c>
      <c r="U672" s="796">
        <f t="shared" si="101"/>
        <v>0</v>
      </c>
      <c r="V672" s="796">
        <f t="shared" si="101"/>
        <v>0</v>
      </c>
      <c r="W672" s="95"/>
      <c r="X672" s="708" t="s">
        <v>463</v>
      </c>
      <c r="Y672" s="95">
        <f t="shared" si="101"/>
        <v>12636</v>
      </c>
      <c r="Z672" s="95">
        <f t="shared" si="101"/>
        <v>53890</v>
      </c>
      <c r="AA672" s="95">
        <f t="shared" si="101"/>
        <v>10</v>
      </c>
      <c r="AB672" s="92"/>
      <c r="AC672" s="95"/>
      <c r="AD672" s="753" t="s">
        <v>465</v>
      </c>
      <c r="AE672" s="753" t="s">
        <v>466</v>
      </c>
      <c r="AF672" s="712" t="s">
        <v>271</v>
      </c>
      <c r="AG672" s="95"/>
    </row>
    <row r="673" ht="24.95" customHeight="1" spans="1:33">
      <c r="A673" s="794"/>
      <c r="B673" s="785" t="s">
        <v>69</v>
      </c>
      <c r="C673" s="71" t="s">
        <v>488</v>
      </c>
      <c r="D673" s="71" t="s">
        <v>192</v>
      </c>
      <c r="E673" s="92">
        <v>1</v>
      </c>
      <c r="F673" s="785" t="str">
        <f t="shared" si="100"/>
        <v>中安街道</v>
      </c>
      <c r="G673" s="95"/>
      <c r="H673" s="796">
        <v>0.9</v>
      </c>
      <c r="I673" s="796">
        <v>0.9</v>
      </c>
      <c r="J673" s="796"/>
      <c r="K673" s="796"/>
      <c r="L673" s="726">
        <v>2018.01</v>
      </c>
      <c r="M673" s="726">
        <v>2018.12</v>
      </c>
      <c r="N673" s="796">
        <v>45</v>
      </c>
      <c r="O673" s="796">
        <v>45</v>
      </c>
      <c r="P673" s="796"/>
      <c r="Q673" s="796"/>
      <c r="R673" s="796"/>
      <c r="S673" s="796">
        <v>45</v>
      </c>
      <c r="T673" s="796"/>
      <c r="U673" s="796"/>
      <c r="V673" s="796"/>
      <c r="W673" s="95"/>
      <c r="X673" s="708" t="s">
        <v>463</v>
      </c>
      <c r="Y673" s="95">
        <v>1492</v>
      </c>
      <c r="Z673" s="95">
        <v>6469</v>
      </c>
      <c r="AA673" s="92">
        <v>1</v>
      </c>
      <c r="AB673" s="92"/>
      <c r="AC673" s="95"/>
      <c r="AD673" s="146" t="s">
        <v>425</v>
      </c>
      <c r="AE673" s="146" t="s">
        <v>467</v>
      </c>
      <c r="AF673" s="712" t="s">
        <v>271</v>
      </c>
      <c r="AG673" s="95"/>
    </row>
    <row r="674" ht="24.95" customHeight="1" spans="1:33">
      <c r="A674" s="794"/>
      <c r="B674" s="785" t="s">
        <v>51</v>
      </c>
      <c r="C674" s="71" t="s">
        <v>488</v>
      </c>
      <c r="D674" s="71" t="s">
        <v>192</v>
      </c>
      <c r="E674" s="92"/>
      <c r="F674" s="785" t="str">
        <f t="shared" si="100"/>
        <v>胜境街道</v>
      </c>
      <c r="G674" s="95"/>
      <c r="H674" s="796"/>
      <c r="I674" s="796"/>
      <c r="J674" s="796"/>
      <c r="K674" s="796"/>
      <c r="L674" s="726"/>
      <c r="M674" s="726"/>
      <c r="N674" s="796"/>
      <c r="O674" s="796"/>
      <c r="P674" s="796"/>
      <c r="Q674" s="796"/>
      <c r="R674" s="796"/>
      <c r="S674" s="796"/>
      <c r="T674" s="796"/>
      <c r="U674" s="796"/>
      <c r="V674" s="796"/>
      <c r="W674" s="95"/>
      <c r="X674" s="708" t="s">
        <v>463</v>
      </c>
      <c r="Y674" s="95"/>
      <c r="Z674" s="95"/>
      <c r="AA674" s="92"/>
      <c r="AB674" s="92"/>
      <c r="AC674" s="95"/>
      <c r="AD674" s="146"/>
      <c r="AE674" s="146"/>
      <c r="AF674" s="712"/>
      <c r="AG674" s="95"/>
    </row>
    <row r="675" ht="24.95" customHeight="1" spans="1:33">
      <c r="A675" s="794"/>
      <c r="B675" s="785" t="s">
        <v>72</v>
      </c>
      <c r="C675" s="71" t="s">
        <v>488</v>
      </c>
      <c r="D675" s="71" t="s">
        <v>192</v>
      </c>
      <c r="E675" s="92">
        <v>1</v>
      </c>
      <c r="F675" s="785" t="str">
        <f t="shared" si="100"/>
        <v>后所镇</v>
      </c>
      <c r="G675" s="95"/>
      <c r="H675" s="796">
        <v>14</v>
      </c>
      <c r="I675" s="796">
        <v>14</v>
      </c>
      <c r="J675" s="796"/>
      <c r="K675" s="796"/>
      <c r="L675" s="726">
        <v>2018.01</v>
      </c>
      <c r="M675" s="726">
        <v>2018.12</v>
      </c>
      <c r="N675" s="796">
        <v>700</v>
      </c>
      <c r="O675" s="796">
        <v>700</v>
      </c>
      <c r="P675" s="796"/>
      <c r="Q675" s="796"/>
      <c r="R675" s="796"/>
      <c r="S675" s="796">
        <v>700</v>
      </c>
      <c r="T675" s="796"/>
      <c r="U675" s="796"/>
      <c r="V675" s="796"/>
      <c r="W675" s="95"/>
      <c r="X675" s="708" t="s">
        <v>463</v>
      </c>
      <c r="Y675" s="95">
        <v>454</v>
      </c>
      <c r="Z675" s="95">
        <v>1922</v>
      </c>
      <c r="AA675" s="92">
        <v>1</v>
      </c>
      <c r="AB675" s="92"/>
      <c r="AC675" s="95"/>
      <c r="AD675" s="146" t="s">
        <v>469</v>
      </c>
      <c r="AE675" s="146" t="s">
        <v>470</v>
      </c>
      <c r="AF675" s="712" t="s">
        <v>271</v>
      </c>
      <c r="AG675" s="95"/>
    </row>
    <row r="676" ht="24.95" customHeight="1" spans="1:33">
      <c r="A676" s="794"/>
      <c r="B676" s="785" t="s">
        <v>91</v>
      </c>
      <c r="C676" s="71" t="s">
        <v>488</v>
      </c>
      <c r="D676" s="71" t="s">
        <v>192</v>
      </c>
      <c r="E676" s="92">
        <v>1</v>
      </c>
      <c r="F676" s="785" t="str">
        <f t="shared" si="100"/>
        <v>墨红镇</v>
      </c>
      <c r="G676" s="95"/>
      <c r="H676" s="796">
        <v>32.8</v>
      </c>
      <c r="I676" s="796">
        <v>32.8</v>
      </c>
      <c r="J676" s="796"/>
      <c r="K676" s="796"/>
      <c r="L676" s="726">
        <v>2018.01</v>
      </c>
      <c r="M676" s="726">
        <v>2018.12</v>
      </c>
      <c r="N676" s="796">
        <v>1639.85</v>
      </c>
      <c r="O676" s="796">
        <v>1639.85</v>
      </c>
      <c r="P676" s="796"/>
      <c r="Q676" s="796"/>
      <c r="R676" s="796"/>
      <c r="S676" s="796">
        <v>1639.85</v>
      </c>
      <c r="T676" s="796"/>
      <c r="U676" s="796"/>
      <c r="V676" s="796"/>
      <c r="W676" s="95"/>
      <c r="X676" s="708" t="s">
        <v>463</v>
      </c>
      <c r="Y676" s="95">
        <v>730</v>
      </c>
      <c r="Z676" s="95">
        <v>2352</v>
      </c>
      <c r="AA676" s="92">
        <v>1</v>
      </c>
      <c r="AB676" s="92"/>
      <c r="AC676" s="95"/>
      <c r="AD676" s="146" t="s">
        <v>471</v>
      </c>
      <c r="AE676" s="146" t="s">
        <v>472</v>
      </c>
      <c r="AF676" s="712" t="s">
        <v>271</v>
      </c>
      <c r="AG676" s="95"/>
    </row>
    <row r="677" ht="24.95" customHeight="1" spans="1:33">
      <c r="A677" s="794"/>
      <c r="B677" s="785" t="s">
        <v>55</v>
      </c>
      <c r="C677" s="71" t="s">
        <v>488</v>
      </c>
      <c r="D677" s="71" t="s">
        <v>192</v>
      </c>
      <c r="E677" s="92">
        <v>1</v>
      </c>
      <c r="F677" s="785" t="str">
        <f t="shared" si="100"/>
        <v>大河镇</v>
      </c>
      <c r="G677" s="95"/>
      <c r="H677" s="796">
        <v>38.21</v>
      </c>
      <c r="I677" s="796">
        <v>38.21</v>
      </c>
      <c r="J677" s="796"/>
      <c r="K677" s="796"/>
      <c r="L677" s="726">
        <v>2018.01</v>
      </c>
      <c r="M677" s="726">
        <v>2018.12</v>
      </c>
      <c r="N677" s="796">
        <v>1910.5</v>
      </c>
      <c r="O677" s="796">
        <v>1910.5</v>
      </c>
      <c r="P677" s="796"/>
      <c r="Q677" s="796"/>
      <c r="R677" s="796"/>
      <c r="S677" s="796">
        <v>1910.5</v>
      </c>
      <c r="T677" s="796"/>
      <c r="U677" s="796"/>
      <c r="V677" s="796"/>
      <c r="W677" s="95"/>
      <c r="X677" s="708" t="s">
        <v>463</v>
      </c>
      <c r="Y677" s="95">
        <v>3379</v>
      </c>
      <c r="Z677" s="95">
        <v>14263</v>
      </c>
      <c r="AA677" s="92">
        <v>1</v>
      </c>
      <c r="AB677" s="92"/>
      <c r="AC677" s="95"/>
      <c r="AD677" s="146" t="s">
        <v>473</v>
      </c>
      <c r="AE677" s="146" t="s">
        <v>474</v>
      </c>
      <c r="AF677" s="712" t="s">
        <v>271</v>
      </c>
      <c r="AG677" s="95"/>
    </row>
    <row r="678" ht="24.95" customHeight="1" spans="1:33">
      <c r="A678" s="794"/>
      <c r="B678" s="785" t="s">
        <v>75</v>
      </c>
      <c r="C678" s="71" t="s">
        <v>488</v>
      </c>
      <c r="D678" s="71" t="s">
        <v>192</v>
      </c>
      <c r="E678" s="92">
        <v>1</v>
      </c>
      <c r="F678" s="785" t="str">
        <f t="shared" si="100"/>
        <v>营上镇</v>
      </c>
      <c r="G678" s="95"/>
      <c r="H678" s="796">
        <v>4.3</v>
      </c>
      <c r="I678" s="796">
        <v>4.3</v>
      </c>
      <c r="J678" s="796"/>
      <c r="K678" s="796"/>
      <c r="L678" s="726">
        <v>2018.01</v>
      </c>
      <c r="M678" s="726">
        <v>2018.12</v>
      </c>
      <c r="N678" s="796">
        <v>215</v>
      </c>
      <c r="O678" s="796">
        <v>215</v>
      </c>
      <c r="P678" s="796"/>
      <c r="Q678" s="796"/>
      <c r="R678" s="796"/>
      <c r="S678" s="796">
        <v>215</v>
      </c>
      <c r="T678" s="796"/>
      <c r="U678" s="796"/>
      <c r="V678" s="796"/>
      <c r="W678" s="95"/>
      <c r="X678" s="708" t="s">
        <v>463</v>
      </c>
      <c r="Y678" s="95">
        <v>837</v>
      </c>
      <c r="Z678" s="95">
        <v>3719</v>
      </c>
      <c r="AA678" s="92">
        <v>1</v>
      </c>
      <c r="AB678" s="92"/>
      <c r="AC678" s="95"/>
      <c r="AD678" s="146" t="s">
        <v>329</v>
      </c>
      <c r="AE678" s="146" t="s">
        <v>475</v>
      </c>
      <c r="AF678" s="712" t="s">
        <v>271</v>
      </c>
      <c r="AG678" s="95"/>
    </row>
    <row r="679" ht="24.95" customHeight="1" spans="1:33">
      <c r="A679" s="794"/>
      <c r="B679" s="785" t="s">
        <v>58</v>
      </c>
      <c r="C679" s="71" t="s">
        <v>488</v>
      </c>
      <c r="D679" s="71" t="s">
        <v>192</v>
      </c>
      <c r="E679" s="92">
        <v>1</v>
      </c>
      <c r="F679" s="785" t="str">
        <f t="shared" si="100"/>
        <v>竹园镇</v>
      </c>
      <c r="G679" s="95"/>
      <c r="H679" s="796">
        <v>28.28</v>
      </c>
      <c r="I679" s="796">
        <v>28.28</v>
      </c>
      <c r="J679" s="796"/>
      <c r="K679" s="796"/>
      <c r="L679" s="726">
        <v>2018.01</v>
      </c>
      <c r="M679" s="726">
        <v>2018.12</v>
      </c>
      <c r="N679" s="796">
        <v>1414.1</v>
      </c>
      <c r="O679" s="796">
        <v>1414.1</v>
      </c>
      <c r="P679" s="796"/>
      <c r="Q679" s="796"/>
      <c r="R679" s="796"/>
      <c r="S679" s="796">
        <v>1414.1</v>
      </c>
      <c r="T679" s="796"/>
      <c r="U679" s="796"/>
      <c r="V679" s="796"/>
      <c r="W679" s="95"/>
      <c r="X679" s="708" t="s">
        <v>463</v>
      </c>
      <c r="Y679" s="95">
        <v>438</v>
      </c>
      <c r="Z679" s="95">
        <v>1922</v>
      </c>
      <c r="AA679" s="92">
        <v>1</v>
      </c>
      <c r="AB679" s="92"/>
      <c r="AC679" s="95"/>
      <c r="AD679" s="146" t="s">
        <v>476</v>
      </c>
      <c r="AE679" s="146" t="s">
        <v>477</v>
      </c>
      <c r="AF679" s="712" t="s">
        <v>271</v>
      </c>
      <c r="AG679" s="95"/>
    </row>
    <row r="680" ht="24.95" customHeight="1" spans="1:33">
      <c r="A680" s="794"/>
      <c r="B680" s="785" t="s">
        <v>61</v>
      </c>
      <c r="C680" s="71" t="s">
        <v>488</v>
      </c>
      <c r="D680" s="71" t="s">
        <v>192</v>
      </c>
      <c r="E680" s="92">
        <v>1</v>
      </c>
      <c r="F680" s="785" t="str">
        <f t="shared" si="100"/>
        <v>富村镇</v>
      </c>
      <c r="G680" s="95"/>
      <c r="H680" s="796">
        <v>32.66</v>
      </c>
      <c r="I680" s="796">
        <v>32.66</v>
      </c>
      <c r="J680" s="796"/>
      <c r="K680" s="796"/>
      <c r="L680" s="726">
        <v>2018.01</v>
      </c>
      <c r="M680" s="726">
        <v>2018.12</v>
      </c>
      <c r="N680" s="796">
        <v>1632.95</v>
      </c>
      <c r="O680" s="796">
        <v>1632.95</v>
      </c>
      <c r="P680" s="796"/>
      <c r="Q680" s="796"/>
      <c r="R680" s="796"/>
      <c r="S680" s="796">
        <v>1632.95</v>
      </c>
      <c r="T680" s="796"/>
      <c r="U680" s="796"/>
      <c r="V680" s="796"/>
      <c r="W680" s="95"/>
      <c r="X680" s="708" t="s">
        <v>463</v>
      </c>
      <c r="Y680" s="95">
        <v>2701</v>
      </c>
      <c r="Z680" s="95">
        <v>12044</v>
      </c>
      <c r="AA680" s="92">
        <v>1</v>
      </c>
      <c r="AB680" s="92"/>
      <c r="AC680" s="95"/>
      <c r="AD680" s="146" t="s">
        <v>478</v>
      </c>
      <c r="AE680" s="146" t="s">
        <v>479</v>
      </c>
      <c r="AF680" s="712" t="s">
        <v>271</v>
      </c>
      <c r="AG680" s="95"/>
    </row>
    <row r="681" ht="24.95" customHeight="1" spans="1:33">
      <c r="A681" s="794"/>
      <c r="B681" s="785" t="s">
        <v>92</v>
      </c>
      <c r="C681" s="71" t="s">
        <v>488</v>
      </c>
      <c r="D681" s="71" t="s">
        <v>192</v>
      </c>
      <c r="E681" s="92">
        <v>1</v>
      </c>
      <c r="F681" s="785" t="str">
        <f t="shared" si="100"/>
        <v>老厂镇</v>
      </c>
      <c r="G681" s="95"/>
      <c r="H681" s="796">
        <v>17.57</v>
      </c>
      <c r="I681" s="796">
        <v>17.57</v>
      </c>
      <c r="J681" s="796"/>
      <c r="K681" s="796"/>
      <c r="L681" s="726">
        <v>2018.01</v>
      </c>
      <c r="M681" s="726">
        <v>2018.12</v>
      </c>
      <c r="N681" s="796">
        <v>878.25</v>
      </c>
      <c r="O681" s="796">
        <v>878.25</v>
      </c>
      <c r="P681" s="796"/>
      <c r="Q681" s="796"/>
      <c r="R681" s="796"/>
      <c r="S681" s="796">
        <v>878.25</v>
      </c>
      <c r="T681" s="796"/>
      <c r="U681" s="796"/>
      <c r="V681" s="796"/>
      <c r="W681" s="95"/>
      <c r="X681" s="708" t="s">
        <v>463</v>
      </c>
      <c r="Y681" s="95">
        <v>1244</v>
      </c>
      <c r="Z681" s="95">
        <v>5815</v>
      </c>
      <c r="AA681" s="92">
        <v>1</v>
      </c>
      <c r="AB681" s="92"/>
      <c r="AC681" s="95"/>
      <c r="AD681" s="146" t="s">
        <v>480</v>
      </c>
      <c r="AE681" s="146" t="s">
        <v>481</v>
      </c>
      <c r="AF681" s="712" t="s">
        <v>271</v>
      </c>
      <c r="AG681" s="95"/>
    </row>
    <row r="682" ht="24.95" customHeight="1" spans="1:33">
      <c r="A682" s="794"/>
      <c r="B682" s="785" t="s">
        <v>114</v>
      </c>
      <c r="C682" s="71" t="s">
        <v>488</v>
      </c>
      <c r="D682" s="71" t="s">
        <v>192</v>
      </c>
      <c r="E682" s="92"/>
      <c r="F682" s="785" t="str">
        <f t="shared" si="100"/>
        <v>古敢乡</v>
      </c>
      <c r="G682" s="95"/>
      <c r="H682" s="796"/>
      <c r="I682" s="796"/>
      <c r="J682" s="796"/>
      <c r="K682" s="796"/>
      <c r="L682" s="726"/>
      <c r="M682" s="726"/>
      <c r="N682" s="796"/>
      <c r="O682" s="796"/>
      <c r="P682" s="796"/>
      <c r="Q682" s="796"/>
      <c r="R682" s="796"/>
      <c r="S682" s="796"/>
      <c r="T682" s="796"/>
      <c r="U682" s="796"/>
      <c r="V682" s="796"/>
      <c r="W682" s="95"/>
      <c r="X682" s="708" t="s">
        <v>463</v>
      </c>
      <c r="Y682" s="95"/>
      <c r="Z682" s="95"/>
      <c r="AA682" s="92"/>
      <c r="AB682" s="92"/>
      <c r="AC682" s="95"/>
      <c r="AD682" s="146"/>
      <c r="AE682" s="146"/>
      <c r="AF682" s="712"/>
      <c r="AG682" s="95"/>
    </row>
    <row r="683" ht="24.95" customHeight="1" spans="1:33">
      <c r="A683" s="794"/>
      <c r="B683" s="785" t="s">
        <v>78</v>
      </c>
      <c r="C683" s="71" t="s">
        <v>488</v>
      </c>
      <c r="D683" s="71" t="s">
        <v>192</v>
      </c>
      <c r="E683" s="92">
        <v>1</v>
      </c>
      <c r="F683" s="785" t="str">
        <f t="shared" si="100"/>
        <v>黄泥河镇</v>
      </c>
      <c r="G683" s="95"/>
      <c r="H683" s="796">
        <v>4.24</v>
      </c>
      <c r="I683" s="796">
        <v>4.24</v>
      </c>
      <c r="J683" s="796"/>
      <c r="K683" s="796"/>
      <c r="L683" s="726">
        <v>2018.01</v>
      </c>
      <c r="M683" s="726">
        <v>2018.12</v>
      </c>
      <c r="N683" s="796">
        <v>212</v>
      </c>
      <c r="O683" s="796">
        <v>212</v>
      </c>
      <c r="P683" s="796"/>
      <c r="Q683" s="796"/>
      <c r="R683" s="796"/>
      <c r="S683" s="796">
        <v>212</v>
      </c>
      <c r="T683" s="796"/>
      <c r="U683" s="796"/>
      <c r="V683" s="796"/>
      <c r="W683" s="95"/>
      <c r="X683" s="708" t="s">
        <v>463</v>
      </c>
      <c r="Y683" s="95">
        <v>396</v>
      </c>
      <c r="Z683" s="95">
        <v>1842</v>
      </c>
      <c r="AA683" s="92">
        <v>1</v>
      </c>
      <c r="AB683" s="92"/>
      <c r="AC683" s="95"/>
      <c r="AD683" s="146" t="s">
        <v>483</v>
      </c>
      <c r="AE683" s="146" t="s">
        <v>484</v>
      </c>
      <c r="AF683" s="712" t="s">
        <v>271</v>
      </c>
      <c r="AG683" s="95"/>
    </row>
    <row r="684" ht="24.95" customHeight="1" spans="1:33">
      <c r="A684" s="794"/>
      <c r="B684" s="785" t="s">
        <v>84</v>
      </c>
      <c r="C684" s="71" t="s">
        <v>488</v>
      </c>
      <c r="D684" s="71" t="s">
        <v>192</v>
      </c>
      <c r="E684" s="92">
        <v>1</v>
      </c>
      <c r="F684" s="785" t="str">
        <f t="shared" si="100"/>
        <v>十八连山</v>
      </c>
      <c r="G684" s="95"/>
      <c r="H684" s="796">
        <v>31.43</v>
      </c>
      <c r="I684" s="796">
        <v>31.43</v>
      </c>
      <c r="J684" s="796"/>
      <c r="K684" s="796"/>
      <c r="L684" s="726">
        <v>2018.01</v>
      </c>
      <c r="M684" s="726">
        <v>2018.12</v>
      </c>
      <c r="N684" s="796">
        <v>1571.5</v>
      </c>
      <c r="O684" s="796">
        <v>1571.5</v>
      </c>
      <c r="P684" s="796"/>
      <c r="Q684" s="796"/>
      <c r="R684" s="796"/>
      <c r="S684" s="796">
        <v>1571.5</v>
      </c>
      <c r="T684" s="796"/>
      <c r="U684" s="796"/>
      <c r="V684" s="796"/>
      <c r="W684" s="95"/>
      <c r="X684" s="708" t="s">
        <v>463</v>
      </c>
      <c r="Y684" s="95">
        <v>965</v>
      </c>
      <c r="Z684" s="95">
        <v>3542</v>
      </c>
      <c r="AA684" s="92">
        <v>1</v>
      </c>
      <c r="AB684" s="92"/>
      <c r="AC684" s="95"/>
      <c r="AD684" s="146" t="s">
        <v>485</v>
      </c>
      <c r="AE684" s="146" t="s">
        <v>486</v>
      </c>
      <c r="AF684" s="712" t="s">
        <v>271</v>
      </c>
      <c r="AG684" s="95"/>
    </row>
    <row r="685" ht="24.95" customHeight="1" spans="1:33">
      <c r="A685" s="794">
        <v>90</v>
      </c>
      <c r="B685" s="95" t="s">
        <v>489</v>
      </c>
      <c r="C685" s="92"/>
      <c r="D685" s="795" t="s">
        <v>192</v>
      </c>
      <c r="E685" s="95"/>
      <c r="F685" s="95"/>
      <c r="G685" s="95"/>
      <c r="H685" s="796"/>
      <c r="I685" s="796"/>
      <c r="J685" s="796"/>
      <c r="K685" s="796"/>
      <c r="L685" s="796"/>
      <c r="M685" s="796"/>
      <c r="O685" s="796"/>
      <c r="P685" s="796"/>
      <c r="Q685" s="796"/>
      <c r="R685" s="796"/>
      <c r="S685" s="796"/>
      <c r="T685" s="796"/>
      <c r="U685" s="796"/>
      <c r="V685" s="796"/>
      <c r="W685" s="797"/>
      <c r="X685" s="708" t="s">
        <v>463</v>
      </c>
      <c r="Y685" s="797"/>
      <c r="Z685" s="797"/>
      <c r="AA685" s="92"/>
      <c r="AB685" s="92"/>
      <c r="AC685" s="95"/>
      <c r="AD685" s="92"/>
      <c r="AE685" s="92"/>
      <c r="AF685" s="92" t="s">
        <v>271</v>
      </c>
      <c r="AG685" s="95"/>
    </row>
    <row r="686" ht="24.95" customHeight="1" spans="1:33">
      <c r="A686" s="705" t="s">
        <v>48</v>
      </c>
      <c r="B686" s="92" t="s">
        <v>148</v>
      </c>
      <c r="C686" s="92"/>
      <c r="D686" s="76"/>
      <c r="E686" s="92"/>
      <c r="F686" s="92"/>
      <c r="G686" s="92"/>
      <c r="H686" s="724"/>
      <c r="I686" s="724"/>
      <c r="J686" s="724"/>
      <c r="K686" s="724"/>
      <c r="L686" s="724"/>
      <c r="M686" s="724"/>
      <c r="N686" s="724"/>
      <c r="O686" s="724"/>
      <c r="P686" s="724"/>
      <c r="Q686" s="724"/>
      <c r="R686" s="724"/>
      <c r="S686" s="724"/>
      <c r="T686" s="724"/>
      <c r="U686" s="724"/>
      <c r="V686" s="724"/>
      <c r="W686" s="92"/>
      <c r="X686" s="708" t="s">
        <v>463</v>
      </c>
      <c r="Y686" s="92"/>
      <c r="Z686" s="92"/>
      <c r="AA686" s="92"/>
      <c r="AB686" s="92"/>
      <c r="AC686" s="92"/>
      <c r="AD686" s="92"/>
      <c r="AE686" s="92"/>
      <c r="AF686" s="92"/>
      <c r="AG686" s="92"/>
    </row>
    <row r="687" ht="26" customHeight="1" spans="1:33">
      <c r="A687" s="705">
        <v>91</v>
      </c>
      <c r="B687" s="92" t="s">
        <v>490</v>
      </c>
      <c r="C687" s="73"/>
      <c r="D687" s="71" t="s">
        <v>192</v>
      </c>
      <c r="E687" s="73"/>
      <c r="F687" s="73"/>
      <c r="G687" s="73"/>
      <c r="H687" s="724"/>
      <c r="I687" s="724"/>
      <c r="J687" s="724"/>
      <c r="K687" s="724"/>
      <c r="L687" s="724"/>
      <c r="M687" s="724"/>
      <c r="N687" s="724"/>
      <c r="O687" s="724"/>
      <c r="P687" s="724"/>
      <c r="Q687" s="724"/>
      <c r="R687" s="724"/>
      <c r="S687" s="724"/>
      <c r="T687" s="724"/>
      <c r="U687" s="724"/>
      <c r="V687" s="724"/>
      <c r="W687" s="724"/>
      <c r="X687" s="708" t="s">
        <v>463</v>
      </c>
      <c r="Y687" s="724"/>
      <c r="Z687" s="724"/>
      <c r="AA687" s="92"/>
      <c r="AB687" s="92"/>
      <c r="AC687" s="92"/>
      <c r="AD687" s="92"/>
      <c r="AE687" s="92"/>
      <c r="AF687" s="92" t="s">
        <v>271</v>
      </c>
      <c r="AG687" s="92"/>
    </row>
    <row r="688" ht="24.95" customHeight="1" spans="1:33">
      <c r="A688" s="705" t="s">
        <v>48</v>
      </c>
      <c r="B688" s="92" t="s">
        <v>148</v>
      </c>
      <c r="C688" s="73"/>
      <c r="D688" s="71"/>
      <c r="E688" s="73"/>
      <c r="F688" s="73"/>
      <c r="G688" s="73"/>
      <c r="H688" s="724"/>
      <c r="I688" s="724"/>
      <c r="J688" s="724"/>
      <c r="K688" s="724"/>
      <c r="L688" s="724"/>
      <c r="M688" s="724"/>
      <c r="N688" s="724"/>
      <c r="O688" s="724"/>
      <c r="P688" s="724"/>
      <c r="Q688" s="724"/>
      <c r="R688" s="724"/>
      <c r="S688" s="724"/>
      <c r="T688" s="724"/>
      <c r="U688" s="724"/>
      <c r="V688" s="724"/>
      <c r="W688" s="92"/>
      <c r="X688" s="708" t="s">
        <v>463</v>
      </c>
      <c r="Y688" s="92"/>
      <c r="Z688" s="92"/>
      <c r="AA688" s="92"/>
      <c r="AB688" s="92"/>
      <c r="AC688" s="92"/>
      <c r="AD688" s="92"/>
      <c r="AE688" s="92"/>
      <c r="AF688" s="92"/>
      <c r="AG688" s="92"/>
    </row>
    <row r="689" s="570" customFormat="1" ht="24.95" customHeight="1" spans="1:33">
      <c r="A689" s="705"/>
      <c r="B689" s="92" t="s">
        <v>491</v>
      </c>
      <c r="C689" s="73"/>
      <c r="D689" s="141" t="s">
        <v>492</v>
      </c>
      <c r="E689" s="73">
        <f>SUM(E690:E701)</f>
        <v>12</v>
      </c>
      <c r="F689" s="73"/>
      <c r="G689" s="73"/>
      <c r="H689" s="724">
        <f t="shared" ref="F689:AA689" si="102">SUM(H690:H701)</f>
        <v>846077.983</v>
      </c>
      <c r="I689" s="724">
        <f t="shared" si="102"/>
        <v>846077.983</v>
      </c>
      <c r="J689" s="724">
        <f t="shared" si="102"/>
        <v>0</v>
      </c>
      <c r="K689" s="724">
        <f t="shared" si="102"/>
        <v>0</v>
      </c>
      <c r="L689" s="724"/>
      <c r="M689" s="724"/>
      <c r="N689" s="724">
        <f t="shared" si="102"/>
        <v>6768.623864</v>
      </c>
      <c r="O689" s="724">
        <f t="shared" si="102"/>
        <v>6768.623864</v>
      </c>
      <c r="P689" s="724">
        <f t="shared" si="102"/>
        <v>0</v>
      </c>
      <c r="Q689" s="724">
        <f t="shared" si="102"/>
        <v>0</v>
      </c>
      <c r="R689" s="724">
        <f t="shared" si="102"/>
        <v>0</v>
      </c>
      <c r="S689" s="724">
        <f t="shared" si="102"/>
        <v>6768.623864</v>
      </c>
      <c r="T689" s="724">
        <f t="shared" si="102"/>
        <v>0</v>
      </c>
      <c r="U689" s="724">
        <f t="shared" si="102"/>
        <v>0</v>
      </c>
      <c r="V689" s="724">
        <f t="shared" si="102"/>
        <v>0</v>
      </c>
      <c r="W689" s="73"/>
      <c r="X689" s="708" t="s">
        <v>463</v>
      </c>
      <c r="Y689" s="73">
        <f t="shared" si="102"/>
        <v>18059</v>
      </c>
      <c r="Z689" s="73">
        <f t="shared" si="102"/>
        <v>76354</v>
      </c>
      <c r="AA689" s="73">
        <f t="shared" si="102"/>
        <v>12</v>
      </c>
      <c r="AB689" s="92"/>
      <c r="AC689" s="92"/>
      <c r="AD689" s="753" t="s">
        <v>465</v>
      </c>
      <c r="AE689" s="753" t="s">
        <v>466</v>
      </c>
      <c r="AF689" s="712" t="s">
        <v>271</v>
      </c>
      <c r="AG689" s="92"/>
    </row>
    <row r="690" s="570" customFormat="1" ht="24.95" customHeight="1" spans="1:33">
      <c r="A690" s="705"/>
      <c r="B690" s="199" t="s">
        <v>101</v>
      </c>
      <c r="C690" s="141" t="s">
        <v>52</v>
      </c>
      <c r="D690" s="141" t="s">
        <v>492</v>
      </c>
      <c r="E690" s="92">
        <v>1</v>
      </c>
      <c r="F690" s="199" t="str">
        <f t="shared" si="100"/>
        <v>中安</v>
      </c>
      <c r="G690" s="73"/>
      <c r="H690" s="724">
        <v>11971</v>
      </c>
      <c r="I690" s="724">
        <v>11971</v>
      </c>
      <c r="J690" s="724"/>
      <c r="K690" s="724"/>
      <c r="L690" s="726">
        <v>2018.01</v>
      </c>
      <c r="M690" s="726">
        <v>2018.12</v>
      </c>
      <c r="N690" s="724">
        <v>95.768</v>
      </c>
      <c r="O690" s="724">
        <v>95.768</v>
      </c>
      <c r="P690" s="724"/>
      <c r="Q690" s="724"/>
      <c r="R690" s="724"/>
      <c r="S690" s="724">
        <v>95.768</v>
      </c>
      <c r="T690" s="724"/>
      <c r="U690" s="724"/>
      <c r="V690" s="724"/>
      <c r="W690" s="92"/>
      <c r="X690" s="708" t="s">
        <v>463</v>
      </c>
      <c r="Y690" s="92">
        <v>2225</v>
      </c>
      <c r="Z690" s="92">
        <v>9554</v>
      </c>
      <c r="AA690" s="92">
        <v>1</v>
      </c>
      <c r="AB690" s="92"/>
      <c r="AC690" s="92"/>
      <c r="AD690" s="146" t="s">
        <v>425</v>
      </c>
      <c r="AE690" s="146" t="s">
        <v>467</v>
      </c>
      <c r="AF690" s="712" t="s">
        <v>271</v>
      </c>
      <c r="AG690" s="92"/>
    </row>
    <row r="691" s="570" customFormat="1" ht="24.95" customHeight="1" spans="1:33">
      <c r="A691" s="705"/>
      <c r="B691" s="199" t="s">
        <v>151</v>
      </c>
      <c r="C691" s="141" t="s">
        <v>52</v>
      </c>
      <c r="D691" s="141" t="s">
        <v>492</v>
      </c>
      <c r="E691" s="92">
        <v>1</v>
      </c>
      <c r="F691" s="199" t="str">
        <f t="shared" si="100"/>
        <v>胜境</v>
      </c>
      <c r="G691" s="73"/>
      <c r="H691" s="724">
        <v>23699.5</v>
      </c>
      <c r="I691" s="724">
        <v>23699.5</v>
      </c>
      <c r="J691" s="724"/>
      <c r="K691" s="724"/>
      <c r="L691" s="726">
        <v>2018.01</v>
      </c>
      <c r="M691" s="726">
        <v>2018.12</v>
      </c>
      <c r="N691" s="724">
        <v>189.596</v>
      </c>
      <c r="O691" s="724">
        <v>189.596</v>
      </c>
      <c r="P691" s="724"/>
      <c r="Q691" s="724"/>
      <c r="R691" s="724"/>
      <c r="S691" s="724">
        <v>189.596</v>
      </c>
      <c r="T691" s="724"/>
      <c r="U691" s="724"/>
      <c r="V691" s="724"/>
      <c r="W691" s="92"/>
      <c r="X691" s="708" t="s">
        <v>463</v>
      </c>
      <c r="Y691" s="92">
        <v>1760</v>
      </c>
      <c r="Z691" s="92">
        <v>7269</v>
      </c>
      <c r="AA691" s="92">
        <v>1</v>
      </c>
      <c r="AB691" s="92"/>
      <c r="AC691" s="92"/>
      <c r="AD691" s="146" t="s">
        <v>389</v>
      </c>
      <c r="AE691" s="146" t="s">
        <v>468</v>
      </c>
      <c r="AF691" s="712" t="s">
        <v>271</v>
      </c>
      <c r="AG691" s="92"/>
    </row>
    <row r="692" s="570" customFormat="1" ht="24.95" customHeight="1" spans="1:33">
      <c r="A692" s="705"/>
      <c r="B692" s="199" t="s">
        <v>154</v>
      </c>
      <c r="C692" s="141" t="s">
        <v>52</v>
      </c>
      <c r="D692" s="141" t="s">
        <v>492</v>
      </c>
      <c r="E692" s="92">
        <v>1</v>
      </c>
      <c r="F692" s="199" t="str">
        <f t="shared" si="100"/>
        <v>后所</v>
      </c>
      <c r="G692" s="73"/>
      <c r="H692" s="724">
        <v>76330</v>
      </c>
      <c r="I692" s="724">
        <v>76330</v>
      </c>
      <c r="J692" s="724"/>
      <c r="K692" s="724"/>
      <c r="L692" s="726">
        <v>2018.01</v>
      </c>
      <c r="M692" s="726">
        <v>2018.12</v>
      </c>
      <c r="N692" s="724">
        <v>610.64</v>
      </c>
      <c r="O692" s="724">
        <v>610.64</v>
      </c>
      <c r="P692" s="724"/>
      <c r="Q692" s="724"/>
      <c r="R692" s="724"/>
      <c r="S692" s="724">
        <v>610.64</v>
      </c>
      <c r="T692" s="724"/>
      <c r="U692" s="724"/>
      <c r="V692" s="724"/>
      <c r="W692" s="92"/>
      <c r="X692" s="708" t="s">
        <v>463</v>
      </c>
      <c r="Y692" s="92">
        <v>1456</v>
      </c>
      <c r="Z692" s="92">
        <v>5749</v>
      </c>
      <c r="AA692" s="92">
        <v>1</v>
      </c>
      <c r="AB692" s="92"/>
      <c r="AC692" s="92"/>
      <c r="AD692" s="146" t="s">
        <v>469</v>
      </c>
      <c r="AE692" s="146" t="s">
        <v>470</v>
      </c>
      <c r="AF692" s="712" t="s">
        <v>271</v>
      </c>
      <c r="AG692" s="92"/>
    </row>
    <row r="693" s="570" customFormat="1" ht="24.95" customHeight="1" spans="1:33">
      <c r="A693" s="705"/>
      <c r="B693" s="199" t="s">
        <v>81</v>
      </c>
      <c r="C693" s="141" t="s">
        <v>52</v>
      </c>
      <c r="D693" s="141" t="s">
        <v>492</v>
      </c>
      <c r="E693" s="92">
        <v>1</v>
      </c>
      <c r="F693" s="199" t="str">
        <f t="shared" si="100"/>
        <v>墨红</v>
      </c>
      <c r="G693" s="73"/>
      <c r="H693" s="724">
        <v>52360</v>
      </c>
      <c r="I693" s="724">
        <v>52360</v>
      </c>
      <c r="J693" s="724"/>
      <c r="K693" s="724"/>
      <c r="L693" s="726">
        <v>2018.01</v>
      </c>
      <c r="M693" s="726">
        <v>2018.12</v>
      </c>
      <c r="N693" s="724">
        <v>418.88</v>
      </c>
      <c r="O693" s="724">
        <v>418.88</v>
      </c>
      <c r="P693" s="724"/>
      <c r="Q693" s="724"/>
      <c r="R693" s="724"/>
      <c r="S693" s="724">
        <v>418.88</v>
      </c>
      <c r="T693" s="724"/>
      <c r="U693" s="724"/>
      <c r="V693" s="724"/>
      <c r="W693" s="92"/>
      <c r="X693" s="708" t="s">
        <v>463</v>
      </c>
      <c r="Y693" s="92">
        <v>1170</v>
      </c>
      <c r="Z693" s="92">
        <v>4389</v>
      </c>
      <c r="AA693" s="92">
        <v>1</v>
      </c>
      <c r="AB693" s="92"/>
      <c r="AC693" s="92"/>
      <c r="AD693" s="146" t="s">
        <v>471</v>
      </c>
      <c r="AE693" s="146" t="s">
        <v>472</v>
      </c>
      <c r="AF693" s="712" t="s">
        <v>271</v>
      </c>
      <c r="AG693" s="92"/>
    </row>
    <row r="694" s="570" customFormat="1" ht="24.95" customHeight="1" spans="1:33">
      <c r="A694" s="705"/>
      <c r="B694" s="199" t="s">
        <v>98</v>
      </c>
      <c r="C694" s="141" t="s">
        <v>52</v>
      </c>
      <c r="D694" s="141" t="s">
        <v>492</v>
      </c>
      <c r="E694" s="92">
        <v>1</v>
      </c>
      <c r="F694" s="199" t="str">
        <f t="shared" si="100"/>
        <v>大河</v>
      </c>
      <c r="G694" s="73"/>
      <c r="H694" s="724">
        <v>224407</v>
      </c>
      <c r="I694" s="724">
        <v>224407</v>
      </c>
      <c r="J694" s="724"/>
      <c r="K694" s="724"/>
      <c r="L694" s="726">
        <v>2018.01</v>
      </c>
      <c r="M694" s="726">
        <v>2018.12</v>
      </c>
      <c r="N694" s="724">
        <v>1795.256</v>
      </c>
      <c r="O694" s="724">
        <v>1795.256</v>
      </c>
      <c r="P694" s="724"/>
      <c r="Q694" s="724"/>
      <c r="R694" s="724"/>
      <c r="S694" s="724">
        <v>1795.256</v>
      </c>
      <c r="T694" s="724"/>
      <c r="U694" s="724"/>
      <c r="V694" s="724"/>
      <c r="W694" s="92"/>
      <c r="X694" s="708" t="s">
        <v>463</v>
      </c>
      <c r="Y694" s="92">
        <v>1594</v>
      </c>
      <c r="Z694" s="92">
        <v>6521</v>
      </c>
      <c r="AA694" s="92">
        <v>1</v>
      </c>
      <c r="AB694" s="92"/>
      <c r="AC694" s="92"/>
      <c r="AD694" s="146" t="s">
        <v>473</v>
      </c>
      <c r="AE694" s="146" t="s">
        <v>474</v>
      </c>
      <c r="AF694" s="712" t="s">
        <v>271</v>
      </c>
      <c r="AG694" s="92"/>
    </row>
    <row r="695" s="570" customFormat="1" ht="24.95" customHeight="1" spans="1:33">
      <c r="A695" s="705"/>
      <c r="B695" s="199" t="s">
        <v>211</v>
      </c>
      <c r="C695" s="141" t="s">
        <v>52</v>
      </c>
      <c r="D695" s="141" t="s">
        <v>492</v>
      </c>
      <c r="E695" s="92">
        <v>1</v>
      </c>
      <c r="F695" s="199" t="str">
        <f t="shared" si="100"/>
        <v>营上</v>
      </c>
      <c r="G695" s="73"/>
      <c r="H695" s="724">
        <v>91183</v>
      </c>
      <c r="I695" s="724">
        <v>91183</v>
      </c>
      <c r="J695" s="724"/>
      <c r="K695" s="724"/>
      <c r="L695" s="726">
        <v>2018.01</v>
      </c>
      <c r="M695" s="726">
        <v>2018.12</v>
      </c>
      <c r="N695" s="724">
        <v>729.464</v>
      </c>
      <c r="O695" s="724">
        <v>729.464</v>
      </c>
      <c r="P695" s="724"/>
      <c r="Q695" s="724"/>
      <c r="R695" s="724"/>
      <c r="S695" s="724">
        <v>729.464</v>
      </c>
      <c r="T695" s="724"/>
      <c r="U695" s="724"/>
      <c r="V695" s="724"/>
      <c r="W695" s="92"/>
      <c r="X695" s="708" t="s">
        <v>463</v>
      </c>
      <c r="Y695" s="92">
        <v>1416</v>
      </c>
      <c r="Z695" s="92">
        <v>6257</v>
      </c>
      <c r="AA695" s="92">
        <v>1</v>
      </c>
      <c r="AB695" s="92"/>
      <c r="AC695" s="92"/>
      <c r="AD695" s="146" t="s">
        <v>329</v>
      </c>
      <c r="AE695" s="146" t="s">
        <v>475</v>
      </c>
      <c r="AF695" s="712" t="s">
        <v>271</v>
      </c>
      <c r="AG695" s="92"/>
    </row>
    <row r="696" s="570" customFormat="1" ht="24.95" customHeight="1" spans="1:33">
      <c r="A696" s="705"/>
      <c r="B696" s="199" t="s">
        <v>155</v>
      </c>
      <c r="C696" s="141" t="s">
        <v>52</v>
      </c>
      <c r="D696" s="141" t="s">
        <v>492</v>
      </c>
      <c r="E696" s="92">
        <v>1</v>
      </c>
      <c r="F696" s="199" t="str">
        <f t="shared" si="100"/>
        <v>竹园</v>
      </c>
      <c r="G696" s="73"/>
      <c r="H696" s="724">
        <v>62305</v>
      </c>
      <c r="I696" s="724">
        <v>62305</v>
      </c>
      <c r="J696" s="724"/>
      <c r="K696" s="724"/>
      <c r="L696" s="726">
        <v>2018.01</v>
      </c>
      <c r="M696" s="726">
        <v>2018.12</v>
      </c>
      <c r="N696" s="724">
        <v>498.44</v>
      </c>
      <c r="O696" s="724">
        <v>498.44</v>
      </c>
      <c r="P696" s="724"/>
      <c r="Q696" s="724"/>
      <c r="R696" s="724"/>
      <c r="S696" s="724">
        <v>498.44</v>
      </c>
      <c r="T696" s="724"/>
      <c r="U696" s="724"/>
      <c r="V696" s="724"/>
      <c r="W696" s="92"/>
      <c r="X696" s="708" t="s">
        <v>463</v>
      </c>
      <c r="Y696" s="92">
        <v>740</v>
      </c>
      <c r="Z696" s="92">
        <v>3122</v>
      </c>
      <c r="AA696" s="92">
        <v>1</v>
      </c>
      <c r="AB696" s="92"/>
      <c r="AC696" s="92"/>
      <c r="AD696" s="146" t="s">
        <v>476</v>
      </c>
      <c r="AE696" s="146" t="s">
        <v>477</v>
      </c>
      <c r="AF696" s="712" t="s">
        <v>271</v>
      </c>
      <c r="AG696" s="92"/>
    </row>
    <row r="697" s="570" customFormat="1" ht="24.95" customHeight="1" spans="1:33">
      <c r="A697" s="705"/>
      <c r="B697" s="199" t="s">
        <v>102</v>
      </c>
      <c r="C697" s="141" t="s">
        <v>52</v>
      </c>
      <c r="D697" s="141" t="s">
        <v>492</v>
      </c>
      <c r="E697" s="92">
        <v>1</v>
      </c>
      <c r="F697" s="199" t="str">
        <f t="shared" si="100"/>
        <v>富村</v>
      </c>
      <c r="G697" s="73"/>
      <c r="H697" s="724">
        <v>111624.733</v>
      </c>
      <c r="I697" s="724">
        <v>111624.733</v>
      </c>
      <c r="J697" s="724"/>
      <c r="K697" s="724"/>
      <c r="L697" s="726">
        <v>2018.01</v>
      </c>
      <c r="M697" s="726">
        <v>2018.12</v>
      </c>
      <c r="N697" s="724">
        <v>892.997864</v>
      </c>
      <c r="O697" s="724">
        <v>892.997864</v>
      </c>
      <c r="P697" s="724"/>
      <c r="Q697" s="724"/>
      <c r="R697" s="724"/>
      <c r="S697" s="724">
        <v>892.997864</v>
      </c>
      <c r="T697" s="724"/>
      <c r="U697" s="724"/>
      <c r="V697" s="724"/>
      <c r="W697" s="92"/>
      <c r="X697" s="708" t="s">
        <v>463</v>
      </c>
      <c r="Y697" s="92">
        <v>2714</v>
      </c>
      <c r="Z697" s="92">
        <v>12325</v>
      </c>
      <c r="AA697" s="92">
        <v>1</v>
      </c>
      <c r="AB697" s="92"/>
      <c r="AC697" s="92"/>
      <c r="AD697" s="146" t="s">
        <v>478</v>
      </c>
      <c r="AE697" s="146" t="s">
        <v>479</v>
      </c>
      <c r="AF697" s="712" t="s">
        <v>271</v>
      </c>
      <c r="AG697" s="92"/>
    </row>
    <row r="698" s="570" customFormat="1" ht="24.95" customHeight="1" spans="1:33">
      <c r="A698" s="705"/>
      <c r="B698" s="199" t="s">
        <v>100</v>
      </c>
      <c r="C698" s="141" t="s">
        <v>52</v>
      </c>
      <c r="D698" s="141" t="s">
        <v>492</v>
      </c>
      <c r="E698" s="92">
        <v>1</v>
      </c>
      <c r="F698" s="199" t="str">
        <f t="shared" si="100"/>
        <v>黄泥河</v>
      </c>
      <c r="G698" s="73"/>
      <c r="H698" s="724">
        <v>12502</v>
      </c>
      <c r="I698" s="724">
        <v>12502</v>
      </c>
      <c r="J698" s="724"/>
      <c r="K698" s="724"/>
      <c r="L698" s="726">
        <v>2018.01</v>
      </c>
      <c r="M698" s="726">
        <v>2018.12</v>
      </c>
      <c r="N698" s="724">
        <v>100.016</v>
      </c>
      <c r="O698" s="724">
        <v>100.016</v>
      </c>
      <c r="P698" s="724"/>
      <c r="Q698" s="724"/>
      <c r="R698" s="724"/>
      <c r="S698" s="724">
        <v>100.016</v>
      </c>
      <c r="T698" s="724"/>
      <c r="U698" s="724"/>
      <c r="V698" s="724"/>
      <c r="W698" s="92"/>
      <c r="X698" s="708" t="s">
        <v>463</v>
      </c>
      <c r="Y698" s="92">
        <v>2266</v>
      </c>
      <c r="Z698" s="92">
        <v>9488</v>
      </c>
      <c r="AA698" s="92">
        <v>1</v>
      </c>
      <c r="AB698" s="92"/>
      <c r="AC698" s="92"/>
      <c r="AD698" s="146" t="s">
        <v>483</v>
      </c>
      <c r="AE698" s="146" t="s">
        <v>484</v>
      </c>
      <c r="AF698" s="712" t="s">
        <v>271</v>
      </c>
      <c r="AG698" s="92"/>
    </row>
    <row r="699" s="570" customFormat="1" ht="24.95" customHeight="1" spans="1:33">
      <c r="A699" s="705"/>
      <c r="B699" s="199" t="s">
        <v>84</v>
      </c>
      <c r="C699" s="141" t="s">
        <v>52</v>
      </c>
      <c r="D699" s="141" t="s">
        <v>492</v>
      </c>
      <c r="E699" s="92">
        <v>1</v>
      </c>
      <c r="F699" s="199" t="str">
        <f t="shared" si="100"/>
        <v>十八连山</v>
      </c>
      <c r="G699" s="73"/>
      <c r="H699" s="724">
        <v>123662</v>
      </c>
      <c r="I699" s="724">
        <v>123662</v>
      </c>
      <c r="J699" s="724"/>
      <c r="K699" s="724"/>
      <c r="L699" s="726">
        <v>2018.01</v>
      </c>
      <c r="M699" s="726">
        <v>2018.12</v>
      </c>
      <c r="N699" s="724">
        <v>989.296</v>
      </c>
      <c r="O699" s="724">
        <v>989.296</v>
      </c>
      <c r="P699" s="724"/>
      <c r="Q699" s="724"/>
      <c r="R699" s="724"/>
      <c r="S699" s="724">
        <v>989.296</v>
      </c>
      <c r="T699" s="724"/>
      <c r="U699" s="724"/>
      <c r="V699" s="724"/>
      <c r="W699" s="92"/>
      <c r="X699" s="708" t="s">
        <v>463</v>
      </c>
      <c r="Y699" s="92">
        <v>1814</v>
      </c>
      <c r="Z699" s="92">
        <v>7629</v>
      </c>
      <c r="AA699" s="92">
        <v>1</v>
      </c>
      <c r="AB699" s="92"/>
      <c r="AC699" s="92"/>
      <c r="AD699" s="146" t="s">
        <v>485</v>
      </c>
      <c r="AE699" s="146" t="s">
        <v>486</v>
      </c>
      <c r="AF699" s="712" t="s">
        <v>271</v>
      </c>
      <c r="AG699" s="92"/>
    </row>
    <row r="700" s="570" customFormat="1" ht="24.95" customHeight="1" spans="1:33">
      <c r="A700" s="705"/>
      <c r="B700" s="199" t="s">
        <v>259</v>
      </c>
      <c r="C700" s="141" t="s">
        <v>52</v>
      </c>
      <c r="D700" s="141" t="s">
        <v>492</v>
      </c>
      <c r="E700" s="92">
        <v>1</v>
      </c>
      <c r="F700" s="199" t="str">
        <f t="shared" si="100"/>
        <v>古敢</v>
      </c>
      <c r="G700" s="73"/>
      <c r="H700" s="724">
        <v>9947.5</v>
      </c>
      <c r="I700" s="724">
        <v>9947.5</v>
      </c>
      <c r="J700" s="724"/>
      <c r="K700" s="724"/>
      <c r="L700" s="726">
        <v>2018.01</v>
      </c>
      <c r="M700" s="726">
        <v>2018.12</v>
      </c>
      <c r="N700" s="724">
        <v>79.58</v>
      </c>
      <c r="O700" s="724">
        <v>79.58</v>
      </c>
      <c r="P700" s="724"/>
      <c r="Q700" s="724"/>
      <c r="R700" s="724"/>
      <c r="S700" s="724">
        <v>79.58</v>
      </c>
      <c r="T700" s="724"/>
      <c r="U700" s="724"/>
      <c r="V700" s="724"/>
      <c r="W700" s="92"/>
      <c r="X700" s="708" t="s">
        <v>463</v>
      </c>
      <c r="Y700" s="92">
        <v>158</v>
      </c>
      <c r="Z700" s="92">
        <v>634</v>
      </c>
      <c r="AA700" s="92">
        <v>1</v>
      </c>
      <c r="AB700" s="92"/>
      <c r="AC700" s="92"/>
      <c r="AD700" s="146" t="s">
        <v>315</v>
      </c>
      <c r="AE700" s="146" t="s">
        <v>482</v>
      </c>
      <c r="AF700" s="712" t="s">
        <v>271</v>
      </c>
      <c r="AG700" s="92"/>
    </row>
    <row r="701" s="570" customFormat="1" ht="24.95" customHeight="1" spans="1:33">
      <c r="A701" s="705"/>
      <c r="B701" s="199" t="s">
        <v>143</v>
      </c>
      <c r="C701" s="141" t="s">
        <v>52</v>
      </c>
      <c r="D701" s="141" t="s">
        <v>492</v>
      </c>
      <c r="E701" s="92">
        <v>1</v>
      </c>
      <c r="F701" s="199" t="str">
        <f t="shared" si="100"/>
        <v>老厂</v>
      </c>
      <c r="G701" s="73"/>
      <c r="H701" s="724">
        <v>46086.25</v>
      </c>
      <c r="I701" s="724">
        <v>46086.25</v>
      </c>
      <c r="J701" s="724"/>
      <c r="K701" s="724"/>
      <c r="L701" s="726">
        <v>2018.01</v>
      </c>
      <c r="M701" s="726">
        <v>2018.12</v>
      </c>
      <c r="N701" s="724">
        <v>368.69</v>
      </c>
      <c r="O701" s="724">
        <v>368.69</v>
      </c>
      <c r="P701" s="724"/>
      <c r="Q701" s="724"/>
      <c r="R701" s="724"/>
      <c r="S701" s="724">
        <v>368.69</v>
      </c>
      <c r="T701" s="724"/>
      <c r="U701" s="724"/>
      <c r="V701" s="724"/>
      <c r="W701" s="92"/>
      <c r="X701" s="708" t="s">
        <v>463</v>
      </c>
      <c r="Y701" s="92">
        <v>746</v>
      </c>
      <c r="Z701" s="92">
        <v>3417</v>
      </c>
      <c r="AA701" s="92">
        <v>1</v>
      </c>
      <c r="AB701" s="92"/>
      <c r="AC701" s="92"/>
      <c r="AD701" s="146" t="s">
        <v>480</v>
      </c>
      <c r="AE701" s="146" t="s">
        <v>481</v>
      </c>
      <c r="AF701" s="712" t="s">
        <v>271</v>
      </c>
      <c r="AG701" s="92"/>
    </row>
    <row r="702" s="694" customFormat="1" ht="24.95" customHeight="1" spans="1:33">
      <c r="A702" s="705"/>
      <c r="B702" s="711" t="s">
        <v>493</v>
      </c>
      <c r="C702" s="71" t="s">
        <v>488</v>
      </c>
      <c r="D702" s="71" t="s">
        <v>192</v>
      </c>
      <c r="E702" s="92"/>
      <c r="F702" s="199"/>
      <c r="G702" s="73"/>
      <c r="H702" s="724"/>
      <c r="I702" s="724"/>
      <c r="J702" s="724"/>
      <c r="K702" s="724"/>
      <c r="L702" s="726"/>
      <c r="M702" s="726"/>
      <c r="N702" s="724"/>
      <c r="O702" s="724"/>
      <c r="P702" s="724"/>
      <c r="Q702" s="724"/>
      <c r="R702" s="724"/>
      <c r="S702" s="724"/>
      <c r="T702" s="724"/>
      <c r="U702" s="724"/>
      <c r="V702" s="724"/>
      <c r="W702" s="92"/>
      <c r="X702" s="708" t="s">
        <v>463</v>
      </c>
      <c r="Y702" s="92"/>
      <c r="Z702" s="92"/>
      <c r="AA702" s="92"/>
      <c r="AB702" s="92"/>
      <c r="AC702" s="92"/>
      <c r="AD702" s="146"/>
      <c r="AE702" s="146"/>
      <c r="AF702" s="712"/>
      <c r="AG702" s="92"/>
    </row>
    <row r="703" s="694" customFormat="1" ht="24.95" customHeight="1" spans="1:33">
      <c r="A703" s="705"/>
      <c r="B703" s="793" t="s">
        <v>64</v>
      </c>
      <c r="C703" s="71" t="s">
        <v>488</v>
      </c>
      <c r="D703" s="71" t="s">
        <v>192</v>
      </c>
      <c r="E703" s="92"/>
      <c r="F703" s="793" t="str">
        <f t="shared" si="100"/>
        <v>十八连山镇</v>
      </c>
      <c r="G703" s="73"/>
      <c r="H703" s="724"/>
      <c r="I703" s="724"/>
      <c r="J703" s="724"/>
      <c r="K703" s="724"/>
      <c r="L703" s="726"/>
      <c r="M703" s="726"/>
      <c r="N703" s="724"/>
      <c r="O703" s="724"/>
      <c r="P703" s="724"/>
      <c r="Q703" s="724"/>
      <c r="R703" s="724"/>
      <c r="S703" s="724"/>
      <c r="T703" s="724"/>
      <c r="U703" s="724"/>
      <c r="V703" s="724"/>
      <c r="W703" s="92"/>
      <c r="X703" s="708" t="s">
        <v>463</v>
      </c>
      <c r="Y703" s="92"/>
      <c r="Z703" s="92"/>
      <c r="AA703" s="92"/>
      <c r="AB703" s="92"/>
      <c r="AC703" s="92"/>
      <c r="AD703" s="146"/>
      <c r="AE703" s="146"/>
      <c r="AF703" s="712"/>
      <c r="AG703" s="92"/>
    </row>
    <row r="704" s="694" customFormat="1" ht="24.95" customHeight="1" spans="1:33">
      <c r="A704" s="705"/>
      <c r="B704" s="793" t="s">
        <v>78</v>
      </c>
      <c r="C704" s="71" t="s">
        <v>488</v>
      </c>
      <c r="D704" s="71" t="s">
        <v>192</v>
      </c>
      <c r="E704" s="92"/>
      <c r="F704" s="793" t="str">
        <f t="shared" si="100"/>
        <v>黄泥河镇</v>
      </c>
      <c r="G704" s="73"/>
      <c r="H704" s="724"/>
      <c r="I704" s="724"/>
      <c r="J704" s="724"/>
      <c r="K704" s="724"/>
      <c r="L704" s="726"/>
      <c r="M704" s="726"/>
      <c r="N704" s="724"/>
      <c r="O704" s="724"/>
      <c r="P704" s="724"/>
      <c r="Q704" s="724"/>
      <c r="R704" s="724"/>
      <c r="S704" s="724"/>
      <c r="T704" s="724"/>
      <c r="U704" s="724"/>
      <c r="V704" s="724"/>
      <c r="W704" s="92"/>
      <c r="X704" s="708" t="s">
        <v>463</v>
      </c>
      <c r="Y704" s="92"/>
      <c r="Z704" s="92"/>
      <c r="AA704" s="92"/>
      <c r="AB704" s="92"/>
      <c r="AC704" s="92"/>
      <c r="AD704" s="146"/>
      <c r="AE704" s="146"/>
      <c r="AF704" s="712"/>
      <c r="AG704" s="92"/>
    </row>
    <row r="705" s="694" customFormat="1" ht="24.95" customHeight="1" spans="1:33">
      <c r="A705" s="705"/>
      <c r="B705" s="793" t="s">
        <v>75</v>
      </c>
      <c r="C705" s="71" t="s">
        <v>488</v>
      </c>
      <c r="D705" s="71" t="s">
        <v>192</v>
      </c>
      <c r="E705" s="92"/>
      <c r="F705" s="793" t="str">
        <f t="shared" si="100"/>
        <v>营上镇</v>
      </c>
      <c r="G705" s="73"/>
      <c r="H705" s="724"/>
      <c r="I705" s="724"/>
      <c r="J705" s="724"/>
      <c r="K705" s="724"/>
      <c r="L705" s="726"/>
      <c r="M705" s="726"/>
      <c r="N705" s="724"/>
      <c r="O705" s="724"/>
      <c r="P705" s="724"/>
      <c r="Q705" s="724"/>
      <c r="R705" s="724"/>
      <c r="S705" s="724"/>
      <c r="T705" s="724"/>
      <c r="U705" s="724"/>
      <c r="V705" s="724"/>
      <c r="W705" s="92"/>
      <c r="X705" s="708" t="s">
        <v>463</v>
      </c>
      <c r="Y705" s="92"/>
      <c r="Z705" s="92"/>
      <c r="AA705" s="92"/>
      <c r="AB705" s="92"/>
      <c r="AC705" s="92"/>
      <c r="AD705" s="146"/>
      <c r="AE705" s="146"/>
      <c r="AF705" s="712"/>
      <c r="AG705" s="92"/>
    </row>
    <row r="706" s="694" customFormat="1" ht="41" customHeight="1" spans="1:33">
      <c r="A706" s="705"/>
      <c r="B706" s="710" t="s">
        <v>494</v>
      </c>
      <c r="C706" s="71" t="s">
        <v>52</v>
      </c>
      <c r="D706" s="71" t="s">
        <v>202</v>
      </c>
      <c r="E706" s="92">
        <v>1</v>
      </c>
      <c r="F706" s="199"/>
      <c r="G706" s="199" t="s">
        <v>619</v>
      </c>
      <c r="H706" s="724">
        <v>1</v>
      </c>
      <c r="I706" s="724">
        <v>1</v>
      </c>
      <c r="J706" s="724"/>
      <c r="K706" s="724"/>
      <c r="L706" s="726">
        <v>2018.01</v>
      </c>
      <c r="M706" s="726">
        <v>2018.12</v>
      </c>
      <c r="N706" s="724">
        <v>130</v>
      </c>
      <c r="O706" s="724">
        <v>130</v>
      </c>
      <c r="P706" s="724"/>
      <c r="Q706" s="724"/>
      <c r="R706" s="724"/>
      <c r="S706" s="724">
        <v>130</v>
      </c>
      <c r="T706" s="724"/>
      <c r="U706" s="724"/>
      <c r="V706" s="724"/>
      <c r="W706" s="92"/>
      <c r="X706" s="708" t="s">
        <v>463</v>
      </c>
      <c r="Y706" s="151">
        <v>145</v>
      </c>
      <c r="Z706" s="151">
        <v>584</v>
      </c>
      <c r="AA706" s="92">
        <v>1</v>
      </c>
      <c r="AB706" s="92"/>
      <c r="AC706" s="92"/>
      <c r="AD706" s="753" t="s">
        <v>465</v>
      </c>
      <c r="AE706" s="753" t="s">
        <v>466</v>
      </c>
      <c r="AF706" s="712" t="s">
        <v>271</v>
      </c>
      <c r="AG706" s="92"/>
    </row>
    <row r="707" ht="24" spans="1:33">
      <c r="A707" s="705">
        <v>92</v>
      </c>
      <c r="B707" s="791" t="s">
        <v>495</v>
      </c>
      <c r="C707" s="708"/>
      <c r="D707" s="709" t="s">
        <v>496</v>
      </c>
      <c r="E707" s="708">
        <f>SUM(E708:E719)</f>
        <v>12</v>
      </c>
      <c r="F707" s="708"/>
      <c r="G707" s="708"/>
      <c r="H707" s="726">
        <f t="shared" ref="F707:AA707" si="103">SUM(H708:H719)</f>
        <v>190.831</v>
      </c>
      <c r="I707" s="726">
        <f t="shared" si="103"/>
        <v>190.831</v>
      </c>
      <c r="J707" s="726">
        <f t="shared" si="103"/>
        <v>0</v>
      </c>
      <c r="K707" s="726">
        <f t="shared" si="103"/>
        <v>0</v>
      </c>
      <c r="L707" s="726"/>
      <c r="M707" s="726"/>
      <c r="N707" s="726">
        <f t="shared" si="103"/>
        <v>3952.47</v>
      </c>
      <c r="O707" s="726">
        <f t="shared" si="103"/>
        <v>3952.47</v>
      </c>
      <c r="P707" s="726">
        <f t="shared" si="103"/>
        <v>0</v>
      </c>
      <c r="Q707" s="726">
        <f t="shared" si="103"/>
        <v>0</v>
      </c>
      <c r="R707" s="726">
        <f t="shared" si="103"/>
        <v>3952.47</v>
      </c>
      <c r="S707" s="726">
        <f t="shared" si="103"/>
        <v>0</v>
      </c>
      <c r="T707" s="726">
        <f t="shared" si="103"/>
        <v>0</v>
      </c>
      <c r="U707" s="726">
        <f t="shared" si="103"/>
        <v>0</v>
      </c>
      <c r="V707" s="726">
        <f t="shared" si="103"/>
        <v>0</v>
      </c>
      <c r="W707" s="708"/>
      <c r="X707" s="708" t="s">
        <v>463</v>
      </c>
      <c r="Y707" s="708">
        <f t="shared" si="103"/>
        <v>17258</v>
      </c>
      <c r="Z707" s="708">
        <f t="shared" si="103"/>
        <v>73786</v>
      </c>
      <c r="AA707" s="708">
        <f t="shared" si="103"/>
        <v>12</v>
      </c>
      <c r="AB707" s="708"/>
      <c r="AC707" s="708"/>
      <c r="AD707" s="146" t="s">
        <v>620</v>
      </c>
      <c r="AE707" s="146" t="s">
        <v>621</v>
      </c>
      <c r="AF707" s="146" t="s">
        <v>622</v>
      </c>
      <c r="AG707" s="708" t="s">
        <v>41</v>
      </c>
    </row>
    <row r="708" ht="29" customHeight="1" spans="1:33">
      <c r="A708" s="705"/>
      <c r="B708" s="714" t="s">
        <v>101</v>
      </c>
      <c r="C708" s="146" t="s">
        <v>52</v>
      </c>
      <c r="D708" s="152" t="s">
        <v>498</v>
      </c>
      <c r="E708" s="92">
        <v>1</v>
      </c>
      <c r="F708" s="714" t="str">
        <f t="shared" si="100"/>
        <v>中安</v>
      </c>
      <c r="G708" s="708"/>
      <c r="H708" s="726">
        <v>26.307</v>
      </c>
      <c r="I708" s="726">
        <v>26.307</v>
      </c>
      <c r="J708" s="726"/>
      <c r="K708" s="726"/>
      <c r="L708" s="726">
        <v>2018.01</v>
      </c>
      <c r="M708" s="726">
        <v>2018.12</v>
      </c>
      <c r="N708" s="726">
        <v>427.81</v>
      </c>
      <c r="O708" s="726">
        <v>427.81</v>
      </c>
      <c r="P708" s="726"/>
      <c r="Q708" s="726"/>
      <c r="R708" s="726">
        <v>427.81</v>
      </c>
      <c r="S708" s="726"/>
      <c r="T708" s="726"/>
      <c r="U708" s="726"/>
      <c r="V708" s="726"/>
      <c r="W708" s="726"/>
      <c r="X708" s="708" t="s">
        <v>463</v>
      </c>
      <c r="Y708" s="763">
        <v>283</v>
      </c>
      <c r="Z708" s="763">
        <v>1255</v>
      </c>
      <c r="AA708" s="92">
        <v>1</v>
      </c>
      <c r="AB708" s="708"/>
      <c r="AC708" s="708"/>
      <c r="AD708" s="146" t="s">
        <v>244</v>
      </c>
      <c r="AE708" s="146" t="s">
        <v>623</v>
      </c>
      <c r="AF708" s="146" t="s">
        <v>622</v>
      </c>
      <c r="AG708" s="708"/>
    </row>
    <row r="709" ht="29" customHeight="1" spans="1:33">
      <c r="A709" s="705"/>
      <c r="B709" s="714" t="s">
        <v>151</v>
      </c>
      <c r="C709" s="146" t="s">
        <v>52</v>
      </c>
      <c r="D709" s="152" t="s">
        <v>498</v>
      </c>
      <c r="E709" s="92">
        <v>1</v>
      </c>
      <c r="F709" s="714" t="str">
        <f t="shared" si="100"/>
        <v>胜境</v>
      </c>
      <c r="G709" s="708"/>
      <c r="H709" s="726">
        <v>21.962</v>
      </c>
      <c r="I709" s="726">
        <v>21.962</v>
      </c>
      <c r="J709" s="726"/>
      <c r="K709" s="726"/>
      <c r="L709" s="726">
        <v>2018.01</v>
      </c>
      <c r="M709" s="726">
        <v>2018.12</v>
      </c>
      <c r="N709" s="726">
        <v>329.34</v>
      </c>
      <c r="O709" s="726">
        <v>329.34</v>
      </c>
      <c r="P709" s="726"/>
      <c r="Q709" s="726"/>
      <c r="R709" s="726">
        <v>329.34</v>
      </c>
      <c r="S709" s="726"/>
      <c r="T709" s="726"/>
      <c r="U709" s="726"/>
      <c r="V709" s="726"/>
      <c r="W709" s="726"/>
      <c r="X709" s="708" t="s">
        <v>463</v>
      </c>
      <c r="Y709" s="763">
        <v>1760</v>
      </c>
      <c r="Z709" s="763">
        <v>7269</v>
      </c>
      <c r="AA709" s="92">
        <v>1</v>
      </c>
      <c r="AB709" s="708"/>
      <c r="AC709" s="708"/>
      <c r="AD709" s="146" t="s">
        <v>389</v>
      </c>
      <c r="AE709" s="146" t="s">
        <v>623</v>
      </c>
      <c r="AF709" s="146" t="s">
        <v>622</v>
      </c>
      <c r="AG709" s="708"/>
    </row>
    <row r="710" ht="29" customHeight="1" spans="1:33">
      <c r="A710" s="705"/>
      <c r="B710" s="714" t="s">
        <v>154</v>
      </c>
      <c r="C710" s="146" t="s">
        <v>52</v>
      </c>
      <c r="D710" s="152" t="s">
        <v>498</v>
      </c>
      <c r="E710" s="92">
        <v>1</v>
      </c>
      <c r="F710" s="714" t="str">
        <f t="shared" si="100"/>
        <v>后所</v>
      </c>
      <c r="G710" s="708"/>
      <c r="H710" s="726">
        <v>13.562</v>
      </c>
      <c r="I710" s="726">
        <v>13.562</v>
      </c>
      <c r="J710" s="726"/>
      <c r="K710" s="726"/>
      <c r="L710" s="726">
        <v>2018.01</v>
      </c>
      <c r="M710" s="726">
        <v>2018.12</v>
      </c>
      <c r="N710" s="726">
        <v>236.57</v>
      </c>
      <c r="O710" s="726">
        <v>236.57</v>
      </c>
      <c r="P710" s="726"/>
      <c r="Q710" s="726"/>
      <c r="R710" s="726">
        <v>236.57</v>
      </c>
      <c r="S710" s="726"/>
      <c r="T710" s="726"/>
      <c r="U710" s="726"/>
      <c r="V710" s="726"/>
      <c r="W710" s="726"/>
      <c r="X710" s="708" t="s">
        <v>463</v>
      </c>
      <c r="Y710" s="763">
        <v>2438</v>
      </c>
      <c r="Z710" s="763">
        <v>10141</v>
      </c>
      <c r="AA710" s="92">
        <v>1</v>
      </c>
      <c r="AB710" s="708"/>
      <c r="AC710" s="708"/>
      <c r="AD710" s="146" t="s">
        <v>624</v>
      </c>
      <c r="AE710" s="146" t="s">
        <v>625</v>
      </c>
      <c r="AF710" s="146" t="s">
        <v>622</v>
      </c>
      <c r="AG710" s="708"/>
    </row>
    <row r="711" ht="29" customHeight="1" spans="1:33">
      <c r="A711" s="705"/>
      <c r="B711" s="714" t="s">
        <v>81</v>
      </c>
      <c r="C711" s="146" t="s">
        <v>52</v>
      </c>
      <c r="D711" s="152" t="s">
        <v>498</v>
      </c>
      <c r="E711" s="92">
        <v>1</v>
      </c>
      <c r="F711" s="714" t="str">
        <f t="shared" si="100"/>
        <v>墨红</v>
      </c>
      <c r="G711" s="708"/>
      <c r="H711" s="726">
        <v>19.761</v>
      </c>
      <c r="I711" s="726">
        <v>19.761</v>
      </c>
      <c r="J711" s="726"/>
      <c r="K711" s="726"/>
      <c r="L711" s="726">
        <v>2018.01</v>
      </c>
      <c r="M711" s="726">
        <v>2018.12</v>
      </c>
      <c r="N711" s="726">
        <v>550.19</v>
      </c>
      <c r="O711" s="726">
        <v>550.19</v>
      </c>
      <c r="P711" s="726"/>
      <c r="Q711" s="726"/>
      <c r="R711" s="726">
        <v>550.19</v>
      </c>
      <c r="S711" s="726"/>
      <c r="T711" s="726"/>
      <c r="U711" s="726"/>
      <c r="V711" s="726"/>
      <c r="W711" s="726"/>
      <c r="X711" s="708" t="s">
        <v>463</v>
      </c>
      <c r="Y711" s="763">
        <v>1360</v>
      </c>
      <c r="Z711" s="763">
        <v>5261</v>
      </c>
      <c r="AA711" s="92">
        <v>1</v>
      </c>
      <c r="AB711" s="708"/>
      <c r="AC711" s="708"/>
      <c r="AD711" s="146" t="s">
        <v>249</v>
      </c>
      <c r="AE711" s="146" t="s">
        <v>626</v>
      </c>
      <c r="AF711" s="146" t="s">
        <v>622</v>
      </c>
      <c r="AG711" s="708"/>
    </row>
    <row r="712" ht="29" customHeight="1" spans="1:33">
      <c r="A712" s="705"/>
      <c r="B712" s="714" t="s">
        <v>98</v>
      </c>
      <c r="C712" s="146" t="s">
        <v>52</v>
      </c>
      <c r="D712" s="152" t="s">
        <v>498</v>
      </c>
      <c r="E712" s="92">
        <v>1</v>
      </c>
      <c r="F712" s="714" t="str">
        <f t="shared" si="100"/>
        <v>大河</v>
      </c>
      <c r="G712" s="708"/>
      <c r="H712" s="726">
        <v>25.219</v>
      </c>
      <c r="I712" s="726">
        <v>25.219</v>
      </c>
      <c r="J712" s="726"/>
      <c r="K712" s="726"/>
      <c r="L712" s="726">
        <v>2018.01</v>
      </c>
      <c r="M712" s="726">
        <v>2018.12</v>
      </c>
      <c r="N712" s="726">
        <v>558.77</v>
      </c>
      <c r="O712" s="726">
        <v>558.77</v>
      </c>
      <c r="P712" s="726"/>
      <c r="Q712" s="726"/>
      <c r="R712" s="726">
        <v>558.77</v>
      </c>
      <c r="S712" s="726"/>
      <c r="T712" s="726"/>
      <c r="U712" s="726"/>
      <c r="V712" s="726"/>
      <c r="W712" s="726"/>
      <c r="X712" s="708" t="s">
        <v>463</v>
      </c>
      <c r="Y712" s="763">
        <v>3500</v>
      </c>
      <c r="Z712" s="763">
        <v>14441</v>
      </c>
      <c r="AA712" s="92">
        <v>1</v>
      </c>
      <c r="AB712" s="708"/>
      <c r="AC712" s="708"/>
      <c r="AD712" s="146" t="s">
        <v>395</v>
      </c>
      <c r="AE712" s="146" t="s">
        <v>627</v>
      </c>
      <c r="AF712" s="146" t="s">
        <v>622</v>
      </c>
      <c r="AG712" s="708"/>
    </row>
    <row r="713" ht="29" customHeight="1" spans="1:33">
      <c r="A713" s="705"/>
      <c r="B713" s="714" t="s">
        <v>211</v>
      </c>
      <c r="C713" s="146" t="s">
        <v>52</v>
      </c>
      <c r="D713" s="152" t="s">
        <v>498</v>
      </c>
      <c r="E713" s="92">
        <v>1</v>
      </c>
      <c r="F713" s="714" t="str">
        <f t="shared" si="100"/>
        <v>营上</v>
      </c>
      <c r="G713" s="708"/>
      <c r="H713" s="726">
        <v>27.478</v>
      </c>
      <c r="I713" s="726">
        <v>27.478</v>
      </c>
      <c r="J713" s="726"/>
      <c r="K713" s="726"/>
      <c r="L713" s="726">
        <v>2018.01</v>
      </c>
      <c r="M713" s="726">
        <v>2018.12</v>
      </c>
      <c r="N713" s="726">
        <v>623.56</v>
      </c>
      <c r="O713" s="726">
        <v>623.56</v>
      </c>
      <c r="P713" s="726"/>
      <c r="Q713" s="726"/>
      <c r="R713" s="726">
        <v>623.56</v>
      </c>
      <c r="S713" s="726"/>
      <c r="T713" s="726"/>
      <c r="U713" s="726"/>
      <c r="V713" s="726"/>
      <c r="W713" s="726"/>
      <c r="X713" s="708" t="s">
        <v>463</v>
      </c>
      <c r="Y713" s="763">
        <v>2230</v>
      </c>
      <c r="Z713" s="763">
        <v>9972</v>
      </c>
      <c r="AA713" s="92">
        <v>1</v>
      </c>
      <c r="AB713" s="708"/>
      <c r="AC713" s="708"/>
      <c r="AD713" s="146" t="s">
        <v>212</v>
      </c>
      <c r="AE713" s="146" t="s">
        <v>628</v>
      </c>
      <c r="AF713" s="146" t="s">
        <v>622</v>
      </c>
      <c r="AG713" s="708"/>
    </row>
    <row r="714" ht="29" customHeight="1" spans="1:33">
      <c r="A714" s="705"/>
      <c r="B714" s="714" t="s">
        <v>155</v>
      </c>
      <c r="C714" s="146" t="s">
        <v>52</v>
      </c>
      <c r="D714" s="152" t="s">
        <v>498</v>
      </c>
      <c r="E714" s="92">
        <v>1</v>
      </c>
      <c r="F714" s="714" t="str">
        <f t="shared" si="100"/>
        <v>竹园</v>
      </c>
      <c r="G714" s="708"/>
      <c r="H714" s="726">
        <v>15.032</v>
      </c>
      <c r="I714" s="726">
        <v>15.032</v>
      </c>
      <c r="J714" s="726"/>
      <c r="K714" s="726"/>
      <c r="L714" s="726">
        <v>2018.01</v>
      </c>
      <c r="M714" s="726">
        <v>2018.12</v>
      </c>
      <c r="N714" s="726">
        <v>304.15</v>
      </c>
      <c r="O714" s="726">
        <v>304.15</v>
      </c>
      <c r="P714" s="726"/>
      <c r="Q714" s="726"/>
      <c r="R714" s="726">
        <v>304.15</v>
      </c>
      <c r="S714" s="726"/>
      <c r="T714" s="726"/>
      <c r="U714" s="726"/>
      <c r="V714" s="726"/>
      <c r="W714" s="726"/>
      <c r="X714" s="708" t="s">
        <v>463</v>
      </c>
      <c r="Y714" s="763">
        <v>115</v>
      </c>
      <c r="Z714" s="763">
        <v>473</v>
      </c>
      <c r="AA714" s="92">
        <v>1</v>
      </c>
      <c r="AB714" s="708"/>
      <c r="AC714" s="708"/>
      <c r="AD714" s="146" t="s">
        <v>629</v>
      </c>
      <c r="AE714" s="146" t="s">
        <v>630</v>
      </c>
      <c r="AF714" s="146" t="s">
        <v>622</v>
      </c>
      <c r="AG714" s="708"/>
    </row>
    <row r="715" ht="29" customHeight="1" spans="1:33">
      <c r="A715" s="705"/>
      <c r="B715" s="714" t="s">
        <v>102</v>
      </c>
      <c r="C715" s="146" t="s">
        <v>52</v>
      </c>
      <c r="D715" s="152" t="s">
        <v>498</v>
      </c>
      <c r="E715" s="92">
        <v>1</v>
      </c>
      <c r="F715" s="714" t="str">
        <f t="shared" si="100"/>
        <v>富村</v>
      </c>
      <c r="G715" s="708"/>
      <c r="H715" s="726">
        <v>9.339</v>
      </c>
      <c r="I715" s="726">
        <v>9.339</v>
      </c>
      <c r="J715" s="726"/>
      <c r="K715" s="726"/>
      <c r="L715" s="726">
        <v>2018.01</v>
      </c>
      <c r="M715" s="726">
        <v>2018.12</v>
      </c>
      <c r="N715" s="726">
        <v>226.08</v>
      </c>
      <c r="O715" s="726">
        <v>226.08</v>
      </c>
      <c r="P715" s="726"/>
      <c r="Q715" s="726"/>
      <c r="R715" s="726">
        <v>226.08</v>
      </c>
      <c r="S715" s="726"/>
      <c r="T715" s="726"/>
      <c r="U715" s="726"/>
      <c r="V715" s="726"/>
      <c r="W715" s="726"/>
      <c r="X715" s="708" t="s">
        <v>463</v>
      </c>
      <c r="Y715" s="763">
        <v>1554</v>
      </c>
      <c r="Z715" s="763">
        <v>7057</v>
      </c>
      <c r="AA715" s="92">
        <v>1</v>
      </c>
      <c r="AB715" s="708"/>
      <c r="AC715" s="708"/>
      <c r="AD715" s="146" t="s">
        <v>631</v>
      </c>
      <c r="AE715" s="146" t="s">
        <v>632</v>
      </c>
      <c r="AF715" s="146" t="s">
        <v>622</v>
      </c>
      <c r="AG715" s="708"/>
    </row>
    <row r="716" ht="29" customHeight="1" spans="1:33">
      <c r="A716" s="705"/>
      <c r="B716" s="714" t="s">
        <v>100</v>
      </c>
      <c r="C716" s="146" t="s">
        <v>52</v>
      </c>
      <c r="D716" s="152" t="s">
        <v>498</v>
      </c>
      <c r="E716" s="92">
        <v>1</v>
      </c>
      <c r="F716" s="714" t="str">
        <f t="shared" si="100"/>
        <v>黄泥河</v>
      </c>
      <c r="G716" s="708"/>
      <c r="H716" s="726">
        <v>8.71</v>
      </c>
      <c r="I716" s="726">
        <v>8.71</v>
      </c>
      <c r="J716" s="726"/>
      <c r="K716" s="726"/>
      <c r="L716" s="726">
        <v>2018.01</v>
      </c>
      <c r="M716" s="726">
        <v>2018.12</v>
      </c>
      <c r="N716" s="726">
        <v>206.15</v>
      </c>
      <c r="O716" s="726">
        <v>206.15</v>
      </c>
      <c r="P716" s="726"/>
      <c r="Q716" s="726"/>
      <c r="R716" s="726">
        <v>206.15</v>
      </c>
      <c r="S716" s="726"/>
      <c r="T716" s="726"/>
      <c r="U716" s="726"/>
      <c r="V716" s="726"/>
      <c r="W716" s="726"/>
      <c r="X716" s="708" t="s">
        <v>463</v>
      </c>
      <c r="Y716" s="763">
        <v>2596</v>
      </c>
      <c r="Z716" s="763">
        <v>12000</v>
      </c>
      <c r="AA716" s="92">
        <v>1</v>
      </c>
      <c r="AB716" s="708"/>
      <c r="AC716" s="708"/>
      <c r="AD716" s="146" t="s">
        <v>633</v>
      </c>
      <c r="AE716" s="146" t="s">
        <v>634</v>
      </c>
      <c r="AF716" s="146" t="s">
        <v>622</v>
      </c>
      <c r="AG716" s="708"/>
    </row>
    <row r="717" ht="29" customHeight="1" spans="1:33">
      <c r="A717" s="705"/>
      <c r="B717" s="714" t="s">
        <v>259</v>
      </c>
      <c r="C717" s="146" t="s">
        <v>52</v>
      </c>
      <c r="D717" s="152" t="s">
        <v>498</v>
      </c>
      <c r="E717" s="92">
        <v>1</v>
      </c>
      <c r="F717" s="714" t="str">
        <f t="shared" si="100"/>
        <v>古敢</v>
      </c>
      <c r="G717" s="708"/>
      <c r="H717" s="726">
        <v>2.843</v>
      </c>
      <c r="I717" s="726">
        <v>2.843</v>
      </c>
      <c r="J717" s="726"/>
      <c r="K717" s="726"/>
      <c r="L717" s="726">
        <v>2018.01</v>
      </c>
      <c r="M717" s="726">
        <v>2018.12</v>
      </c>
      <c r="N717" s="726">
        <v>31.99</v>
      </c>
      <c r="O717" s="726">
        <v>31.99</v>
      </c>
      <c r="P717" s="726"/>
      <c r="Q717" s="726"/>
      <c r="R717" s="726">
        <v>31.99</v>
      </c>
      <c r="S717" s="726"/>
      <c r="T717" s="726"/>
      <c r="U717" s="726"/>
      <c r="V717" s="726"/>
      <c r="W717" s="726"/>
      <c r="X717" s="708" t="s">
        <v>463</v>
      </c>
      <c r="Y717" s="763">
        <v>368</v>
      </c>
      <c r="Z717" s="763">
        <v>1523</v>
      </c>
      <c r="AA717" s="92">
        <v>1</v>
      </c>
      <c r="AB717" s="708"/>
      <c r="AC717" s="708"/>
      <c r="AD717" s="146" t="s">
        <v>366</v>
      </c>
      <c r="AE717" s="146" t="s">
        <v>634</v>
      </c>
      <c r="AF717" s="146" t="s">
        <v>622</v>
      </c>
      <c r="AG717" s="708"/>
    </row>
    <row r="718" ht="29" customHeight="1" spans="1:33">
      <c r="A718" s="705"/>
      <c r="B718" s="714" t="s">
        <v>84</v>
      </c>
      <c r="C718" s="146" t="s">
        <v>52</v>
      </c>
      <c r="D718" s="152" t="s">
        <v>498</v>
      </c>
      <c r="E718" s="92">
        <v>1</v>
      </c>
      <c r="F718" s="714" t="str">
        <f t="shared" si="100"/>
        <v>十八连山</v>
      </c>
      <c r="G718" s="708"/>
      <c r="H718" s="726">
        <v>5.425</v>
      </c>
      <c r="I718" s="726">
        <v>5.425</v>
      </c>
      <c r="J718" s="726"/>
      <c r="K718" s="726"/>
      <c r="L718" s="726">
        <v>2018.01</v>
      </c>
      <c r="M718" s="726">
        <v>2018.12</v>
      </c>
      <c r="N718" s="726">
        <v>164.46</v>
      </c>
      <c r="O718" s="726">
        <v>164.46</v>
      </c>
      <c r="P718" s="726"/>
      <c r="Q718" s="726"/>
      <c r="R718" s="726">
        <v>164.46</v>
      </c>
      <c r="S718" s="726"/>
      <c r="T718" s="726"/>
      <c r="U718" s="726"/>
      <c r="V718" s="726"/>
      <c r="W718" s="726"/>
      <c r="X718" s="708" t="s">
        <v>463</v>
      </c>
      <c r="Y718" s="763">
        <v>721</v>
      </c>
      <c r="Z718" s="763">
        <v>2856</v>
      </c>
      <c r="AA718" s="92">
        <v>1</v>
      </c>
      <c r="AB718" s="708"/>
      <c r="AC718" s="708"/>
      <c r="AD718" s="146" t="s">
        <v>635</v>
      </c>
      <c r="AE718" s="146" t="s">
        <v>636</v>
      </c>
      <c r="AF718" s="146" t="s">
        <v>622</v>
      </c>
      <c r="AG718" s="708"/>
    </row>
    <row r="719" ht="29" customHeight="1" spans="1:33">
      <c r="A719" s="705"/>
      <c r="B719" s="714" t="s">
        <v>143</v>
      </c>
      <c r="C719" s="146" t="s">
        <v>52</v>
      </c>
      <c r="D719" s="152" t="s">
        <v>498</v>
      </c>
      <c r="E719" s="92">
        <v>1</v>
      </c>
      <c r="F719" s="714" t="str">
        <f t="shared" si="100"/>
        <v>老厂</v>
      </c>
      <c r="G719" s="708"/>
      <c r="H719" s="726">
        <v>15.193</v>
      </c>
      <c r="I719" s="726">
        <v>15.193</v>
      </c>
      <c r="J719" s="726"/>
      <c r="K719" s="726"/>
      <c r="L719" s="726">
        <v>2018.01</v>
      </c>
      <c r="M719" s="726">
        <v>2018.12</v>
      </c>
      <c r="N719" s="726">
        <v>293.4</v>
      </c>
      <c r="O719" s="726">
        <v>293.4</v>
      </c>
      <c r="P719" s="726"/>
      <c r="Q719" s="726"/>
      <c r="R719" s="726">
        <v>293.4</v>
      </c>
      <c r="S719" s="726"/>
      <c r="T719" s="726"/>
      <c r="U719" s="726"/>
      <c r="V719" s="726"/>
      <c r="W719" s="726"/>
      <c r="X719" s="708" t="s">
        <v>463</v>
      </c>
      <c r="Y719" s="763">
        <v>333</v>
      </c>
      <c r="Z719" s="763">
        <v>1538</v>
      </c>
      <c r="AA719" s="92">
        <v>1</v>
      </c>
      <c r="AB719" s="708"/>
      <c r="AC719" s="708"/>
      <c r="AD719" s="146" t="s">
        <v>637</v>
      </c>
      <c r="AE719" s="146" t="s">
        <v>638</v>
      </c>
      <c r="AF719" s="146" t="s">
        <v>622</v>
      </c>
      <c r="AG719" s="708"/>
    </row>
    <row r="720" ht="24" spans="1:33">
      <c r="A720" s="705">
        <v>93</v>
      </c>
      <c r="B720" s="791" t="s">
        <v>499</v>
      </c>
      <c r="C720" s="708"/>
      <c r="D720" s="709" t="s">
        <v>384</v>
      </c>
      <c r="E720" s="708"/>
      <c r="F720" s="708"/>
      <c r="G720" s="708"/>
      <c r="H720" s="726"/>
      <c r="I720" s="726"/>
      <c r="J720" s="726"/>
      <c r="K720" s="726"/>
      <c r="L720" s="726"/>
      <c r="M720" s="726"/>
      <c r="N720" s="726"/>
      <c r="O720" s="726"/>
      <c r="P720" s="726"/>
      <c r="Q720" s="726"/>
      <c r="R720" s="726"/>
      <c r="S720" s="726"/>
      <c r="T720" s="726"/>
      <c r="U720" s="726"/>
      <c r="V720" s="726"/>
      <c r="W720" s="726"/>
      <c r="X720" s="726"/>
      <c r="Y720" s="726"/>
      <c r="Z720" s="726"/>
      <c r="AA720" s="708"/>
      <c r="AB720" s="708"/>
      <c r="AC720" s="708"/>
      <c r="AD720" s="708"/>
      <c r="AE720" s="708"/>
      <c r="AF720" s="708" t="s">
        <v>500</v>
      </c>
      <c r="AG720" s="708" t="s">
        <v>41</v>
      </c>
    </row>
    <row r="721" ht="24.95" customHeight="1" spans="1:33">
      <c r="A721" s="705" t="s">
        <v>48</v>
      </c>
      <c r="B721" s="92" t="s">
        <v>148</v>
      </c>
      <c r="C721" s="92"/>
      <c r="D721" s="76"/>
      <c r="E721" s="92"/>
      <c r="F721" s="92"/>
      <c r="G721" s="92"/>
      <c r="H721" s="724"/>
      <c r="I721" s="724"/>
      <c r="J721" s="724"/>
      <c r="K721" s="724"/>
      <c r="L721" s="724"/>
      <c r="M721" s="724"/>
      <c r="N721" s="724"/>
      <c r="O721" s="724"/>
      <c r="P721" s="724"/>
      <c r="Q721" s="724"/>
      <c r="R721" s="724"/>
      <c r="S721" s="724"/>
      <c r="T721" s="724"/>
      <c r="U721" s="724"/>
      <c r="V721" s="724"/>
      <c r="W721" s="92"/>
      <c r="X721" s="92"/>
      <c r="Y721" s="92"/>
      <c r="Z721" s="92"/>
      <c r="AA721" s="92"/>
      <c r="AB721" s="92"/>
      <c r="AC721" s="92"/>
      <c r="AD721" s="92"/>
      <c r="AE721" s="92"/>
      <c r="AF721" s="92"/>
      <c r="AG721" s="92"/>
    </row>
    <row r="722" ht="24.95" customHeight="1" spans="1:33">
      <c r="A722" s="705">
        <v>94</v>
      </c>
      <c r="B722" s="791" t="s">
        <v>501</v>
      </c>
      <c r="C722" s="708"/>
      <c r="D722" s="709" t="s">
        <v>496</v>
      </c>
      <c r="E722" s="708"/>
      <c r="F722" s="708"/>
      <c r="G722" s="708"/>
      <c r="H722" s="726"/>
      <c r="I722" s="726"/>
      <c r="J722" s="726"/>
      <c r="K722" s="726"/>
      <c r="L722" s="726"/>
      <c r="M722" s="726"/>
      <c r="N722" s="726"/>
      <c r="O722" s="726"/>
      <c r="P722" s="726"/>
      <c r="Q722" s="726"/>
      <c r="R722" s="726"/>
      <c r="S722" s="726"/>
      <c r="T722" s="726"/>
      <c r="U722" s="726"/>
      <c r="V722" s="726"/>
      <c r="W722" s="726"/>
      <c r="X722" s="726"/>
      <c r="Y722" s="726"/>
      <c r="Z722" s="726"/>
      <c r="AA722" s="708"/>
      <c r="AB722" s="708"/>
      <c r="AC722" s="708"/>
      <c r="AD722" s="708"/>
      <c r="AE722" s="708"/>
      <c r="AF722" s="708" t="s">
        <v>497</v>
      </c>
      <c r="AG722" s="708" t="s">
        <v>41</v>
      </c>
    </row>
    <row r="723" ht="24.95" customHeight="1" spans="1:33">
      <c r="A723" s="705">
        <v>95</v>
      </c>
      <c r="B723" s="95" t="s">
        <v>502</v>
      </c>
      <c r="C723" s="92"/>
      <c r="D723" s="76" t="s">
        <v>496</v>
      </c>
      <c r="E723" s="92"/>
      <c r="F723" s="92"/>
      <c r="G723" s="92"/>
      <c r="H723" s="724"/>
      <c r="I723" s="724"/>
      <c r="J723" s="724"/>
      <c r="K723" s="724"/>
      <c r="L723" s="724"/>
      <c r="M723" s="724"/>
      <c r="N723" s="724"/>
      <c r="O723" s="724"/>
      <c r="P723" s="724"/>
      <c r="Q723" s="724"/>
      <c r="R723" s="724"/>
      <c r="S723" s="724"/>
      <c r="T723" s="724"/>
      <c r="U723" s="724"/>
      <c r="V723" s="724"/>
      <c r="W723" s="724"/>
      <c r="X723" s="724"/>
      <c r="Y723" s="724"/>
      <c r="Z723" s="724"/>
      <c r="AA723" s="92"/>
      <c r="AB723" s="92"/>
      <c r="AC723" s="92"/>
      <c r="AD723" s="92"/>
      <c r="AE723" s="92"/>
      <c r="AF723" s="92" t="s">
        <v>497</v>
      </c>
      <c r="AG723" s="92" t="s">
        <v>41</v>
      </c>
    </row>
    <row r="724" ht="24.95" customHeight="1" spans="1:33">
      <c r="A724" s="705" t="s">
        <v>48</v>
      </c>
      <c r="B724" s="92" t="s">
        <v>148</v>
      </c>
      <c r="C724" s="92"/>
      <c r="D724" s="76"/>
      <c r="E724" s="92"/>
      <c r="F724" s="92"/>
      <c r="G724" s="92"/>
      <c r="H724" s="724"/>
      <c r="I724" s="724"/>
      <c r="J724" s="724"/>
      <c r="K724" s="724"/>
      <c r="L724" s="724"/>
      <c r="M724" s="724"/>
      <c r="N724" s="724"/>
      <c r="O724" s="724"/>
      <c r="P724" s="724"/>
      <c r="Q724" s="724"/>
      <c r="R724" s="724"/>
      <c r="S724" s="724"/>
      <c r="T724" s="724"/>
      <c r="U724" s="724"/>
      <c r="V724" s="724"/>
      <c r="W724" s="724"/>
      <c r="X724" s="724"/>
      <c r="Y724" s="724"/>
      <c r="Z724" s="724"/>
      <c r="AA724" s="92"/>
      <c r="AB724" s="92"/>
      <c r="AC724" s="92"/>
      <c r="AD724" s="92"/>
      <c r="AE724" s="92"/>
      <c r="AF724" s="92"/>
      <c r="AG724" s="92"/>
    </row>
    <row r="725" ht="24.95" customHeight="1" spans="1:33">
      <c r="A725" s="705">
        <v>96</v>
      </c>
      <c r="B725" s="95" t="s">
        <v>503</v>
      </c>
      <c r="C725" s="92"/>
      <c r="D725" s="76" t="s">
        <v>496</v>
      </c>
      <c r="E725" s="92"/>
      <c r="F725" s="92"/>
      <c r="G725" s="92"/>
      <c r="H725" s="724"/>
      <c r="I725" s="724"/>
      <c r="J725" s="724"/>
      <c r="K725" s="724"/>
      <c r="L725" s="724"/>
      <c r="M725" s="724"/>
      <c r="N725" s="724"/>
      <c r="O725" s="724"/>
      <c r="P725" s="724"/>
      <c r="Q725" s="724"/>
      <c r="R725" s="724"/>
      <c r="S725" s="724"/>
      <c r="T725" s="724"/>
      <c r="U725" s="724"/>
      <c r="V725" s="724"/>
      <c r="W725" s="724"/>
      <c r="X725" s="724"/>
      <c r="Y725" s="724"/>
      <c r="Z725" s="724"/>
      <c r="AA725" s="92"/>
      <c r="AB725" s="92"/>
      <c r="AC725" s="92"/>
      <c r="AD725" s="92"/>
      <c r="AE725" s="92"/>
      <c r="AF725" s="92" t="s">
        <v>497</v>
      </c>
      <c r="AG725" s="92" t="s">
        <v>41</v>
      </c>
    </row>
    <row r="726" ht="24.95" customHeight="1" spans="1:33">
      <c r="A726" s="705" t="s">
        <v>48</v>
      </c>
      <c r="B726" s="92" t="s">
        <v>148</v>
      </c>
      <c r="C726" s="92"/>
      <c r="D726" s="76"/>
      <c r="E726" s="92"/>
      <c r="F726" s="92"/>
      <c r="G726" s="92"/>
      <c r="H726" s="724"/>
      <c r="I726" s="724"/>
      <c r="J726" s="724"/>
      <c r="K726" s="724"/>
      <c r="L726" s="724"/>
      <c r="M726" s="724"/>
      <c r="N726" s="724"/>
      <c r="O726" s="724"/>
      <c r="P726" s="724"/>
      <c r="Q726" s="724"/>
      <c r="R726" s="724"/>
      <c r="S726" s="724"/>
      <c r="T726" s="724"/>
      <c r="U726" s="724"/>
      <c r="V726" s="724"/>
      <c r="W726" s="724"/>
      <c r="X726" s="724"/>
      <c r="Y726" s="724"/>
      <c r="Z726" s="724"/>
      <c r="AA726" s="92"/>
      <c r="AB726" s="92"/>
      <c r="AC726" s="92"/>
      <c r="AD726" s="92"/>
      <c r="AE726" s="92"/>
      <c r="AF726" s="92"/>
      <c r="AG726" s="92"/>
    </row>
    <row r="727" ht="24.95" customHeight="1" spans="1:33">
      <c r="A727" s="705">
        <v>97</v>
      </c>
      <c r="B727" s="95" t="s">
        <v>504</v>
      </c>
      <c r="C727" s="92"/>
      <c r="D727" s="76" t="s">
        <v>496</v>
      </c>
      <c r="E727" s="92"/>
      <c r="F727" s="92"/>
      <c r="G727" s="92"/>
      <c r="H727" s="724"/>
      <c r="I727" s="724"/>
      <c r="J727" s="724"/>
      <c r="K727" s="724"/>
      <c r="L727" s="724"/>
      <c r="M727" s="724"/>
      <c r="N727" s="724"/>
      <c r="O727" s="724"/>
      <c r="P727" s="724"/>
      <c r="Q727" s="724"/>
      <c r="R727" s="724"/>
      <c r="S727" s="724"/>
      <c r="T727" s="724"/>
      <c r="U727" s="724"/>
      <c r="V727" s="724"/>
      <c r="W727" s="724"/>
      <c r="X727" s="724"/>
      <c r="Y727" s="724"/>
      <c r="Z727" s="724"/>
      <c r="AA727" s="92"/>
      <c r="AB727" s="92"/>
      <c r="AC727" s="92"/>
      <c r="AD727" s="92"/>
      <c r="AE727" s="92"/>
      <c r="AF727" s="92" t="s">
        <v>497</v>
      </c>
      <c r="AG727" s="92" t="s">
        <v>41</v>
      </c>
    </row>
    <row r="728" ht="24.95" customHeight="1" spans="1:33">
      <c r="A728" s="705" t="s">
        <v>48</v>
      </c>
      <c r="B728" s="92" t="s">
        <v>148</v>
      </c>
      <c r="C728" s="92"/>
      <c r="D728" s="76"/>
      <c r="E728" s="92"/>
      <c r="F728" s="92"/>
      <c r="G728" s="92"/>
      <c r="H728" s="724"/>
      <c r="I728" s="724"/>
      <c r="J728" s="724"/>
      <c r="K728" s="724"/>
      <c r="L728" s="724"/>
      <c r="M728" s="724"/>
      <c r="N728" s="724"/>
      <c r="O728" s="724"/>
      <c r="P728" s="724"/>
      <c r="Q728" s="724"/>
      <c r="R728" s="724"/>
      <c r="S728" s="724"/>
      <c r="T728" s="724"/>
      <c r="U728" s="724"/>
      <c r="V728" s="724"/>
      <c r="W728" s="724"/>
      <c r="X728" s="724"/>
      <c r="Y728" s="724"/>
      <c r="Z728" s="724"/>
      <c r="AA728" s="92"/>
      <c r="AB728" s="92"/>
      <c r="AC728" s="92"/>
      <c r="AD728" s="92"/>
      <c r="AE728" s="92"/>
      <c r="AF728" s="92"/>
      <c r="AG728" s="92"/>
    </row>
    <row r="729" ht="24.95" customHeight="1" spans="1:33">
      <c r="A729" s="705">
        <v>98</v>
      </c>
      <c r="B729" s="708" t="s">
        <v>505</v>
      </c>
      <c r="C729" s="708"/>
      <c r="D729" s="709"/>
      <c r="E729" s="708">
        <f>SUM(E730:E741)</f>
        <v>295</v>
      </c>
      <c r="F729" s="708"/>
      <c r="G729" s="708"/>
      <c r="H729" s="726">
        <f t="shared" ref="F729:AA729" si="104">SUM(H730:H741)</f>
        <v>295</v>
      </c>
      <c r="I729" s="726">
        <f t="shared" si="104"/>
        <v>295</v>
      </c>
      <c r="J729" s="726">
        <f t="shared" si="104"/>
        <v>0</v>
      </c>
      <c r="K729" s="726">
        <f t="shared" si="104"/>
        <v>0</v>
      </c>
      <c r="L729" s="726"/>
      <c r="M729" s="726"/>
      <c r="N729" s="726">
        <f t="shared" si="104"/>
        <v>9983.88</v>
      </c>
      <c r="O729" s="726">
        <f t="shared" si="104"/>
        <v>9983.88</v>
      </c>
      <c r="P729" s="726">
        <f t="shared" si="104"/>
        <v>0</v>
      </c>
      <c r="Q729" s="726">
        <f t="shared" si="104"/>
        <v>0</v>
      </c>
      <c r="R729" s="726">
        <f t="shared" si="104"/>
        <v>0</v>
      </c>
      <c r="S729" s="726">
        <f t="shared" si="104"/>
        <v>9983.88</v>
      </c>
      <c r="T729" s="726">
        <f t="shared" si="104"/>
        <v>0</v>
      </c>
      <c r="U729" s="726">
        <f t="shared" si="104"/>
        <v>0</v>
      </c>
      <c r="V729" s="726">
        <f t="shared" si="104"/>
        <v>0</v>
      </c>
      <c r="W729" s="708"/>
      <c r="X729" s="708" t="s">
        <v>506</v>
      </c>
      <c r="Y729" s="763">
        <f t="shared" si="104"/>
        <v>9814.21052631579</v>
      </c>
      <c r="Z729" s="708">
        <f t="shared" si="104"/>
        <v>38296</v>
      </c>
      <c r="AA729" s="708">
        <f t="shared" si="104"/>
        <v>295</v>
      </c>
      <c r="AB729" s="708"/>
      <c r="AC729" s="708"/>
      <c r="AD729" s="146" t="s">
        <v>507</v>
      </c>
      <c r="AE729" s="146" t="s">
        <v>508</v>
      </c>
      <c r="AF729" s="146" t="s">
        <v>275</v>
      </c>
      <c r="AG729" s="708" t="s">
        <v>41</v>
      </c>
    </row>
    <row r="730" ht="24.95" customHeight="1" spans="1:33">
      <c r="A730" s="705"/>
      <c r="B730" s="798" t="s">
        <v>69</v>
      </c>
      <c r="C730" s="146" t="s">
        <v>52</v>
      </c>
      <c r="D730" s="152" t="s">
        <v>509</v>
      </c>
      <c r="E730" s="708">
        <v>8</v>
      </c>
      <c r="F730" s="798" t="str">
        <f t="shared" ref="F730:F741" si="105">B730</f>
        <v>中安街道</v>
      </c>
      <c r="G730" s="708"/>
      <c r="H730" s="726">
        <v>8</v>
      </c>
      <c r="I730" s="726">
        <v>8</v>
      </c>
      <c r="J730" s="726"/>
      <c r="K730" s="726"/>
      <c r="L730" s="726">
        <v>2018.01</v>
      </c>
      <c r="M730" s="726">
        <v>2018.12</v>
      </c>
      <c r="N730" s="726">
        <v>373.3</v>
      </c>
      <c r="O730" s="726">
        <v>373.3</v>
      </c>
      <c r="P730" s="726"/>
      <c r="Q730" s="726"/>
      <c r="R730" s="726"/>
      <c r="S730" s="726">
        <v>373.3</v>
      </c>
      <c r="T730" s="726"/>
      <c r="U730" s="726"/>
      <c r="V730" s="726"/>
      <c r="W730" s="726"/>
      <c r="X730" s="708" t="s">
        <v>506</v>
      </c>
      <c r="Y730" s="763">
        <v>682.789473684211</v>
      </c>
      <c r="Z730" s="763">
        <v>2456</v>
      </c>
      <c r="AA730" s="708">
        <v>8</v>
      </c>
      <c r="AB730" s="708"/>
      <c r="AC730" s="708"/>
      <c r="AD730" s="146" t="s">
        <v>510</v>
      </c>
      <c r="AE730" s="146" t="s">
        <v>511</v>
      </c>
      <c r="AF730" s="146" t="s">
        <v>275</v>
      </c>
      <c r="AG730" s="708"/>
    </row>
    <row r="731" ht="24.95" customHeight="1" spans="1:33">
      <c r="A731" s="705"/>
      <c r="B731" s="798" t="s">
        <v>51</v>
      </c>
      <c r="C731" s="146" t="s">
        <v>52</v>
      </c>
      <c r="D731" s="152" t="s">
        <v>509</v>
      </c>
      <c r="E731" s="708">
        <v>13</v>
      </c>
      <c r="F731" s="798" t="str">
        <f t="shared" si="105"/>
        <v>胜境街道</v>
      </c>
      <c r="G731" s="708"/>
      <c r="H731" s="726">
        <v>13</v>
      </c>
      <c r="I731" s="726">
        <v>13</v>
      </c>
      <c r="J731" s="726"/>
      <c r="K731" s="726"/>
      <c r="L731" s="726">
        <v>2018.01</v>
      </c>
      <c r="M731" s="726">
        <v>2018.12</v>
      </c>
      <c r="N731" s="726">
        <v>292</v>
      </c>
      <c r="O731" s="726">
        <v>292</v>
      </c>
      <c r="P731" s="726"/>
      <c r="Q731" s="726"/>
      <c r="R731" s="726"/>
      <c r="S731" s="726">
        <v>292</v>
      </c>
      <c r="T731" s="726"/>
      <c r="U731" s="726"/>
      <c r="V731" s="726"/>
      <c r="W731" s="726"/>
      <c r="X731" s="708" t="s">
        <v>506</v>
      </c>
      <c r="Y731" s="763">
        <v>950.105263157895</v>
      </c>
      <c r="Z731" s="763">
        <v>3622</v>
      </c>
      <c r="AA731" s="708">
        <v>13</v>
      </c>
      <c r="AB731" s="708"/>
      <c r="AC731" s="708"/>
      <c r="AD731" s="146" t="s">
        <v>53</v>
      </c>
      <c r="AE731" s="146" t="s">
        <v>512</v>
      </c>
      <c r="AF731" s="146" t="s">
        <v>275</v>
      </c>
      <c r="AG731" s="708"/>
    </row>
    <row r="732" ht="24.95" customHeight="1" spans="1:33">
      <c r="A732" s="705"/>
      <c r="B732" s="798" t="s">
        <v>72</v>
      </c>
      <c r="C732" s="146" t="s">
        <v>52</v>
      </c>
      <c r="D732" s="152" t="s">
        <v>509</v>
      </c>
      <c r="E732" s="708">
        <v>15</v>
      </c>
      <c r="F732" s="798" t="str">
        <f t="shared" si="105"/>
        <v>后所镇</v>
      </c>
      <c r="G732" s="708"/>
      <c r="H732" s="726">
        <v>15</v>
      </c>
      <c r="I732" s="726">
        <v>15</v>
      </c>
      <c r="J732" s="726"/>
      <c r="K732" s="726"/>
      <c r="L732" s="726">
        <v>2018.01</v>
      </c>
      <c r="M732" s="726">
        <v>2018.12</v>
      </c>
      <c r="N732" s="726">
        <v>1077.21</v>
      </c>
      <c r="O732" s="726">
        <v>1077.21</v>
      </c>
      <c r="P732" s="726"/>
      <c r="Q732" s="726"/>
      <c r="R732" s="726"/>
      <c r="S732" s="726">
        <v>1077.21</v>
      </c>
      <c r="T732" s="726"/>
      <c r="U732" s="726"/>
      <c r="V732" s="726"/>
      <c r="W732" s="726"/>
      <c r="X732" s="708" t="s">
        <v>506</v>
      </c>
      <c r="Y732" s="763">
        <v>650.789473684211</v>
      </c>
      <c r="Z732" s="763">
        <v>2482</v>
      </c>
      <c r="AA732" s="708">
        <v>15</v>
      </c>
      <c r="AB732" s="708"/>
      <c r="AC732" s="708"/>
      <c r="AD732" s="146" t="s">
        <v>73</v>
      </c>
      <c r="AE732" s="146" t="s">
        <v>513</v>
      </c>
      <c r="AF732" s="146" t="s">
        <v>275</v>
      </c>
      <c r="AG732" s="708"/>
    </row>
    <row r="733" ht="24.95" customHeight="1" spans="1:33">
      <c r="A733" s="705"/>
      <c r="B733" s="798" t="s">
        <v>91</v>
      </c>
      <c r="C733" s="146" t="s">
        <v>52</v>
      </c>
      <c r="D733" s="152" t="s">
        <v>509</v>
      </c>
      <c r="E733" s="708">
        <v>5</v>
      </c>
      <c r="F733" s="798" t="str">
        <f t="shared" si="105"/>
        <v>墨红镇</v>
      </c>
      <c r="G733" s="708"/>
      <c r="H733" s="726">
        <v>5</v>
      </c>
      <c r="I733" s="726">
        <v>5</v>
      </c>
      <c r="J733" s="726"/>
      <c r="K733" s="726"/>
      <c r="L733" s="726">
        <v>2018.01</v>
      </c>
      <c r="M733" s="726">
        <v>2018.12</v>
      </c>
      <c r="N733" s="726">
        <v>122.65</v>
      </c>
      <c r="O733" s="726">
        <v>122.65</v>
      </c>
      <c r="P733" s="726"/>
      <c r="Q733" s="726"/>
      <c r="R733" s="726"/>
      <c r="S733" s="726">
        <v>122.65</v>
      </c>
      <c r="T733" s="726"/>
      <c r="U733" s="726"/>
      <c r="V733" s="726"/>
      <c r="W733" s="726"/>
      <c r="X733" s="708" t="s">
        <v>506</v>
      </c>
      <c r="Y733" s="763">
        <v>553.842105263158</v>
      </c>
      <c r="Z733" s="763">
        <v>2042</v>
      </c>
      <c r="AA733" s="708">
        <v>5</v>
      </c>
      <c r="AB733" s="708"/>
      <c r="AC733" s="708"/>
      <c r="AD733" s="146" t="s">
        <v>82</v>
      </c>
      <c r="AE733" s="146" t="s">
        <v>346</v>
      </c>
      <c r="AF733" s="146" t="s">
        <v>275</v>
      </c>
      <c r="AG733" s="708"/>
    </row>
    <row r="734" ht="24.95" customHeight="1" spans="1:33">
      <c r="A734" s="705"/>
      <c r="B734" s="798" t="s">
        <v>55</v>
      </c>
      <c r="C734" s="146" t="s">
        <v>52</v>
      </c>
      <c r="D734" s="152" t="s">
        <v>509</v>
      </c>
      <c r="E734" s="708">
        <v>42</v>
      </c>
      <c r="F734" s="798" t="str">
        <f t="shared" si="105"/>
        <v>大河镇</v>
      </c>
      <c r="G734" s="708"/>
      <c r="H734" s="726">
        <v>42</v>
      </c>
      <c r="I734" s="726">
        <v>42</v>
      </c>
      <c r="J734" s="726"/>
      <c r="K734" s="726"/>
      <c r="L734" s="726">
        <v>2018.01</v>
      </c>
      <c r="M734" s="726">
        <v>2018.12</v>
      </c>
      <c r="N734" s="726">
        <v>1748.82</v>
      </c>
      <c r="O734" s="726">
        <v>1748.82</v>
      </c>
      <c r="P734" s="726"/>
      <c r="Q734" s="726"/>
      <c r="R734" s="726"/>
      <c r="S734" s="726">
        <v>1748.82</v>
      </c>
      <c r="T734" s="726"/>
      <c r="U734" s="726"/>
      <c r="V734" s="726"/>
      <c r="W734" s="726"/>
      <c r="X734" s="708" t="s">
        <v>506</v>
      </c>
      <c r="Y734" s="763">
        <v>1180.78947368421</v>
      </c>
      <c r="Z734" s="763">
        <v>4582</v>
      </c>
      <c r="AA734" s="708">
        <v>42</v>
      </c>
      <c r="AB734" s="708"/>
      <c r="AC734" s="708"/>
      <c r="AD734" s="146" t="s">
        <v>56</v>
      </c>
      <c r="AE734" s="146" t="s">
        <v>514</v>
      </c>
      <c r="AF734" s="146" t="s">
        <v>275</v>
      </c>
      <c r="AG734" s="708"/>
    </row>
    <row r="735" ht="24.95" customHeight="1" spans="1:33">
      <c r="A735" s="705"/>
      <c r="B735" s="798" t="s">
        <v>75</v>
      </c>
      <c r="C735" s="146" t="s">
        <v>52</v>
      </c>
      <c r="D735" s="152" t="s">
        <v>509</v>
      </c>
      <c r="E735" s="708">
        <v>40</v>
      </c>
      <c r="F735" s="798" t="str">
        <f t="shared" si="105"/>
        <v>营上镇</v>
      </c>
      <c r="G735" s="708"/>
      <c r="H735" s="726">
        <v>40</v>
      </c>
      <c r="I735" s="726">
        <v>40</v>
      </c>
      <c r="J735" s="726"/>
      <c r="K735" s="726"/>
      <c r="L735" s="726">
        <v>2018.01</v>
      </c>
      <c r="M735" s="726">
        <v>2018.12</v>
      </c>
      <c r="N735" s="726">
        <v>1118.15</v>
      </c>
      <c r="O735" s="726">
        <v>1118.15</v>
      </c>
      <c r="P735" s="726"/>
      <c r="Q735" s="726"/>
      <c r="R735" s="726"/>
      <c r="S735" s="726">
        <v>1118.15</v>
      </c>
      <c r="T735" s="726"/>
      <c r="U735" s="726"/>
      <c r="V735" s="726"/>
      <c r="W735" s="726"/>
      <c r="X735" s="708" t="s">
        <v>506</v>
      </c>
      <c r="Y735" s="763">
        <v>1138</v>
      </c>
      <c r="Z735" s="763">
        <v>5107</v>
      </c>
      <c r="AA735" s="708">
        <v>40</v>
      </c>
      <c r="AB735" s="708"/>
      <c r="AC735" s="708"/>
      <c r="AD735" s="146" t="s">
        <v>397</v>
      </c>
      <c r="AE735" s="146" t="s">
        <v>515</v>
      </c>
      <c r="AF735" s="146" t="s">
        <v>275</v>
      </c>
      <c r="AG735" s="708"/>
    </row>
    <row r="736" ht="24.95" customHeight="1" spans="1:33">
      <c r="A736" s="705"/>
      <c r="B736" s="798" t="s">
        <v>58</v>
      </c>
      <c r="C736" s="146" t="s">
        <v>52</v>
      </c>
      <c r="D736" s="152" t="s">
        <v>509</v>
      </c>
      <c r="E736" s="708">
        <v>44</v>
      </c>
      <c r="F736" s="798" t="str">
        <f t="shared" si="105"/>
        <v>竹园镇</v>
      </c>
      <c r="G736" s="708"/>
      <c r="H736" s="726">
        <v>44</v>
      </c>
      <c r="I736" s="726">
        <v>44</v>
      </c>
      <c r="J736" s="726"/>
      <c r="K736" s="726"/>
      <c r="L736" s="726">
        <v>2018.01</v>
      </c>
      <c r="M736" s="726">
        <v>2018.12</v>
      </c>
      <c r="N736" s="726">
        <v>1301.56</v>
      </c>
      <c r="O736" s="726">
        <v>1301.56</v>
      </c>
      <c r="P736" s="726"/>
      <c r="Q736" s="726"/>
      <c r="R736" s="726"/>
      <c r="S736" s="726">
        <v>1301.56</v>
      </c>
      <c r="T736" s="726"/>
      <c r="U736" s="726"/>
      <c r="V736" s="726"/>
      <c r="W736" s="726"/>
      <c r="X736" s="708" t="s">
        <v>506</v>
      </c>
      <c r="Y736" s="763">
        <v>671.157894736842</v>
      </c>
      <c r="Z736" s="763">
        <v>2606</v>
      </c>
      <c r="AA736" s="708">
        <v>44</v>
      </c>
      <c r="AB736" s="708"/>
      <c r="AC736" s="708"/>
      <c r="AD736" s="146" t="s">
        <v>476</v>
      </c>
      <c r="AE736" s="146" t="s">
        <v>516</v>
      </c>
      <c r="AF736" s="146" t="s">
        <v>275</v>
      </c>
      <c r="AG736" s="708"/>
    </row>
    <row r="737" ht="24.95" customHeight="1" spans="1:33">
      <c r="A737" s="705"/>
      <c r="B737" s="798" t="s">
        <v>61</v>
      </c>
      <c r="C737" s="146" t="s">
        <v>52</v>
      </c>
      <c r="D737" s="152" t="s">
        <v>509</v>
      </c>
      <c r="E737" s="708">
        <v>38</v>
      </c>
      <c r="F737" s="798" t="str">
        <f t="shared" si="105"/>
        <v>富村镇</v>
      </c>
      <c r="G737" s="708"/>
      <c r="H737" s="726">
        <v>38</v>
      </c>
      <c r="I737" s="726">
        <v>38</v>
      </c>
      <c r="J737" s="726"/>
      <c r="K737" s="726"/>
      <c r="L737" s="726">
        <v>2018.01</v>
      </c>
      <c r="M737" s="726">
        <v>2018.12</v>
      </c>
      <c r="N737" s="726">
        <v>826.92</v>
      </c>
      <c r="O737" s="726">
        <v>826.92</v>
      </c>
      <c r="P737" s="726"/>
      <c r="Q737" s="726"/>
      <c r="R737" s="726"/>
      <c r="S737" s="726">
        <v>826.92</v>
      </c>
      <c r="T737" s="726"/>
      <c r="U737" s="726"/>
      <c r="V737" s="726"/>
      <c r="W737" s="726"/>
      <c r="X737" s="708" t="s">
        <v>506</v>
      </c>
      <c r="Y737" s="763">
        <v>1715.42105263158</v>
      </c>
      <c r="Z737" s="763">
        <v>6553</v>
      </c>
      <c r="AA737" s="708">
        <v>38</v>
      </c>
      <c r="AB737" s="708"/>
      <c r="AC737" s="708"/>
      <c r="AD737" s="146" t="s">
        <v>215</v>
      </c>
      <c r="AE737" s="146" t="s">
        <v>517</v>
      </c>
      <c r="AF737" s="146" t="s">
        <v>275</v>
      </c>
      <c r="AG737" s="708"/>
    </row>
    <row r="738" ht="24.95" customHeight="1" spans="1:33">
      <c r="A738" s="705"/>
      <c r="B738" s="798" t="s">
        <v>78</v>
      </c>
      <c r="C738" s="146" t="s">
        <v>52</v>
      </c>
      <c r="D738" s="152" t="s">
        <v>509</v>
      </c>
      <c r="E738" s="708">
        <v>29</v>
      </c>
      <c r="F738" s="798" t="str">
        <f t="shared" si="105"/>
        <v>黄泥河镇</v>
      </c>
      <c r="G738" s="708"/>
      <c r="H738" s="726">
        <v>29</v>
      </c>
      <c r="I738" s="726">
        <v>29</v>
      </c>
      <c r="J738" s="726"/>
      <c r="K738" s="726"/>
      <c r="L738" s="726">
        <v>2018.01</v>
      </c>
      <c r="M738" s="726">
        <v>2018.12</v>
      </c>
      <c r="N738" s="726">
        <v>590.86</v>
      </c>
      <c r="O738" s="726">
        <v>590.86</v>
      </c>
      <c r="P738" s="726"/>
      <c r="Q738" s="726"/>
      <c r="R738" s="726"/>
      <c r="S738" s="726">
        <v>590.86</v>
      </c>
      <c r="T738" s="726"/>
      <c r="U738" s="726"/>
      <c r="V738" s="726"/>
      <c r="W738" s="726"/>
      <c r="X738" s="708" t="s">
        <v>506</v>
      </c>
      <c r="Y738" s="763">
        <v>664.473684210526</v>
      </c>
      <c r="Z738" s="763">
        <v>2525</v>
      </c>
      <c r="AA738" s="708">
        <v>29</v>
      </c>
      <c r="AB738" s="708"/>
      <c r="AC738" s="708"/>
      <c r="AD738" s="146" t="s">
        <v>518</v>
      </c>
      <c r="AE738" s="146" t="s">
        <v>519</v>
      </c>
      <c r="AF738" s="146" t="s">
        <v>275</v>
      </c>
      <c r="AG738" s="708"/>
    </row>
    <row r="739" ht="24.95" customHeight="1" spans="1:33">
      <c r="A739" s="705"/>
      <c r="B739" s="798" t="s">
        <v>114</v>
      </c>
      <c r="C739" s="146" t="s">
        <v>52</v>
      </c>
      <c r="D739" s="152" t="s">
        <v>509</v>
      </c>
      <c r="E739" s="708">
        <v>19</v>
      </c>
      <c r="F739" s="798" t="str">
        <f t="shared" si="105"/>
        <v>古敢乡</v>
      </c>
      <c r="G739" s="708"/>
      <c r="H739" s="726">
        <v>19</v>
      </c>
      <c r="I739" s="726">
        <v>19</v>
      </c>
      <c r="J739" s="726"/>
      <c r="K739" s="726"/>
      <c r="L739" s="726">
        <v>2018.01</v>
      </c>
      <c r="M739" s="726">
        <v>2018.12</v>
      </c>
      <c r="N739" s="726">
        <v>959.69</v>
      </c>
      <c r="O739" s="726">
        <v>959.69</v>
      </c>
      <c r="P739" s="726"/>
      <c r="Q739" s="726"/>
      <c r="R739" s="726"/>
      <c r="S739" s="726">
        <v>959.69</v>
      </c>
      <c r="T739" s="726"/>
      <c r="U739" s="726"/>
      <c r="V739" s="726"/>
      <c r="W739" s="726"/>
      <c r="X739" s="708" t="s">
        <v>506</v>
      </c>
      <c r="Y739" s="763">
        <v>228.684210526316</v>
      </c>
      <c r="Z739" s="763">
        <v>867</v>
      </c>
      <c r="AA739" s="708">
        <v>19</v>
      </c>
      <c r="AB739" s="708"/>
      <c r="AC739" s="708"/>
      <c r="AD739" s="146" t="s">
        <v>520</v>
      </c>
      <c r="AE739" s="146" t="s">
        <v>521</v>
      </c>
      <c r="AF739" s="146" t="s">
        <v>275</v>
      </c>
      <c r="AG739" s="708"/>
    </row>
    <row r="740" ht="24.95" customHeight="1" spans="1:33">
      <c r="A740" s="705"/>
      <c r="B740" s="798" t="s">
        <v>64</v>
      </c>
      <c r="C740" s="146" t="s">
        <v>52</v>
      </c>
      <c r="D740" s="152" t="s">
        <v>509</v>
      </c>
      <c r="E740" s="708">
        <v>26</v>
      </c>
      <c r="F740" s="798" t="str">
        <f t="shared" si="105"/>
        <v>十八连山镇</v>
      </c>
      <c r="G740" s="708"/>
      <c r="H740" s="726">
        <v>26</v>
      </c>
      <c r="I740" s="726">
        <v>26</v>
      </c>
      <c r="J740" s="726"/>
      <c r="K740" s="726"/>
      <c r="L740" s="726">
        <v>2018.01</v>
      </c>
      <c r="M740" s="726">
        <v>2018.12</v>
      </c>
      <c r="N740" s="726">
        <v>873.91</v>
      </c>
      <c r="O740" s="726">
        <v>873.91</v>
      </c>
      <c r="P740" s="726"/>
      <c r="Q740" s="726"/>
      <c r="R740" s="726"/>
      <c r="S740" s="726">
        <v>873.91</v>
      </c>
      <c r="T740" s="726"/>
      <c r="U740" s="726"/>
      <c r="V740" s="726"/>
      <c r="W740" s="726"/>
      <c r="X740" s="708" t="s">
        <v>506</v>
      </c>
      <c r="Y740" s="763">
        <v>708.526315789474</v>
      </c>
      <c r="Z740" s="763">
        <v>2847</v>
      </c>
      <c r="AA740" s="708">
        <v>26</v>
      </c>
      <c r="AB740" s="708"/>
      <c r="AC740" s="708"/>
      <c r="AD740" s="146" t="s">
        <v>115</v>
      </c>
      <c r="AE740" s="146" t="s">
        <v>522</v>
      </c>
      <c r="AF740" s="146" t="s">
        <v>275</v>
      </c>
      <c r="AG740" s="708"/>
    </row>
    <row r="741" ht="24.95" customHeight="1" spans="1:33">
      <c r="A741" s="705"/>
      <c r="B741" s="798" t="s">
        <v>92</v>
      </c>
      <c r="C741" s="146" t="s">
        <v>52</v>
      </c>
      <c r="D741" s="152" t="s">
        <v>509</v>
      </c>
      <c r="E741" s="708">
        <v>16</v>
      </c>
      <c r="F741" s="798" t="str">
        <f t="shared" si="105"/>
        <v>老厂镇</v>
      </c>
      <c r="G741" s="708"/>
      <c r="H741" s="726">
        <v>16</v>
      </c>
      <c r="I741" s="726">
        <v>16</v>
      </c>
      <c r="J741" s="726"/>
      <c r="K741" s="726"/>
      <c r="L741" s="726">
        <v>2018.01</v>
      </c>
      <c r="M741" s="726">
        <v>2018.12</v>
      </c>
      <c r="N741" s="726">
        <v>698.81</v>
      </c>
      <c r="O741" s="726">
        <v>698.81</v>
      </c>
      <c r="P741" s="726"/>
      <c r="Q741" s="726"/>
      <c r="R741" s="726"/>
      <c r="S741" s="726">
        <v>698.81</v>
      </c>
      <c r="T741" s="726"/>
      <c r="U741" s="726"/>
      <c r="V741" s="726"/>
      <c r="W741" s="726"/>
      <c r="X741" s="708" t="s">
        <v>506</v>
      </c>
      <c r="Y741" s="763">
        <v>669.631578947368</v>
      </c>
      <c r="Z741" s="763">
        <v>2607</v>
      </c>
      <c r="AA741" s="708">
        <v>16</v>
      </c>
      <c r="AB741" s="708"/>
      <c r="AC741" s="708"/>
      <c r="AD741" s="146" t="s">
        <v>93</v>
      </c>
      <c r="AE741" s="146" t="s">
        <v>523</v>
      </c>
      <c r="AF741" s="146" t="s">
        <v>275</v>
      </c>
      <c r="AG741" s="708"/>
    </row>
    <row r="742" s="694" customFormat="1" ht="24.95" customHeight="1" spans="1:33">
      <c r="A742" s="705"/>
      <c r="B742" s="799" t="s">
        <v>524</v>
      </c>
      <c r="C742" s="800"/>
      <c r="D742" s="152"/>
      <c r="E742" s="708"/>
      <c r="F742" s="798"/>
      <c r="G742" s="708"/>
      <c r="H742" s="726"/>
      <c r="I742" s="726"/>
      <c r="J742" s="726"/>
      <c r="K742" s="726"/>
      <c r="L742" s="724"/>
      <c r="M742" s="724"/>
      <c r="N742" s="726"/>
      <c r="O742" s="726"/>
      <c r="P742" s="726"/>
      <c r="Q742" s="726"/>
      <c r="R742" s="726"/>
      <c r="S742" s="726"/>
      <c r="T742" s="726"/>
      <c r="U742" s="726"/>
      <c r="V742" s="726"/>
      <c r="W742" s="726"/>
      <c r="X742" s="708" t="s">
        <v>506</v>
      </c>
      <c r="Y742" s="763"/>
      <c r="Z742" s="763"/>
      <c r="AA742" s="708"/>
      <c r="AB742" s="708"/>
      <c r="AC742" s="708"/>
      <c r="AD742" s="146"/>
      <c r="AE742" s="146"/>
      <c r="AF742" s="146"/>
      <c r="AG742" s="708"/>
    </row>
    <row r="743" s="694" customFormat="1" ht="24.95" customHeight="1" spans="1:33">
      <c r="A743" s="705"/>
      <c r="B743" s="132" t="s">
        <v>525</v>
      </c>
      <c r="C743" s="212" t="s">
        <v>162</v>
      </c>
      <c r="D743" s="71" t="s">
        <v>147</v>
      </c>
      <c r="E743" s="708"/>
      <c r="F743" s="801" t="s">
        <v>69</v>
      </c>
      <c r="G743" s="801"/>
      <c r="H743" s="726"/>
      <c r="I743" s="726"/>
      <c r="J743" s="726"/>
      <c r="K743" s="726"/>
      <c r="L743" s="724"/>
      <c r="M743" s="724"/>
      <c r="N743" s="726"/>
      <c r="O743" s="726"/>
      <c r="P743" s="726"/>
      <c r="Q743" s="726"/>
      <c r="R743" s="726"/>
      <c r="S743" s="726"/>
      <c r="T743" s="726"/>
      <c r="U743" s="726"/>
      <c r="V743" s="726"/>
      <c r="W743" s="726"/>
      <c r="X743" s="708" t="s">
        <v>506</v>
      </c>
      <c r="Y743" s="763"/>
      <c r="Z743" s="763"/>
      <c r="AA743" s="708"/>
      <c r="AB743" s="708"/>
      <c r="AC743" s="708"/>
      <c r="AD743" s="146"/>
      <c r="AE743" s="146"/>
      <c r="AF743" s="146"/>
      <c r="AG743" s="708"/>
    </row>
    <row r="744" s="694" customFormat="1" ht="24.95" customHeight="1" spans="1:33">
      <c r="A744" s="705"/>
      <c r="B744" s="132" t="s">
        <v>526</v>
      </c>
      <c r="C744" s="212" t="s">
        <v>162</v>
      </c>
      <c r="D744" s="71" t="s">
        <v>147</v>
      </c>
      <c r="E744" s="708"/>
      <c r="F744" s="801" t="s">
        <v>51</v>
      </c>
      <c r="G744" s="801"/>
      <c r="H744" s="726"/>
      <c r="I744" s="726"/>
      <c r="J744" s="726"/>
      <c r="K744" s="726"/>
      <c r="L744" s="724"/>
      <c r="M744" s="724"/>
      <c r="N744" s="726"/>
      <c r="O744" s="726"/>
      <c r="P744" s="726"/>
      <c r="Q744" s="726"/>
      <c r="R744" s="726"/>
      <c r="S744" s="726"/>
      <c r="T744" s="726"/>
      <c r="U744" s="726"/>
      <c r="V744" s="726"/>
      <c r="W744" s="726"/>
      <c r="X744" s="708" t="s">
        <v>506</v>
      </c>
      <c r="Y744" s="763"/>
      <c r="Z744" s="763"/>
      <c r="AA744" s="708"/>
      <c r="AB744" s="708"/>
      <c r="AC744" s="708"/>
      <c r="AD744" s="146"/>
      <c r="AE744" s="146"/>
      <c r="AF744" s="146"/>
      <c r="AG744" s="708"/>
    </row>
    <row r="745" s="694" customFormat="1" ht="24.95" customHeight="1" spans="1:33">
      <c r="A745" s="705"/>
      <c r="B745" s="132" t="s">
        <v>527</v>
      </c>
      <c r="C745" s="212" t="s">
        <v>162</v>
      </c>
      <c r="D745" s="71" t="s">
        <v>147</v>
      </c>
      <c r="E745" s="708"/>
      <c r="F745" s="801" t="s">
        <v>72</v>
      </c>
      <c r="G745" s="801"/>
      <c r="H745" s="726"/>
      <c r="I745" s="726"/>
      <c r="J745" s="726"/>
      <c r="K745" s="726"/>
      <c r="L745" s="724"/>
      <c r="M745" s="724"/>
      <c r="N745" s="726"/>
      <c r="O745" s="726"/>
      <c r="P745" s="726"/>
      <c r="Q745" s="726"/>
      <c r="R745" s="726"/>
      <c r="S745" s="726"/>
      <c r="T745" s="726"/>
      <c r="U745" s="726"/>
      <c r="V745" s="726"/>
      <c r="W745" s="726"/>
      <c r="X745" s="708" t="s">
        <v>506</v>
      </c>
      <c r="Y745" s="763"/>
      <c r="Z745" s="763"/>
      <c r="AA745" s="708"/>
      <c r="AB745" s="708"/>
      <c r="AC745" s="708"/>
      <c r="AD745" s="146"/>
      <c r="AE745" s="146"/>
      <c r="AF745" s="146"/>
      <c r="AG745" s="708"/>
    </row>
    <row r="746" s="694" customFormat="1" ht="24.95" customHeight="1" spans="1:33">
      <c r="A746" s="705"/>
      <c r="B746" s="132" t="s">
        <v>528</v>
      </c>
      <c r="C746" s="212" t="s">
        <v>162</v>
      </c>
      <c r="D746" s="71" t="s">
        <v>147</v>
      </c>
      <c r="E746" s="708"/>
      <c r="F746" s="801" t="s">
        <v>91</v>
      </c>
      <c r="G746" s="801"/>
      <c r="H746" s="726"/>
      <c r="I746" s="726"/>
      <c r="J746" s="726"/>
      <c r="K746" s="726"/>
      <c r="L746" s="724"/>
      <c r="M746" s="724"/>
      <c r="N746" s="726"/>
      <c r="O746" s="726"/>
      <c r="P746" s="726"/>
      <c r="Q746" s="726"/>
      <c r="R746" s="726"/>
      <c r="S746" s="726"/>
      <c r="T746" s="726"/>
      <c r="U746" s="726"/>
      <c r="V746" s="726"/>
      <c r="W746" s="726"/>
      <c r="X746" s="708" t="s">
        <v>506</v>
      </c>
      <c r="Y746" s="763"/>
      <c r="Z746" s="763"/>
      <c r="AA746" s="708"/>
      <c r="AB746" s="708"/>
      <c r="AC746" s="708"/>
      <c r="AD746" s="146"/>
      <c r="AE746" s="146"/>
      <c r="AF746" s="146"/>
      <c r="AG746" s="708"/>
    </row>
    <row r="747" s="694" customFormat="1" ht="24.95" customHeight="1" spans="1:33">
      <c r="A747" s="705"/>
      <c r="B747" s="132" t="s">
        <v>529</v>
      </c>
      <c r="C747" s="212" t="s">
        <v>162</v>
      </c>
      <c r="D747" s="71" t="s">
        <v>147</v>
      </c>
      <c r="E747" s="708"/>
      <c r="F747" s="801" t="s">
        <v>55</v>
      </c>
      <c r="G747" s="801"/>
      <c r="H747" s="726"/>
      <c r="I747" s="726"/>
      <c r="J747" s="726"/>
      <c r="K747" s="726"/>
      <c r="L747" s="724"/>
      <c r="M747" s="724"/>
      <c r="N747" s="726"/>
      <c r="O747" s="726"/>
      <c r="P747" s="726"/>
      <c r="Q747" s="726"/>
      <c r="R747" s="726"/>
      <c r="S747" s="726"/>
      <c r="T747" s="726"/>
      <c r="U747" s="726"/>
      <c r="V747" s="726"/>
      <c r="W747" s="726"/>
      <c r="X747" s="708" t="s">
        <v>506</v>
      </c>
      <c r="Y747" s="763"/>
      <c r="Z747" s="763"/>
      <c r="AA747" s="708"/>
      <c r="AB747" s="708"/>
      <c r="AC747" s="708"/>
      <c r="AD747" s="146"/>
      <c r="AE747" s="146"/>
      <c r="AF747" s="146"/>
      <c r="AG747" s="708"/>
    </row>
    <row r="748" s="694" customFormat="1" ht="24.95" customHeight="1" spans="1:33">
      <c r="A748" s="705"/>
      <c r="B748" s="132" t="s">
        <v>530</v>
      </c>
      <c r="C748" s="212" t="s">
        <v>162</v>
      </c>
      <c r="D748" s="71" t="s">
        <v>147</v>
      </c>
      <c r="E748" s="708"/>
      <c r="F748" s="801" t="s">
        <v>75</v>
      </c>
      <c r="G748" s="801"/>
      <c r="H748" s="726"/>
      <c r="I748" s="726"/>
      <c r="J748" s="726"/>
      <c r="K748" s="726"/>
      <c r="L748" s="724"/>
      <c r="M748" s="724"/>
      <c r="N748" s="726"/>
      <c r="O748" s="726"/>
      <c r="P748" s="726"/>
      <c r="Q748" s="726"/>
      <c r="R748" s="726"/>
      <c r="S748" s="726"/>
      <c r="T748" s="726"/>
      <c r="U748" s="726"/>
      <c r="V748" s="726"/>
      <c r="W748" s="726"/>
      <c r="X748" s="708" t="s">
        <v>506</v>
      </c>
      <c r="Y748" s="763"/>
      <c r="Z748" s="763"/>
      <c r="AA748" s="708"/>
      <c r="AB748" s="708"/>
      <c r="AC748" s="708"/>
      <c r="AD748" s="146"/>
      <c r="AE748" s="146"/>
      <c r="AF748" s="146"/>
      <c r="AG748" s="708"/>
    </row>
    <row r="749" s="694" customFormat="1" ht="24.95" customHeight="1" spans="1:33">
      <c r="A749" s="705"/>
      <c r="B749" s="132" t="s">
        <v>531</v>
      </c>
      <c r="C749" s="212" t="s">
        <v>162</v>
      </c>
      <c r="D749" s="71" t="s">
        <v>147</v>
      </c>
      <c r="E749" s="708"/>
      <c r="F749" s="801" t="s">
        <v>58</v>
      </c>
      <c r="G749" s="801"/>
      <c r="H749" s="726"/>
      <c r="I749" s="726"/>
      <c r="J749" s="726"/>
      <c r="K749" s="726"/>
      <c r="L749" s="724"/>
      <c r="M749" s="724"/>
      <c r="N749" s="726"/>
      <c r="O749" s="726"/>
      <c r="P749" s="726"/>
      <c r="Q749" s="726"/>
      <c r="R749" s="726"/>
      <c r="S749" s="726"/>
      <c r="T749" s="726"/>
      <c r="U749" s="726"/>
      <c r="V749" s="726"/>
      <c r="W749" s="726"/>
      <c r="X749" s="708" t="s">
        <v>506</v>
      </c>
      <c r="Y749" s="763"/>
      <c r="Z749" s="763"/>
      <c r="AA749" s="708"/>
      <c r="AB749" s="708"/>
      <c r="AC749" s="708"/>
      <c r="AD749" s="146"/>
      <c r="AE749" s="146"/>
      <c r="AF749" s="146"/>
      <c r="AG749" s="708"/>
    </row>
    <row r="750" s="694" customFormat="1" ht="24.95" customHeight="1" spans="1:33">
      <c r="A750" s="705"/>
      <c r="B750" s="132" t="s">
        <v>532</v>
      </c>
      <c r="C750" s="212" t="s">
        <v>162</v>
      </c>
      <c r="D750" s="71" t="s">
        <v>147</v>
      </c>
      <c r="E750" s="708"/>
      <c r="F750" s="801" t="s">
        <v>61</v>
      </c>
      <c r="G750" s="801"/>
      <c r="H750" s="726"/>
      <c r="I750" s="726"/>
      <c r="J750" s="726"/>
      <c r="K750" s="726"/>
      <c r="L750" s="724"/>
      <c r="M750" s="724"/>
      <c r="N750" s="726"/>
      <c r="O750" s="726"/>
      <c r="P750" s="726"/>
      <c r="Q750" s="726"/>
      <c r="R750" s="726"/>
      <c r="S750" s="726"/>
      <c r="T750" s="726"/>
      <c r="U750" s="726"/>
      <c r="V750" s="726"/>
      <c r="W750" s="726"/>
      <c r="X750" s="708" t="s">
        <v>506</v>
      </c>
      <c r="Y750" s="763"/>
      <c r="Z750" s="763"/>
      <c r="AA750" s="708"/>
      <c r="AB750" s="708"/>
      <c r="AC750" s="708"/>
      <c r="AD750" s="146"/>
      <c r="AE750" s="146"/>
      <c r="AF750" s="146"/>
      <c r="AG750" s="708"/>
    </row>
    <row r="751" s="694" customFormat="1" ht="24.95" customHeight="1" spans="1:33">
      <c r="A751" s="705"/>
      <c r="B751" s="132" t="s">
        <v>533</v>
      </c>
      <c r="C751" s="212" t="s">
        <v>162</v>
      </c>
      <c r="D751" s="71" t="s">
        <v>147</v>
      </c>
      <c r="E751" s="708"/>
      <c r="F751" s="801" t="s">
        <v>78</v>
      </c>
      <c r="G751" s="801"/>
      <c r="H751" s="726"/>
      <c r="I751" s="726"/>
      <c r="J751" s="726"/>
      <c r="K751" s="726"/>
      <c r="L751" s="724"/>
      <c r="M751" s="724"/>
      <c r="N751" s="726"/>
      <c r="O751" s="726"/>
      <c r="P751" s="726"/>
      <c r="Q751" s="726"/>
      <c r="R751" s="726"/>
      <c r="S751" s="726"/>
      <c r="T751" s="726"/>
      <c r="U751" s="726"/>
      <c r="V751" s="726"/>
      <c r="W751" s="726"/>
      <c r="X751" s="708" t="s">
        <v>506</v>
      </c>
      <c r="Y751" s="763"/>
      <c r="Z751" s="763"/>
      <c r="AA751" s="708"/>
      <c r="AB751" s="708"/>
      <c r="AC751" s="708"/>
      <c r="AD751" s="146"/>
      <c r="AE751" s="146"/>
      <c r="AF751" s="146"/>
      <c r="AG751" s="708"/>
    </row>
    <row r="752" s="694" customFormat="1" ht="24.95" customHeight="1" spans="1:33">
      <c r="A752" s="705"/>
      <c r="B752" s="132" t="s">
        <v>534</v>
      </c>
      <c r="C752" s="212" t="s">
        <v>162</v>
      </c>
      <c r="D752" s="71" t="s">
        <v>147</v>
      </c>
      <c r="E752" s="708"/>
      <c r="F752" s="801" t="s">
        <v>114</v>
      </c>
      <c r="G752" s="801"/>
      <c r="H752" s="726"/>
      <c r="I752" s="726"/>
      <c r="J752" s="726"/>
      <c r="K752" s="726"/>
      <c r="L752" s="724"/>
      <c r="M752" s="724"/>
      <c r="N752" s="726"/>
      <c r="O752" s="726"/>
      <c r="P752" s="726"/>
      <c r="Q752" s="726"/>
      <c r="R752" s="726"/>
      <c r="S752" s="726"/>
      <c r="T752" s="726"/>
      <c r="U752" s="726"/>
      <c r="V752" s="726"/>
      <c r="W752" s="726"/>
      <c r="X752" s="708" t="s">
        <v>506</v>
      </c>
      <c r="Y752" s="763"/>
      <c r="Z752" s="763"/>
      <c r="AA752" s="708"/>
      <c r="AB752" s="708"/>
      <c r="AC752" s="708"/>
      <c r="AD752" s="146"/>
      <c r="AE752" s="146"/>
      <c r="AF752" s="146"/>
      <c r="AG752" s="708"/>
    </row>
    <row r="753" s="694" customFormat="1" ht="24.95" customHeight="1" spans="1:33">
      <c r="A753" s="705"/>
      <c r="B753" s="132" t="s">
        <v>535</v>
      </c>
      <c r="C753" s="212" t="s">
        <v>162</v>
      </c>
      <c r="D753" s="71" t="s">
        <v>147</v>
      </c>
      <c r="E753" s="708"/>
      <c r="F753" s="801" t="s">
        <v>64</v>
      </c>
      <c r="G753" s="801"/>
      <c r="H753" s="726"/>
      <c r="I753" s="726"/>
      <c r="J753" s="726"/>
      <c r="K753" s="726"/>
      <c r="L753" s="724"/>
      <c r="M753" s="724"/>
      <c r="N753" s="726"/>
      <c r="O753" s="726"/>
      <c r="P753" s="726"/>
      <c r="Q753" s="726"/>
      <c r="R753" s="726"/>
      <c r="S753" s="726"/>
      <c r="T753" s="726"/>
      <c r="U753" s="726"/>
      <c r="V753" s="726"/>
      <c r="W753" s="726"/>
      <c r="X753" s="708" t="s">
        <v>506</v>
      </c>
      <c r="Y753" s="763"/>
      <c r="Z753" s="763"/>
      <c r="AA753" s="708"/>
      <c r="AB753" s="708"/>
      <c r="AC753" s="708"/>
      <c r="AD753" s="146"/>
      <c r="AE753" s="146"/>
      <c r="AF753" s="146"/>
      <c r="AG753" s="708"/>
    </row>
    <row r="754" s="694" customFormat="1" ht="24.95" customHeight="1" spans="1:33">
      <c r="A754" s="705"/>
      <c r="B754" s="132" t="s">
        <v>536</v>
      </c>
      <c r="C754" s="212" t="s">
        <v>162</v>
      </c>
      <c r="D754" s="71" t="s">
        <v>147</v>
      </c>
      <c r="E754" s="708"/>
      <c r="F754" s="801" t="s">
        <v>92</v>
      </c>
      <c r="G754" s="801"/>
      <c r="H754" s="726"/>
      <c r="I754" s="726"/>
      <c r="J754" s="726"/>
      <c r="K754" s="726"/>
      <c r="L754" s="724"/>
      <c r="M754" s="724"/>
      <c r="N754" s="726"/>
      <c r="O754" s="726"/>
      <c r="P754" s="726"/>
      <c r="Q754" s="726"/>
      <c r="R754" s="726"/>
      <c r="S754" s="726"/>
      <c r="T754" s="726"/>
      <c r="U754" s="726"/>
      <c r="V754" s="726"/>
      <c r="W754" s="726"/>
      <c r="X754" s="708" t="s">
        <v>506</v>
      </c>
      <c r="Y754" s="763"/>
      <c r="Z754" s="763"/>
      <c r="AA754" s="708"/>
      <c r="AB754" s="708"/>
      <c r="AC754" s="708"/>
      <c r="AD754" s="146"/>
      <c r="AE754" s="146"/>
      <c r="AF754" s="146"/>
      <c r="AG754" s="708"/>
    </row>
    <row r="755" ht="24.95" customHeight="1" spans="1:33">
      <c r="A755" s="705">
        <v>99</v>
      </c>
      <c r="B755" s="791" t="s">
        <v>537</v>
      </c>
      <c r="C755" s="708"/>
      <c r="D755" s="709" t="s">
        <v>150</v>
      </c>
      <c r="E755" s="708">
        <f>E756+E768</f>
        <v>63</v>
      </c>
      <c r="F755" s="708"/>
      <c r="G755" s="708"/>
      <c r="H755" s="726">
        <f t="shared" ref="F755:AA755" si="106">H756+H768</f>
        <v>63</v>
      </c>
      <c r="I755" s="726">
        <f t="shared" si="106"/>
        <v>63</v>
      </c>
      <c r="J755" s="726">
        <f t="shared" si="106"/>
        <v>0</v>
      </c>
      <c r="K755" s="726">
        <f t="shared" si="106"/>
        <v>0</v>
      </c>
      <c r="L755" s="726"/>
      <c r="M755" s="726"/>
      <c r="N755" s="726">
        <f t="shared" si="106"/>
        <v>4134.7</v>
      </c>
      <c r="O755" s="726">
        <f t="shared" si="106"/>
        <v>4134.7</v>
      </c>
      <c r="P755" s="726">
        <f t="shared" si="106"/>
        <v>0</v>
      </c>
      <c r="Q755" s="726">
        <f t="shared" si="106"/>
        <v>0</v>
      </c>
      <c r="R755" s="726">
        <f t="shared" si="106"/>
        <v>4134.7</v>
      </c>
      <c r="S755" s="726">
        <f t="shared" si="106"/>
        <v>0</v>
      </c>
      <c r="T755" s="726">
        <f t="shared" si="106"/>
        <v>0</v>
      </c>
      <c r="U755" s="726">
        <f t="shared" si="106"/>
        <v>0</v>
      </c>
      <c r="V755" s="726">
        <f t="shared" si="106"/>
        <v>0</v>
      </c>
      <c r="W755" s="708"/>
      <c r="X755" s="708"/>
      <c r="Y755" s="708">
        <f t="shared" si="106"/>
        <v>25965</v>
      </c>
      <c r="Z755" s="708">
        <f t="shared" si="106"/>
        <v>107432</v>
      </c>
      <c r="AA755" s="708">
        <f t="shared" si="106"/>
        <v>63</v>
      </c>
      <c r="AB755" s="708"/>
      <c r="AC755" s="708"/>
      <c r="AD755" s="708"/>
      <c r="AE755" s="708"/>
      <c r="AF755" s="708" t="s">
        <v>358</v>
      </c>
      <c r="AG755" s="708" t="s">
        <v>41</v>
      </c>
    </row>
    <row r="756" ht="24.95" customHeight="1" spans="1:33">
      <c r="A756" s="705"/>
      <c r="B756" s="750" t="s">
        <v>538</v>
      </c>
      <c r="C756" s="146" t="s">
        <v>539</v>
      </c>
      <c r="D756" s="76" t="s">
        <v>150</v>
      </c>
      <c r="E756" s="92">
        <f>SUM(E757:E767)</f>
        <v>55</v>
      </c>
      <c r="F756" s="92"/>
      <c r="G756" s="92"/>
      <c r="H756" s="724">
        <f t="shared" ref="F756:AA756" si="107">SUM(H757:H767)</f>
        <v>55</v>
      </c>
      <c r="I756" s="724">
        <f t="shared" si="107"/>
        <v>55</v>
      </c>
      <c r="J756" s="724">
        <f t="shared" si="107"/>
        <v>0</v>
      </c>
      <c r="K756" s="724">
        <f t="shared" si="107"/>
        <v>0</v>
      </c>
      <c r="L756" s="724"/>
      <c r="M756" s="724"/>
      <c r="N756" s="724">
        <f t="shared" si="107"/>
        <v>1412.2</v>
      </c>
      <c r="O756" s="724">
        <f t="shared" si="107"/>
        <v>1412.2</v>
      </c>
      <c r="P756" s="724">
        <f t="shared" si="107"/>
        <v>0</v>
      </c>
      <c r="Q756" s="724">
        <f t="shared" si="107"/>
        <v>0</v>
      </c>
      <c r="R756" s="724">
        <f t="shared" si="107"/>
        <v>1412.2</v>
      </c>
      <c r="S756" s="724">
        <f t="shared" si="107"/>
        <v>0</v>
      </c>
      <c r="T756" s="724">
        <f t="shared" si="107"/>
        <v>0</v>
      </c>
      <c r="U756" s="724">
        <f t="shared" si="107"/>
        <v>0</v>
      </c>
      <c r="V756" s="724">
        <f t="shared" si="107"/>
        <v>0</v>
      </c>
      <c r="W756" s="92"/>
      <c r="X756" s="92" t="s">
        <v>326</v>
      </c>
      <c r="Y756" s="92">
        <f t="shared" si="107"/>
        <v>8689</v>
      </c>
      <c r="Z756" s="92">
        <f t="shared" si="107"/>
        <v>37616</v>
      </c>
      <c r="AA756" s="92">
        <f t="shared" si="107"/>
        <v>55</v>
      </c>
      <c r="AB756" s="92"/>
      <c r="AC756" s="92"/>
      <c r="AD756" s="146" t="s">
        <v>356</v>
      </c>
      <c r="AE756" s="146" t="s">
        <v>540</v>
      </c>
      <c r="AF756" s="146" t="s">
        <v>358</v>
      </c>
      <c r="AG756" s="92"/>
    </row>
    <row r="757" ht="24.95" customHeight="1" spans="1:33">
      <c r="A757" s="705"/>
      <c r="B757" s="714" t="s">
        <v>151</v>
      </c>
      <c r="C757" s="146" t="s">
        <v>539</v>
      </c>
      <c r="D757" s="76" t="s">
        <v>150</v>
      </c>
      <c r="E757" s="92">
        <v>3</v>
      </c>
      <c r="F757" s="714" t="str">
        <f t="shared" ref="F757:F767" si="108">B757</f>
        <v>胜境</v>
      </c>
      <c r="G757" s="92"/>
      <c r="H757" s="724">
        <v>3</v>
      </c>
      <c r="I757" s="724">
        <v>3</v>
      </c>
      <c r="J757" s="724"/>
      <c r="K757" s="724"/>
      <c r="L757" s="726">
        <v>2018.01</v>
      </c>
      <c r="M757" s="726">
        <v>2018.12</v>
      </c>
      <c r="N757" s="724">
        <v>120</v>
      </c>
      <c r="O757" s="724">
        <v>120</v>
      </c>
      <c r="P757" s="724"/>
      <c r="Q757" s="724"/>
      <c r="R757" s="724">
        <v>120</v>
      </c>
      <c r="S757" s="724"/>
      <c r="T757" s="724"/>
      <c r="U757" s="724"/>
      <c r="V757" s="724"/>
      <c r="W757" s="724"/>
      <c r="X757" s="92" t="s">
        <v>326</v>
      </c>
      <c r="Y757" s="738">
        <v>829</v>
      </c>
      <c r="Z757" s="738">
        <v>3543</v>
      </c>
      <c r="AA757" s="92">
        <v>3</v>
      </c>
      <c r="AB757" s="92"/>
      <c r="AC757" s="92"/>
      <c r="AD757" s="146" t="s">
        <v>373</v>
      </c>
      <c r="AE757" s="146" t="s">
        <v>374</v>
      </c>
      <c r="AF757" s="146" t="s">
        <v>358</v>
      </c>
      <c r="AG757" s="92"/>
    </row>
    <row r="758" ht="24.95" customHeight="1" spans="1:33">
      <c r="A758" s="705"/>
      <c r="B758" s="714" t="s">
        <v>154</v>
      </c>
      <c r="C758" s="146" t="s">
        <v>539</v>
      </c>
      <c r="D758" s="76" t="s">
        <v>150</v>
      </c>
      <c r="E758" s="92">
        <v>8</v>
      </c>
      <c r="F758" s="714" t="str">
        <f t="shared" si="108"/>
        <v>后所</v>
      </c>
      <c r="G758" s="92"/>
      <c r="H758" s="724">
        <v>8</v>
      </c>
      <c r="I758" s="724">
        <v>8</v>
      </c>
      <c r="J758" s="724"/>
      <c r="K758" s="724"/>
      <c r="L758" s="726">
        <v>2018.01</v>
      </c>
      <c r="M758" s="726">
        <v>2018.12</v>
      </c>
      <c r="N758" s="724">
        <v>184</v>
      </c>
      <c r="O758" s="724">
        <v>184</v>
      </c>
      <c r="P758" s="724"/>
      <c r="Q758" s="724"/>
      <c r="R758" s="724">
        <v>184</v>
      </c>
      <c r="S758" s="724"/>
      <c r="T758" s="724"/>
      <c r="U758" s="724"/>
      <c r="V758" s="724"/>
      <c r="W758" s="724"/>
      <c r="X758" s="92" t="s">
        <v>326</v>
      </c>
      <c r="Y758" s="738">
        <v>1408</v>
      </c>
      <c r="Z758" s="738">
        <v>5796</v>
      </c>
      <c r="AA758" s="92">
        <v>8</v>
      </c>
      <c r="AB758" s="92"/>
      <c r="AC758" s="92"/>
      <c r="AD758" s="146" t="s">
        <v>360</v>
      </c>
      <c r="AE758" s="146" t="s">
        <v>361</v>
      </c>
      <c r="AF758" s="146" t="s">
        <v>358</v>
      </c>
      <c r="AG758" s="92"/>
    </row>
    <row r="759" ht="24.95" customHeight="1" spans="1:33">
      <c r="A759" s="705"/>
      <c r="B759" s="714" t="s">
        <v>81</v>
      </c>
      <c r="C759" s="146" t="s">
        <v>539</v>
      </c>
      <c r="D759" s="76" t="s">
        <v>150</v>
      </c>
      <c r="E759" s="92">
        <v>4</v>
      </c>
      <c r="F759" s="714" t="str">
        <f t="shared" si="108"/>
        <v>墨红</v>
      </c>
      <c r="G759" s="92"/>
      <c r="H759" s="724">
        <v>4</v>
      </c>
      <c r="I759" s="724">
        <v>4</v>
      </c>
      <c r="J759" s="724"/>
      <c r="K759" s="724"/>
      <c r="L759" s="726">
        <v>2018.01</v>
      </c>
      <c r="M759" s="726">
        <v>2018.12</v>
      </c>
      <c r="N759" s="724">
        <v>60</v>
      </c>
      <c r="O759" s="724">
        <v>60</v>
      </c>
      <c r="P759" s="724"/>
      <c r="Q759" s="724"/>
      <c r="R759" s="724">
        <v>60</v>
      </c>
      <c r="S759" s="724"/>
      <c r="T759" s="724"/>
      <c r="U759" s="724"/>
      <c r="V759" s="724"/>
      <c r="W759" s="724"/>
      <c r="X759" s="92" t="s">
        <v>326</v>
      </c>
      <c r="Y759" s="738">
        <v>542</v>
      </c>
      <c r="Z759" s="738">
        <v>2111</v>
      </c>
      <c r="AA759" s="92">
        <v>4</v>
      </c>
      <c r="AB759" s="92"/>
      <c r="AC759" s="92"/>
      <c r="AD759" s="146" t="s">
        <v>375</v>
      </c>
      <c r="AE759" s="146" t="s">
        <v>376</v>
      </c>
      <c r="AF759" s="146" t="s">
        <v>358</v>
      </c>
      <c r="AG759" s="92"/>
    </row>
    <row r="760" ht="24.95" customHeight="1" spans="1:33">
      <c r="A760" s="705"/>
      <c r="B760" s="714" t="s">
        <v>98</v>
      </c>
      <c r="C760" s="146" t="s">
        <v>539</v>
      </c>
      <c r="D760" s="76" t="s">
        <v>150</v>
      </c>
      <c r="E760" s="92">
        <v>5</v>
      </c>
      <c r="F760" s="714" t="str">
        <f t="shared" si="108"/>
        <v>大河</v>
      </c>
      <c r="G760" s="92"/>
      <c r="H760" s="724">
        <v>5</v>
      </c>
      <c r="I760" s="724">
        <v>5</v>
      </c>
      <c r="J760" s="724"/>
      <c r="K760" s="724"/>
      <c r="L760" s="726">
        <v>2018.01</v>
      </c>
      <c r="M760" s="726">
        <v>2018.12</v>
      </c>
      <c r="N760" s="724">
        <v>112</v>
      </c>
      <c r="O760" s="724">
        <v>112</v>
      </c>
      <c r="P760" s="724"/>
      <c r="Q760" s="724"/>
      <c r="R760" s="724">
        <v>112</v>
      </c>
      <c r="S760" s="724"/>
      <c r="T760" s="724"/>
      <c r="U760" s="724"/>
      <c r="V760" s="724"/>
      <c r="W760" s="724"/>
      <c r="X760" s="92" t="s">
        <v>326</v>
      </c>
      <c r="Y760" s="738">
        <v>971</v>
      </c>
      <c r="Z760" s="738">
        <v>3928</v>
      </c>
      <c r="AA760" s="92">
        <v>5</v>
      </c>
      <c r="AB760" s="92"/>
      <c r="AC760" s="92"/>
      <c r="AD760" s="146" t="s">
        <v>305</v>
      </c>
      <c r="AE760" s="146" t="s">
        <v>362</v>
      </c>
      <c r="AF760" s="146" t="s">
        <v>358</v>
      </c>
      <c r="AG760" s="92"/>
    </row>
    <row r="761" ht="24.95" customHeight="1" spans="1:33">
      <c r="A761" s="705"/>
      <c r="B761" s="714" t="s">
        <v>211</v>
      </c>
      <c r="C761" s="146" t="s">
        <v>539</v>
      </c>
      <c r="D761" s="76" t="s">
        <v>150</v>
      </c>
      <c r="E761" s="92">
        <v>3</v>
      </c>
      <c r="F761" s="714" t="str">
        <f t="shared" si="108"/>
        <v>营上</v>
      </c>
      <c r="G761" s="92"/>
      <c r="H761" s="724">
        <v>3</v>
      </c>
      <c r="I761" s="724">
        <v>3</v>
      </c>
      <c r="J761" s="724"/>
      <c r="K761" s="724"/>
      <c r="L761" s="726">
        <v>2018.01</v>
      </c>
      <c r="M761" s="726">
        <v>2018.12</v>
      </c>
      <c r="N761" s="724">
        <v>100</v>
      </c>
      <c r="O761" s="724">
        <v>100</v>
      </c>
      <c r="P761" s="724"/>
      <c r="Q761" s="724"/>
      <c r="R761" s="724">
        <v>100</v>
      </c>
      <c r="S761" s="724"/>
      <c r="T761" s="724"/>
      <c r="U761" s="724"/>
      <c r="V761" s="724"/>
      <c r="W761" s="724"/>
      <c r="X761" s="92" t="s">
        <v>326</v>
      </c>
      <c r="Y761" s="738">
        <v>392</v>
      </c>
      <c r="Z761" s="738">
        <v>1755</v>
      </c>
      <c r="AA761" s="92">
        <v>3</v>
      </c>
      <c r="AB761" s="92"/>
      <c r="AC761" s="92"/>
      <c r="AD761" s="146" t="s">
        <v>176</v>
      </c>
      <c r="AE761" s="146" t="s">
        <v>377</v>
      </c>
      <c r="AF761" s="146" t="s">
        <v>358</v>
      </c>
      <c r="AG761" s="92"/>
    </row>
    <row r="762" ht="24.95" customHeight="1" spans="1:33">
      <c r="A762" s="705"/>
      <c r="B762" s="714" t="s">
        <v>155</v>
      </c>
      <c r="C762" s="146" t="s">
        <v>539</v>
      </c>
      <c r="D762" s="76" t="s">
        <v>150</v>
      </c>
      <c r="E762" s="92">
        <v>8</v>
      </c>
      <c r="F762" s="714" t="str">
        <f t="shared" si="108"/>
        <v>竹园</v>
      </c>
      <c r="G762" s="92"/>
      <c r="H762" s="724">
        <v>8</v>
      </c>
      <c r="I762" s="724">
        <v>8</v>
      </c>
      <c r="J762" s="724"/>
      <c r="K762" s="724"/>
      <c r="L762" s="726">
        <v>2018.01</v>
      </c>
      <c r="M762" s="726">
        <v>2018.12</v>
      </c>
      <c r="N762" s="724">
        <v>192</v>
      </c>
      <c r="O762" s="724">
        <v>192</v>
      </c>
      <c r="P762" s="724"/>
      <c r="Q762" s="724"/>
      <c r="R762" s="724">
        <v>192</v>
      </c>
      <c r="S762" s="724"/>
      <c r="T762" s="724"/>
      <c r="U762" s="724"/>
      <c r="V762" s="724"/>
      <c r="W762" s="724"/>
      <c r="X762" s="92" t="s">
        <v>326</v>
      </c>
      <c r="Y762" s="738">
        <v>591</v>
      </c>
      <c r="Z762" s="738">
        <v>2494</v>
      </c>
      <c r="AA762" s="92">
        <v>8</v>
      </c>
      <c r="AB762" s="92"/>
      <c r="AC762" s="92"/>
      <c r="AD762" s="146" t="s">
        <v>309</v>
      </c>
      <c r="AE762" s="146" t="s">
        <v>364</v>
      </c>
      <c r="AF762" s="146" t="s">
        <v>358</v>
      </c>
      <c r="AG762" s="92"/>
    </row>
    <row r="763" ht="24.95" customHeight="1" spans="1:33">
      <c r="A763" s="705"/>
      <c r="B763" s="714" t="s">
        <v>102</v>
      </c>
      <c r="C763" s="146" t="s">
        <v>539</v>
      </c>
      <c r="D763" s="76" t="s">
        <v>150</v>
      </c>
      <c r="E763" s="92">
        <v>11</v>
      </c>
      <c r="F763" s="714" t="str">
        <f t="shared" si="108"/>
        <v>富村</v>
      </c>
      <c r="G763" s="92"/>
      <c r="H763" s="724">
        <v>11</v>
      </c>
      <c r="I763" s="724">
        <v>11</v>
      </c>
      <c r="J763" s="724"/>
      <c r="K763" s="724"/>
      <c r="L763" s="726">
        <v>2018.01</v>
      </c>
      <c r="M763" s="726">
        <v>2018.12</v>
      </c>
      <c r="N763" s="724">
        <v>325</v>
      </c>
      <c r="O763" s="724">
        <v>325</v>
      </c>
      <c r="P763" s="724"/>
      <c r="Q763" s="724"/>
      <c r="R763" s="724">
        <v>325</v>
      </c>
      <c r="S763" s="724"/>
      <c r="T763" s="724"/>
      <c r="U763" s="724"/>
      <c r="V763" s="724"/>
      <c r="W763" s="724"/>
      <c r="X763" s="92" t="s">
        <v>326</v>
      </c>
      <c r="Y763" s="738">
        <v>2331</v>
      </c>
      <c r="Z763" s="738">
        <v>10635</v>
      </c>
      <c r="AA763" s="92">
        <v>11</v>
      </c>
      <c r="AB763" s="92"/>
      <c r="AC763" s="92"/>
      <c r="AD763" s="146" t="s">
        <v>180</v>
      </c>
      <c r="AE763" s="146" t="s">
        <v>365</v>
      </c>
      <c r="AF763" s="146" t="s">
        <v>358</v>
      </c>
      <c r="AG763" s="92"/>
    </row>
    <row r="764" ht="24.95" customHeight="1" spans="1:33">
      <c r="A764" s="705"/>
      <c r="B764" s="714" t="s">
        <v>100</v>
      </c>
      <c r="C764" s="146" t="s">
        <v>539</v>
      </c>
      <c r="D764" s="76" t="s">
        <v>150</v>
      </c>
      <c r="E764" s="92">
        <v>4</v>
      </c>
      <c r="F764" s="714" t="str">
        <f t="shared" si="108"/>
        <v>黄泥河</v>
      </c>
      <c r="G764" s="92"/>
      <c r="H764" s="724">
        <v>4</v>
      </c>
      <c r="I764" s="724">
        <v>4</v>
      </c>
      <c r="J764" s="724"/>
      <c r="K764" s="724"/>
      <c r="L764" s="726">
        <v>2018.01</v>
      </c>
      <c r="M764" s="726">
        <v>2018.12</v>
      </c>
      <c r="N764" s="724">
        <v>65.2</v>
      </c>
      <c r="O764" s="724">
        <v>65.2</v>
      </c>
      <c r="P764" s="724"/>
      <c r="Q764" s="724"/>
      <c r="R764" s="724">
        <v>65.2</v>
      </c>
      <c r="S764" s="724"/>
      <c r="T764" s="724"/>
      <c r="U764" s="724"/>
      <c r="V764" s="724"/>
      <c r="W764" s="724"/>
      <c r="X764" s="92" t="s">
        <v>326</v>
      </c>
      <c r="Y764" s="738">
        <v>696</v>
      </c>
      <c r="Z764" s="738">
        <v>3297</v>
      </c>
      <c r="AA764" s="92">
        <v>4</v>
      </c>
      <c r="AB764" s="92"/>
      <c r="AC764" s="92"/>
      <c r="AD764" s="146" t="s">
        <v>312</v>
      </c>
      <c r="AE764" s="146" t="s">
        <v>71</v>
      </c>
      <c r="AF764" s="146" t="s">
        <v>358</v>
      </c>
      <c r="AG764" s="92"/>
    </row>
    <row r="765" ht="24.95" customHeight="1" spans="1:33">
      <c r="A765" s="705"/>
      <c r="B765" s="714" t="s">
        <v>84</v>
      </c>
      <c r="C765" s="146" t="s">
        <v>539</v>
      </c>
      <c r="D765" s="76" t="s">
        <v>150</v>
      </c>
      <c r="E765" s="92">
        <v>4</v>
      </c>
      <c r="F765" s="714" t="str">
        <f t="shared" si="108"/>
        <v>十八连山</v>
      </c>
      <c r="G765" s="92"/>
      <c r="H765" s="724">
        <v>4</v>
      </c>
      <c r="I765" s="724">
        <v>4</v>
      </c>
      <c r="J765" s="724"/>
      <c r="K765" s="724"/>
      <c r="L765" s="726">
        <v>2018.01</v>
      </c>
      <c r="M765" s="726">
        <v>2018.12</v>
      </c>
      <c r="N765" s="724">
        <v>160</v>
      </c>
      <c r="O765" s="724">
        <v>160</v>
      </c>
      <c r="P765" s="724"/>
      <c r="Q765" s="724"/>
      <c r="R765" s="724">
        <v>160</v>
      </c>
      <c r="S765" s="724"/>
      <c r="T765" s="724"/>
      <c r="U765" s="724"/>
      <c r="V765" s="724"/>
      <c r="W765" s="724"/>
      <c r="X765" s="92" t="s">
        <v>326</v>
      </c>
      <c r="Y765" s="738">
        <v>354</v>
      </c>
      <c r="Z765" s="738">
        <v>1466</v>
      </c>
      <c r="AA765" s="92">
        <v>4</v>
      </c>
      <c r="AB765" s="92"/>
      <c r="AC765" s="92"/>
      <c r="AD765" s="146" t="s">
        <v>186</v>
      </c>
      <c r="AE765" s="146" t="s">
        <v>378</v>
      </c>
      <c r="AF765" s="146" t="s">
        <v>358</v>
      </c>
      <c r="AG765" s="92"/>
    </row>
    <row r="766" ht="24.95" customHeight="1" spans="1:33">
      <c r="A766" s="705"/>
      <c r="B766" s="714" t="s">
        <v>259</v>
      </c>
      <c r="C766" s="146" t="s">
        <v>539</v>
      </c>
      <c r="D766" s="76" t="s">
        <v>150</v>
      </c>
      <c r="E766" s="92">
        <v>3</v>
      </c>
      <c r="F766" s="714" t="str">
        <f t="shared" si="108"/>
        <v>古敢</v>
      </c>
      <c r="G766" s="92"/>
      <c r="H766" s="724">
        <v>3</v>
      </c>
      <c r="I766" s="724">
        <v>3</v>
      </c>
      <c r="J766" s="724"/>
      <c r="K766" s="724"/>
      <c r="L766" s="726">
        <v>2018.01</v>
      </c>
      <c r="M766" s="726">
        <v>2018.12</v>
      </c>
      <c r="N766" s="724">
        <v>65</v>
      </c>
      <c r="O766" s="724">
        <v>65</v>
      </c>
      <c r="P766" s="724"/>
      <c r="Q766" s="724"/>
      <c r="R766" s="724">
        <v>65</v>
      </c>
      <c r="S766" s="724"/>
      <c r="T766" s="724"/>
      <c r="U766" s="724"/>
      <c r="V766" s="724"/>
      <c r="W766" s="724"/>
      <c r="X766" s="92" t="s">
        <v>326</v>
      </c>
      <c r="Y766" s="738">
        <v>316</v>
      </c>
      <c r="Z766" s="738">
        <v>1322</v>
      </c>
      <c r="AA766" s="92">
        <v>3</v>
      </c>
      <c r="AB766" s="92"/>
      <c r="AC766" s="92"/>
      <c r="AD766" s="146" t="s">
        <v>366</v>
      </c>
      <c r="AE766" s="146" t="s">
        <v>367</v>
      </c>
      <c r="AF766" s="146" t="s">
        <v>358</v>
      </c>
      <c r="AG766" s="92"/>
    </row>
    <row r="767" ht="24.95" customHeight="1" spans="1:33">
      <c r="A767" s="705"/>
      <c r="B767" s="714" t="s">
        <v>143</v>
      </c>
      <c r="C767" s="146" t="s">
        <v>539</v>
      </c>
      <c r="D767" s="76" t="s">
        <v>150</v>
      </c>
      <c r="E767" s="92">
        <v>2</v>
      </c>
      <c r="F767" s="714" t="str">
        <f t="shared" si="108"/>
        <v>老厂</v>
      </c>
      <c r="G767" s="92"/>
      <c r="H767" s="724">
        <v>2</v>
      </c>
      <c r="I767" s="724">
        <v>2</v>
      </c>
      <c r="J767" s="724"/>
      <c r="K767" s="724"/>
      <c r="L767" s="726">
        <v>2018.01</v>
      </c>
      <c r="M767" s="726">
        <v>2018.12</v>
      </c>
      <c r="N767" s="724">
        <v>29</v>
      </c>
      <c r="O767" s="724">
        <v>29</v>
      </c>
      <c r="P767" s="724"/>
      <c r="Q767" s="724"/>
      <c r="R767" s="724">
        <v>29</v>
      </c>
      <c r="S767" s="724"/>
      <c r="T767" s="724"/>
      <c r="U767" s="724"/>
      <c r="V767" s="724"/>
      <c r="W767" s="724"/>
      <c r="X767" s="92" t="s">
        <v>326</v>
      </c>
      <c r="Y767" s="738">
        <v>259</v>
      </c>
      <c r="Z767" s="738">
        <v>1269</v>
      </c>
      <c r="AA767" s="92">
        <v>2</v>
      </c>
      <c r="AB767" s="92"/>
      <c r="AC767" s="92"/>
      <c r="AD767" s="146" t="s">
        <v>368</v>
      </c>
      <c r="AE767" s="146" t="s">
        <v>369</v>
      </c>
      <c r="AF767" s="146" t="s">
        <v>358</v>
      </c>
      <c r="AG767" s="92"/>
    </row>
    <row r="768" ht="24.95" customHeight="1" spans="1:33">
      <c r="A768" s="705"/>
      <c r="B768" s="750" t="s">
        <v>541</v>
      </c>
      <c r="C768" s="146" t="s">
        <v>542</v>
      </c>
      <c r="D768" s="76" t="s">
        <v>150</v>
      </c>
      <c r="E768" s="92">
        <f>SUM(E769:E776)</f>
        <v>8</v>
      </c>
      <c r="F768" s="92"/>
      <c r="G768" s="92"/>
      <c r="H768" s="724">
        <f t="shared" ref="F768:AA768" si="109">SUM(H769:H776)</f>
        <v>8</v>
      </c>
      <c r="I768" s="724">
        <f t="shared" si="109"/>
        <v>8</v>
      </c>
      <c r="J768" s="724">
        <f t="shared" si="109"/>
        <v>0</v>
      </c>
      <c r="K768" s="724">
        <f t="shared" si="109"/>
        <v>0</v>
      </c>
      <c r="L768" s="724"/>
      <c r="M768" s="724"/>
      <c r="N768" s="724">
        <f t="shared" si="109"/>
        <v>2722.5</v>
      </c>
      <c r="O768" s="724">
        <f t="shared" si="109"/>
        <v>2722.5</v>
      </c>
      <c r="P768" s="724">
        <f t="shared" si="109"/>
        <v>0</v>
      </c>
      <c r="Q768" s="724">
        <f t="shared" si="109"/>
        <v>0</v>
      </c>
      <c r="R768" s="724">
        <f t="shared" si="109"/>
        <v>2722.5</v>
      </c>
      <c r="S768" s="724">
        <f t="shared" si="109"/>
        <v>0</v>
      </c>
      <c r="T768" s="724">
        <f t="shared" si="109"/>
        <v>0</v>
      </c>
      <c r="U768" s="724">
        <f t="shared" si="109"/>
        <v>0</v>
      </c>
      <c r="V768" s="724">
        <f t="shared" si="109"/>
        <v>0</v>
      </c>
      <c r="W768" s="92"/>
      <c r="X768" s="92" t="s">
        <v>326</v>
      </c>
      <c r="Y768" s="92">
        <f t="shared" si="109"/>
        <v>17276</v>
      </c>
      <c r="Z768" s="92">
        <f t="shared" si="109"/>
        <v>69816</v>
      </c>
      <c r="AA768" s="92">
        <f t="shared" si="109"/>
        <v>8</v>
      </c>
      <c r="AB768" s="92"/>
      <c r="AC768" s="92"/>
      <c r="AD768" s="146" t="s">
        <v>356</v>
      </c>
      <c r="AE768" s="146" t="s">
        <v>540</v>
      </c>
      <c r="AF768" s="146" t="s">
        <v>358</v>
      </c>
      <c r="AG768" s="92"/>
    </row>
    <row r="769" ht="24.95" customHeight="1" spans="1:33">
      <c r="A769" s="705"/>
      <c r="B769" s="714" t="s">
        <v>543</v>
      </c>
      <c r="C769" s="146" t="s">
        <v>162</v>
      </c>
      <c r="D769" s="76" t="s">
        <v>150</v>
      </c>
      <c r="E769" s="92">
        <v>1</v>
      </c>
      <c r="F769" s="714" t="s">
        <v>151</v>
      </c>
      <c r="G769" s="92"/>
      <c r="H769" s="724">
        <v>1</v>
      </c>
      <c r="I769" s="724">
        <v>1</v>
      </c>
      <c r="J769" s="724"/>
      <c r="K769" s="724"/>
      <c r="L769" s="726">
        <v>2018.01</v>
      </c>
      <c r="M769" s="726">
        <v>2018.12</v>
      </c>
      <c r="N769" s="724">
        <v>200</v>
      </c>
      <c r="O769" s="724">
        <v>200</v>
      </c>
      <c r="P769" s="724"/>
      <c r="Q769" s="724"/>
      <c r="R769" s="724">
        <v>200</v>
      </c>
      <c r="S769" s="724"/>
      <c r="T769" s="724"/>
      <c r="U769" s="724"/>
      <c r="V769" s="724"/>
      <c r="W769" s="724"/>
      <c r="X769" s="92" t="s">
        <v>326</v>
      </c>
      <c r="Y769" s="738">
        <v>1760</v>
      </c>
      <c r="Z769" s="738">
        <v>7269</v>
      </c>
      <c r="AA769" s="92">
        <v>1</v>
      </c>
      <c r="AB769" s="92"/>
      <c r="AC769" s="92"/>
      <c r="AD769" s="146" t="s">
        <v>373</v>
      </c>
      <c r="AE769" s="146" t="s">
        <v>374</v>
      </c>
      <c r="AF769" s="146" t="s">
        <v>358</v>
      </c>
      <c r="AG769" s="92"/>
    </row>
    <row r="770" ht="24.95" customHeight="1" spans="1:33">
      <c r="A770" s="705"/>
      <c r="B770" s="714" t="s">
        <v>544</v>
      </c>
      <c r="C770" s="146" t="s">
        <v>52</v>
      </c>
      <c r="D770" s="76" t="s">
        <v>150</v>
      </c>
      <c r="E770" s="92">
        <v>1</v>
      </c>
      <c r="F770" s="714" t="s">
        <v>151</v>
      </c>
      <c r="G770" s="92"/>
      <c r="H770" s="724">
        <v>1</v>
      </c>
      <c r="I770" s="724">
        <v>1</v>
      </c>
      <c r="J770" s="724"/>
      <c r="K770" s="724"/>
      <c r="L770" s="726">
        <v>2018.01</v>
      </c>
      <c r="M770" s="726">
        <v>2018.12</v>
      </c>
      <c r="N770" s="724">
        <v>20</v>
      </c>
      <c r="O770" s="724">
        <v>20</v>
      </c>
      <c r="P770" s="724"/>
      <c r="Q770" s="724"/>
      <c r="R770" s="724">
        <v>20</v>
      </c>
      <c r="S770" s="724"/>
      <c r="T770" s="724"/>
      <c r="U770" s="724"/>
      <c r="V770" s="724"/>
      <c r="W770" s="724"/>
      <c r="X770" s="92" t="s">
        <v>326</v>
      </c>
      <c r="Y770" s="738">
        <v>1760</v>
      </c>
      <c r="Z770" s="738">
        <v>7269</v>
      </c>
      <c r="AA770" s="92">
        <v>1</v>
      </c>
      <c r="AB770" s="92"/>
      <c r="AC770" s="92"/>
      <c r="AD770" s="146" t="s">
        <v>373</v>
      </c>
      <c r="AE770" s="146" t="s">
        <v>374</v>
      </c>
      <c r="AF770" s="146" t="s">
        <v>358</v>
      </c>
      <c r="AG770" s="92"/>
    </row>
    <row r="771" ht="24.95" customHeight="1" spans="1:33">
      <c r="A771" s="705"/>
      <c r="B771" s="714" t="s">
        <v>545</v>
      </c>
      <c r="C771" s="146" t="s">
        <v>546</v>
      </c>
      <c r="D771" s="76" t="s">
        <v>150</v>
      </c>
      <c r="E771" s="92">
        <v>1</v>
      </c>
      <c r="F771" s="714" t="s">
        <v>81</v>
      </c>
      <c r="G771" s="92"/>
      <c r="H771" s="724">
        <v>1</v>
      </c>
      <c r="I771" s="724">
        <v>1</v>
      </c>
      <c r="J771" s="724"/>
      <c r="K771" s="724"/>
      <c r="L771" s="726">
        <v>2018.01</v>
      </c>
      <c r="M771" s="726">
        <v>2018.12</v>
      </c>
      <c r="N771" s="724">
        <v>700</v>
      </c>
      <c r="O771" s="724">
        <v>700</v>
      </c>
      <c r="P771" s="724"/>
      <c r="Q771" s="724"/>
      <c r="R771" s="724">
        <v>700</v>
      </c>
      <c r="S771" s="724"/>
      <c r="T771" s="724"/>
      <c r="U771" s="724"/>
      <c r="V771" s="724"/>
      <c r="W771" s="724"/>
      <c r="X771" s="92" t="s">
        <v>326</v>
      </c>
      <c r="Y771" s="738">
        <v>1977</v>
      </c>
      <c r="Z771" s="738">
        <v>7676</v>
      </c>
      <c r="AA771" s="92">
        <v>1</v>
      </c>
      <c r="AB771" s="92"/>
      <c r="AC771" s="92"/>
      <c r="AD771" s="146" t="s">
        <v>375</v>
      </c>
      <c r="AE771" s="146" t="s">
        <v>376</v>
      </c>
      <c r="AF771" s="146" t="s">
        <v>358</v>
      </c>
      <c r="AG771" s="92"/>
    </row>
    <row r="772" ht="24.95" customHeight="1" spans="1:33">
      <c r="A772" s="705"/>
      <c r="B772" s="714" t="s">
        <v>547</v>
      </c>
      <c r="C772" s="146" t="s">
        <v>52</v>
      </c>
      <c r="D772" s="76" t="s">
        <v>150</v>
      </c>
      <c r="E772" s="92">
        <v>1</v>
      </c>
      <c r="F772" s="714" t="s">
        <v>81</v>
      </c>
      <c r="G772" s="92"/>
      <c r="H772" s="724">
        <v>1</v>
      </c>
      <c r="I772" s="724">
        <v>1</v>
      </c>
      <c r="J772" s="724"/>
      <c r="K772" s="724"/>
      <c r="L772" s="726">
        <v>2018.01</v>
      </c>
      <c r="M772" s="726">
        <v>2018.12</v>
      </c>
      <c r="N772" s="724">
        <v>20</v>
      </c>
      <c r="O772" s="724">
        <v>20</v>
      </c>
      <c r="P772" s="724"/>
      <c r="Q772" s="724"/>
      <c r="R772" s="724">
        <v>20</v>
      </c>
      <c r="S772" s="724"/>
      <c r="T772" s="724"/>
      <c r="U772" s="724"/>
      <c r="V772" s="724"/>
      <c r="W772" s="724"/>
      <c r="X772" s="92" t="s">
        <v>326</v>
      </c>
      <c r="Y772" s="738">
        <v>1977</v>
      </c>
      <c r="Z772" s="738">
        <v>4426</v>
      </c>
      <c r="AA772" s="92">
        <v>1</v>
      </c>
      <c r="AB772" s="92"/>
      <c r="AC772" s="92"/>
      <c r="AD772" s="146" t="s">
        <v>375</v>
      </c>
      <c r="AE772" s="146" t="s">
        <v>376</v>
      </c>
      <c r="AF772" s="146" t="s">
        <v>358</v>
      </c>
      <c r="AG772" s="92"/>
    </row>
    <row r="773" ht="24.95" customHeight="1" spans="1:33">
      <c r="A773" s="705"/>
      <c r="B773" s="714" t="s">
        <v>548</v>
      </c>
      <c r="C773" s="146" t="s">
        <v>546</v>
      </c>
      <c r="D773" s="76" t="s">
        <v>150</v>
      </c>
      <c r="E773" s="92">
        <v>1</v>
      </c>
      <c r="F773" s="714" t="s">
        <v>155</v>
      </c>
      <c r="G773" s="92"/>
      <c r="H773" s="724">
        <v>1</v>
      </c>
      <c r="I773" s="724">
        <v>1</v>
      </c>
      <c r="J773" s="724"/>
      <c r="K773" s="724"/>
      <c r="L773" s="726">
        <v>2018.01</v>
      </c>
      <c r="M773" s="726">
        <v>2018.12</v>
      </c>
      <c r="N773" s="724">
        <v>460</v>
      </c>
      <c r="O773" s="724">
        <v>460</v>
      </c>
      <c r="P773" s="724"/>
      <c r="Q773" s="724"/>
      <c r="R773" s="724">
        <v>460</v>
      </c>
      <c r="S773" s="724"/>
      <c r="T773" s="724"/>
      <c r="U773" s="724"/>
      <c r="V773" s="724"/>
      <c r="W773" s="724"/>
      <c r="X773" s="92" t="s">
        <v>326</v>
      </c>
      <c r="Y773" s="738">
        <v>907</v>
      </c>
      <c r="Z773" s="738">
        <v>3856</v>
      </c>
      <c r="AA773" s="92">
        <v>1</v>
      </c>
      <c r="AB773" s="92"/>
      <c r="AC773" s="92"/>
      <c r="AD773" s="146" t="s">
        <v>309</v>
      </c>
      <c r="AE773" s="146" t="s">
        <v>364</v>
      </c>
      <c r="AF773" s="146" t="s">
        <v>358</v>
      </c>
      <c r="AG773" s="92"/>
    </row>
    <row r="774" ht="24.95" customHeight="1" spans="1:33">
      <c r="A774" s="705"/>
      <c r="B774" s="714" t="s">
        <v>549</v>
      </c>
      <c r="C774" s="146" t="s">
        <v>546</v>
      </c>
      <c r="D774" s="76" t="s">
        <v>150</v>
      </c>
      <c r="E774" s="92">
        <v>1</v>
      </c>
      <c r="F774" s="714" t="s">
        <v>143</v>
      </c>
      <c r="G774" s="92"/>
      <c r="H774" s="724">
        <v>1</v>
      </c>
      <c r="I774" s="724">
        <v>1</v>
      </c>
      <c r="J774" s="724"/>
      <c r="K774" s="724"/>
      <c r="L774" s="726">
        <v>2018.01</v>
      </c>
      <c r="M774" s="726">
        <v>2018.12</v>
      </c>
      <c r="N774" s="724">
        <v>602.5</v>
      </c>
      <c r="O774" s="724">
        <v>602.5</v>
      </c>
      <c r="P774" s="724"/>
      <c r="Q774" s="724"/>
      <c r="R774" s="724">
        <v>602.5</v>
      </c>
      <c r="S774" s="724"/>
      <c r="T774" s="724"/>
      <c r="U774" s="724"/>
      <c r="V774" s="724"/>
      <c r="W774" s="724"/>
      <c r="X774" s="92" t="s">
        <v>326</v>
      </c>
      <c r="Y774" s="738">
        <v>1244</v>
      </c>
      <c r="Z774" s="738">
        <v>5815</v>
      </c>
      <c r="AA774" s="92">
        <v>1</v>
      </c>
      <c r="AB774" s="92"/>
      <c r="AC774" s="92"/>
      <c r="AD774" s="146" t="s">
        <v>368</v>
      </c>
      <c r="AE774" s="146" t="s">
        <v>369</v>
      </c>
      <c r="AF774" s="146" t="s">
        <v>358</v>
      </c>
      <c r="AG774" s="92"/>
    </row>
    <row r="775" ht="24.95" customHeight="1" spans="1:33">
      <c r="A775" s="705"/>
      <c r="B775" s="714" t="s">
        <v>550</v>
      </c>
      <c r="C775" s="146" t="s">
        <v>546</v>
      </c>
      <c r="D775" s="76" t="s">
        <v>150</v>
      </c>
      <c r="E775" s="92">
        <v>1</v>
      </c>
      <c r="F775" s="714" t="s">
        <v>98</v>
      </c>
      <c r="G775" s="92"/>
      <c r="H775" s="724">
        <v>1</v>
      </c>
      <c r="I775" s="724">
        <v>1</v>
      </c>
      <c r="J775" s="724"/>
      <c r="K775" s="724"/>
      <c r="L775" s="726">
        <v>2018.01</v>
      </c>
      <c r="M775" s="726">
        <v>2018.12</v>
      </c>
      <c r="N775" s="724">
        <v>450</v>
      </c>
      <c r="O775" s="724">
        <v>450</v>
      </c>
      <c r="P775" s="724"/>
      <c r="Q775" s="724"/>
      <c r="R775" s="724">
        <v>450</v>
      </c>
      <c r="S775" s="724"/>
      <c r="T775" s="724"/>
      <c r="U775" s="724"/>
      <c r="V775" s="724"/>
      <c r="W775" s="724"/>
      <c r="X775" s="92" t="s">
        <v>326</v>
      </c>
      <c r="Y775" s="738">
        <v>3379</v>
      </c>
      <c r="Z775" s="738">
        <v>14263</v>
      </c>
      <c r="AA775" s="92">
        <v>1</v>
      </c>
      <c r="AB775" s="92"/>
      <c r="AC775" s="92"/>
      <c r="AD775" s="146" t="s">
        <v>305</v>
      </c>
      <c r="AE775" s="146" t="s">
        <v>362</v>
      </c>
      <c r="AF775" s="146" t="s">
        <v>358</v>
      </c>
      <c r="AG775" s="92"/>
    </row>
    <row r="776" ht="24.95" customHeight="1" spans="1:33">
      <c r="A776" s="705"/>
      <c r="B776" s="714" t="s">
        <v>551</v>
      </c>
      <c r="C776" s="146" t="s">
        <v>546</v>
      </c>
      <c r="D776" s="76" t="s">
        <v>150</v>
      </c>
      <c r="E776" s="92">
        <v>1</v>
      </c>
      <c r="F776" s="714" t="s">
        <v>102</v>
      </c>
      <c r="G776" s="92"/>
      <c r="H776" s="724">
        <v>1</v>
      </c>
      <c r="I776" s="724">
        <v>1</v>
      </c>
      <c r="J776" s="724"/>
      <c r="K776" s="724"/>
      <c r="L776" s="726">
        <v>2018.01</v>
      </c>
      <c r="M776" s="726">
        <v>2018.12</v>
      </c>
      <c r="N776" s="724">
        <v>270</v>
      </c>
      <c r="O776" s="724">
        <v>270</v>
      </c>
      <c r="P776" s="724"/>
      <c r="Q776" s="724"/>
      <c r="R776" s="724">
        <v>270</v>
      </c>
      <c r="S776" s="724"/>
      <c r="T776" s="724"/>
      <c r="U776" s="724"/>
      <c r="V776" s="724"/>
      <c r="W776" s="724"/>
      <c r="X776" s="92" t="s">
        <v>326</v>
      </c>
      <c r="Y776" s="738">
        <v>4272</v>
      </c>
      <c r="Z776" s="738">
        <v>19242</v>
      </c>
      <c r="AA776" s="92">
        <v>1</v>
      </c>
      <c r="AB776" s="92"/>
      <c r="AC776" s="92"/>
      <c r="AD776" s="146" t="s">
        <v>180</v>
      </c>
      <c r="AE776" s="146" t="s">
        <v>365</v>
      </c>
      <c r="AF776" s="146" t="s">
        <v>358</v>
      </c>
      <c r="AG776" s="92"/>
    </row>
    <row r="777" ht="24.95" customHeight="1" spans="1:33">
      <c r="A777" s="705">
        <v>101</v>
      </c>
      <c r="B777" s="791" t="s">
        <v>552</v>
      </c>
      <c r="C777" s="708"/>
      <c r="D777" s="709" t="s">
        <v>150</v>
      </c>
      <c r="E777" s="708"/>
      <c r="F777" s="708"/>
      <c r="G777" s="708"/>
      <c r="H777" s="726"/>
      <c r="I777" s="726"/>
      <c r="J777" s="726"/>
      <c r="K777" s="726"/>
      <c r="L777" s="726"/>
      <c r="M777" s="726"/>
      <c r="N777" s="726"/>
      <c r="O777" s="726"/>
      <c r="P777" s="726"/>
      <c r="Q777" s="726"/>
      <c r="R777" s="726"/>
      <c r="S777" s="726"/>
      <c r="T777" s="726"/>
      <c r="U777" s="726"/>
      <c r="V777" s="726"/>
      <c r="W777" s="726"/>
      <c r="X777" s="726"/>
      <c r="Y777" s="726"/>
      <c r="Z777" s="726"/>
      <c r="AA777" s="708"/>
      <c r="AB777" s="708"/>
      <c r="AC777" s="708"/>
      <c r="AD777" s="708"/>
      <c r="AE777" s="708"/>
      <c r="AF777" s="708" t="s">
        <v>553</v>
      </c>
      <c r="AG777" s="708" t="s">
        <v>41</v>
      </c>
    </row>
    <row r="778" ht="24.95" customHeight="1" spans="1:33">
      <c r="A778" s="705">
        <v>102</v>
      </c>
      <c r="B778" s="95" t="s">
        <v>554</v>
      </c>
      <c r="C778" s="92"/>
      <c r="D778" s="76" t="s">
        <v>150</v>
      </c>
      <c r="E778" s="92"/>
      <c r="F778" s="92"/>
      <c r="G778" s="92"/>
      <c r="H778" s="724"/>
      <c r="I778" s="724"/>
      <c r="J778" s="724"/>
      <c r="K778" s="724"/>
      <c r="L778" s="724"/>
      <c r="M778" s="724"/>
      <c r="N778" s="724"/>
      <c r="O778" s="724"/>
      <c r="P778" s="724"/>
      <c r="Q778" s="724"/>
      <c r="R778" s="724"/>
      <c r="S778" s="724"/>
      <c r="T778" s="724"/>
      <c r="U778" s="724"/>
      <c r="V778" s="724"/>
      <c r="W778" s="724"/>
      <c r="X778" s="724"/>
      <c r="Y778" s="724"/>
      <c r="Z778" s="724"/>
      <c r="AA778" s="92"/>
      <c r="AB778" s="92"/>
      <c r="AC778" s="92"/>
      <c r="AD778" s="92"/>
      <c r="AE778" s="92"/>
      <c r="AF778" s="92" t="s">
        <v>553</v>
      </c>
      <c r="AG778" s="92" t="s">
        <v>41</v>
      </c>
    </row>
    <row r="779" ht="24.95" customHeight="1" spans="1:33">
      <c r="A779" s="705" t="s">
        <v>48</v>
      </c>
      <c r="B779" s="92" t="s">
        <v>148</v>
      </c>
      <c r="C779" s="92"/>
      <c r="D779" s="76"/>
      <c r="E779" s="92"/>
      <c r="F779" s="92"/>
      <c r="G779" s="92"/>
      <c r="H779" s="724"/>
      <c r="I779" s="724"/>
      <c r="J779" s="724"/>
      <c r="K779" s="724"/>
      <c r="L779" s="724"/>
      <c r="M779" s="724"/>
      <c r="N779" s="724"/>
      <c r="O779" s="724"/>
      <c r="P779" s="724"/>
      <c r="Q779" s="724"/>
      <c r="R779" s="724"/>
      <c r="S779" s="724"/>
      <c r="T779" s="724"/>
      <c r="U779" s="724"/>
      <c r="V779" s="724"/>
      <c r="W779" s="92"/>
      <c r="X779" s="92"/>
      <c r="Y779" s="92"/>
      <c r="Z779" s="92"/>
      <c r="AA779" s="92"/>
      <c r="AB779" s="92"/>
      <c r="AC779" s="92"/>
      <c r="AD779" s="92"/>
      <c r="AE779" s="92"/>
      <c r="AF779" s="92"/>
      <c r="AG779" s="92"/>
    </row>
    <row r="780" ht="24.95" customHeight="1" spans="1:33">
      <c r="A780" s="705">
        <v>103</v>
      </c>
      <c r="B780" s="791" t="s">
        <v>555</v>
      </c>
      <c r="C780" s="708"/>
      <c r="D780" s="709"/>
      <c r="E780" s="708">
        <f>E783</f>
        <v>645</v>
      </c>
      <c r="F780" s="708"/>
      <c r="G780" s="708"/>
      <c r="H780" s="726">
        <f t="shared" ref="F780:AA780" si="110">H783</f>
        <v>13929</v>
      </c>
      <c r="I780" s="726">
        <f t="shared" si="110"/>
        <v>13929</v>
      </c>
      <c r="J780" s="726">
        <f t="shared" si="110"/>
        <v>0</v>
      </c>
      <c r="K780" s="726">
        <f t="shared" si="110"/>
        <v>0</v>
      </c>
      <c r="L780" s="726"/>
      <c r="M780" s="726"/>
      <c r="N780" s="726">
        <f t="shared" si="110"/>
        <v>11771.2955</v>
      </c>
      <c r="O780" s="726">
        <f t="shared" si="110"/>
        <v>11771.2955</v>
      </c>
      <c r="P780" s="726">
        <f t="shared" si="110"/>
        <v>0</v>
      </c>
      <c r="Q780" s="726">
        <f t="shared" si="110"/>
        <v>0</v>
      </c>
      <c r="R780" s="726">
        <f t="shared" si="110"/>
        <v>11771.2955</v>
      </c>
      <c r="S780" s="726">
        <f t="shared" si="110"/>
        <v>0</v>
      </c>
      <c r="T780" s="726">
        <f t="shared" si="110"/>
        <v>0</v>
      </c>
      <c r="U780" s="726">
        <f t="shared" si="110"/>
        <v>0</v>
      </c>
      <c r="V780" s="726">
        <f t="shared" si="110"/>
        <v>0</v>
      </c>
      <c r="W780" s="708"/>
      <c r="X780" s="708"/>
      <c r="Y780" s="708">
        <f t="shared" si="110"/>
        <v>31233</v>
      </c>
      <c r="Z780" s="708">
        <f t="shared" si="110"/>
        <v>130860</v>
      </c>
      <c r="AA780" s="708">
        <f t="shared" si="110"/>
        <v>645</v>
      </c>
      <c r="AB780" s="708"/>
      <c r="AC780" s="708"/>
      <c r="AD780" s="708"/>
      <c r="AE780" s="708"/>
      <c r="AF780" s="708"/>
      <c r="AG780" s="708" t="s">
        <v>41</v>
      </c>
    </row>
    <row r="781" ht="60" spans="1:33">
      <c r="A781" s="705">
        <v>104</v>
      </c>
      <c r="B781" s="95" t="s">
        <v>556</v>
      </c>
      <c r="C781" s="92"/>
      <c r="D781" s="76" t="s">
        <v>147</v>
      </c>
      <c r="E781" s="92"/>
      <c r="F781" s="92"/>
      <c r="G781" s="92"/>
      <c r="H781" s="724"/>
      <c r="I781" s="724"/>
      <c r="J781" s="724"/>
      <c r="K781" s="724"/>
      <c r="L781" s="724"/>
      <c r="M781" s="724"/>
      <c r="N781" s="724"/>
      <c r="O781" s="724"/>
      <c r="P781" s="724"/>
      <c r="Q781" s="724"/>
      <c r="R781" s="724"/>
      <c r="S781" s="724"/>
      <c r="T781" s="724"/>
      <c r="U781" s="724"/>
      <c r="V781" s="724"/>
      <c r="W781" s="738"/>
      <c r="X781" s="738"/>
      <c r="Y781" s="738"/>
      <c r="Z781" s="738"/>
      <c r="AA781" s="92"/>
      <c r="AB781" s="92"/>
      <c r="AC781" s="92"/>
      <c r="AD781" s="92"/>
      <c r="AE781" s="92"/>
      <c r="AF781" s="92" t="s">
        <v>294</v>
      </c>
      <c r="AG781" s="92" t="s">
        <v>41</v>
      </c>
    </row>
    <row r="782" ht="24.95" customHeight="1" spans="1:33">
      <c r="A782" s="705" t="s">
        <v>48</v>
      </c>
      <c r="B782" s="92" t="s">
        <v>148</v>
      </c>
      <c r="C782" s="92"/>
      <c r="D782" s="76"/>
      <c r="E782" s="92"/>
      <c r="F782" s="92"/>
      <c r="G782" s="92"/>
      <c r="H782" s="724"/>
      <c r="I782" s="724"/>
      <c r="J782" s="724"/>
      <c r="K782" s="724"/>
      <c r="L782" s="724"/>
      <c r="M782" s="724"/>
      <c r="N782" s="724"/>
      <c r="O782" s="724"/>
      <c r="P782" s="724"/>
      <c r="Q782" s="724"/>
      <c r="R782" s="724"/>
      <c r="S782" s="724"/>
      <c r="T782" s="724"/>
      <c r="U782" s="724"/>
      <c r="V782" s="724"/>
      <c r="W782" s="92"/>
      <c r="X782" s="92"/>
      <c r="Y782" s="92"/>
      <c r="Z782" s="92"/>
      <c r="AA782" s="92"/>
      <c r="AB782" s="92"/>
      <c r="AC782" s="92"/>
      <c r="AD782" s="92"/>
      <c r="AE782" s="92"/>
      <c r="AF782" s="92"/>
      <c r="AG782" s="92"/>
    </row>
    <row r="783" s="570" customFormat="1" ht="24.95" customHeight="1" spans="1:33">
      <c r="A783" s="705"/>
      <c r="B783" s="92" t="s">
        <v>557</v>
      </c>
      <c r="C783" s="92"/>
      <c r="D783" s="76"/>
      <c r="E783" s="92">
        <f>E784+E796+E810</f>
        <v>645</v>
      </c>
      <c r="F783" s="92"/>
      <c r="G783" s="92"/>
      <c r="H783" s="724">
        <f t="shared" ref="F783:AA783" si="111">H784+H796+H810</f>
        <v>13929</v>
      </c>
      <c r="I783" s="724">
        <f t="shared" si="111"/>
        <v>13929</v>
      </c>
      <c r="J783" s="724">
        <f t="shared" si="111"/>
        <v>0</v>
      </c>
      <c r="K783" s="724">
        <f t="shared" si="111"/>
        <v>0</v>
      </c>
      <c r="L783" s="724"/>
      <c r="M783" s="724"/>
      <c r="N783" s="724">
        <f t="shared" si="111"/>
        <v>11771.2955</v>
      </c>
      <c r="O783" s="724">
        <f t="shared" si="111"/>
        <v>11771.2955</v>
      </c>
      <c r="P783" s="724">
        <f t="shared" si="111"/>
        <v>0</v>
      </c>
      <c r="Q783" s="724">
        <f t="shared" si="111"/>
        <v>0</v>
      </c>
      <c r="R783" s="724">
        <f t="shared" si="111"/>
        <v>11771.2955</v>
      </c>
      <c r="S783" s="724">
        <f t="shared" si="111"/>
        <v>0</v>
      </c>
      <c r="T783" s="724">
        <f t="shared" si="111"/>
        <v>0</v>
      </c>
      <c r="U783" s="724">
        <f t="shared" si="111"/>
        <v>0</v>
      </c>
      <c r="V783" s="724">
        <f t="shared" si="111"/>
        <v>0</v>
      </c>
      <c r="W783" s="92"/>
      <c r="X783" s="92" t="s">
        <v>558</v>
      </c>
      <c r="Y783" s="92">
        <f t="shared" si="111"/>
        <v>31233</v>
      </c>
      <c r="Z783" s="92">
        <f t="shared" si="111"/>
        <v>130860</v>
      </c>
      <c r="AA783" s="92">
        <f t="shared" si="111"/>
        <v>645</v>
      </c>
      <c r="AB783" s="92"/>
      <c r="AC783" s="92"/>
      <c r="AD783" s="92"/>
      <c r="AE783" s="92"/>
      <c r="AF783" s="92" t="s">
        <v>294</v>
      </c>
      <c r="AG783" s="92" t="s">
        <v>41</v>
      </c>
    </row>
    <row r="784" s="570" customFormat="1" ht="24.95" customHeight="1" spans="1:33">
      <c r="A784" s="705"/>
      <c r="B784" s="802" t="s">
        <v>559</v>
      </c>
      <c r="C784" s="146" t="s">
        <v>52</v>
      </c>
      <c r="D784" s="152" t="s">
        <v>560</v>
      </c>
      <c r="E784" s="92">
        <f>SUM(E785:E795)</f>
        <v>6</v>
      </c>
      <c r="F784" s="92"/>
      <c r="G784" s="92"/>
      <c r="H784" s="724">
        <f t="shared" ref="F784:AA784" si="112">SUM(H785:H795)</f>
        <v>13290</v>
      </c>
      <c r="I784" s="724">
        <f t="shared" si="112"/>
        <v>13290</v>
      </c>
      <c r="J784" s="724">
        <f t="shared" si="112"/>
        <v>0</v>
      </c>
      <c r="K784" s="724">
        <f t="shared" si="112"/>
        <v>0</v>
      </c>
      <c r="L784" s="724"/>
      <c r="M784" s="724"/>
      <c r="N784" s="724">
        <f t="shared" si="112"/>
        <v>2658</v>
      </c>
      <c r="O784" s="724">
        <f t="shared" si="112"/>
        <v>2658</v>
      </c>
      <c r="P784" s="724">
        <f t="shared" si="112"/>
        <v>0</v>
      </c>
      <c r="Q784" s="724">
        <f t="shared" si="112"/>
        <v>0</v>
      </c>
      <c r="R784" s="724">
        <f t="shared" si="112"/>
        <v>2658</v>
      </c>
      <c r="S784" s="724">
        <f t="shared" si="112"/>
        <v>0</v>
      </c>
      <c r="T784" s="724">
        <f t="shared" si="112"/>
        <v>0</v>
      </c>
      <c r="U784" s="724">
        <f t="shared" si="112"/>
        <v>0</v>
      </c>
      <c r="V784" s="724">
        <f t="shared" si="112"/>
        <v>0</v>
      </c>
      <c r="W784" s="92"/>
      <c r="X784" s="92" t="s">
        <v>558</v>
      </c>
      <c r="Y784" s="92">
        <f t="shared" si="112"/>
        <v>1448</v>
      </c>
      <c r="Z784" s="92">
        <f t="shared" si="112"/>
        <v>6338</v>
      </c>
      <c r="AA784" s="92">
        <f t="shared" si="112"/>
        <v>6</v>
      </c>
      <c r="AB784" s="92"/>
      <c r="AC784" s="92"/>
      <c r="AD784" s="146" t="s">
        <v>296</v>
      </c>
      <c r="AE784" s="146" t="s">
        <v>561</v>
      </c>
      <c r="AF784" s="146" t="s">
        <v>294</v>
      </c>
      <c r="AG784" s="92"/>
    </row>
    <row r="785" s="570" customFormat="1" ht="24.95" customHeight="1" spans="1:33">
      <c r="A785" s="705"/>
      <c r="B785" s="714" t="s">
        <v>69</v>
      </c>
      <c r="C785" s="146" t="s">
        <v>52</v>
      </c>
      <c r="D785" s="152" t="s">
        <v>560</v>
      </c>
      <c r="E785" s="92">
        <v>1</v>
      </c>
      <c r="F785" s="714" t="str">
        <f t="shared" ref="F780:F843" si="113">B785</f>
        <v>中安街道</v>
      </c>
      <c r="G785" s="92"/>
      <c r="H785" s="724">
        <v>50</v>
      </c>
      <c r="I785" s="724">
        <v>50</v>
      </c>
      <c r="J785" s="724"/>
      <c r="K785" s="724"/>
      <c r="L785" s="726">
        <v>2018.01</v>
      </c>
      <c r="M785" s="726">
        <v>2018.12</v>
      </c>
      <c r="N785" s="724">
        <v>10</v>
      </c>
      <c r="O785" s="724">
        <v>10</v>
      </c>
      <c r="P785" s="724"/>
      <c r="Q785" s="724"/>
      <c r="R785" s="724">
        <v>10</v>
      </c>
      <c r="S785" s="724"/>
      <c r="T785" s="724"/>
      <c r="U785" s="724"/>
      <c r="V785" s="724"/>
      <c r="W785" s="92"/>
      <c r="X785" s="92" t="s">
        <v>558</v>
      </c>
      <c r="Y785" s="92">
        <v>264</v>
      </c>
      <c r="Z785" s="92">
        <v>1028</v>
      </c>
      <c r="AA785" s="92">
        <v>1</v>
      </c>
      <c r="AB785" s="92"/>
      <c r="AC785" s="92"/>
      <c r="AD785" s="146" t="s">
        <v>298</v>
      </c>
      <c r="AE785" s="146" t="s">
        <v>299</v>
      </c>
      <c r="AF785" s="146" t="s">
        <v>294</v>
      </c>
      <c r="AG785" s="92"/>
    </row>
    <row r="786" s="570" customFormat="1" ht="24.95" customHeight="1" spans="1:33">
      <c r="A786" s="705"/>
      <c r="B786" s="714" t="s">
        <v>51</v>
      </c>
      <c r="C786" s="146" t="s">
        <v>52</v>
      </c>
      <c r="D786" s="152" t="s">
        <v>560</v>
      </c>
      <c r="E786" s="92">
        <v>1</v>
      </c>
      <c r="F786" s="714" t="str">
        <f t="shared" si="113"/>
        <v>胜境街道</v>
      </c>
      <c r="G786" s="92"/>
      <c r="H786" s="724">
        <v>488</v>
      </c>
      <c r="I786" s="724">
        <v>488</v>
      </c>
      <c r="J786" s="724"/>
      <c r="K786" s="724"/>
      <c r="L786" s="726">
        <v>2018.01</v>
      </c>
      <c r="M786" s="726">
        <v>2018.12</v>
      </c>
      <c r="N786" s="724">
        <v>97.6</v>
      </c>
      <c r="O786" s="724">
        <v>97.6</v>
      </c>
      <c r="P786" s="724"/>
      <c r="Q786" s="724"/>
      <c r="R786" s="724">
        <v>97.6</v>
      </c>
      <c r="S786" s="724"/>
      <c r="T786" s="724"/>
      <c r="U786" s="724"/>
      <c r="V786" s="724"/>
      <c r="W786" s="92"/>
      <c r="X786" s="92" t="s">
        <v>558</v>
      </c>
      <c r="Y786" s="92">
        <v>208</v>
      </c>
      <c r="Z786" s="92">
        <v>839</v>
      </c>
      <c r="AA786" s="92">
        <v>1</v>
      </c>
      <c r="AB786" s="92"/>
      <c r="AC786" s="92"/>
      <c r="AD786" s="146" t="s">
        <v>639</v>
      </c>
      <c r="AE786" s="146" t="s">
        <v>301</v>
      </c>
      <c r="AF786" s="146" t="s">
        <v>294</v>
      </c>
      <c r="AG786" s="92"/>
    </row>
    <row r="787" s="570" customFormat="1" ht="24.95" customHeight="1" spans="1:33">
      <c r="A787" s="705"/>
      <c r="B787" s="714" t="s">
        <v>72</v>
      </c>
      <c r="C787" s="146" t="s">
        <v>52</v>
      </c>
      <c r="D787" s="152" t="s">
        <v>560</v>
      </c>
      <c r="E787" s="92"/>
      <c r="F787" s="714" t="str">
        <f t="shared" si="113"/>
        <v>后所镇</v>
      </c>
      <c r="G787" s="92"/>
      <c r="H787" s="724"/>
      <c r="I787" s="724"/>
      <c r="J787" s="724"/>
      <c r="K787" s="724"/>
      <c r="L787" s="726"/>
      <c r="M787" s="726"/>
      <c r="N787" s="724"/>
      <c r="O787" s="724"/>
      <c r="P787" s="724"/>
      <c r="Q787" s="724"/>
      <c r="R787" s="724"/>
      <c r="S787" s="724"/>
      <c r="T787" s="724"/>
      <c r="U787" s="724"/>
      <c r="V787" s="724"/>
      <c r="W787" s="92"/>
      <c r="X787" s="92" t="s">
        <v>558</v>
      </c>
      <c r="Y787" s="92"/>
      <c r="Z787" s="92"/>
      <c r="AA787" s="92"/>
      <c r="AB787" s="92"/>
      <c r="AC787" s="92"/>
      <c r="AD787" s="807"/>
      <c r="AE787" s="146"/>
      <c r="AF787" s="146"/>
      <c r="AG787" s="92"/>
    </row>
    <row r="788" s="570" customFormat="1" ht="24.95" customHeight="1" spans="1:33">
      <c r="A788" s="705"/>
      <c r="B788" s="714" t="s">
        <v>91</v>
      </c>
      <c r="C788" s="146" t="s">
        <v>52</v>
      </c>
      <c r="D788" s="152" t="s">
        <v>560</v>
      </c>
      <c r="E788" s="92">
        <v>1</v>
      </c>
      <c r="F788" s="714" t="str">
        <f t="shared" si="113"/>
        <v>墨红镇</v>
      </c>
      <c r="G788" s="92"/>
      <c r="H788" s="724">
        <v>175</v>
      </c>
      <c r="I788" s="724">
        <v>175</v>
      </c>
      <c r="J788" s="724"/>
      <c r="K788" s="724"/>
      <c r="L788" s="726">
        <v>2018.01</v>
      </c>
      <c r="M788" s="726">
        <v>2018.12</v>
      </c>
      <c r="N788" s="724">
        <v>35</v>
      </c>
      <c r="O788" s="724">
        <v>35</v>
      </c>
      <c r="P788" s="724"/>
      <c r="Q788" s="724"/>
      <c r="R788" s="724">
        <v>35</v>
      </c>
      <c r="S788" s="724"/>
      <c r="T788" s="724"/>
      <c r="U788" s="724"/>
      <c r="V788" s="724"/>
      <c r="W788" s="92"/>
      <c r="X788" s="92" t="s">
        <v>558</v>
      </c>
      <c r="Y788" s="92">
        <v>56</v>
      </c>
      <c r="Z788" s="92">
        <v>232</v>
      </c>
      <c r="AA788" s="92">
        <v>1</v>
      </c>
      <c r="AB788" s="92"/>
      <c r="AC788" s="92"/>
      <c r="AD788" s="146" t="s">
        <v>375</v>
      </c>
      <c r="AE788" s="146" t="s">
        <v>304</v>
      </c>
      <c r="AF788" s="146" t="s">
        <v>294</v>
      </c>
      <c r="AG788" s="92"/>
    </row>
    <row r="789" s="570" customFormat="1" ht="24.95" customHeight="1" spans="1:33">
      <c r="A789" s="705"/>
      <c r="B789" s="714" t="s">
        <v>55</v>
      </c>
      <c r="C789" s="146" t="s">
        <v>52</v>
      </c>
      <c r="D789" s="152" t="s">
        <v>560</v>
      </c>
      <c r="E789" s="92"/>
      <c r="F789" s="714" t="str">
        <f t="shared" si="113"/>
        <v>大河镇</v>
      </c>
      <c r="G789" s="92"/>
      <c r="H789" s="724"/>
      <c r="I789" s="724"/>
      <c r="J789" s="724"/>
      <c r="K789" s="724"/>
      <c r="L789" s="726"/>
      <c r="M789" s="726"/>
      <c r="N789" s="724"/>
      <c r="O789" s="724"/>
      <c r="P789" s="724"/>
      <c r="Q789" s="724"/>
      <c r="R789" s="724"/>
      <c r="S789" s="724"/>
      <c r="T789" s="724"/>
      <c r="U789" s="724"/>
      <c r="V789" s="724"/>
      <c r="W789" s="92"/>
      <c r="X789" s="92" t="s">
        <v>558</v>
      </c>
      <c r="Y789" s="92"/>
      <c r="Z789" s="92"/>
      <c r="AA789" s="92"/>
      <c r="AB789" s="92"/>
      <c r="AC789" s="92"/>
      <c r="AD789" s="146"/>
      <c r="AE789" s="146"/>
      <c r="AF789" s="146"/>
      <c r="AG789" s="92"/>
    </row>
    <row r="790" s="570" customFormat="1" ht="24.95" customHeight="1" spans="1:33">
      <c r="A790" s="705"/>
      <c r="B790" s="714" t="s">
        <v>75</v>
      </c>
      <c r="C790" s="146" t="s">
        <v>52</v>
      </c>
      <c r="D790" s="152" t="s">
        <v>560</v>
      </c>
      <c r="E790" s="92"/>
      <c r="F790" s="714" t="str">
        <f t="shared" si="113"/>
        <v>营上镇</v>
      </c>
      <c r="G790" s="92"/>
      <c r="H790" s="724"/>
      <c r="I790" s="724"/>
      <c r="J790" s="724"/>
      <c r="K790" s="724"/>
      <c r="L790" s="726"/>
      <c r="M790" s="726"/>
      <c r="N790" s="724"/>
      <c r="O790" s="724"/>
      <c r="P790" s="724"/>
      <c r="Q790" s="724"/>
      <c r="R790" s="724"/>
      <c r="S790" s="724"/>
      <c r="T790" s="724"/>
      <c r="U790" s="724"/>
      <c r="V790" s="724"/>
      <c r="W790" s="92"/>
      <c r="X790" s="92" t="s">
        <v>558</v>
      </c>
      <c r="Y790" s="92"/>
      <c r="Z790" s="92"/>
      <c r="AA790" s="92"/>
      <c r="AB790" s="92"/>
      <c r="AC790" s="92"/>
      <c r="AD790" s="146"/>
      <c r="AE790" s="146"/>
      <c r="AF790" s="146"/>
      <c r="AG790" s="92"/>
    </row>
    <row r="791" s="570" customFormat="1" ht="24.95" customHeight="1" spans="1:33">
      <c r="A791" s="705"/>
      <c r="B791" s="714" t="s">
        <v>61</v>
      </c>
      <c r="C791" s="146" t="s">
        <v>52</v>
      </c>
      <c r="D791" s="152" t="s">
        <v>560</v>
      </c>
      <c r="E791" s="92">
        <v>1</v>
      </c>
      <c r="F791" s="714" t="str">
        <f t="shared" si="113"/>
        <v>富村镇</v>
      </c>
      <c r="G791" s="92"/>
      <c r="H791" s="724">
        <v>260</v>
      </c>
      <c r="I791" s="724">
        <v>260</v>
      </c>
      <c r="J791" s="724"/>
      <c r="K791" s="724"/>
      <c r="L791" s="726">
        <v>2018.01</v>
      </c>
      <c r="M791" s="726">
        <v>2018.12</v>
      </c>
      <c r="N791" s="724">
        <v>52</v>
      </c>
      <c r="O791" s="724">
        <v>52</v>
      </c>
      <c r="P791" s="724"/>
      <c r="Q791" s="724"/>
      <c r="R791" s="724">
        <v>52</v>
      </c>
      <c r="S791" s="724"/>
      <c r="T791" s="724"/>
      <c r="U791" s="724"/>
      <c r="V791" s="724"/>
      <c r="W791" s="92"/>
      <c r="X791" s="92" t="s">
        <v>558</v>
      </c>
      <c r="Y791" s="92">
        <v>760</v>
      </c>
      <c r="Z791" s="92">
        <v>3503</v>
      </c>
      <c r="AA791" s="92">
        <v>1</v>
      </c>
      <c r="AB791" s="92"/>
      <c r="AC791" s="92"/>
      <c r="AD791" s="146" t="s">
        <v>215</v>
      </c>
      <c r="AE791" s="146" t="s">
        <v>311</v>
      </c>
      <c r="AF791" s="146" t="s">
        <v>294</v>
      </c>
      <c r="AG791" s="92"/>
    </row>
    <row r="792" s="570" customFormat="1" ht="24.95" customHeight="1" spans="1:33">
      <c r="A792" s="705"/>
      <c r="B792" s="714" t="s">
        <v>78</v>
      </c>
      <c r="C792" s="146" t="s">
        <v>52</v>
      </c>
      <c r="D792" s="152" t="s">
        <v>560</v>
      </c>
      <c r="E792" s="92">
        <v>1</v>
      </c>
      <c r="F792" s="714" t="str">
        <f t="shared" si="113"/>
        <v>黄泥河镇</v>
      </c>
      <c r="G792" s="92"/>
      <c r="H792" s="724">
        <v>50</v>
      </c>
      <c r="I792" s="724">
        <v>50</v>
      </c>
      <c r="J792" s="724"/>
      <c r="K792" s="724"/>
      <c r="L792" s="726">
        <v>2018.01</v>
      </c>
      <c r="M792" s="726">
        <v>2018.12</v>
      </c>
      <c r="N792" s="724">
        <v>10</v>
      </c>
      <c r="O792" s="724">
        <v>10</v>
      </c>
      <c r="P792" s="724"/>
      <c r="Q792" s="724"/>
      <c r="R792" s="724">
        <v>10</v>
      </c>
      <c r="S792" s="724"/>
      <c r="T792" s="724"/>
      <c r="U792" s="724"/>
      <c r="V792" s="724"/>
      <c r="W792" s="92"/>
      <c r="X792" s="92" t="s">
        <v>558</v>
      </c>
      <c r="Y792" s="92">
        <v>160</v>
      </c>
      <c r="Z792" s="92">
        <v>736</v>
      </c>
      <c r="AA792" s="92">
        <v>1</v>
      </c>
      <c r="AB792" s="92"/>
      <c r="AC792" s="92"/>
      <c r="AD792" s="146" t="s">
        <v>312</v>
      </c>
      <c r="AE792" s="146" t="s">
        <v>313</v>
      </c>
      <c r="AF792" s="146" t="s">
        <v>294</v>
      </c>
      <c r="AG792" s="92"/>
    </row>
    <row r="793" s="570" customFormat="1" ht="24.95" customHeight="1" spans="1:33">
      <c r="A793" s="705"/>
      <c r="B793" s="714" t="s">
        <v>114</v>
      </c>
      <c r="C793" s="146" t="s">
        <v>52</v>
      </c>
      <c r="D793" s="152" t="s">
        <v>560</v>
      </c>
      <c r="E793" s="92"/>
      <c r="F793" s="714" t="str">
        <f t="shared" si="113"/>
        <v>古敢乡</v>
      </c>
      <c r="G793" s="92"/>
      <c r="H793" s="724"/>
      <c r="I793" s="724"/>
      <c r="J793" s="724"/>
      <c r="K793" s="724"/>
      <c r="L793" s="726"/>
      <c r="M793" s="726"/>
      <c r="N793" s="724"/>
      <c r="O793" s="724"/>
      <c r="P793" s="724"/>
      <c r="Q793" s="724"/>
      <c r="R793" s="724"/>
      <c r="S793" s="724"/>
      <c r="T793" s="724"/>
      <c r="U793" s="724"/>
      <c r="V793" s="724"/>
      <c r="W793" s="92"/>
      <c r="X793" s="92" t="s">
        <v>558</v>
      </c>
      <c r="Y793" s="92"/>
      <c r="Z793" s="92"/>
      <c r="AA793" s="92"/>
      <c r="AB793" s="92"/>
      <c r="AC793" s="92"/>
      <c r="AD793" s="146"/>
      <c r="AE793" s="146"/>
      <c r="AF793" s="146"/>
      <c r="AG793" s="92"/>
    </row>
    <row r="794" s="570" customFormat="1" ht="24.95" customHeight="1" spans="1:33">
      <c r="A794" s="705"/>
      <c r="B794" s="714" t="s">
        <v>64</v>
      </c>
      <c r="C794" s="146" t="s">
        <v>52</v>
      </c>
      <c r="D794" s="152" t="s">
        <v>560</v>
      </c>
      <c r="E794" s="92"/>
      <c r="F794" s="714" t="str">
        <f t="shared" si="113"/>
        <v>十八连山镇</v>
      </c>
      <c r="G794" s="92"/>
      <c r="H794" s="724"/>
      <c r="I794" s="724"/>
      <c r="J794" s="724"/>
      <c r="K794" s="724"/>
      <c r="L794" s="726"/>
      <c r="M794" s="726"/>
      <c r="N794" s="724"/>
      <c r="O794" s="724"/>
      <c r="P794" s="724"/>
      <c r="Q794" s="724"/>
      <c r="R794" s="724"/>
      <c r="S794" s="724"/>
      <c r="T794" s="724"/>
      <c r="U794" s="724"/>
      <c r="V794" s="724"/>
      <c r="W794" s="92"/>
      <c r="X794" s="92" t="s">
        <v>558</v>
      </c>
      <c r="Y794" s="92"/>
      <c r="Z794" s="92"/>
      <c r="AA794" s="92"/>
      <c r="AB794" s="92"/>
      <c r="AC794" s="92"/>
      <c r="AD794" s="146"/>
      <c r="AE794" s="146"/>
      <c r="AF794" s="146"/>
      <c r="AG794" s="92"/>
    </row>
    <row r="795" s="570" customFormat="1" ht="24.95" customHeight="1" spans="1:33">
      <c r="A795" s="705"/>
      <c r="B795" s="714" t="s">
        <v>564</v>
      </c>
      <c r="C795" s="146" t="s">
        <v>52</v>
      </c>
      <c r="D795" s="152" t="s">
        <v>560</v>
      </c>
      <c r="E795" s="92">
        <v>1</v>
      </c>
      <c r="F795" s="714" t="str">
        <f t="shared" si="113"/>
        <v>富源县教育局</v>
      </c>
      <c r="G795" s="92"/>
      <c r="H795" s="724">
        <v>12267</v>
      </c>
      <c r="I795" s="724">
        <v>12267</v>
      </c>
      <c r="J795" s="724"/>
      <c r="K795" s="724"/>
      <c r="L795" s="726">
        <v>2018.01</v>
      </c>
      <c r="M795" s="726">
        <v>2018.12</v>
      </c>
      <c r="N795" s="724">
        <v>2453.4</v>
      </c>
      <c r="O795" s="724">
        <v>2453.4</v>
      </c>
      <c r="P795" s="724"/>
      <c r="Q795" s="724"/>
      <c r="R795" s="724">
        <v>2453.4</v>
      </c>
      <c r="S795" s="724"/>
      <c r="T795" s="724"/>
      <c r="U795" s="724"/>
      <c r="V795" s="724"/>
      <c r="W795" s="92"/>
      <c r="X795" s="92" t="s">
        <v>558</v>
      </c>
      <c r="Y795" s="92"/>
      <c r="Z795" s="92"/>
      <c r="AA795" s="92">
        <v>1</v>
      </c>
      <c r="AB795" s="92"/>
      <c r="AC795" s="92"/>
      <c r="AD795" s="146" t="s">
        <v>296</v>
      </c>
      <c r="AE795" s="146" t="s">
        <v>561</v>
      </c>
      <c r="AF795" s="146" t="s">
        <v>294</v>
      </c>
      <c r="AG795" s="92"/>
    </row>
    <row r="796" s="570" customFormat="1" ht="24.95" customHeight="1" spans="1:33">
      <c r="A796" s="705"/>
      <c r="B796" s="802" t="s">
        <v>565</v>
      </c>
      <c r="C796" s="146" t="s">
        <v>52</v>
      </c>
      <c r="D796" s="152" t="s">
        <v>509</v>
      </c>
      <c r="E796" s="92">
        <f>SUM(E797:E809)</f>
        <v>165</v>
      </c>
      <c r="F796" s="92"/>
      <c r="G796" s="92"/>
      <c r="H796" s="724">
        <f t="shared" ref="F796:AA796" si="114">SUM(H797:H809)</f>
        <v>165</v>
      </c>
      <c r="I796" s="724">
        <f t="shared" si="114"/>
        <v>165</v>
      </c>
      <c r="J796" s="724">
        <f t="shared" si="114"/>
        <v>0</v>
      </c>
      <c r="K796" s="724">
        <f t="shared" si="114"/>
        <v>0</v>
      </c>
      <c r="L796" s="724"/>
      <c r="M796" s="724"/>
      <c r="N796" s="724">
        <f t="shared" si="114"/>
        <v>3323.348</v>
      </c>
      <c r="O796" s="724">
        <f t="shared" si="114"/>
        <v>3323.348</v>
      </c>
      <c r="P796" s="724">
        <f t="shared" si="114"/>
        <v>0</v>
      </c>
      <c r="Q796" s="724">
        <f t="shared" si="114"/>
        <v>0</v>
      </c>
      <c r="R796" s="724">
        <f t="shared" si="114"/>
        <v>3323.348</v>
      </c>
      <c r="S796" s="724">
        <f t="shared" si="114"/>
        <v>0</v>
      </c>
      <c r="T796" s="724">
        <f t="shared" si="114"/>
        <v>0</v>
      </c>
      <c r="U796" s="724">
        <f t="shared" si="114"/>
        <v>0</v>
      </c>
      <c r="V796" s="724">
        <f t="shared" si="114"/>
        <v>0</v>
      </c>
      <c r="W796" s="92"/>
      <c r="X796" s="92" t="s">
        <v>558</v>
      </c>
      <c r="Y796" s="92">
        <f t="shared" si="114"/>
        <v>6753</v>
      </c>
      <c r="Z796" s="92">
        <f t="shared" si="114"/>
        <v>30430</v>
      </c>
      <c r="AA796" s="92">
        <f t="shared" si="114"/>
        <v>165</v>
      </c>
      <c r="AB796" s="92"/>
      <c r="AC796" s="92"/>
      <c r="AD796" s="146" t="s">
        <v>296</v>
      </c>
      <c r="AE796" s="146" t="s">
        <v>561</v>
      </c>
      <c r="AF796" s="146" t="s">
        <v>294</v>
      </c>
      <c r="AG796" s="92"/>
    </row>
    <row r="797" s="570" customFormat="1" ht="24.95" customHeight="1" spans="1:33">
      <c r="A797" s="705"/>
      <c r="B797" s="97" t="s">
        <v>69</v>
      </c>
      <c r="C797" s="146" t="s">
        <v>52</v>
      </c>
      <c r="D797" s="152" t="s">
        <v>509</v>
      </c>
      <c r="E797" s="92">
        <v>15</v>
      </c>
      <c r="F797" s="97" t="str">
        <f t="shared" si="113"/>
        <v>中安街道</v>
      </c>
      <c r="G797" s="92"/>
      <c r="H797" s="724">
        <v>15</v>
      </c>
      <c r="I797" s="724">
        <v>15</v>
      </c>
      <c r="J797" s="724"/>
      <c r="K797" s="724"/>
      <c r="L797" s="726">
        <v>2018.01</v>
      </c>
      <c r="M797" s="726">
        <v>2018.12</v>
      </c>
      <c r="N797" s="724">
        <v>335.6</v>
      </c>
      <c r="O797" s="724">
        <v>335.6</v>
      </c>
      <c r="P797" s="724"/>
      <c r="Q797" s="724"/>
      <c r="R797" s="724">
        <v>335.6</v>
      </c>
      <c r="S797" s="724"/>
      <c r="T797" s="724"/>
      <c r="U797" s="724"/>
      <c r="V797" s="724"/>
      <c r="W797" s="92"/>
      <c r="X797" s="92" t="s">
        <v>558</v>
      </c>
      <c r="Y797" s="92"/>
      <c r="Z797" s="92"/>
      <c r="AA797" s="92">
        <v>15</v>
      </c>
      <c r="AB797" s="92"/>
      <c r="AC797" s="92"/>
      <c r="AD797" s="146" t="s">
        <v>298</v>
      </c>
      <c r="AE797" s="146" t="s">
        <v>299</v>
      </c>
      <c r="AF797" s="146" t="s">
        <v>294</v>
      </c>
      <c r="AG797" s="92"/>
    </row>
    <row r="798" s="570" customFormat="1" ht="24.95" customHeight="1" spans="1:33">
      <c r="A798" s="705"/>
      <c r="B798" s="803" t="s">
        <v>51</v>
      </c>
      <c r="C798" s="146" t="s">
        <v>52</v>
      </c>
      <c r="D798" s="152" t="s">
        <v>509</v>
      </c>
      <c r="E798" s="92">
        <v>14</v>
      </c>
      <c r="F798" s="803" t="str">
        <f t="shared" si="113"/>
        <v>胜境街道</v>
      </c>
      <c r="G798" s="92"/>
      <c r="H798" s="724">
        <v>14</v>
      </c>
      <c r="I798" s="724">
        <v>14</v>
      </c>
      <c r="J798" s="724"/>
      <c r="K798" s="724"/>
      <c r="L798" s="726">
        <v>2018.01</v>
      </c>
      <c r="M798" s="726">
        <v>2018.12</v>
      </c>
      <c r="N798" s="724">
        <v>305.96</v>
      </c>
      <c r="O798" s="724">
        <v>305.96</v>
      </c>
      <c r="P798" s="724"/>
      <c r="Q798" s="724"/>
      <c r="R798" s="724">
        <v>305.96</v>
      </c>
      <c r="S798" s="724"/>
      <c r="T798" s="724"/>
      <c r="U798" s="724"/>
      <c r="V798" s="724"/>
      <c r="W798" s="92"/>
      <c r="X798" s="92" t="s">
        <v>558</v>
      </c>
      <c r="Y798" s="92"/>
      <c r="Z798" s="92"/>
      <c r="AA798" s="92">
        <v>14</v>
      </c>
      <c r="AB798" s="92"/>
      <c r="AC798" s="92"/>
      <c r="AD798" s="146" t="s">
        <v>639</v>
      </c>
      <c r="AE798" s="146" t="s">
        <v>301</v>
      </c>
      <c r="AF798" s="146" t="s">
        <v>294</v>
      </c>
      <c r="AG798" s="92"/>
    </row>
    <row r="799" s="570" customFormat="1" ht="24.95" customHeight="1" spans="1:33">
      <c r="A799" s="705"/>
      <c r="B799" s="803" t="s">
        <v>72</v>
      </c>
      <c r="C799" s="146" t="s">
        <v>52</v>
      </c>
      <c r="D799" s="152" t="s">
        <v>509</v>
      </c>
      <c r="E799" s="92">
        <v>4</v>
      </c>
      <c r="F799" s="803" t="str">
        <f t="shared" si="113"/>
        <v>后所镇</v>
      </c>
      <c r="G799" s="92"/>
      <c r="H799" s="724">
        <v>4</v>
      </c>
      <c r="I799" s="724">
        <v>4</v>
      </c>
      <c r="J799" s="724"/>
      <c r="K799" s="724"/>
      <c r="L799" s="726">
        <v>2018.01</v>
      </c>
      <c r="M799" s="726">
        <v>2018.12</v>
      </c>
      <c r="N799" s="724">
        <v>182</v>
      </c>
      <c r="O799" s="724">
        <v>182</v>
      </c>
      <c r="P799" s="724"/>
      <c r="Q799" s="724"/>
      <c r="R799" s="724">
        <v>182</v>
      </c>
      <c r="S799" s="724"/>
      <c r="T799" s="724"/>
      <c r="U799" s="724"/>
      <c r="V799" s="724"/>
      <c r="W799" s="92"/>
      <c r="X799" s="92" t="s">
        <v>558</v>
      </c>
      <c r="Y799" s="92"/>
      <c r="Z799" s="92"/>
      <c r="AA799" s="92">
        <v>4</v>
      </c>
      <c r="AB799" s="92"/>
      <c r="AC799" s="92"/>
      <c r="AD799" s="146" t="s">
        <v>247</v>
      </c>
      <c r="AE799" s="146" t="s">
        <v>302</v>
      </c>
      <c r="AF799" s="146" t="s">
        <v>294</v>
      </c>
      <c r="AG799" s="92"/>
    </row>
    <row r="800" s="570" customFormat="1" ht="24.95" customHeight="1" spans="1:33">
      <c r="A800" s="705"/>
      <c r="B800" s="803" t="s">
        <v>91</v>
      </c>
      <c r="C800" s="146" t="s">
        <v>52</v>
      </c>
      <c r="D800" s="152" t="s">
        <v>509</v>
      </c>
      <c r="E800" s="92">
        <v>7</v>
      </c>
      <c r="F800" s="803" t="str">
        <f t="shared" si="113"/>
        <v>墨红镇</v>
      </c>
      <c r="G800" s="92"/>
      <c r="H800" s="724">
        <v>7</v>
      </c>
      <c r="I800" s="724">
        <v>7</v>
      </c>
      <c r="J800" s="724"/>
      <c r="K800" s="724"/>
      <c r="L800" s="726">
        <v>2018.01</v>
      </c>
      <c r="M800" s="726">
        <v>2018.12</v>
      </c>
      <c r="N800" s="724">
        <v>122.36</v>
      </c>
      <c r="O800" s="724">
        <v>122.36</v>
      </c>
      <c r="P800" s="724"/>
      <c r="Q800" s="724"/>
      <c r="R800" s="724">
        <v>122.36</v>
      </c>
      <c r="S800" s="724"/>
      <c r="T800" s="724"/>
      <c r="U800" s="724"/>
      <c r="V800" s="724"/>
      <c r="W800" s="92"/>
      <c r="X800" s="92" t="s">
        <v>558</v>
      </c>
      <c r="Y800" s="92"/>
      <c r="Z800" s="92"/>
      <c r="AA800" s="92">
        <v>7</v>
      </c>
      <c r="AB800" s="92"/>
      <c r="AC800" s="92"/>
      <c r="AD800" s="146" t="s">
        <v>375</v>
      </c>
      <c r="AE800" s="146" t="s">
        <v>304</v>
      </c>
      <c r="AF800" s="146" t="s">
        <v>294</v>
      </c>
      <c r="AG800" s="92"/>
    </row>
    <row r="801" s="570" customFormat="1" ht="24.95" customHeight="1" spans="1:33">
      <c r="A801" s="705"/>
      <c r="B801" s="803" t="s">
        <v>55</v>
      </c>
      <c r="C801" s="146" t="s">
        <v>52</v>
      </c>
      <c r="D801" s="152" t="s">
        <v>509</v>
      </c>
      <c r="E801" s="92">
        <v>8</v>
      </c>
      <c r="F801" s="803" t="str">
        <f t="shared" si="113"/>
        <v>大河镇</v>
      </c>
      <c r="G801" s="92"/>
      <c r="H801" s="724">
        <v>8</v>
      </c>
      <c r="I801" s="724">
        <v>8</v>
      </c>
      <c r="J801" s="724"/>
      <c r="K801" s="724"/>
      <c r="L801" s="726">
        <v>2018.01</v>
      </c>
      <c r="M801" s="726">
        <v>2018.12</v>
      </c>
      <c r="N801" s="724">
        <v>178.284</v>
      </c>
      <c r="O801" s="724">
        <v>178.284</v>
      </c>
      <c r="P801" s="724"/>
      <c r="Q801" s="724"/>
      <c r="R801" s="724">
        <v>178.284</v>
      </c>
      <c r="S801" s="724"/>
      <c r="T801" s="724"/>
      <c r="U801" s="724"/>
      <c r="V801" s="724"/>
      <c r="W801" s="92"/>
      <c r="X801" s="92" t="s">
        <v>558</v>
      </c>
      <c r="Y801" s="92"/>
      <c r="Z801" s="92"/>
      <c r="AA801" s="92">
        <v>8</v>
      </c>
      <c r="AB801" s="92"/>
      <c r="AC801" s="92"/>
      <c r="AD801" s="146" t="s">
        <v>305</v>
      </c>
      <c r="AE801" s="146" t="s">
        <v>306</v>
      </c>
      <c r="AF801" s="146" t="s">
        <v>294</v>
      </c>
      <c r="AG801" s="92"/>
    </row>
    <row r="802" s="570" customFormat="1" ht="24.95" customHeight="1" spans="1:33">
      <c r="A802" s="705"/>
      <c r="B802" s="803" t="s">
        <v>75</v>
      </c>
      <c r="C802" s="146" t="s">
        <v>52</v>
      </c>
      <c r="D802" s="152" t="s">
        <v>509</v>
      </c>
      <c r="E802" s="92">
        <v>21</v>
      </c>
      <c r="F802" s="803" t="str">
        <f t="shared" si="113"/>
        <v>营上镇</v>
      </c>
      <c r="G802" s="92"/>
      <c r="H802" s="724">
        <v>21</v>
      </c>
      <c r="I802" s="724">
        <v>21</v>
      </c>
      <c r="J802" s="724"/>
      <c r="K802" s="724"/>
      <c r="L802" s="726">
        <v>2018.01</v>
      </c>
      <c r="M802" s="726">
        <v>2018.12</v>
      </c>
      <c r="N802" s="724">
        <v>248.436</v>
      </c>
      <c r="O802" s="724">
        <v>248.436</v>
      </c>
      <c r="P802" s="724"/>
      <c r="Q802" s="724"/>
      <c r="R802" s="724">
        <v>248.436</v>
      </c>
      <c r="S802" s="724"/>
      <c r="T802" s="724"/>
      <c r="U802" s="724"/>
      <c r="V802" s="724"/>
      <c r="W802" s="92"/>
      <c r="X802" s="92" t="s">
        <v>558</v>
      </c>
      <c r="Y802" s="92">
        <v>1222</v>
      </c>
      <c r="Z802" s="92">
        <v>5495</v>
      </c>
      <c r="AA802" s="92">
        <v>21</v>
      </c>
      <c r="AB802" s="92"/>
      <c r="AC802" s="92"/>
      <c r="AD802" s="146" t="s">
        <v>562</v>
      </c>
      <c r="AE802" s="146" t="s">
        <v>308</v>
      </c>
      <c r="AF802" s="146" t="s">
        <v>294</v>
      </c>
      <c r="AG802" s="92"/>
    </row>
    <row r="803" s="570" customFormat="1" ht="24.95" customHeight="1" spans="1:33">
      <c r="A803" s="705"/>
      <c r="B803" s="803" t="s">
        <v>58</v>
      </c>
      <c r="C803" s="146" t="s">
        <v>52</v>
      </c>
      <c r="D803" s="152" t="s">
        <v>509</v>
      </c>
      <c r="E803" s="92">
        <v>4</v>
      </c>
      <c r="F803" s="803" t="str">
        <f t="shared" si="113"/>
        <v>竹园镇</v>
      </c>
      <c r="G803" s="92"/>
      <c r="H803" s="724">
        <v>4</v>
      </c>
      <c r="I803" s="724">
        <v>4</v>
      </c>
      <c r="J803" s="724"/>
      <c r="K803" s="724"/>
      <c r="L803" s="726">
        <v>2018.01</v>
      </c>
      <c r="M803" s="726">
        <v>2018.12</v>
      </c>
      <c r="N803" s="724">
        <v>33.48</v>
      </c>
      <c r="O803" s="724">
        <v>33.48</v>
      </c>
      <c r="P803" s="724"/>
      <c r="Q803" s="724"/>
      <c r="R803" s="724">
        <v>33.48</v>
      </c>
      <c r="S803" s="724"/>
      <c r="T803" s="724"/>
      <c r="U803" s="724"/>
      <c r="V803" s="724"/>
      <c r="W803" s="92"/>
      <c r="X803" s="92" t="s">
        <v>558</v>
      </c>
      <c r="Y803" s="92">
        <v>319</v>
      </c>
      <c r="Z803" s="92">
        <v>1353</v>
      </c>
      <c r="AA803" s="92">
        <v>4</v>
      </c>
      <c r="AB803" s="92"/>
      <c r="AC803" s="92"/>
      <c r="AD803" s="146" t="s">
        <v>309</v>
      </c>
      <c r="AE803" s="146" t="s">
        <v>310</v>
      </c>
      <c r="AF803" s="146" t="s">
        <v>294</v>
      </c>
      <c r="AG803" s="92"/>
    </row>
    <row r="804" s="570" customFormat="1" ht="24.95" customHeight="1" spans="1:33">
      <c r="A804" s="705"/>
      <c r="B804" s="803" t="s">
        <v>61</v>
      </c>
      <c r="C804" s="146" t="s">
        <v>52</v>
      </c>
      <c r="D804" s="152" t="s">
        <v>509</v>
      </c>
      <c r="E804" s="92">
        <v>47</v>
      </c>
      <c r="F804" s="803" t="str">
        <f t="shared" si="113"/>
        <v>富村镇</v>
      </c>
      <c r="G804" s="92"/>
      <c r="H804" s="724">
        <v>47</v>
      </c>
      <c r="I804" s="724">
        <v>47</v>
      </c>
      <c r="J804" s="724"/>
      <c r="K804" s="724"/>
      <c r="L804" s="726">
        <v>2018.01</v>
      </c>
      <c r="M804" s="726">
        <v>2018.12</v>
      </c>
      <c r="N804" s="724">
        <v>927.948</v>
      </c>
      <c r="O804" s="724">
        <v>927.948</v>
      </c>
      <c r="P804" s="724"/>
      <c r="Q804" s="724"/>
      <c r="R804" s="724">
        <v>927.948</v>
      </c>
      <c r="S804" s="724"/>
      <c r="T804" s="724"/>
      <c r="U804" s="724"/>
      <c r="V804" s="724"/>
      <c r="W804" s="92"/>
      <c r="X804" s="92" t="s">
        <v>558</v>
      </c>
      <c r="Y804" s="92">
        <v>3114</v>
      </c>
      <c r="Z804" s="92">
        <v>13984</v>
      </c>
      <c r="AA804" s="92">
        <v>47</v>
      </c>
      <c r="AB804" s="92"/>
      <c r="AC804" s="92"/>
      <c r="AD804" s="146" t="s">
        <v>215</v>
      </c>
      <c r="AE804" s="146" t="s">
        <v>311</v>
      </c>
      <c r="AF804" s="146" t="s">
        <v>294</v>
      </c>
      <c r="AG804" s="92"/>
    </row>
    <row r="805" s="570" customFormat="1" ht="24.95" customHeight="1" spans="1:33">
      <c r="A805" s="705"/>
      <c r="B805" s="803" t="s">
        <v>78</v>
      </c>
      <c r="C805" s="146" t="s">
        <v>52</v>
      </c>
      <c r="D805" s="152" t="s">
        <v>509</v>
      </c>
      <c r="E805" s="92">
        <v>11</v>
      </c>
      <c r="F805" s="803" t="str">
        <f t="shared" si="113"/>
        <v>黄泥河镇</v>
      </c>
      <c r="G805" s="92"/>
      <c r="H805" s="724">
        <v>11</v>
      </c>
      <c r="I805" s="724">
        <v>11</v>
      </c>
      <c r="J805" s="724"/>
      <c r="K805" s="724"/>
      <c r="L805" s="726">
        <v>2018.01</v>
      </c>
      <c r="M805" s="726">
        <v>2018.12</v>
      </c>
      <c r="N805" s="724">
        <v>230.4</v>
      </c>
      <c r="O805" s="724">
        <v>230.4</v>
      </c>
      <c r="P805" s="724"/>
      <c r="Q805" s="724"/>
      <c r="R805" s="724">
        <v>230.4</v>
      </c>
      <c r="S805" s="724"/>
      <c r="T805" s="724"/>
      <c r="U805" s="724"/>
      <c r="V805" s="724"/>
      <c r="W805" s="92"/>
      <c r="X805" s="92" t="s">
        <v>558</v>
      </c>
      <c r="Y805" s="92">
        <v>1001</v>
      </c>
      <c r="Z805" s="92">
        <v>4543</v>
      </c>
      <c r="AA805" s="92">
        <v>11</v>
      </c>
      <c r="AB805" s="92"/>
      <c r="AC805" s="92"/>
      <c r="AD805" s="146" t="s">
        <v>312</v>
      </c>
      <c r="AE805" s="146" t="s">
        <v>313</v>
      </c>
      <c r="AF805" s="146" t="s">
        <v>294</v>
      </c>
      <c r="AG805" s="92"/>
    </row>
    <row r="806" s="570" customFormat="1" ht="24.95" customHeight="1" spans="1:33">
      <c r="A806" s="705"/>
      <c r="B806" s="803" t="s">
        <v>114</v>
      </c>
      <c r="C806" s="146" t="s">
        <v>52</v>
      </c>
      <c r="D806" s="152" t="s">
        <v>509</v>
      </c>
      <c r="E806" s="92">
        <v>8</v>
      </c>
      <c r="F806" s="803" t="str">
        <f t="shared" si="113"/>
        <v>古敢乡</v>
      </c>
      <c r="G806" s="92"/>
      <c r="H806" s="724">
        <v>8</v>
      </c>
      <c r="I806" s="724">
        <v>8</v>
      </c>
      <c r="J806" s="724"/>
      <c r="K806" s="724"/>
      <c r="L806" s="726">
        <v>2018.01</v>
      </c>
      <c r="M806" s="726">
        <v>2018.12</v>
      </c>
      <c r="N806" s="724">
        <v>114.2</v>
      </c>
      <c r="O806" s="724">
        <v>114.2</v>
      </c>
      <c r="P806" s="724"/>
      <c r="Q806" s="724"/>
      <c r="R806" s="724">
        <v>114.2</v>
      </c>
      <c r="S806" s="724"/>
      <c r="T806" s="724"/>
      <c r="U806" s="724"/>
      <c r="V806" s="724"/>
      <c r="W806" s="92"/>
      <c r="X806" s="92" t="s">
        <v>558</v>
      </c>
      <c r="Y806" s="92"/>
      <c r="Z806" s="92"/>
      <c r="AA806" s="92">
        <v>8</v>
      </c>
      <c r="AB806" s="92"/>
      <c r="AC806" s="92"/>
      <c r="AD806" s="146" t="s">
        <v>315</v>
      </c>
      <c r="AE806" s="146" t="s">
        <v>316</v>
      </c>
      <c r="AF806" s="146" t="s">
        <v>294</v>
      </c>
      <c r="AG806" s="92"/>
    </row>
    <row r="807" s="570" customFormat="1" ht="24.95" customHeight="1" spans="1:33">
      <c r="A807" s="705"/>
      <c r="B807" s="803" t="s">
        <v>64</v>
      </c>
      <c r="C807" s="146" t="s">
        <v>52</v>
      </c>
      <c r="D807" s="152" t="s">
        <v>509</v>
      </c>
      <c r="E807" s="92">
        <v>7</v>
      </c>
      <c r="F807" s="803" t="str">
        <f t="shared" si="113"/>
        <v>十八连山镇</v>
      </c>
      <c r="G807" s="92"/>
      <c r="H807" s="724">
        <v>7</v>
      </c>
      <c r="I807" s="724">
        <v>7</v>
      </c>
      <c r="J807" s="724"/>
      <c r="K807" s="724"/>
      <c r="L807" s="726">
        <v>2018.01</v>
      </c>
      <c r="M807" s="726">
        <v>2018.12</v>
      </c>
      <c r="N807" s="724">
        <v>159.6</v>
      </c>
      <c r="O807" s="724">
        <v>159.6</v>
      </c>
      <c r="P807" s="724"/>
      <c r="Q807" s="724"/>
      <c r="R807" s="724">
        <v>159.6</v>
      </c>
      <c r="S807" s="724"/>
      <c r="T807" s="724"/>
      <c r="U807" s="724"/>
      <c r="V807" s="724"/>
      <c r="W807" s="92"/>
      <c r="X807" s="92" t="s">
        <v>558</v>
      </c>
      <c r="Y807" s="92">
        <v>559</v>
      </c>
      <c r="Z807" s="92">
        <v>2403</v>
      </c>
      <c r="AA807" s="92">
        <v>7</v>
      </c>
      <c r="AB807" s="92"/>
      <c r="AC807" s="92"/>
      <c r="AD807" s="146" t="s">
        <v>185</v>
      </c>
      <c r="AE807" s="146" t="s">
        <v>563</v>
      </c>
      <c r="AF807" s="146" t="s">
        <v>294</v>
      </c>
      <c r="AG807" s="92"/>
    </row>
    <row r="808" s="570" customFormat="1" ht="24.95" customHeight="1" spans="1:33">
      <c r="A808" s="705"/>
      <c r="B808" s="803" t="s">
        <v>92</v>
      </c>
      <c r="C808" s="146" t="s">
        <v>52</v>
      </c>
      <c r="D808" s="152" t="s">
        <v>509</v>
      </c>
      <c r="E808" s="92">
        <v>19</v>
      </c>
      <c r="F808" s="803" t="str">
        <f t="shared" si="113"/>
        <v>老厂镇</v>
      </c>
      <c r="G808" s="92"/>
      <c r="H808" s="724">
        <v>19</v>
      </c>
      <c r="I808" s="724">
        <v>19</v>
      </c>
      <c r="J808" s="724"/>
      <c r="K808" s="724"/>
      <c r="L808" s="726">
        <v>2018.01</v>
      </c>
      <c r="M808" s="726">
        <v>2018.12</v>
      </c>
      <c r="N808" s="724">
        <v>485.08</v>
      </c>
      <c r="O808" s="724">
        <v>485.08</v>
      </c>
      <c r="P808" s="724"/>
      <c r="Q808" s="724"/>
      <c r="R808" s="724">
        <v>485.08</v>
      </c>
      <c r="S808" s="724"/>
      <c r="T808" s="724"/>
      <c r="U808" s="724"/>
      <c r="V808" s="724"/>
      <c r="W808" s="92"/>
      <c r="X808" s="92" t="s">
        <v>558</v>
      </c>
      <c r="Y808" s="92">
        <v>538</v>
      </c>
      <c r="Z808" s="92">
        <v>2652</v>
      </c>
      <c r="AA808" s="92">
        <v>19</v>
      </c>
      <c r="AB808" s="92"/>
      <c r="AC808" s="92"/>
      <c r="AD808" s="146" t="s">
        <v>317</v>
      </c>
      <c r="AE808" s="146" t="s">
        <v>318</v>
      </c>
      <c r="AF808" s="146" t="s">
        <v>294</v>
      </c>
      <c r="AG808" s="92"/>
    </row>
    <row r="809" s="570" customFormat="1" ht="24.95" customHeight="1" spans="1:33">
      <c r="A809" s="705"/>
      <c r="B809" s="803" t="s">
        <v>564</v>
      </c>
      <c r="C809" s="146" t="s">
        <v>52</v>
      </c>
      <c r="D809" s="152" t="s">
        <v>509</v>
      </c>
      <c r="E809" s="92"/>
      <c r="F809" s="803" t="str">
        <f t="shared" si="113"/>
        <v>富源县教育局</v>
      </c>
      <c r="G809" s="92"/>
      <c r="H809" s="724"/>
      <c r="I809" s="724"/>
      <c r="J809" s="724"/>
      <c r="K809" s="724"/>
      <c r="L809" s="726"/>
      <c r="M809" s="726"/>
      <c r="N809" s="724"/>
      <c r="O809" s="724"/>
      <c r="P809" s="724"/>
      <c r="Q809" s="724"/>
      <c r="R809" s="724"/>
      <c r="S809" s="724"/>
      <c r="T809" s="724"/>
      <c r="U809" s="724"/>
      <c r="V809" s="724"/>
      <c r="W809" s="92"/>
      <c r="X809" s="92" t="s">
        <v>558</v>
      </c>
      <c r="Y809" s="92"/>
      <c r="Z809" s="92"/>
      <c r="AA809" s="92"/>
      <c r="AB809" s="92"/>
      <c r="AC809" s="92"/>
      <c r="AD809" s="146"/>
      <c r="AE809" s="146"/>
      <c r="AF809" s="146"/>
      <c r="AG809" s="92"/>
    </row>
    <row r="810" s="570" customFormat="1" ht="24.95" customHeight="1" spans="1:33">
      <c r="A810" s="705"/>
      <c r="B810" s="802" t="s">
        <v>566</v>
      </c>
      <c r="C810" s="712" t="s">
        <v>52</v>
      </c>
      <c r="D810" s="152" t="s">
        <v>509</v>
      </c>
      <c r="E810" s="92">
        <f>SUM(E811:E823)</f>
        <v>474</v>
      </c>
      <c r="F810" s="92"/>
      <c r="G810" s="92"/>
      <c r="H810" s="724">
        <f t="shared" ref="F810:AA810" si="115">SUM(H811:H823)</f>
        <v>474</v>
      </c>
      <c r="I810" s="724">
        <f t="shared" si="115"/>
        <v>474</v>
      </c>
      <c r="J810" s="724">
        <f t="shared" si="115"/>
        <v>0</v>
      </c>
      <c r="K810" s="724">
        <f t="shared" si="115"/>
        <v>0</v>
      </c>
      <c r="L810" s="724"/>
      <c r="M810" s="724"/>
      <c r="N810" s="724">
        <f t="shared" si="115"/>
        <v>5789.9475</v>
      </c>
      <c r="O810" s="724">
        <f t="shared" si="115"/>
        <v>5789.9475</v>
      </c>
      <c r="P810" s="724">
        <f t="shared" si="115"/>
        <v>0</v>
      </c>
      <c r="Q810" s="724">
        <f t="shared" si="115"/>
        <v>0</v>
      </c>
      <c r="R810" s="724">
        <f t="shared" si="115"/>
        <v>5789.9475</v>
      </c>
      <c r="S810" s="724">
        <f t="shared" si="115"/>
        <v>0</v>
      </c>
      <c r="T810" s="724">
        <f t="shared" si="115"/>
        <v>0</v>
      </c>
      <c r="U810" s="724">
        <f t="shared" si="115"/>
        <v>0</v>
      </c>
      <c r="V810" s="724">
        <f t="shared" si="115"/>
        <v>0</v>
      </c>
      <c r="W810" s="92"/>
      <c r="X810" s="92" t="s">
        <v>558</v>
      </c>
      <c r="Y810" s="92">
        <f t="shared" si="115"/>
        <v>23032</v>
      </c>
      <c r="Z810" s="92">
        <f t="shared" si="115"/>
        <v>94092</v>
      </c>
      <c r="AA810" s="92">
        <f t="shared" si="115"/>
        <v>474</v>
      </c>
      <c r="AB810" s="92"/>
      <c r="AC810" s="92"/>
      <c r="AD810" s="146" t="s">
        <v>296</v>
      </c>
      <c r="AE810" s="146" t="s">
        <v>561</v>
      </c>
      <c r="AF810" s="146" t="s">
        <v>294</v>
      </c>
      <c r="AG810" s="92"/>
    </row>
    <row r="811" s="570" customFormat="1" ht="24.95" customHeight="1" spans="1:33">
      <c r="A811" s="705"/>
      <c r="B811" s="714" t="s">
        <v>69</v>
      </c>
      <c r="C811" s="712" t="s">
        <v>52</v>
      </c>
      <c r="D811" s="152" t="s">
        <v>509</v>
      </c>
      <c r="E811" s="92">
        <v>29</v>
      </c>
      <c r="F811" s="714" t="str">
        <f t="shared" si="113"/>
        <v>中安街道</v>
      </c>
      <c r="G811" s="92"/>
      <c r="H811" s="724">
        <v>29</v>
      </c>
      <c r="I811" s="724">
        <v>29</v>
      </c>
      <c r="J811" s="724"/>
      <c r="K811" s="724"/>
      <c r="L811" s="726">
        <v>2018.01</v>
      </c>
      <c r="M811" s="726">
        <v>2018.12</v>
      </c>
      <c r="N811" s="724">
        <v>262.915</v>
      </c>
      <c r="O811" s="724">
        <v>262.915</v>
      </c>
      <c r="P811" s="724"/>
      <c r="Q811" s="724"/>
      <c r="R811" s="724">
        <v>262.915</v>
      </c>
      <c r="S811" s="724"/>
      <c r="T811" s="724"/>
      <c r="U811" s="724"/>
      <c r="V811" s="724"/>
      <c r="W811" s="92"/>
      <c r="X811" s="92" t="s">
        <v>558</v>
      </c>
      <c r="Y811" s="92">
        <v>2369</v>
      </c>
      <c r="Z811" s="92">
        <v>9907</v>
      </c>
      <c r="AA811" s="92">
        <v>29</v>
      </c>
      <c r="AB811" s="92"/>
      <c r="AC811" s="92"/>
      <c r="AD811" s="146" t="s">
        <v>298</v>
      </c>
      <c r="AE811" s="146" t="s">
        <v>299</v>
      </c>
      <c r="AF811" s="146" t="s">
        <v>294</v>
      </c>
      <c r="AG811" s="92"/>
    </row>
    <row r="812" s="570" customFormat="1" ht="24.95" customHeight="1" spans="1:33">
      <c r="A812" s="705"/>
      <c r="B812" s="803" t="s">
        <v>51</v>
      </c>
      <c r="C812" s="712" t="s">
        <v>52</v>
      </c>
      <c r="D812" s="152" t="s">
        <v>509</v>
      </c>
      <c r="E812" s="92">
        <v>24</v>
      </c>
      <c r="F812" s="803" t="str">
        <f t="shared" si="113"/>
        <v>胜境街道</v>
      </c>
      <c r="G812" s="92"/>
      <c r="H812" s="724">
        <v>24</v>
      </c>
      <c r="I812" s="724">
        <v>24</v>
      </c>
      <c r="J812" s="724"/>
      <c r="K812" s="724"/>
      <c r="L812" s="726">
        <v>2018.01</v>
      </c>
      <c r="M812" s="726">
        <v>2018.12</v>
      </c>
      <c r="N812" s="724">
        <v>256.2125</v>
      </c>
      <c r="O812" s="724">
        <v>256.2125</v>
      </c>
      <c r="P812" s="724"/>
      <c r="Q812" s="724"/>
      <c r="R812" s="724">
        <v>256.2125</v>
      </c>
      <c r="S812" s="724"/>
      <c r="T812" s="724"/>
      <c r="U812" s="724"/>
      <c r="V812" s="724"/>
      <c r="W812" s="92"/>
      <c r="X812" s="92" t="s">
        <v>558</v>
      </c>
      <c r="Y812" s="92">
        <v>1777</v>
      </c>
      <c r="Z812" s="92">
        <v>7153</v>
      </c>
      <c r="AA812" s="92">
        <v>24</v>
      </c>
      <c r="AB812" s="92"/>
      <c r="AC812" s="92"/>
      <c r="AD812" s="146" t="s">
        <v>639</v>
      </c>
      <c r="AE812" s="146" t="s">
        <v>301</v>
      </c>
      <c r="AF812" s="146" t="s">
        <v>294</v>
      </c>
      <c r="AG812" s="92"/>
    </row>
    <row r="813" s="570" customFormat="1" ht="24.95" customHeight="1" spans="1:33">
      <c r="A813" s="705"/>
      <c r="B813" s="803" t="s">
        <v>72</v>
      </c>
      <c r="C813" s="712" t="s">
        <v>52</v>
      </c>
      <c r="D813" s="152" t="s">
        <v>509</v>
      </c>
      <c r="E813" s="92">
        <v>35</v>
      </c>
      <c r="F813" s="803" t="str">
        <f t="shared" si="113"/>
        <v>后所镇</v>
      </c>
      <c r="G813" s="92"/>
      <c r="H813" s="724">
        <v>35</v>
      </c>
      <c r="I813" s="724">
        <v>35</v>
      </c>
      <c r="J813" s="724"/>
      <c r="K813" s="724"/>
      <c r="L813" s="726">
        <v>2018.01</v>
      </c>
      <c r="M813" s="726">
        <v>2018.12</v>
      </c>
      <c r="N813" s="724">
        <v>445.37</v>
      </c>
      <c r="O813" s="724">
        <v>445.37</v>
      </c>
      <c r="P813" s="724"/>
      <c r="Q813" s="724"/>
      <c r="R813" s="724">
        <v>445.37</v>
      </c>
      <c r="S813" s="724"/>
      <c r="T813" s="724"/>
      <c r="U813" s="724"/>
      <c r="V813" s="724"/>
      <c r="W813" s="92"/>
      <c r="X813" s="92" t="s">
        <v>558</v>
      </c>
      <c r="Y813" s="92">
        <v>2972</v>
      </c>
      <c r="Z813" s="92">
        <v>10065</v>
      </c>
      <c r="AA813" s="92">
        <v>35</v>
      </c>
      <c r="AB813" s="92"/>
      <c r="AC813" s="92"/>
      <c r="AD813" s="146" t="s">
        <v>247</v>
      </c>
      <c r="AE813" s="146" t="s">
        <v>302</v>
      </c>
      <c r="AF813" s="146" t="s">
        <v>294</v>
      </c>
      <c r="AG813" s="92"/>
    </row>
    <row r="814" s="570" customFormat="1" ht="24.95" customHeight="1" spans="1:33">
      <c r="A814" s="705"/>
      <c r="B814" s="803" t="s">
        <v>91</v>
      </c>
      <c r="C814" s="712" t="s">
        <v>52</v>
      </c>
      <c r="D814" s="152" t="s">
        <v>509</v>
      </c>
      <c r="E814" s="92">
        <v>43</v>
      </c>
      <c r="F814" s="803" t="str">
        <f t="shared" si="113"/>
        <v>墨红镇</v>
      </c>
      <c r="G814" s="92"/>
      <c r="H814" s="724">
        <v>43</v>
      </c>
      <c r="I814" s="724">
        <v>43</v>
      </c>
      <c r="J814" s="724"/>
      <c r="K814" s="724"/>
      <c r="L814" s="726">
        <v>2018.01</v>
      </c>
      <c r="M814" s="726">
        <v>2018.12</v>
      </c>
      <c r="N814" s="724">
        <v>566.945</v>
      </c>
      <c r="O814" s="724">
        <v>566.945</v>
      </c>
      <c r="P814" s="724"/>
      <c r="Q814" s="724"/>
      <c r="R814" s="724">
        <v>566.945</v>
      </c>
      <c r="S814" s="724"/>
      <c r="T814" s="724"/>
      <c r="U814" s="724"/>
      <c r="V814" s="724"/>
      <c r="W814" s="92"/>
      <c r="X814" s="92" t="s">
        <v>558</v>
      </c>
      <c r="Y814" s="92">
        <v>1844</v>
      </c>
      <c r="Z814" s="92">
        <v>6331</v>
      </c>
      <c r="AA814" s="92">
        <v>43</v>
      </c>
      <c r="AB814" s="92"/>
      <c r="AC814" s="92"/>
      <c r="AD814" s="146" t="s">
        <v>375</v>
      </c>
      <c r="AE814" s="146" t="s">
        <v>304</v>
      </c>
      <c r="AF814" s="146" t="s">
        <v>294</v>
      </c>
      <c r="AG814" s="92"/>
    </row>
    <row r="815" s="570" customFormat="1" ht="24.95" customHeight="1" spans="1:33">
      <c r="A815" s="705"/>
      <c r="B815" s="803" t="s">
        <v>55</v>
      </c>
      <c r="C815" s="712" t="s">
        <v>52</v>
      </c>
      <c r="D815" s="152" t="s">
        <v>509</v>
      </c>
      <c r="E815" s="92">
        <v>37</v>
      </c>
      <c r="F815" s="803" t="str">
        <f t="shared" si="113"/>
        <v>大河镇</v>
      </c>
      <c r="G815" s="92"/>
      <c r="H815" s="724">
        <v>37</v>
      </c>
      <c r="I815" s="724">
        <v>37</v>
      </c>
      <c r="J815" s="724"/>
      <c r="K815" s="724"/>
      <c r="L815" s="726">
        <v>2018.01</v>
      </c>
      <c r="M815" s="726">
        <v>2018.12</v>
      </c>
      <c r="N815" s="724">
        <v>364.795</v>
      </c>
      <c r="O815" s="724">
        <v>364.795</v>
      </c>
      <c r="P815" s="724"/>
      <c r="Q815" s="724"/>
      <c r="R815" s="724">
        <v>364.795</v>
      </c>
      <c r="S815" s="724"/>
      <c r="T815" s="724"/>
      <c r="U815" s="724"/>
      <c r="V815" s="724"/>
      <c r="W815" s="92"/>
      <c r="X815" s="92" t="s">
        <v>558</v>
      </c>
      <c r="Y815" s="92">
        <v>2956</v>
      </c>
      <c r="Z815" s="92">
        <v>13150</v>
      </c>
      <c r="AA815" s="92">
        <v>37</v>
      </c>
      <c r="AB815" s="92"/>
      <c r="AC815" s="92"/>
      <c r="AD815" s="146" t="s">
        <v>305</v>
      </c>
      <c r="AE815" s="146" t="s">
        <v>306</v>
      </c>
      <c r="AF815" s="146" t="s">
        <v>294</v>
      </c>
      <c r="AG815" s="92"/>
    </row>
    <row r="816" s="570" customFormat="1" ht="24.95" customHeight="1" spans="1:33">
      <c r="A816" s="705"/>
      <c r="B816" s="803" t="s">
        <v>75</v>
      </c>
      <c r="C816" s="712" t="s">
        <v>52</v>
      </c>
      <c r="D816" s="152" t="s">
        <v>509</v>
      </c>
      <c r="E816" s="92">
        <v>26</v>
      </c>
      <c r="F816" s="803" t="str">
        <f t="shared" si="113"/>
        <v>营上镇</v>
      </c>
      <c r="G816" s="92"/>
      <c r="H816" s="724">
        <v>26</v>
      </c>
      <c r="I816" s="724">
        <v>26</v>
      </c>
      <c r="J816" s="724"/>
      <c r="K816" s="724"/>
      <c r="L816" s="726">
        <v>2018.01</v>
      </c>
      <c r="M816" s="726">
        <v>2018.12</v>
      </c>
      <c r="N816" s="724">
        <v>457.2075</v>
      </c>
      <c r="O816" s="724">
        <v>457.2075</v>
      </c>
      <c r="P816" s="724"/>
      <c r="Q816" s="724"/>
      <c r="R816" s="724">
        <v>457.2075</v>
      </c>
      <c r="S816" s="724"/>
      <c r="T816" s="724"/>
      <c r="U816" s="724"/>
      <c r="V816" s="724"/>
      <c r="W816" s="92"/>
      <c r="X816" s="92" t="s">
        <v>558</v>
      </c>
      <c r="Y816" s="92">
        <v>2914</v>
      </c>
      <c r="Z816" s="92">
        <v>11603</v>
      </c>
      <c r="AA816" s="92">
        <v>26</v>
      </c>
      <c r="AB816" s="92"/>
      <c r="AC816" s="92"/>
      <c r="AD816" s="146" t="s">
        <v>562</v>
      </c>
      <c r="AE816" s="146" t="s">
        <v>308</v>
      </c>
      <c r="AF816" s="146" t="s">
        <v>294</v>
      </c>
      <c r="AG816" s="92"/>
    </row>
    <row r="817" s="570" customFormat="1" ht="24.95" customHeight="1" spans="1:33">
      <c r="A817" s="705"/>
      <c r="B817" s="803" t="s">
        <v>58</v>
      </c>
      <c r="C817" s="712" t="s">
        <v>52</v>
      </c>
      <c r="D817" s="152" t="s">
        <v>509</v>
      </c>
      <c r="E817" s="92">
        <v>26</v>
      </c>
      <c r="F817" s="803" t="str">
        <f t="shared" si="113"/>
        <v>竹园镇</v>
      </c>
      <c r="G817" s="92"/>
      <c r="H817" s="724">
        <v>26</v>
      </c>
      <c r="I817" s="724">
        <v>26</v>
      </c>
      <c r="J817" s="724"/>
      <c r="K817" s="724"/>
      <c r="L817" s="726">
        <v>2018.01</v>
      </c>
      <c r="M817" s="726">
        <v>2018.12</v>
      </c>
      <c r="N817" s="724">
        <v>430.075</v>
      </c>
      <c r="O817" s="724">
        <v>430.075</v>
      </c>
      <c r="P817" s="724"/>
      <c r="Q817" s="724"/>
      <c r="R817" s="724">
        <v>430.075</v>
      </c>
      <c r="S817" s="724"/>
      <c r="T817" s="724"/>
      <c r="U817" s="724"/>
      <c r="V817" s="724"/>
      <c r="W817" s="92"/>
      <c r="X817" s="92" t="s">
        <v>558</v>
      </c>
      <c r="Y817" s="92">
        <v>682</v>
      </c>
      <c r="Z817" s="92">
        <v>2878</v>
      </c>
      <c r="AA817" s="92">
        <v>26</v>
      </c>
      <c r="AB817" s="92"/>
      <c r="AC817" s="92"/>
      <c r="AD817" s="146" t="s">
        <v>309</v>
      </c>
      <c r="AE817" s="146" t="s">
        <v>310</v>
      </c>
      <c r="AF817" s="146" t="s">
        <v>294</v>
      </c>
      <c r="AG817" s="92"/>
    </row>
    <row r="818" s="570" customFormat="1" ht="24.95" customHeight="1" spans="1:33">
      <c r="A818" s="705"/>
      <c r="B818" s="803" t="s">
        <v>61</v>
      </c>
      <c r="C818" s="712" t="s">
        <v>52</v>
      </c>
      <c r="D818" s="152" t="s">
        <v>509</v>
      </c>
      <c r="E818" s="92">
        <v>51</v>
      </c>
      <c r="F818" s="803" t="str">
        <f t="shared" si="113"/>
        <v>富村镇</v>
      </c>
      <c r="G818" s="92"/>
      <c r="H818" s="724">
        <v>51</v>
      </c>
      <c r="I818" s="724">
        <v>51</v>
      </c>
      <c r="J818" s="724"/>
      <c r="K818" s="724"/>
      <c r="L818" s="726">
        <v>2018.01</v>
      </c>
      <c r="M818" s="726">
        <v>2018.12</v>
      </c>
      <c r="N818" s="724">
        <v>776.5125</v>
      </c>
      <c r="O818" s="724">
        <v>776.5125</v>
      </c>
      <c r="P818" s="724"/>
      <c r="Q818" s="724"/>
      <c r="R818" s="724">
        <v>776.5125</v>
      </c>
      <c r="S818" s="724"/>
      <c r="T818" s="724"/>
      <c r="U818" s="724"/>
      <c r="V818" s="724"/>
      <c r="W818" s="92"/>
      <c r="X818" s="92" t="s">
        <v>558</v>
      </c>
      <c r="Y818" s="92">
        <v>3438</v>
      </c>
      <c r="Z818" s="92">
        <v>15510</v>
      </c>
      <c r="AA818" s="92">
        <v>51</v>
      </c>
      <c r="AB818" s="92"/>
      <c r="AC818" s="92"/>
      <c r="AD818" s="146" t="s">
        <v>215</v>
      </c>
      <c r="AE818" s="146" t="s">
        <v>311</v>
      </c>
      <c r="AF818" s="146" t="s">
        <v>294</v>
      </c>
      <c r="AG818" s="92"/>
    </row>
    <row r="819" s="570" customFormat="1" ht="24.95" customHeight="1" spans="1:33">
      <c r="A819" s="705"/>
      <c r="B819" s="803" t="s">
        <v>78</v>
      </c>
      <c r="C819" s="712" t="s">
        <v>52</v>
      </c>
      <c r="D819" s="152" t="s">
        <v>509</v>
      </c>
      <c r="E819" s="92">
        <v>65</v>
      </c>
      <c r="F819" s="803" t="str">
        <f t="shared" si="113"/>
        <v>黄泥河镇</v>
      </c>
      <c r="G819" s="92"/>
      <c r="H819" s="724">
        <v>65</v>
      </c>
      <c r="I819" s="724">
        <v>65</v>
      </c>
      <c r="J819" s="724"/>
      <c r="K819" s="724"/>
      <c r="L819" s="726">
        <v>2018.01</v>
      </c>
      <c r="M819" s="726">
        <v>2018.12</v>
      </c>
      <c r="N819" s="724">
        <v>502.46</v>
      </c>
      <c r="O819" s="724">
        <v>502.46</v>
      </c>
      <c r="P819" s="724"/>
      <c r="Q819" s="724"/>
      <c r="R819" s="724">
        <v>502.46</v>
      </c>
      <c r="S819" s="724"/>
      <c r="T819" s="724"/>
      <c r="U819" s="724"/>
      <c r="V819" s="724"/>
      <c r="W819" s="92"/>
      <c r="X819" s="92" t="s">
        <v>558</v>
      </c>
      <c r="Y819" s="92">
        <v>1703</v>
      </c>
      <c r="Z819" s="92">
        <v>7838</v>
      </c>
      <c r="AA819" s="92">
        <v>65</v>
      </c>
      <c r="AB819" s="92"/>
      <c r="AC819" s="92"/>
      <c r="AD819" s="146" t="s">
        <v>312</v>
      </c>
      <c r="AE819" s="146" t="s">
        <v>313</v>
      </c>
      <c r="AF819" s="146" t="s">
        <v>294</v>
      </c>
      <c r="AG819" s="92"/>
    </row>
    <row r="820" s="570" customFormat="1" ht="24.95" customHeight="1" spans="1:33">
      <c r="A820" s="705"/>
      <c r="B820" s="803" t="s">
        <v>114</v>
      </c>
      <c r="C820" s="712" t="s">
        <v>52</v>
      </c>
      <c r="D820" s="152" t="s">
        <v>509</v>
      </c>
      <c r="E820" s="92">
        <v>28</v>
      </c>
      <c r="F820" s="803" t="str">
        <f t="shared" si="113"/>
        <v>古敢乡</v>
      </c>
      <c r="G820" s="92"/>
      <c r="H820" s="724">
        <v>28</v>
      </c>
      <c r="I820" s="724">
        <v>28</v>
      </c>
      <c r="J820" s="724"/>
      <c r="K820" s="724"/>
      <c r="L820" s="726">
        <v>2018.01</v>
      </c>
      <c r="M820" s="726">
        <v>2018.12</v>
      </c>
      <c r="N820" s="724">
        <v>226.035</v>
      </c>
      <c r="O820" s="724">
        <v>226.035</v>
      </c>
      <c r="P820" s="724"/>
      <c r="Q820" s="724"/>
      <c r="R820" s="724">
        <v>226.035</v>
      </c>
      <c r="S820" s="724"/>
      <c r="T820" s="724"/>
      <c r="U820" s="724"/>
      <c r="V820" s="724"/>
      <c r="W820" s="92"/>
      <c r="X820" s="92" t="s">
        <v>558</v>
      </c>
      <c r="Y820" s="92"/>
      <c r="Z820" s="92"/>
      <c r="AA820" s="92">
        <v>28</v>
      </c>
      <c r="AB820" s="92"/>
      <c r="AC820" s="92"/>
      <c r="AD820" s="146" t="s">
        <v>315</v>
      </c>
      <c r="AE820" s="146" t="s">
        <v>316</v>
      </c>
      <c r="AF820" s="146" t="s">
        <v>294</v>
      </c>
      <c r="AG820" s="92"/>
    </row>
    <row r="821" s="570" customFormat="1" ht="24.95" customHeight="1" spans="1:33">
      <c r="A821" s="705"/>
      <c r="B821" s="803" t="s">
        <v>64</v>
      </c>
      <c r="C821" s="712" t="s">
        <v>52</v>
      </c>
      <c r="D821" s="152" t="s">
        <v>509</v>
      </c>
      <c r="E821" s="92">
        <v>75</v>
      </c>
      <c r="F821" s="803" t="str">
        <f t="shared" si="113"/>
        <v>十八连山镇</v>
      </c>
      <c r="G821" s="92"/>
      <c r="H821" s="724">
        <v>75</v>
      </c>
      <c r="I821" s="724">
        <v>75</v>
      </c>
      <c r="J821" s="724"/>
      <c r="K821" s="724"/>
      <c r="L821" s="726">
        <v>2018.01</v>
      </c>
      <c r="M821" s="726">
        <v>2018.12</v>
      </c>
      <c r="N821" s="724">
        <v>834.605</v>
      </c>
      <c r="O821" s="724">
        <v>834.605</v>
      </c>
      <c r="P821" s="724"/>
      <c r="Q821" s="724"/>
      <c r="R821" s="724">
        <v>834.605</v>
      </c>
      <c r="S821" s="724"/>
      <c r="T821" s="724"/>
      <c r="U821" s="724"/>
      <c r="V821" s="724"/>
      <c r="W821" s="92"/>
      <c r="X821" s="92" t="s">
        <v>558</v>
      </c>
      <c r="Y821" s="92">
        <v>1968</v>
      </c>
      <c r="Z821" s="92">
        <v>7771</v>
      </c>
      <c r="AA821" s="92">
        <v>75</v>
      </c>
      <c r="AB821" s="92"/>
      <c r="AC821" s="92"/>
      <c r="AD821" s="146" t="s">
        <v>185</v>
      </c>
      <c r="AE821" s="146" t="s">
        <v>563</v>
      </c>
      <c r="AF821" s="146" t="s">
        <v>294</v>
      </c>
      <c r="AG821" s="92"/>
    </row>
    <row r="822" s="570" customFormat="1" ht="24.95" customHeight="1" spans="1:33">
      <c r="A822" s="705"/>
      <c r="B822" s="803" t="s">
        <v>92</v>
      </c>
      <c r="C822" s="712" t="s">
        <v>52</v>
      </c>
      <c r="D822" s="152" t="s">
        <v>509</v>
      </c>
      <c r="E822" s="92">
        <v>31</v>
      </c>
      <c r="F822" s="803" t="str">
        <f t="shared" si="113"/>
        <v>老厂镇</v>
      </c>
      <c r="G822" s="92"/>
      <c r="H822" s="724">
        <v>31</v>
      </c>
      <c r="I822" s="724">
        <v>31</v>
      </c>
      <c r="J822" s="724"/>
      <c r="K822" s="724"/>
      <c r="L822" s="726">
        <v>2018.01</v>
      </c>
      <c r="M822" s="726">
        <v>2018.12</v>
      </c>
      <c r="N822" s="724">
        <v>406.2</v>
      </c>
      <c r="O822" s="724">
        <v>406.2</v>
      </c>
      <c r="P822" s="724"/>
      <c r="Q822" s="724"/>
      <c r="R822" s="724">
        <v>406.2</v>
      </c>
      <c r="S822" s="724"/>
      <c r="T822" s="724"/>
      <c r="U822" s="724"/>
      <c r="V822" s="724"/>
      <c r="W822" s="92"/>
      <c r="X822" s="92" t="s">
        <v>558</v>
      </c>
      <c r="Y822" s="92">
        <v>409</v>
      </c>
      <c r="Z822" s="92">
        <v>1886</v>
      </c>
      <c r="AA822" s="92">
        <v>31</v>
      </c>
      <c r="AB822" s="92"/>
      <c r="AC822" s="92"/>
      <c r="AD822" s="146" t="s">
        <v>317</v>
      </c>
      <c r="AE822" s="146" t="s">
        <v>318</v>
      </c>
      <c r="AF822" s="146" t="s">
        <v>294</v>
      </c>
      <c r="AG822" s="92"/>
    </row>
    <row r="823" ht="24.95" customHeight="1" spans="1:33">
      <c r="A823" s="705">
        <v>105</v>
      </c>
      <c r="B823" s="803" t="s">
        <v>564</v>
      </c>
      <c r="C823" s="712" t="s">
        <v>52</v>
      </c>
      <c r="D823" s="152" t="s">
        <v>509</v>
      </c>
      <c r="E823" s="708">
        <v>4</v>
      </c>
      <c r="F823" s="803" t="str">
        <f t="shared" si="113"/>
        <v>富源县教育局</v>
      </c>
      <c r="G823" s="708"/>
      <c r="H823" s="726">
        <v>4</v>
      </c>
      <c r="I823" s="726">
        <v>4</v>
      </c>
      <c r="J823" s="726"/>
      <c r="K823" s="726"/>
      <c r="L823" s="726">
        <v>2018.01</v>
      </c>
      <c r="M823" s="726">
        <v>2018.12</v>
      </c>
      <c r="N823" s="726">
        <v>260.615</v>
      </c>
      <c r="O823" s="726">
        <v>260.615</v>
      </c>
      <c r="P823" s="726"/>
      <c r="Q823" s="726"/>
      <c r="R823" s="726">
        <v>260.615</v>
      </c>
      <c r="S823" s="726"/>
      <c r="T823" s="726"/>
      <c r="U823" s="726"/>
      <c r="V823" s="726"/>
      <c r="W823" s="726"/>
      <c r="X823" s="92" t="s">
        <v>558</v>
      </c>
      <c r="Y823" s="726"/>
      <c r="Z823" s="726"/>
      <c r="AA823" s="708">
        <v>4</v>
      </c>
      <c r="AB823" s="708"/>
      <c r="AC823" s="708"/>
      <c r="AD823" s="146" t="s">
        <v>296</v>
      </c>
      <c r="AE823" s="146" t="s">
        <v>561</v>
      </c>
      <c r="AF823" s="146" t="s">
        <v>294</v>
      </c>
      <c r="AG823" s="708" t="s">
        <v>41</v>
      </c>
    </row>
    <row r="824" ht="24.95" customHeight="1" spans="1:33">
      <c r="A824" s="705"/>
      <c r="B824" s="802" t="s">
        <v>567</v>
      </c>
      <c r="C824" s="712" t="s">
        <v>52</v>
      </c>
      <c r="D824" s="152" t="s">
        <v>568</v>
      </c>
      <c r="E824" s="708"/>
      <c r="F824" s="708"/>
      <c r="G824" s="708"/>
      <c r="H824" s="726"/>
      <c r="I824" s="726"/>
      <c r="J824" s="726"/>
      <c r="K824" s="726"/>
      <c r="L824" s="726"/>
      <c r="M824" s="726"/>
      <c r="N824" s="726"/>
      <c r="O824" s="726"/>
      <c r="P824" s="726"/>
      <c r="Q824" s="726"/>
      <c r="R824" s="726"/>
      <c r="S824" s="726"/>
      <c r="T824" s="726"/>
      <c r="U824" s="726"/>
      <c r="V824" s="726"/>
      <c r="W824" s="726"/>
      <c r="X824" s="92" t="s">
        <v>558</v>
      </c>
      <c r="Y824" s="726"/>
      <c r="Z824" s="726"/>
      <c r="AA824" s="708"/>
      <c r="AB824" s="708"/>
      <c r="AC824" s="708"/>
      <c r="AD824" s="146"/>
      <c r="AE824" s="146"/>
      <c r="AF824" s="146"/>
      <c r="AG824" s="708"/>
    </row>
    <row r="825" ht="24.95" customHeight="1" spans="1:33">
      <c r="A825" s="705"/>
      <c r="B825" s="97" t="s">
        <v>569</v>
      </c>
      <c r="C825" s="712" t="s">
        <v>52</v>
      </c>
      <c r="D825" s="152" t="s">
        <v>568</v>
      </c>
      <c r="E825" s="708"/>
      <c r="F825" s="97" t="str">
        <f t="shared" si="113"/>
        <v>富村镇祖德村委会</v>
      </c>
      <c r="G825" s="708"/>
      <c r="H825" s="726"/>
      <c r="I825" s="726"/>
      <c r="J825" s="726"/>
      <c r="K825" s="726"/>
      <c r="L825" s="726"/>
      <c r="M825" s="726"/>
      <c r="N825" s="726"/>
      <c r="O825" s="726"/>
      <c r="P825" s="726"/>
      <c r="Q825" s="726"/>
      <c r="R825" s="726"/>
      <c r="S825" s="726"/>
      <c r="T825" s="726"/>
      <c r="U825" s="726"/>
      <c r="V825" s="726"/>
      <c r="W825" s="726"/>
      <c r="X825" s="92" t="s">
        <v>558</v>
      </c>
      <c r="Y825" s="726"/>
      <c r="Z825" s="726"/>
      <c r="AA825" s="708"/>
      <c r="AB825" s="708"/>
      <c r="AC825" s="708"/>
      <c r="AD825" s="146"/>
      <c r="AE825" s="146"/>
      <c r="AF825" s="146"/>
      <c r="AG825" s="708"/>
    </row>
    <row r="826" s="570" customFormat="1" ht="24.95" customHeight="1" spans="1:33">
      <c r="A826" s="705">
        <v>105</v>
      </c>
      <c r="B826" s="791" t="s">
        <v>570</v>
      </c>
      <c r="C826" s="708"/>
      <c r="D826" s="709" t="s">
        <v>150</v>
      </c>
      <c r="E826" s="708">
        <f>E847+E849</f>
        <v>3</v>
      </c>
      <c r="F826" s="708"/>
      <c r="G826" s="708"/>
      <c r="H826" s="726">
        <f t="shared" ref="F826:AA826" si="116">H847+H849</f>
        <v>3</v>
      </c>
      <c r="I826" s="726">
        <f t="shared" si="116"/>
        <v>3</v>
      </c>
      <c r="J826" s="726">
        <f t="shared" si="116"/>
        <v>0</v>
      </c>
      <c r="K826" s="726">
        <f t="shared" si="116"/>
        <v>0</v>
      </c>
      <c r="L826" s="726"/>
      <c r="M826" s="726"/>
      <c r="N826" s="726">
        <f t="shared" si="116"/>
        <v>700</v>
      </c>
      <c r="O826" s="726">
        <f t="shared" si="116"/>
        <v>700</v>
      </c>
      <c r="P826" s="726">
        <f t="shared" si="116"/>
        <v>0</v>
      </c>
      <c r="Q826" s="726">
        <f t="shared" si="116"/>
        <v>0</v>
      </c>
      <c r="R826" s="726">
        <f t="shared" si="116"/>
        <v>0</v>
      </c>
      <c r="S826" s="726">
        <f t="shared" si="116"/>
        <v>700</v>
      </c>
      <c r="T826" s="726">
        <f t="shared" si="116"/>
        <v>0</v>
      </c>
      <c r="U826" s="726">
        <f t="shared" si="116"/>
        <v>0</v>
      </c>
      <c r="V826" s="726">
        <f t="shared" si="116"/>
        <v>0</v>
      </c>
      <c r="W826" s="708"/>
      <c r="X826" s="708" t="s">
        <v>463</v>
      </c>
      <c r="Y826" s="708">
        <f t="shared" si="116"/>
        <v>465</v>
      </c>
      <c r="Z826" s="708">
        <f t="shared" si="116"/>
        <v>2091</v>
      </c>
      <c r="AA826" s="708">
        <f t="shared" si="116"/>
        <v>3</v>
      </c>
      <c r="AB826" s="708"/>
      <c r="AC826" s="708"/>
      <c r="AD826" s="708"/>
      <c r="AE826" s="708"/>
      <c r="AF826" s="708" t="s">
        <v>273</v>
      </c>
      <c r="AG826" s="708" t="s">
        <v>41</v>
      </c>
    </row>
    <row r="827" customFormat="1" ht="24.95" customHeight="1" spans="1:33">
      <c r="A827" s="804"/>
      <c r="B827" s="805" t="s">
        <v>571</v>
      </c>
      <c r="C827" s="712" t="s">
        <v>52</v>
      </c>
      <c r="D827" s="713" t="s">
        <v>150</v>
      </c>
      <c r="E827" s="708"/>
      <c r="F827" s="708"/>
      <c r="G827" s="708"/>
      <c r="H827" s="726"/>
      <c r="I827" s="726"/>
      <c r="J827" s="726"/>
      <c r="K827" s="726"/>
      <c r="L827" s="726"/>
      <c r="M827" s="726"/>
      <c r="N827" s="726"/>
      <c r="O827" s="726"/>
      <c r="P827" s="726"/>
      <c r="Q827" s="726"/>
      <c r="R827" s="726"/>
      <c r="S827" s="726"/>
      <c r="T827" s="726"/>
      <c r="U827" s="726"/>
      <c r="V827" s="726"/>
      <c r="W827" s="806"/>
      <c r="X827" s="708" t="s">
        <v>463</v>
      </c>
      <c r="Y827" s="806"/>
      <c r="Z827" s="806"/>
      <c r="AA827" s="708"/>
      <c r="AB827" s="708"/>
      <c r="AC827" s="708"/>
      <c r="AD827" s="146"/>
      <c r="AE827" s="753"/>
      <c r="AF827" s="712"/>
      <c r="AG827" s="708"/>
    </row>
    <row r="828" customFormat="1" ht="24.95" customHeight="1" spans="1:33">
      <c r="A828" s="804"/>
      <c r="B828" s="150" t="s">
        <v>101</v>
      </c>
      <c r="C828" s="712" t="s">
        <v>52</v>
      </c>
      <c r="D828" s="713" t="s">
        <v>150</v>
      </c>
      <c r="E828" s="708"/>
      <c r="F828" s="150" t="str">
        <f t="shared" si="113"/>
        <v>中安</v>
      </c>
      <c r="G828" s="708"/>
      <c r="H828" s="726"/>
      <c r="I828" s="726"/>
      <c r="J828" s="726"/>
      <c r="K828" s="726"/>
      <c r="L828" s="726"/>
      <c r="M828" s="726"/>
      <c r="N828" s="726"/>
      <c r="O828" s="726"/>
      <c r="P828" s="726"/>
      <c r="Q828" s="726"/>
      <c r="R828" s="726"/>
      <c r="S828" s="726"/>
      <c r="T828" s="726"/>
      <c r="U828" s="726"/>
      <c r="V828" s="726"/>
      <c r="W828" s="806"/>
      <c r="X828" s="708" t="s">
        <v>463</v>
      </c>
      <c r="Y828" s="806"/>
      <c r="Z828" s="806"/>
      <c r="AA828" s="708"/>
      <c r="AB828" s="708"/>
      <c r="AC828" s="708"/>
      <c r="AD828" s="146"/>
      <c r="AE828" s="146"/>
      <c r="AF828" s="438"/>
      <c r="AG828" s="708"/>
    </row>
    <row r="829" customFormat="1" ht="24.95" customHeight="1" spans="1:33">
      <c r="A829" s="804"/>
      <c r="B829" s="150" t="s">
        <v>151</v>
      </c>
      <c r="C829" s="712" t="s">
        <v>52</v>
      </c>
      <c r="D829" s="713" t="s">
        <v>150</v>
      </c>
      <c r="E829" s="708"/>
      <c r="F829" s="150" t="str">
        <f t="shared" si="113"/>
        <v>胜境</v>
      </c>
      <c r="G829" s="708"/>
      <c r="H829" s="726"/>
      <c r="I829" s="726"/>
      <c r="J829" s="726"/>
      <c r="K829" s="726"/>
      <c r="L829" s="726"/>
      <c r="M829" s="726"/>
      <c r="N829" s="726"/>
      <c r="O829" s="726"/>
      <c r="P829" s="726"/>
      <c r="Q829" s="726"/>
      <c r="R829" s="726"/>
      <c r="S829" s="726"/>
      <c r="T829" s="726"/>
      <c r="U829" s="726"/>
      <c r="V829" s="726"/>
      <c r="W829" s="806"/>
      <c r="X829" s="708" t="s">
        <v>463</v>
      </c>
      <c r="Y829" s="806"/>
      <c r="Z829" s="806"/>
      <c r="AA829" s="708"/>
      <c r="AB829" s="708"/>
      <c r="AC829" s="708"/>
      <c r="AD829" s="146"/>
      <c r="AE829" s="146"/>
      <c r="AF829" s="438"/>
      <c r="AG829" s="708"/>
    </row>
    <row r="830" customFormat="1" ht="24.95" customHeight="1" spans="1:33">
      <c r="A830" s="804"/>
      <c r="B830" s="150" t="s">
        <v>154</v>
      </c>
      <c r="C830" s="712" t="s">
        <v>52</v>
      </c>
      <c r="D830" s="713" t="s">
        <v>150</v>
      </c>
      <c r="E830" s="708"/>
      <c r="F830" s="150" t="str">
        <f t="shared" si="113"/>
        <v>后所</v>
      </c>
      <c r="G830" s="708"/>
      <c r="H830" s="726"/>
      <c r="I830" s="726"/>
      <c r="J830" s="726"/>
      <c r="K830" s="726"/>
      <c r="L830" s="726"/>
      <c r="M830" s="726"/>
      <c r="N830" s="726"/>
      <c r="O830" s="726"/>
      <c r="P830" s="726"/>
      <c r="Q830" s="726"/>
      <c r="R830" s="726"/>
      <c r="S830" s="726"/>
      <c r="T830" s="726"/>
      <c r="U830" s="726"/>
      <c r="V830" s="726"/>
      <c r="W830" s="806"/>
      <c r="X830" s="708" t="s">
        <v>463</v>
      </c>
      <c r="Y830" s="806"/>
      <c r="Z830" s="806"/>
      <c r="AA830" s="708"/>
      <c r="AB830" s="708"/>
      <c r="AC830" s="708"/>
      <c r="AD830" s="146"/>
      <c r="AE830" s="146"/>
      <c r="AF830" s="438"/>
      <c r="AG830" s="708"/>
    </row>
    <row r="831" customFormat="1" ht="24.95" customHeight="1" spans="1:33">
      <c r="A831" s="804"/>
      <c r="B831" s="150" t="s">
        <v>81</v>
      </c>
      <c r="C831" s="712" t="s">
        <v>52</v>
      </c>
      <c r="D831" s="713" t="s">
        <v>150</v>
      </c>
      <c r="E831" s="708"/>
      <c r="F831" s="150" t="str">
        <f t="shared" si="113"/>
        <v>墨红</v>
      </c>
      <c r="G831" s="708"/>
      <c r="H831" s="726"/>
      <c r="I831" s="726"/>
      <c r="J831" s="726"/>
      <c r="K831" s="726"/>
      <c r="L831" s="726"/>
      <c r="M831" s="726"/>
      <c r="N831" s="726"/>
      <c r="O831" s="726"/>
      <c r="P831" s="726"/>
      <c r="Q831" s="726"/>
      <c r="R831" s="726"/>
      <c r="S831" s="726"/>
      <c r="T831" s="726"/>
      <c r="U831" s="726"/>
      <c r="V831" s="726"/>
      <c r="W831" s="806"/>
      <c r="X831" s="708" t="s">
        <v>463</v>
      </c>
      <c r="Y831" s="806"/>
      <c r="Z831" s="806"/>
      <c r="AA831" s="708"/>
      <c r="AB831" s="708"/>
      <c r="AC831" s="708"/>
      <c r="AD831" s="146"/>
      <c r="AE831" s="146"/>
      <c r="AF831" s="438"/>
      <c r="AG831" s="708"/>
    </row>
    <row r="832" customFormat="1" ht="24.95" customHeight="1" spans="1:33">
      <c r="A832" s="804"/>
      <c r="B832" s="150" t="s">
        <v>98</v>
      </c>
      <c r="C832" s="712" t="s">
        <v>52</v>
      </c>
      <c r="D832" s="713" t="s">
        <v>150</v>
      </c>
      <c r="E832" s="708"/>
      <c r="F832" s="150" t="str">
        <f t="shared" si="113"/>
        <v>大河</v>
      </c>
      <c r="G832" s="708"/>
      <c r="H832" s="726"/>
      <c r="I832" s="726"/>
      <c r="J832" s="726"/>
      <c r="K832" s="726"/>
      <c r="L832" s="726"/>
      <c r="M832" s="726"/>
      <c r="N832" s="726"/>
      <c r="O832" s="726"/>
      <c r="P832" s="726"/>
      <c r="Q832" s="726"/>
      <c r="R832" s="726"/>
      <c r="S832" s="726"/>
      <c r="T832" s="726"/>
      <c r="U832" s="726"/>
      <c r="V832" s="726"/>
      <c r="W832" s="806"/>
      <c r="X832" s="708" t="s">
        <v>463</v>
      </c>
      <c r="Y832" s="806"/>
      <c r="Z832" s="806"/>
      <c r="AA832" s="708"/>
      <c r="AB832" s="708"/>
      <c r="AC832" s="708"/>
      <c r="AD832" s="146"/>
      <c r="AE832" s="146"/>
      <c r="AF832" s="438"/>
      <c r="AG832" s="708"/>
    </row>
    <row r="833" customFormat="1" ht="24.95" customHeight="1" spans="1:33">
      <c r="A833" s="804"/>
      <c r="B833" s="150" t="s">
        <v>211</v>
      </c>
      <c r="C833" s="712" t="s">
        <v>52</v>
      </c>
      <c r="D833" s="713" t="s">
        <v>150</v>
      </c>
      <c r="E833" s="708"/>
      <c r="F833" s="150" t="str">
        <f t="shared" si="113"/>
        <v>营上</v>
      </c>
      <c r="G833" s="708"/>
      <c r="H833" s="726"/>
      <c r="I833" s="726"/>
      <c r="J833" s="726"/>
      <c r="K833" s="726"/>
      <c r="L833" s="726"/>
      <c r="M833" s="726"/>
      <c r="N833" s="726"/>
      <c r="O833" s="726"/>
      <c r="P833" s="726"/>
      <c r="Q833" s="726"/>
      <c r="R833" s="726"/>
      <c r="S833" s="726"/>
      <c r="T833" s="726"/>
      <c r="U833" s="726"/>
      <c r="V833" s="726"/>
      <c r="W833" s="806"/>
      <c r="X833" s="708" t="s">
        <v>463</v>
      </c>
      <c r="Y833" s="806"/>
      <c r="Z833" s="806"/>
      <c r="AA833" s="708"/>
      <c r="AB833" s="708"/>
      <c r="AC833" s="708"/>
      <c r="AD833" s="146"/>
      <c r="AE833" s="146"/>
      <c r="AF833" s="438"/>
      <c r="AG833" s="708"/>
    </row>
    <row r="834" customFormat="1" ht="24.95" customHeight="1" spans="1:33">
      <c r="A834" s="804"/>
      <c r="B834" s="150" t="s">
        <v>155</v>
      </c>
      <c r="C834" s="712" t="s">
        <v>52</v>
      </c>
      <c r="D834" s="713" t="s">
        <v>150</v>
      </c>
      <c r="E834" s="708"/>
      <c r="F834" s="150" t="str">
        <f t="shared" si="113"/>
        <v>竹园</v>
      </c>
      <c r="G834" s="708"/>
      <c r="H834" s="726"/>
      <c r="I834" s="726"/>
      <c r="J834" s="726"/>
      <c r="K834" s="726"/>
      <c r="L834" s="726"/>
      <c r="M834" s="726"/>
      <c r="N834" s="726"/>
      <c r="O834" s="726"/>
      <c r="P834" s="726"/>
      <c r="Q834" s="726"/>
      <c r="R834" s="726"/>
      <c r="S834" s="726"/>
      <c r="T834" s="726"/>
      <c r="U834" s="726"/>
      <c r="V834" s="726"/>
      <c r="W834" s="806"/>
      <c r="X834" s="708" t="s">
        <v>463</v>
      </c>
      <c r="Y834" s="806"/>
      <c r="Z834" s="806"/>
      <c r="AA834" s="708"/>
      <c r="AB834" s="708"/>
      <c r="AC834" s="708"/>
      <c r="AD834" s="146"/>
      <c r="AE834" s="146"/>
      <c r="AF834" s="438"/>
      <c r="AG834" s="708"/>
    </row>
    <row r="835" customFormat="1" ht="24.95" customHeight="1" spans="1:33">
      <c r="A835" s="804"/>
      <c r="B835" s="150" t="s">
        <v>102</v>
      </c>
      <c r="C835" s="712" t="s">
        <v>52</v>
      </c>
      <c r="D835" s="713" t="s">
        <v>150</v>
      </c>
      <c r="E835" s="708"/>
      <c r="F835" s="150" t="str">
        <f t="shared" si="113"/>
        <v>富村</v>
      </c>
      <c r="G835" s="708"/>
      <c r="H835" s="726"/>
      <c r="I835" s="726"/>
      <c r="J835" s="726"/>
      <c r="K835" s="726"/>
      <c r="L835" s="726"/>
      <c r="M835" s="726"/>
      <c r="N835" s="726"/>
      <c r="O835" s="726"/>
      <c r="P835" s="726"/>
      <c r="Q835" s="726"/>
      <c r="R835" s="726"/>
      <c r="S835" s="726"/>
      <c r="T835" s="726"/>
      <c r="U835" s="726"/>
      <c r="V835" s="726"/>
      <c r="W835" s="806"/>
      <c r="X835" s="708" t="s">
        <v>463</v>
      </c>
      <c r="Y835" s="806"/>
      <c r="Z835" s="806"/>
      <c r="AA835" s="708"/>
      <c r="AB835" s="708"/>
      <c r="AC835" s="708"/>
      <c r="AD835" s="146"/>
      <c r="AE835" s="146"/>
      <c r="AF835" s="438"/>
      <c r="AG835" s="708"/>
    </row>
    <row r="836" customFormat="1" ht="24.95" customHeight="1" spans="1:33">
      <c r="A836" s="804"/>
      <c r="B836" s="150" t="s">
        <v>100</v>
      </c>
      <c r="C836" s="712" t="s">
        <v>52</v>
      </c>
      <c r="D836" s="713" t="s">
        <v>150</v>
      </c>
      <c r="E836" s="708"/>
      <c r="F836" s="150" t="str">
        <f t="shared" si="113"/>
        <v>黄泥河</v>
      </c>
      <c r="G836" s="708"/>
      <c r="H836" s="726"/>
      <c r="I836" s="726"/>
      <c r="J836" s="726"/>
      <c r="K836" s="726"/>
      <c r="L836" s="726"/>
      <c r="M836" s="726"/>
      <c r="N836" s="726"/>
      <c r="O836" s="726"/>
      <c r="P836" s="726"/>
      <c r="Q836" s="726"/>
      <c r="R836" s="726"/>
      <c r="S836" s="726"/>
      <c r="T836" s="726"/>
      <c r="U836" s="726"/>
      <c r="V836" s="726"/>
      <c r="W836" s="806"/>
      <c r="X836" s="708" t="s">
        <v>463</v>
      </c>
      <c r="Y836" s="806"/>
      <c r="Z836" s="806"/>
      <c r="AA836" s="708"/>
      <c r="AB836" s="708"/>
      <c r="AC836" s="708"/>
      <c r="AD836" s="146"/>
      <c r="AE836" s="146"/>
      <c r="AF836" s="438"/>
      <c r="AG836" s="708"/>
    </row>
    <row r="837" customFormat="1" ht="24.95" customHeight="1" spans="1:33">
      <c r="A837" s="804"/>
      <c r="B837" s="150" t="s">
        <v>259</v>
      </c>
      <c r="C837" s="712" t="s">
        <v>52</v>
      </c>
      <c r="D837" s="713" t="s">
        <v>150</v>
      </c>
      <c r="E837" s="708"/>
      <c r="F837" s="150" t="str">
        <f t="shared" si="113"/>
        <v>古敢</v>
      </c>
      <c r="G837" s="708"/>
      <c r="H837" s="726"/>
      <c r="I837" s="726"/>
      <c r="J837" s="726"/>
      <c r="K837" s="726"/>
      <c r="L837" s="726"/>
      <c r="M837" s="726"/>
      <c r="N837" s="726"/>
      <c r="O837" s="726"/>
      <c r="P837" s="726"/>
      <c r="Q837" s="726"/>
      <c r="R837" s="726"/>
      <c r="S837" s="726"/>
      <c r="T837" s="726"/>
      <c r="U837" s="726"/>
      <c r="V837" s="726"/>
      <c r="W837" s="806"/>
      <c r="X837" s="708" t="s">
        <v>463</v>
      </c>
      <c r="Y837" s="806"/>
      <c r="Z837" s="806"/>
      <c r="AA837" s="708"/>
      <c r="AB837" s="708"/>
      <c r="AC837" s="708"/>
      <c r="AD837" s="146"/>
      <c r="AE837" s="146"/>
      <c r="AF837" s="438"/>
      <c r="AG837" s="708"/>
    </row>
    <row r="838" customFormat="1" ht="24.95" customHeight="1" spans="1:33">
      <c r="A838" s="804"/>
      <c r="B838" s="150" t="s">
        <v>84</v>
      </c>
      <c r="C838" s="712" t="s">
        <v>52</v>
      </c>
      <c r="D838" s="713" t="s">
        <v>150</v>
      </c>
      <c r="E838" s="708"/>
      <c r="F838" s="150" t="str">
        <f t="shared" si="113"/>
        <v>十八连山</v>
      </c>
      <c r="G838" s="708"/>
      <c r="H838" s="726"/>
      <c r="I838" s="726"/>
      <c r="J838" s="726"/>
      <c r="K838" s="726"/>
      <c r="L838" s="726"/>
      <c r="M838" s="726"/>
      <c r="N838" s="726"/>
      <c r="O838" s="726"/>
      <c r="P838" s="726"/>
      <c r="Q838" s="726"/>
      <c r="R838" s="726"/>
      <c r="S838" s="726"/>
      <c r="T838" s="726"/>
      <c r="U838" s="726"/>
      <c r="V838" s="726"/>
      <c r="W838" s="806"/>
      <c r="X838" s="708" t="s">
        <v>463</v>
      </c>
      <c r="Y838" s="806"/>
      <c r="Z838" s="806"/>
      <c r="AA838" s="708"/>
      <c r="AB838" s="708"/>
      <c r="AC838" s="708"/>
      <c r="AD838" s="146"/>
      <c r="AE838" s="146"/>
      <c r="AF838" s="438"/>
      <c r="AG838" s="708"/>
    </row>
    <row r="839" s="65" customFormat="1" ht="24" customHeight="1" spans="1:33">
      <c r="A839" s="73"/>
      <c r="B839" s="150" t="s">
        <v>143</v>
      </c>
      <c r="C839" s="712" t="s">
        <v>52</v>
      </c>
      <c r="D839" s="713" t="s">
        <v>150</v>
      </c>
      <c r="E839" s="73"/>
      <c r="F839" s="150" t="str">
        <f t="shared" si="113"/>
        <v>老厂</v>
      </c>
      <c r="G839" s="73"/>
      <c r="H839" s="724"/>
      <c r="I839" s="724"/>
      <c r="J839" s="724"/>
      <c r="K839" s="724"/>
      <c r="L839" s="726"/>
      <c r="M839" s="726"/>
      <c r="N839" s="724"/>
      <c r="O839" s="724"/>
      <c r="P839" s="724"/>
      <c r="Q839" s="724"/>
      <c r="R839" s="724"/>
      <c r="S839" s="724"/>
      <c r="T839" s="724"/>
      <c r="U839" s="724"/>
      <c r="V839" s="724"/>
      <c r="W839" s="73"/>
      <c r="X839" s="708" t="s">
        <v>463</v>
      </c>
      <c r="Y839" s="73"/>
      <c r="Z839" s="73"/>
      <c r="AA839" s="73"/>
      <c r="AB839" s="73"/>
      <c r="AC839" s="73"/>
      <c r="AD839" s="775"/>
      <c r="AE839" s="146"/>
      <c r="AF839" s="438"/>
      <c r="AG839" s="73"/>
    </row>
    <row r="840" ht="29" customHeight="1" spans="1:33">
      <c r="A840" s="705"/>
      <c r="B840" s="808" t="s">
        <v>572</v>
      </c>
      <c r="C840" s="438" t="s">
        <v>52</v>
      </c>
      <c r="D840" s="809" t="s">
        <v>150</v>
      </c>
      <c r="E840" s="92"/>
      <c r="F840" s="92"/>
      <c r="G840" s="92"/>
      <c r="H840" s="724"/>
      <c r="I840" s="724"/>
      <c r="J840" s="724"/>
      <c r="K840" s="724"/>
      <c r="L840" s="726"/>
      <c r="M840" s="726"/>
      <c r="N840" s="724"/>
      <c r="O840" s="724"/>
      <c r="P840" s="724"/>
      <c r="Q840" s="724"/>
      <c r="R840" s="724"/>
      <c r="S840" s="724"/>
      <c r="T840" s="724"/>
      <c r="U840" s="724"/>
      <c r="V840" s="724"/>
      <c r="W840" s="92"/>
      <c r="X840" s="708" t="s">
        <v>463</v>
      </c>
      <c r="Y840" s="92"/>
      <c r="Z840" s="92"/>
      <c r="AA840" s="92"/>
      <c r="AB840" s="92"/>
      <c r="AC840" s="92"/>
      <c r="AD840" s="438"/>
      <c r="AE840" s="146"/>
      <c r="AF840" s="438"/>
      <c r="AG840" s="92"/>
    </row>
    <row r="841" ht="29" customHeight="1" spans="1:33">
      <c r="A841" s="705"/>
      <c r="B841" s="146" t="s">
        <v>72</v>
      </c>
      <c r="C841" s="438" t="s">
        <v>52</v>
      </c>
      <c r="D841" s="809" t="s">
        <v>150</v>
      </c>
      <c r="E841" s="92"/>
      <c r="F841" s="146" t="str">
        <f t="shared" si="113"/>
        <v>后所镇</v>
      </c>
      <c r="G841" s="92"/>
      <c r="H841" s="724"/>
      <c r="I841" s="724"/>
      <c r="J841" s="724"/>
      <c r="K841" s="724"/>
      <c r="L841" s="726"/>
      <c r="M841" s="726"/>
      <c r="N841" s="724"/>
      <c r="O841" s="724"/>
      <c r="P841" s="724"/>
      <c r="Q841" s="724"/>
      <c r="R841" s="724"/>
      <c r="S841" s="724"/>
      <c r="T841" s="724"/>
      <c r="U841" s="724"/>
      <c r="V841" s="724"/>
      <c r="W841" s="92"/>
      <c r="X841" s="708" t="s">
        <v>463</v>
      </c>
      <c r="Y841" s="92"/>
      <c r="Z841" s="92"/>
      <c r="AA841" s="92"/>
      <c r="AB841" s="92"/>
      <c r="AC841" s="92"/>
      <c r="AD841" s="146"/>
      <c r="AE841" s="146"/>
      <c r="AF841" s="438"/>
      <c r="AG841" s="92"/>
    </row>
    <row r="842" ht="29" customHeight="1" spans="1:33">
      <c r="A842" s="705"/>
      <c r="B842" s="146" t="s">
        <v>91</v>
      </c>
      <c r="C842" s="438" t="s">
        <v>52</v>
      </c>
      <c r="D842" s="809" t="s">
        <v>150</v>
      </c>
      <c r="E842" s="92"/>
      <c r="F842" s="146" t="str">
        <f t="shared" si="113"/>
        <v>墨红镇</v>
      </c>
      <c r="G842" s="92"/>
      <c r="H842" s="724"/>
      <c r="I842" s="724"/>
      <c r="J842" s="724"/>
      <c r="K842" s="724"/>
      <c r="L842" s="726"/>
      <c r="M842" s="726"/>
      <c r="N842" s="724"/>
      <c r="O842" s="724"/>
      <c r="P842" s="724"/>
      <c r="Q842" s="724"/>
      <c r="R842" s="724"/>
      <c r="S842" s="724"/>
      <c r="T842" s="724"/>
      <c r="U842" s="724"/>
      <c r="V842" s="724"/>
      <c r="W842" s="92"/>
      <c r="X842" s="708" t="s">
        <v>463</v>
      </c>
      <c r="Y842" s="92"/>
      <c r="Z842" s="92"/>
      <c r="AA842" s="92"/>
      <c r="AB842" s="92"/>
      <c r="AC842" s="92"/>
      <c r="AD842" s="438"/>
      <c r="AE842" s="438"/>
      <c r="AF842" s="438"/>
      <c r="AG842" s="92"/>
    </row>
    <row r="843" ht="29" customHeight="1" spans="1:33">
      <c r="A843" s="705"/>
      <c r="B843" s="146" t="s">
        <v>55</v>
      </c>
      <c r="C843" s="809" t="s">
        <v>52</v>
      </c>
      <c r="D843" s="809" t="s">
        <v>150</v>
      </c>
      <c r="E843" s="92"/>
      <c r="F843" s="146" t="str">
        <f t="shared" si="113"/>
        <v>大河镇</v>
      </c>
      <c r="G843" s="92"/>
      <c r="H843" s="724"/>
      <c r="I843" s="724"/>
      <c r="J843" s="724"/>
      <c r="K843" s="724"/>
      <c r="L843" s="726"/>
      <c r="M843" s="726"/>
      <c r="N843" s="724"/>
      <c r="O843" s="724"/>
      <c r="P843" s="724"/>
      <c r="Q843" s="724"/>
      <c r="R843" s="724"/>
      <c r="S843" s="724"/>
      <c r="T843" s="724"/>
      <c r="U843" s="724"/>
      <c r="V843" s="724"/>
      <c r="W843" s="92"/>
      <c r="X843" s="708" t="s">
        <v>463</v>
      </c>
      <c r="Y843" s="92"/>
      <c r="Z843" s="92"/>
      <c r="AA843" s="92"/>
      <c r="AB843" s="92"/>
      <c r="AC843" s="92"/>
      <c r="AD843" s="438"/>
      <c r="AE843" s="438"/>
      <c r="AF843" s="438"/>
      <c r="AG843" s="92"/>
    </row>
    <row r="844" ht="29" customHeight="1" spans="1:33">
      <c r="A844" s="705"/>
      <c r="B844" s="146" t="s">
        <v>75</v>
      </c>
      <c r="C844" s="438" t="s">
        <v>52</v>
      </c>
      <c r="D844" s="809" t="s">
        <v>150</v>
      </c>
      <c r="E844" s="92"/>
      <c r="F844" s="146" t="str">
        <f t="shared" ref="F844:F857" si="117">B844</f>
        <v>营上镇</v>
      </c>
      <c r="G844" s="92"/>
      <c r="H844" s="724"/>
      <c r="I844" s="724"/>
      <c r="J844" s="724"/>
      <c r="K844" s="724"/>
      <c r="L844" s="726"/>
      <c r="M844" s="726"/>
      <c r="N844" s="724"/>
      <c r="O844" s="724"/>
      <c r="P844" s="724"/>
      <c r="Q844" s="724"/>
      <c r="R844" s="724"/>
      <c r="S844" s="724"/>
      <c r="T844" s="724"/>
      <c r="U844" s="724"/>
      <c r="V844" s="724"/>
      <c r="W844" s="92"/>
      <c r="X844" s="708" t="s">
        <v>463</v>
      </c>
      <c r="Y844" s="92"/>
      <c r="Z844" s="92"/>
      <c r="AA844" s="92"/>
      <c r="AB844" s="92"/>
      <c r="AC844" s="92"/>
      <c r="AD844" s="438"/>
      <c r="AE844" s="438"/>
      <c r="AF844" s="438"/>
      <c r="AG844" s="92"/>
    </row>
    <row r="845" ht="29" customHeight="1" spans="1:33">
      <c r="A845" s="705"/>
      <c r="B845" s="146" t="s">
        <v>61</v>
      </c>
      <c r="C845" s="438" t="s">
        <v>52</v>
      </c>
      <c r="D845" s="809" t="s">
        <v>150</v>
      </c>
      <c r="E845" s="92"/>
      <c r="F845" s="146" t="str">
        <f t="shared" si="117"/>
        <v>富村镇</v>
      </c>
      <c r="G845" s="92"/>
      <c r="H845" s="724"/>
      <c r="I845" s="724"/>
      <c r="J845" s="724"/>
      <c r="K845" s="724"/>
      <c r="L845" s="726"/>
      <c r="M845" s="726"/>
      <c r="N845" s="724"/>
      <c r="O845" s="724"/>
      <c r="P845" s="724"/>
      <c r="Q845" s="724"/>
      <c r="R845" s="724"/>
      <c r="S845" s="724"/>
      <c r="T845" s="724"/>
      <c r="U845" s="724"/>
      <c r="V845" s="724"/>
      <c r="W845" s="92"/>
      <c r="X845" s="708" t="s">
        <v>463</v>
      </c>
      <c r="Y845" s="92"/>
      <c r="Z845" s="92"/>
      <c r="AA845" s="92"/>
      <c r="AB845" s="92"/>
      <c r="AC845" s="92"/>
      <c r="AD845" s="438"/>
      <c r="AE845" s="438"/>
      <c r="AF845" s="438"/>
      <c r="AG845" s="92"/>
    </row>
    <row r="846" ht="29" customHeight="1" spans="1:33">
      <c r="A846" s="705"/>
      <c r="B846" s="146" t="s">
        <v>64</v>
      </c>
      <c r="C846" s="438" t="s">
        <v>52</v>
      </c>
      <c r="D846" s="809" t="s">
        <v>509</v>
      </c>
      <c r="E846" s="92"/>
      <c r="F846" s="146" t="str">
        <f t="shared" si="117"/>
        <v>十八连山镇</v>
      </c>
      <c r="G846" s="92"/>
      <c r="H846" s="724"/>
      <c r="I846" s="724"/>
      <c r="J846" s="724"/>
      <c r="K846" s="724"/>
      <c r="L846" s="726"/>
      <c r="M846" s="726"/>
      <c r="N846" s="724"/>
      <c r="O846" s="724"/>
      <c r="P846" s="724"/>
      <c r="Q846" s="724"/>
      <c r="R846" s="724"/>
      <c r="S846" s="724"/>
      <c r="T846" s="724"/>
      <c r="U846" s="724"/>
      <c r="V846" s="724"/>
      <c r="W846" s="92"/>
      <c r="X846" s="708" t="s">
        <v>463</v>
      </c>
      <c r="Y846" s="92"/>
      <c r="Z846" s="92"/>
      <c r="AA846" s="92"/>
      <c r="AB846" s="92"/>
      <c r="AC846" s="92"/>
      <c r="AD846" s="438"/>
      <c r="AE846" s="146"/>
      <c r="AF846" s="438"/>
      <c r="AG846" s="92"/>
    </row>
    <row r="847" ht="29" customHeight="1" spans="1:33">
      <c r="A847" s="705"/>
      <c r="B847" s="810" t="s">
        <v>574</v>
      </c>
      <c r="C847" s="146" t="s">
        <v>52</v>
      </c>
      <c r="D847" s="152" t="s">
        <v>150</v>
      </c>
      <c r="E847" s="92">
        <v>1</v>
      </c>
      <c r="F847" s="92"/>
      <c r="G847" s="92"/>
      <c r="H847" s="724">
        <v>1</v>
      </c>
      <c r="I847" s="724">
        <v>1</v>
      </c>
      <c r="J847" s="724"/>
      <c r="K847" s="724"/>
      <c r="L847" s="726">
        <v>2018.01</v>
      </c>
      <c r="M847" s="726">
        <v>2018.12</v>
      </c>
      <c r="N847" s="724">
        <v>500</v>
      </c>
      <c r="O847" s="724">
        <v>500</v>
      </c>
      <c r="P847" s="724"/>
      <c r="Q847" s="724"/>
      <c r="R847" s="724"/>
      <c r="S847" s="724">
        <v>500</v>
      </c>
      <c r="T847" s="724"/>
      <c r="U847" s="724"/>
      <c r="V847" s="724"/>
      <c r="W847" s="92"/>
      <c r="X847" s="708" t="s">
        <v>463</v>
      </c>
      <c r="Y847" s="92">
        <v>194</v>
      </c>
      <c r="Z847" s="92">
        <v>885</v>
      </c>
      <c r="AA847" s="92">
        <v>1</v>
      </c>
      <c r="AB847" s="92"/>
      <c r="AC847" s="92"/>
      <c r="AD847" s="146" t="s">
        <v>576</v>
      </c>
      <c r="AE847" s="146" t="s">
        <v>577</v>
      </c>
      <c r="AF847" s="146" t="s">
        <v>578</v>
      </c>
      <c r="AG847" s="92"/>
    </row>
    <row r="848" ht="29" customHeight="1" spans="1:33">
      <c r="A848" s="705"/>
      <c r="B848" s="146" t="s">
        <v>55</v>
      </c>
      <c r="C848" s="146" t="s">
        <v>52</v>
      </c>
      <c r="D848" s="152" t="s">
        <v>150</v>
      </c>
      <c r="E848" s="92">
        <v>1</v>
      </c>
      <c r="F848" s="146" t="str">
        <f t="shared" si="117"/>
        <v>大河镇</v>
      </c>
      <c r="G848" s="92"/>
      <c r="H848" s="724">
        <v>1</v>
      </c>
      <c r="I848" s="724">
        <v>1</v>
      </c>
      <c r="J848" s="724"/>
      <c r="K848" s="724"/>
      <c r="L848" s="726">
        <v>2018.01</v>
      </c>
      <c r="M848" s="726">
        <v>2018.12</v>
      </c>
      <c r="N848" s="724">
        <v>500</v>
      </c>
      <c r="O848" s="724">
        <v>500</v>
      </c>
      <c r="P848" s="724"/>
      <c r="Q848" s="724"/>
      <c r="R848" s="724"/>
      <c r="S848" s="724">
        <v>500</v>
      </c>
      <c r="T848" s="724"/>
      <c r="U848" s="724"/>
      <c r="V848" s="724"/>
      <c r="W848" s="92"/>
      <c r="X848" s="708" t="s">
        <v>463</v>
      </c>
      <c r="Y848" s="92">
        <v>194</v>
      </c>
      <c r="Z848" s="92">
        <v>885</v>
      </c>
      <c r="AA848" s="92">
        <v>1</v>
      </c>
      <c r="AB848" s="92"/>
      <c r="AC848" s="92"/>
      <c r="AD848" s="146" t="s">
        <v>209</v>
      </c>
      <c r="AE848" s="141" t="s">
        <v>640</v>
      </c>
      <c r="AF848" s="146" t="s">
        <v>578</v>
      </c>
      <c r="AG848" s="92"/>
    </row>
    <row r="849" ht="29" customHeight="1" spans="1:33">
      <c r="A849" s="705"/>
      <c r="B849" s="811" t="s">
        <v>575</v>
      </c>
      <c r="C849" s="812" t="s">
        <v>52</v>
      </c>
      <c r="D849" s="152" t="s">
        <v>150</v>
      </c>
      <c r="E849" s="92">
        <v>2</v>
      </c>
      <c r="F849" s="92"/>
      <c r="G849" s="92"/>
      <c r="H849" s="724">
        <v>2</v>
      </c>
      <c r="I849" s="724">
        <v>2</v>
      </c>
      <c r="J849" s="724"/>
      <c r="K849" s="724"/>
      <c r="L849" s="726">
        <v>2018.01</v>
      </c>
      <c r="M849" s="726">
        <v>2018.12</v>
      </c>
      <c r="N849" s="724">
        <v>200</v>
      </c>
      <c r="O849" s="724">
        <v>200</v>
      </c>
      <c r="P849" s="724"/>
      <c r="Q849" s="724"/>
      <c r="R849" s="724"/>
      <c r="S849" s="724">
        <v>200</v>
      </c>
      <c r="T849" s="724"/>
      <c r="U849" s="724"/>
      <c r="V849" s="724"/>
      <c r="W849" s="92"/>
      <c r="X849" s="708" t="s">
        <v>463</v>
      </c>
      <c r="Y849" s="92">
        <v>271</v>
      </c>
      <c r="Z849" s="92">
        <v>1206</v>
      </c>
      <c r="AA849" s="92">
        <v>2</v>
      </c>
      <c r="AB849" s="92"/>
      <c r="AC849" s="92"/>
      <c r="AD849" s="146" t="s">
        <v>576</v>
      </c>
      <c r="AE849" s="146" t="s">
        <v>577</v>
      </c>
      <c r="AF849" s="146" t="s">
        <v>578</v>
      </c>
      <c r="AG849" s="92"/>
    </row>
    <row r="850" ht="29" customHeight="1" spans="1:33">
      <c r="A850" s="705"/>
      <c r="B850" s="146" t="s">
        <v>55</v>
      </c>
      <c r="C850" s="146" t="s">
        <v>52</v>
      </c>
      <c r="D850" s="152" t="s">
        <v>150</v>
      </c>
      <c r="E850" s="92">
        <v>1</v>
      </c>
      <c r="F850" s="146" t="str">
        <f t="shared" si="117"/>
        <v>大河镇</v>
      </c>
      <c r="G850" s="92"/>
      <c r="H850" s="724">
        <v>1</v>
      </c>
      <c r="I850" s="724">
        <v>1</v>
      </c>
      <c r="J850" s="724"/>
      <c r="K850" s="724"/>
      <c r="L850" s="726">
        <v>2018.01</v>
      </c>
      <c r="M850" s="726">
        <v>2018.12</v>
      </c>
      <c r="N850" s="724">
        <v>100</v>
      </c>
      <c r="O850" s="724">
        <v>100</v>
      </c>
      <c r="P850" s="724"/>
      <c r="Q850" s="724"/>
      <c r="R850" s="724"/>
      <c r="S850" s="724">
        <v>100</v>
      </c>
      <c r="T850" s="724"/>
      <c r="U850" s="724"/>
      <c r="V850" s="724"/>
      <c r="W850" s="92"/>
      <c r="X850" s="708" t="s">
        <v>463</v>
      </c>
      <c r="Y850" s="92">
        <v>254</v>
      </c>
      <c r="Z850" s="92">
        <v>1147</v>
      </c>
      <c r="AA850" s="92">
        <v>1</v>
      </c>
      <c r="AB850" s="92"/>
      <c r="AC850" s="92"/>
      <c r="AD850" s="146" t="s">
        <v>249</v>
      </c>
      <c r="AE850" s="146" t="s">
        <v>579</v>
      </c>
      <c r="AF850" s="146" t="s">
        <v>578</v>
      </c>
      <c r="AG850" s="92"/>
    </row>
    <row r="851" ht="29" customHeight="1" spans="1:33">
      <c r="A851" s="705"/>
      <c r="B851" s="146" t="s">
        <v>91</v>
      </c>
      <c r="C851" s="812" t="s">
        <v>52</v>
      </c>
      <c r="D851" s="152" t="s">
        <v>150</v>
      </c>
      <c r="E851" s="92">
        <v>1</v>
      </c>
      <c r="F851" s="146" t="str">
        <f t="shared" si="117"/>
        <v>墨红镇</v>
      </c>
      <c r="G851" s="92"/>
      <c r="H851" s="724">
        <v>1</v>
      </c>
      <c r="I851" s="724">
        <v>1</v>
      </c>
      <c r="J851" s="724"/>
      <c r="K851" s="724"/>
      <c r="L851" s="726">
        <v>2018.01</v>
      </c>
      <c r="M851" s="726">
        <v>2018.12</v>
      </c>
      <c r="N851" s="724">
        <v>100</v>
      </c>
      <c r="O851" s="724">
        <v>100</v>
      </c>
      <c r="P851" s="724"/>
      <c r="Q851" s="724"/>
      <c r="R851" s="724"/>
      <c r="S851" s="724">
        <v>100</v>
      </c>
      <c r="T851" s="724"/>
      <c r="U851" s="724"/>
      <c r="V851" s="724"/>
      <c r="W851" s="92"/>
      <c r="X851" s="708" t="s">
        <v>463</v>
      </c>
      <c r="Y851" s="92">
        <v>17</v>
      </c>
      <c r="Z851" s="92">
        <v>59</v>
      </c>
      <c r="AA851" s="92">
        <v>1</v>
      </c>
      <c r="AB851" s="92"/>
      <c r="AC851" s="92"/>
      <c r="AD851" s="146" t="s">
        <v>249</v>
      </c>
      <c r="AE851" s="146" t="s">
        <v>579</v>
      </c>
      <c r="AF851" s="146" t="s">
        <v>578</v>
      </c>
      <c r="AG851" s="92"/>
    </row>
    <row r="852" ht="29" customHeight="1" spans="1:33">
      <c r="A852" s="705"/>
      <c r="B852" s="813" t="s">
        <v>580</v>
      </c>
      <c r="C852" s="381" t="s">
        <v>52</v>
      </c>
      <c r="D852" s="381" t="s">
        <v>150</v>
      </c>
      <c r="E852" s="92"/>
      <c r="F852" s="92"/>
      <c r="G852" s="92"/>
      <c r="H852" s="724"/>
      <c r="I852" s="724"/>
      <c r="J852" s="724"/>
      <c r="K852" s="724"/>
      <c r="L852" s="726"/>
      <c r="M852" s="726"/>
      <c r="N852" s="724"/>
      <c r="O852" s="724"/>
      <c r="P852" s="724"/>
      <c r="Q852" s="724"/>
      <c r="R852" s="724"/>
      <c r="S852" s="724"/>
      <c r="T852" s="724"/>
      <c r="U852" s="724"/>
      <c r="V852" s="724"/>
      <c r="W852" s="92"/>
      <c r="X852" s="708" t="s">
        <v>463</v>
      </c>
      <c r="Y852" s="92"/>
      <c r="Z852" s="92"/>
      <c r="AA852" s="92"/>
      <c r="AB852" s="92"/>
      <c r="AC852" s="92"/>
      <c r="AD852" s="381"/>
      <c r="AE852" s="381"/>
      <c r="AF852" s="212"/>
      <c r="AG852" s="92"/>
    </row>
    <row r="853" ht="29" customHeight="1" spans="1:33">
      <c r="A853" s="705"/>
      <c r="B853" s="814" t="s">
        <v>72</v>
      </c>
      <c r="C853" s="381" t="s">
        <v>52</v>
      </c>
      <c r="D853" s="381" t="s">
        <v>150</v>
      </c>
      <c r="E853" s="92"/>
      <c r="F853" s="814" t="str">
        <f t="shared" si="117"/>
        <v>后所镇</v>
      </c>
      <c r="G853" s="92"/>
      <c r="H853" s="724"/>
      <c r="I853" s="724"/>
      <c r="J853" s="724"/>
      <c r="K853" s="724"/>
      <c r="L853" s="726"/>
      <c r="M853" s="726"/>
      <c r="N853" s="724"/>
      <c r="O853" s="724"/>
      <c r="P853" s="724"/>
      <c r="Q853" s="724"/>
      <c r="R853" s="724"/>
      <c r="S853" s="724"/>
      <c r="T853" s="724"/>
      <c r="U853" s="724"/>
      <c r="V853" s="724"/>
      <c r="W853" s="92"/>
      <c r="X853" s="708" t="s">
        <v>463</v>
      </c>
      <c r="Y853" s="92"/>
      <c r="Z853" s="92"/>
      <c r="AA853" s="92"/>
      <c r="AB853" s="92"/>
      <c r="AC853" s="92"/>
      <c r="AD853" s="381"/>
      <c r="AE853" s="381"/>
      <c r="AF853" s="212"/>
      <c r="AG853" s="92"/>
    </row>
    <row r="854" ht="29" customHeight="1" spans="1:33">
      <c r="A854" s="705"/>
      <c r="B854" s="814" t="s">
        <v>64</v>
      </c>
      <c r="C854" s="381" t="s">
        <v>52</v>
      </c>
      <c r="D854" s="381" t="s">
        <v>150</v>
      </c>
      <c r="E854" s="92"/>
      <c r="F854" s="814" t="str">
        <f t="shared" si="117"/>
        <v>十八连山镇</v>
      </c>
      <c r="G854" s="92"/>
      <c r="H854" s="724"/>
      <c r="I854" s="724"/>
      <c r="J854" s="724"/>
      <c r="K854" s="724"/>
      <c r="L854" s="726"/>
      <c r="M854" s="726"/>
      <c r="N854" s="724"/>
      <c r="O854" s="724"/>
      <c r="P854" s="724"/>
      <c r="Q854" s="724"/>
      <c r="R854" s="724"/>
      <c r="S854" s="724"/>
      <c r="T854" s="724"/>
      <c r="U854" s="724"/>
      <c r="V854" s="724"/>
      <c r="W854" s="92"/>
      <c r="X854" s="708" t="s">
        <v>463</v>
      </c>
      <c r="Y854" s="92"/>
      <c r="Z854" s="92"/>
      <c r="AA854" s="92"/>
      <c r="AB854" s="92"/>
      <c r="AC854" s="92"/>
      <c r="AD854" s="381"/>
      <c r="AE854" s="381"/>
      <c r="AF854" s="212"/>
      <c r="AG854" s="92"/>
    </row>
    <row r="855" ht="29" customHeight="1" spans="1:33">
      <c r="A855" s="705"/>
      <c r="B855" s="150" t="s">
        <v>91</v>
      </c>
      <c r="C855" s="381" t="s">
        <v>52</v>
      </c>
      <c r="D855" s="381" t="s">
        <v>150</v>
      </c>
      <c r="E855" s="92"/>
      <c r="F855" s="150" t="str">
        <f t="shared" si="117"/>
        <v>墨红镇</v>
      </c>
      <c r="G855" s="92"/>
      <c r="H855" s="724"/>
      <c r="I855" s="724"/>
      <c r="J855" s="724"/>
      <c r="K855" s="724"/>
      <c r="L855" s="726"/>
      <c r="M855" s="726"/>
      <c r="N855" s="724"/>
      <c r="O855" s="724"/>
      <c r="P855" s="724"/>
      <c r="Q855" s="724"/>
      <c r="R855" s="724"/>
      <c r="S855" s="724"/>
      <c r="T855" s="724"/>
      <c r="U855" s="724"/>
      <c r="V855" s="724"/>
      <c r="W855" s="92"/>
      <c r="X855" s="708" t="s">
        <v>463</v>
      </c>
      <c r="Y855" s="92"/>
      <c r="Z855" s="92"/>
      <c r="AA855" s="92"/>
      <c r="AB855" s="92"/>
      <c r="AC855" s="92"/>
      <c r="AD855" s="381"/>
      <c r="AE855" s="381"/>
      <c r="AF855" s="212"/>
      <c r="AG855" s="92"/>
    </row>
    <row r="856" ht="37" customHeight="1" spans="1:33">
      <c r="A856" s="705"/>
      <c r="B856" s="813" t="s">
        <v>584</v>
      </c>
      <c r="C856" s="381" t="s">
        <v>52</v>
      </c>
      <c r="D856" s="381" t="s">
        <v>150</v>
      </c>
      <c r="E856" s="92"/>
      <c r="F856" s="92"/>
      <c r="G856" s="815"/>
      <c r="H856" s="724"/>
      <c r="I856" s="724"/>
      <c r="J856" s="724"/>
      <c r="K856" s="724"/>
      <c r="L856" s="726"/>
      <c r="M856" s="726"/>
      <c r="N856" s="724"/>
      <c r="O856" s="724"/>
      <c r="P856" s="724"/>
      <c r="Q856" s="724"/>
      <c r="R856" s="724"/>
      <c r="S856" s="724"/>
      <c r="T856" s="724"/>
      <c r="U856" s="724"/>
      <c r="V856" s="724"/>
      <c r="W856" s="92"/>
      <c r="X856" s="92"/>
      <c r="Y856" s="92"/>
      <c r="Z856" s="92"/>
      <c r="AA856" s="92"/>
      <c r="AB856" s="92"/>
      <c r="AC856" s="92"/>
      <c r="AD856" s="743"/>
      <c r="AE856" s="743"/>
      <c r="AF856" s="743"/>
      <c r="AG856" s="92"/>
    </row>
    <row r="857" ht="24.95" customHeight="1" spans="1:33">
      <c r="A857" s="705">
        <v>106</v>
      </c>
      <c r="B857" s="708" t="s">
        <v>586</v>
      </c>
      <c r="C857" s="708"/>
      <c r="D857" s="709"/>
      <c r="E857" s="708"/>
      <c r="F857" s="708"/>
      <c r="G857" s="708"/>
      <c r="H857" s="726"/>
      <c r="I857" s="726"/>
      <c r="J857" s="726"/>
      <c r="K857" s="726"/>
      <c r="L857" s="726"/>
      <c r="M857" s="726"/>
      <c r="N857" s="726"/>
      <c r="O857" s="726"/>
      <c r="P857" s="726"/>
      <c r="Q857" s="726"/>
      <c r="R857" s="726"/>
      <c r="S857" s="726"/>
      <c r="T857" s="726"/>
      <c r="U857" s="726"/>
      <c r="V857" s="726"/>
      <c r="W857" s="806"/>
      <c r="X857" s="806"/>
      <c r="Y857" s="806"/>
      <c r="Z857" s="806"/>
      <c r="AA857" s="708"/>
      <c r="AB857" s="708"/>
      <c r="AC857" s="708"/>
      <c r="AD857" s="708"/>
      <c r="AE857" s="708"/>
      <c r="AF857" s="708"/>
      <c r="AG857" s="708"/>
    </row>
  </sheetData>
  <mergeCells count="36">
    <mergeCell ref="A1:B1"/>
    <mergeCell ref="A2:AG2"/>
    <mergeCell ref="A3:AG3"/>
    <mergeCell ref="H4:K4"/>
    <mergeCell ref="L4:M4"/>
    <mergeCell ref="N4:Q4"/>
    <mergeCell ref="R4:V4"/>
    <mergeCell ref="Y4:Z4"/>
    <mergeCell ref="AA4:AC4"/>
    <mergeCell ref="I5:K5"/>
    <mergeCell ref="N5:Q5"/>
    <mergeCell ref="A4:A6"/>
    <mergeCell ref="B4:B6"/>
    <mergeCell ref="C4:C6"/>
    <mergeCell ref="D4:D6"/>
    <mergeCell ref="E4:E6"/>
    <mergeCell ref="F4:F6"/>
    <mergeCell ref="G4:G6"/>
    <mergeCell ref="H5:H6"/>
    <mergeCell ref="L5:L6"/>
    <mergeCell ref="M5:M6"/>
    <mergeCell ref="R5:R6"/>
    <mergeCell ref="S5:S6"/>
    <mergeCell ref="T5:T6"/>
    <mergeCell ref="U5:U6"/>
    <mergeCell ref="V5:V6"/>
    <mergeCell ref="W4:W6"/>
    <mergeCell ref="X4:X6"/>
    <mergeCell ref="Y5:Y6"/>
    <mergeCell ref="Z5:Z6"/>
    <mergeCell ref="AA5:AA6"/>
    <mergeCell ref="AB5:AB6"/>
    <mergeCell ref="AC5:AC6"/>
    <mergeCell ref="AF4:AF6"/>
    <mergeCell ref="AG4:AG6"/>
    <mergeCell ref="AD4:AE6"/>
  </mergeCells>
  <dataValidations count="2">
    <dataValidation allowBlank="1" showInputMessage="1" showErrorMessage="1" sqref="A2"/>
    <dataValidation type="textLength" operator="between" allowBlank="1" showInputMessage="1" showErrorMessage="1" sqref="AD582:AE582 AD596:AE596">
      <formula1>0</formula1>
      <formula2>120</formula2>
    </dataValidation>
  </dataValidations>
  <printOptions horizontalCentered="1"/>
  <pageMargins left="0.700694444444445" right="0.700694444444445" top="0.751388888888889" bottom="0.751388888888889" header="0.297916666666667" footer="0.297916666666667"/>
  <pageSetup paperSize="9" scale="4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C858"/>
  <sheetViews>
    <sheetView workbookViewId="0">
      <pane ySplit="6" topLeftCell="A103" activePane="bottomLeft" state="frozen"/>
      <selection/>
      <selection pane="bottomLeft" activeCell="A1" sqref="$A1:$XFD1048576"/>
    </sheetView>
  </sheetViews>
  <sheetFormatPr defaultColWidth="9" defaultRowHeight="12"/>
  <cols>
    <col min="1" max="1" width="7.75" style="695" customWidth="1"/>
    <col min="2" max="2" width="21.5" style="570" customWidth="1"/>
    <col min="3" max="3" width="9.85" style="570" customWidth="1"/>
    <col min="4" max="4" width="8.41666666666667" style="611" customWidth="1"/>
    <col min="5" max="5" width="7.525" style="570" customWidth="1"/>
    <col min="6" max="6" width="12" style="570" customWidth="1"/>
    <col min="7" max="7" width="17.25" style="570" customWidth="1"/>
    <col min="8" max="8" width="10.9333333333333" style="570" customWidth="1"/>
    <col min="9" max="9" width="13.075" style="570" customWidth="1"/>
    <col min="10" max="10" width="10.2166666666667" style="570" customWidth="1"/>
    <col min="11" max="11" width="7.63333333333333" style="570" customWidth="1"/>
    <col min="12" max="13" width="8.75" style="570" customWidth="1"/>
    <col min="14" max="15" width="12.1333333333333" style="696" customWidth="1"/>
    <col min="16" max="16" width="13.075" style="696" customWidth="1"/>
    <col min="17" max="17" width="10.1333333333333" style="696" customWidth="1"/>
    <col min="18" max="18" width="12" style="696" customWidth="1"/>
    <col min="19" max="19" width="11.8833333333333" style="696" customWidth="1"/>
    <col min="20" max="20" width="11.3833333333333" style="696" customWidth="1"/>
    <col min="21" max="21" width="10.6333333333333" style="696" customWidth="1"/>
    <col min="22" max="22" width="6.38333333333333" style="570" customWidth="1"/>
    <col min="23" max="23" width="8.38333333333333" style="570" customWidth="1"/>
    <col min="24" max="24" width="6.38333333333333" style="570" customWidth="1"/>
    <col min="25" max="25" width="9.14166666666667" style="570" customWidth="1"/>
    <col min="26" max="26" width="8.775" style="570" customWidth="1"/>
    <col min="27" max="29" width="5.25" style="570" customWidth="1"/>
    <col min="30" max="32" width="6.63333333333333" style="570" customWidth="1"/>
    <col min="33" max="33" width="9.5" style="570" customWidth="1"/>
    <col min="34" max="16384" width="9" style="570"/>
  </cols>
  <sheetData>
    <row r="1" s="65" customFormat="1" ht="19.5" customHeight="1" spans="1:237">
      <c r="A1" s="818" t="s">
        <v>641</v>
      </c>
      <c r="B1" s="818"/>
      <c r="C1" s="697"/>
      <c r="D1" s="698"/>
      <c r="E1" s="697"/>
      <c r="F1" s="697"/>
      <c r="G1" s="697"/>
      <c r="H1" s="697"/>
      <c r="I1" s="697"/>
      <c r="J1" s="697"/>
      <c r="K1" s="697"/>
      <c r="L1" s="697"/>
      <c r="M1" s="697"/>
      <c r="N1" s="717"/>
      <c r="O1" s="717"/>
      <c r="P1" s="717"/>
      <c r="Q1" s="717"/>
      <c r="R1" s="717"/>
      <c r="S1" s="717"/>
      <c r="T1" s="717"/>
      <c r="U1" s="717"/>
      <c r="V1" s="717"/>
      <c r="W1" s="717"/>
      <c r="X1" s="717"/>
      <c r="Y1" s="717"/>
      <c r="Z1" s="717"/>
      <c r="AA1" s="697"/>
      <c r="AB1" s="697"/>
      <c r="AC1" s="697"/>
      <c r="AD1" s="697"/>
      <c r="AE1" s="697"/>
      <c r="AF1" s="697"/>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row>
    <row r="2" s="817" customFormat="1" ht="39.95" customHeight="1" spans="1:237">
      <c r="A2" s="819" t="s">
        <v>642</v>
      </c>
      <c r="B2" s="819"/>
      <c r="C2" s="819"/>
      <c r="D2" s="819"/>
      <c r="E2" s="819"/>
      <c r="F2" s="819"/>
      <c r="G2" s="819"/>
      <c r="H2" s="819"/>
      <c r="I2" s="819"/>
      <c r="J2" s="819"/>
      <c r="K2" s="819"/>
      <c r="L2" s="819"/>
      <c r="M2" s="819"/>
      <c r="N2" s="820"/>
      <c r="O2" s="820"/>
      <c r="P2" s="820"/>
      <c r="Q2" s="820"/>
      <c r="R2" s="820"/>
      <c r="S2" s="820"/>
      <c r="T2" s="820"/>
      <c r="U2" s="820"/>
      <c r="V2" s="819"/>
      <c r="W2" s="819"/>
      <c r="X2" s="819"/>
      <c r="Y2" s="819"/>
      <c r="Z2" s="819"/>
      <c r="AA2" s="819"/>
      <c r="AB2" s="819"/>
      <c r="AC2" s="819"/>
      <c r="AD2" s="819"/>
      <c r="AE2" s="819"/>
      <c r="AF2" s="819"/>
      <c r="AG2" s="819"/>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c r="CO2" s="821"/>
      <c r="CP2" s="821"/>
      <c r="CQ2" s="821"/>
      <c r="CR2" s="821"/>
      <c r="CS2" s="821"/>
      <c r="CT2" s="821"/>
      <c r="CU2" s="821"/>
      <c r="CV2" s="821"/>
      <c r="CW2" s="821"/>
      <c r="CX2" s="821"/>
      <c r="CY2" s="821"/>
      <c r="CZ2" s="821"/>
      <c r="DA2" s="821"/>
      <c r="DB2" s="821"/>
      <c r="DC2" s="821"/>
      <c r="DD2" s="821"/>
      <c r="DE2" s="821"/>
      <c r="DF2" s="821"/>
      <c r="DG2" s="821"/>
      <c r="DH2" s="821"/>
      <c r="DI2" s="821"/>
      <c r="DJ2" s="821"/>
      <c r="DK2" s="821"/>
      <c r="DL2" s="821"/>
      <c r="DM2" s="821"/>
      <c r="DN2" s="821"/>
      <c r="DO2" s="821"/>
      <c r="DP2" s="821"/>
      <c r="DQ2" s="821"/>
      <c r="DR2" s="821"/>
      <c r="DS2" s="821"/>
      <c r="DT2" s="821"/>
      <c r="DU2" s="821"/>
      <c r="DV2" s="821"/>
      <c r="DW2" s="821"/>
      <c r="DX2" s="821"/>
      <c r="DY2" s="821"/>
      <c r="DZ2" s="821"/>
      <c r="EA2" s="821"/>
      <c r="EB2" s="821"/>
      <c r="EC2" s="821"/>
      <c r="ED2" s="821"/>
      <c r="EE2" s="821"/>
      <c r="EF2" s="821"/>
      <c r="EG2" s="821"/>
      <c r="EH2" s="821"/>
      <c r="EI2" s="821"/>
      <c r="EJ2" s="821"/>
      <c r="EK2" s="821"/>
      <c r="EL2" s="821"/>
      <c r="EM2" s="821"/>
      <c r="EN2" s="821"/>
      <c r="EO2" s="821"/>
      <c r="EP2" s="821"/>
      <c r="EQ2" s="821"/>
      <c r="ER2" s="821"/>
      <c r="ES2" s="821"/>
      <c r="ET2" s="821"/>
      <c r="EU2" s="821"/>
      <c r="EV2" s="821"/>
      <c r="EW2" s="821"/>
      <c r="EX2" s="821"/>
      <c r="EY2" s="821"/>
      <c r="EZ2" s="821"/>
      <c r="FA2" s="821"/>
      <c r="FB2" s="821"/>
      <c r="FC2" s="821"/>
      <c r="FD2" s="821"/>
      <c r="FE2" s="821"/>
      <c r="FF2" s="821"/>
      <c r="FG2" s="821"/>
      <c r="FH2" s="821"/>
      <c r="FI2" s="821"/>
      <c r="FJ2" s="821"/>
      <c r="FK2" s="821"/>
      <c r="FL2" s="821"/>
      <c r="FM2" s="821"/>
      <c r="FN2" s="821"/>
      <c r="FO2" s="821"/>
      <c r="FP2" s="821"/>
      <c r="FQ2" s="821"/>
      <c r="FR2" s="821"/>
      <c r="FS2" s="821"/>
      <c r="FT2" s="821"/>
      <c r="FU2" s="821"/>
      <c r="FV2" s="821"/>
      <c r="FW2" s="821"/>
      <c r="FX2" s="821"/>
      <c r="FY2" s="821"/>
      <c r="FZ2" s="821"/>
      <c r="GA2" s="821"/>
      <c r="GB2" s="821"/>
      <c r="GC2" s="821"/>
      <c r="GD2" s="821"/>
      <c r="GE2" s="821"/>
      <c r="GF2" s="821"/>
      <c r="GG2" s="821"/>
      <c r="GH2" s="821"/>
      <c r="GI2" s="821"/>
      <c r="GJ2" s="821"/>
      <c r="GK2" s="821"/>
      <c r="GL2" s="821"/>
      <c r="GM2" s="821"/>
      <c r="GN2" s="821"/>
      <c r="GO2" s="821"/>
      <c r="GP2" s="821"/>
      <c r="GQ2" s="821"/>
      <c r="GR2" s="821"/>
      <c r="GS2" s="821"/>
      <c r="GT2" s="821"/>
      <c r="GU2" s="821"/>
      <c r="GV2" s="821"/>
      <c r="GW2" s="821"/>
      <c r="GX2" s="821"/>
      <c r="GY2" s="821"/>
      <c r="GZ2" s="821"/>
      <c r="HA2" s="821"/>
      <c r="HB2" s="821"/>
      <c r="HC2" s="821"/>
      <c r="HD2" s="821"/>
      <c r="HE2" s="821"/>
      <c r="HF2" s="821"/>
      <c r="HG2" s="821"/>
      <c r="HH2" s="821"/>
      <c r="HI2" s="821"/>
      <c r="HJ2" s="821"/>
      <c r="HK2" s="821"/>
      <c r="HL2" s="821"/>
      <c r="HM2" s="821"/>
      <c r="HN2" s="821"/>
      <c r="HO2" s="821"/>
      <c r="HP2" s="821"/>
      <c r="HQ2" s="821"/>
      <c r="HR2" s="821"/>
      <c r="HS2" s="821"/>
      <c r="HT2" s="821"/>
      <c r="HU2" s="821"/>
      <c r="HV2" s="821"/>
      <c r="HW2" s="821"/>
      <c r="HX2" s="821"/>
      <c r="HY2" s="821"/>
      <c r="HZ2" s="821"/>
      <c r="IA2" s="821"/>
      <c r="IB2" s="821"/>
      <c r="IC2" s="821"/>
    </row>
    <row r="3" s="692" customFormat="1" ht="24.95" customHeight="1" spans="1:33">
      <c r="A3" s="700" t="s">
        <v>2</v>
      </c>
      <c r="B3" s="700"/>
      <c r="C3" s="700"/>
      <c r="D3" s="700"/>
      <c r="E3" s="700"/>
      <c r="F3" s="700"/>
      <c r="G3" s="700"/>
      <c r="H3" s="700"/>
      <c r="I3" s="700"/>
      <c r="J3" s="700"/>
      <c r="K3" s="700"/>
      <c r="L3" s="700"/>
      <c r="M3" s="700"/>
      <c r="N3" s="719"/>
      <c r="O3" s="719"/>
      <c r="P3" s="719"/>
      <c r="Q3" s="719"/>
      <c r="R3" s="719"/>
      <c r="S3" s="719"/>
      <c r="T3" s="719"/>
      <c r="U3" s="719"/>
      <c r="V3" s="700"/>
      <c r="W3" s="700"/>
      <c r="X3" s="700"/>
      <c r="Y3" s="700"/>
      <c r="Z3" s="700"/>
      <c r="AA3" s="700"/>
      <c r="AB3" s="700"/>
      <c r="AC3" s="700"/>
      <c r="AD3" s="700"/>
      <c r="AE3" s="700"/>
      <c r="AF3" s="700"/>
      <c r="AG3" s="700"/>
    </row>
    <row r="4" s="693" customFormat="1" ht="46.5" customHeight="1" spans="1:33">
      <c r="A4" s="701" t="s">
        <v>3</v>
      </c>
      <c r="B4" s="585" t="s">
        <v>4</v>
      </c>
      <c r="C4" s="585" t="s">
        <v>5</v>
      </c>
      <c r="D4" s="585" t="s">
        <v>6</v>
      </c>
      <c r="E4" s="585" t="s">
        <v>590</v>
      </c>
      <c r="F4" s="702" t="s">
        <v>8</v>
      </c>
      <c r="G4" s="585" t="s">
        <v>9</v>
      </c>
      <c r="H4" s="585" t="s">
        <v>10</v>
      </c>
      <c r="I4" s="585"/>
      <c r="J4" s="585"/>
      <c r="K4" s="585"/>
      <c r="L4" s="585" t="s">
        <v>11</v>
      </c>
      <c r="M4" s="585"/>
      <c r="N4" s="720" t="s">
        <v>12</v>
      </c>
      <c r="O4" s="720"/>
      <c r="P4" s="720"/>
      <c r="Q4" s="720"/>
      <c r="R4" s="720" t="s">
        <v>13</v>
      </c>
      <c r="S4" s="720"/>
      <c r="T4" s="720"/>
      <c r="U4" s="720"/>
      <c r="V4" s="728"/>
      <c r="W4" s="729" t="s">
        <v>14</v>
      </c>
      <c r="X4" s="729" t="s">
        <v>15</v>
      </c>
      <c r="Y4" s="735" t="s">
        <v>16</v>
      </c>
      <c r="Z4" s="735"/>
      <c r="AA4" s="728" t="s">
        <v>17</v>
      </c>
      <c r="AB4" s="728"/>
      <c r="AC4" s="728"/>
      <c r="AD4" s="728" t="s">
        <v>18</v>
      </c>
      <c r="AE4" s="728"/>
      <c r="AF4" s="728" t="s">
        <v>19</v>
      </c>
      <c r="AG4" s="585" t="s">
        <v>20</v>
      </c>
    </row>
    <row r="5" s="693" customFormat="1" ht="21.75" customHeight="1" spans="1:33">
      <c r="A5" s="701"/>
      <c r="B5" s="585"/>
      <c r="C5" s="585"/>
      <c r="D5" s="585"/>
      <c r="E5" s="585"/>
      <c r="F5" s="703"/>
      <c r="G5" s="585"/>
      <c r="H5" s="585" t="s">
        <v>21</v>
      </c>
      <c r="I5" s="585"/>
      <c r="J5" s="585"/>
      <c r="K5" s="585"/>
      <c r="L5" s="702" t="s">
        <v>22</v>
      </c>
      <c r="M5" s="702" t="s">
        <v>23</v>
      </c>
      <c r="N5" s="721" t="s">
        <v>24</v>
      </c>
      <c r="O5" s="722"/>
      <c r="P5" s="722"/>
      <c r="Q5" s="730"/>
      <c r="R5" s="731" t="s">
        <v>25</v>
      </c>
      <c r="S5" s="731" t="s">
        <v>26</v>
      </c>
      <c r="T5" s="731" t="s">
        <v>27</v>
      </c>
      <c r="U5" s="731" t="s">
        <v>28</v>
      </c>
      <c r="V5" s="702" t="s">
        <v>29</v>
      </c>
      <c r="W5" s="732"/>
      <c r="X5" s="732"/>
      <c r="Y5" s="736" t="s">
        <v>30</v>
      </c>
      <c r="Z5" s="736" t="s">
        <v>31</v>
      </c>
      <c r="AA5" s="728" t="s">
        <v>32</v>
      </c>
      <c r="AB5" s="728" t="s">
        <v>33</v>
      </c>
      <c r="AC5" s="728" t="s">
        <v>34</v>
      </c>
      <c r="AD5" s="728"/>
      <c r="AE5" s="728"/>
      <c r="AF5" s="728"/>
      <c r="AG5" s="585"/>
    </row>
    <row r="6" s="693" customFormat="1" ht="59.25" customHeight="1" spans="1:33">
      <c r="A6" s="701"/>
      <c r="B6" s="585"/>
      <c r="C6" s="585"/>
      <c r="D6" s="585"/>
      <c r="E6" s="585"/>
      <c r="F6" s="704"/>
      <c r="G6" s="585"/>
      <c r="H6" s="585"/>
      <c r="I6" s="585" t="s">
        <v>591</v>
      </c>
      <c r="J6" s="585" t="s">
        <v>592</v>
      </c>
      <c r="K6" s="585" t="s">
        <v>593</v>
      </c>
      <c r="L6" s="704"/>
      <c r="M6" s="704"/>
      <c r="N6" s="723" t="s">
        <v>38</v>
      </c>
      <c r="O6" s="723" t="s">
        <v>591</v>
      </c>
      <c r="P6" s="723" t="s">
        <v>592</v>
      </c>
      <c r="Q6" s="723" t="s">
        <v>593</v>
      </c>
      <c r="R6" s="733"/>
      <c r="S6" s="733"/>
      <c r="T6" s="733"/>
      <c r="U6" s="733"/>
      <c r="V6" s="704"/>
      <c r="W6" s="734"/>
      <c r="X6" s="734"/>
      <c r="Y6" s="737"/>
      <c r="Z6" s="737"/>
      <c r="AA6" s="728"/>
      <c r="AB6" s="728"/>
      <c r="AC6" s="728"/>
      <c r="AD6" s="728"/>
      <c r="AE6" s="728"/>
      <c r="AF6" s="728"/>
      <c r="AG6" s="585"/>
    </row>
    <row r="7" ht="30" customHeight="1" spans="1:33">
      <c r="A7" s="705">
        <v>0</v>
      </c>
      <c r="B7" s="76" t="s">
        <v>39</v>
      </c>
      <c r="C7" s="92"/>
      <c r="D7" s="76"/>
      <c r="E7" s="92">
        <f>E8+E232+E372+E447+E518+E571+E607+E655</f>
        <v>779</v>
      </c>
      <c r="F7" s="92">
        <f t="shared" ref="F7:AA7" si="0">F8+F232+F372+F447+F518+F571+F607+F655</f>
        <v>0</v>
      </c>
      <c r="G7" s="92">
        <f t="shared" si="0"/>
        <v>0</v>
      </c>
      <c r="H7" s="92">
        <f t="shared" si="0"/>
        <v>694248.9</v>
      </c>
      <c r="I7" s="92">
        <f t="shared" si="0"/>
        <v>0</v>
      </c>
      <c r="J7" s="92">
        <f t="shared" si="0"/>
        <v>696515.9</v>
      </c>
      <c r="K7" s="92">
        <f t="shared" si="0"/>
        <v>0</v>
      </c>
      <c r="L7" s="92"/>
      <c r="M7" s="92"/>
      <c r="N7" s="724">
        <f t="shared" si="0"/>
        <v>60978.5325</v>
      </c>
      <c r="O7" s="724">
        <f t="shared" si="0"/>
        <v>60</v>
      </c>
      <c r="P7" s="724">
        <f t="shared" si="0"/>
        <v>60918.5325</v>
      </c>
      <c r="Q7" s="724">
        <f t="shared" si="0"/>
        <v>0</v>
      </c>
      <c r="R7" s="724">
        <f t="shared" si="0"/>
        <v>7418.308</v>
      </c>
      <c r="S7" s="724">
        <f t="shared" si="0"/>
        <v>49580.2245</v>
      </c>
      <c r="T7" s="724">
        <f t="shared" si="0"/>
        <v>0</v>
      </c>
      <c r="U7" s="724">
        <f t="shared" si="0"/>
        <v>3980</v>
      </c>
      <c r="V7" s="724">
        <f t="shared" si="0"/>
        <v>0</v>
      </c>
      <c r="W7" s="92"/>
      <c r="X7" s="92"/>
      <c r="Y7" s="738">
        <f t="shared" si="0"/>
        <v>314031.210526316</v>
      </c>
      <c r="Z7" s="738">
        <f t="shared" si="0"/>
        <v>1252644.7</v>
      </c>
      <c r="AA7" s="92">
        <f t="shared" si="0"/>
        <v>779</v>
      </c>
      <c r="AB7" s="92"/>
      <c r="AC7" s="92"/>
      <c r="AD7" s="92"/>
      <c r="AE7" s="92"/>
      <c r="AF7" s="92"/>
      <c r="AG7" s="92"/>
    </row>
    <row r="8" ht="62" customHeight="1" spans="1:33">
      <c r="A8" s="705">
        <v>1</v>
      </c>
      <c r="B8" s="706" t="s">
        <v>40</v>
      </c>
      <c r="C8" s="706"/>
      <c r="D8" s="707"/>
      <c r="E8" s="706">
        <f>E9+E111+E130+E132+E145+E161+E163+E164+E186</f>
        <v>295</v>
      </c>
      <c r="F8" s="706">
        <f t="shared" ref="F8:AA8" si="1">F9+F111+F130+F132+F145+F161+F163+F164+F186</f>
        <v>0</v>
      </c>
      <c r="G8" s="706">
        <f t="shared" si="1"/>
        <v>0</v>
      </c>
      <c r="H8" s="706">
        <f t="shared" si="1"/>
        <v>269983.52</v>
      </c>
      <c r="I8" s="706">
        <f t="shared" si="1"/>
        <v>0</v>
      </c>
      <c r="J8" s="706">
        <f t="shared" si="1"/>
        <v>269983.52</v>
      </c>
      <c r="K8" s="706">
        <f t="shared" si="1"/>
        <v>0</v>
      </c>
      <c r="L8" s="706"/>
      <c r="M8" s="706"/>
      <c r="N8" s="725">
        <f t="shared" si="1"/>
        <v>29537.1045</v>
      </c>
      <c r="O8" s="725">
        <f t="shared" si="1"/>
        <v>0</v>
      </c>
      <c r="P8" s="725">
        <f t="shared" si="1"/>
        <v>29537.1045</v>
      </c>
      <c r="Q8" s="725">
        <f t="shared" si="1"/>
        <v>0</v>
      </c>
      <c r="R8" s="725">
        <f t="shared" si="1"/>
        <v>0</v>
      </c>
      <c r="S8" s="725">
        <f t="shared" si="1"/>
        <v>28017.1045</v>
      </c>
      <c r="T8" s="725">
        <f t="shared" si="1"/>
        <v>0</v>
      </c>
      <c r="U8" s="725">
        <f t="shared" si="1"/>
        <v>1520</v>
      </c>
      <c r="V8" s="725">
        <f t="shared" si="1"/>
        <v>0</v>
      </c>
      <c r="W8" s="706">
        <f t="shared" si="1"/>
        <v>0</v>
      </c>
      <c r="X8" s="706">
        <f t="shared" si="1"/>
        <v>0</v>
      </c>
      <c r="Y8" s="739">
        <f t="shared" si="1"/>
        <v>90885</v>
      </c>
      <c r="Z8" s="739">
        <f t="shared" si="1"/>
        <v>423139.5</v>
      </c>
      <c r="AA8" s="706">
        <f t="shared" si="1"/>
        <v>295</v>
      </c>
      <c r="AB8" s="706"/>
      <c r="AC8" s="706"/>
      <c r="AD8" s="706"/>
      <c r="AE8" s="706"/>
      <c r="AF8" s="706"/>
      <c r="AG8" s="706" t="s">
        <v>41</v>
      </c>
    </row>
    <row r="9" ht="24.95" customHeight="1" spans="1:33">
      <c r="A9" s="705">
        <v>2</v>
      </c>
      <c r="B9" s="708" t="s">
        <v>42</v>
      </c>
      <c r="C9" s="708"/>
      <c r="D9" s="709"/>
      <c r="E9" s="708">
        <f>E10</f>
        <v>57</v>
      </c>
      <c r="F9" s="708">
        <f t="shared" ref="F9:AA9" si="2">F10</f>
        <v>0</v>
      </c>
      <c r="G9" s="708">
        <f t="shared" si="2"/>
        <v>0</v>
      </c>
      <c r="H9" s="708">
        <f t="shared" si="2"/>
        <v>170551.02</v>
      </c>
      <c r="I9" s="708">
        <f t="shared" si="2"/>
        <v>0</v>
      </c>
      <c r="J9" s="708">
        <f t="shared" si="2"/>
        <v>170551.02</v>
      </c>
      <c r="K9" s="708">
        <f t="shared" si="2"/>
        <v>0</v>
      </c>
      <c r="L9" s="708"/>
      <c r="M9" s="708"/>
      <c r="N9" s="726">
        <f t="shared" si="2"/>
        <v>20202.3145</v>
      </c>
      <c r="O9" s="726">
        <f t="shared" si="2"/>
        <v>0</v>
      </c>
      <c r="P9" s="726">
        <f t="shared" si="2"/>
        <v>20202.3145</v>
      </c>
      <c r="Q9" s="726">
        <f t="shared" si="2"/>
        <v>0</v>
      </c>
      <c r="R9" s="726">
        <f t="shared" si="2"/>
        <v>0</v>
      </c>
      <c r="S9" s="726">
        <f t="shared" si="2"/>
        <v>18682.3145</v>
      </c>
      <c r="T9" s="726">
        <f t="shared" si="2"/>
        <v>0</v>
      </c>
      <c r="U9" s="726">
        <f t="shared" si="2"/>
        <v>1520</v>
      </c>
      <c r="V9" s="726">
        <f t="shared" si="2"/>
        <v>0</v>
      </c>
      <c r="W9" s="708">
        <f t="shared" si="2"/>
        <v>0</v>
      </c>
      <c r="X9" s="708">
        <f t="shared" si="2"/>
        <v>0</v>
      </c>
      <c r="Y9" s="708">
        <f t="shared" si="2"/>
        <v>64206</v>
      </c>
      <c r="Z9" s="708">
        <f t="shared" si="2"/>
        <v>312127</v>
      </c>
      <c r="AA9" s="708">
        <f t="shared" si="2"/>
        <v>57</v>
      </c>
      <c r="AB9" s="708"/>
      <c r="AC9" s="708"/>
      <c r="AD9" s="708"/>
      <c r="AE9" s="708"/>
      <c r="AF9" s="708" t="s">
        <v>43</v>
      </c>
      <c r="AG9" s="708" t="s">
        <v>41</v>
      </c>
    </row>
    <row r="10" ht="68" customHeight="1" spans="1:33">
      <c r="A10" s="705">
        <v>4</v>
      </c>
      <c r="B10" s="92" t="s">
        <v>44</v>
      </c>
      <c r="C10" s="92"/>
      <c r="D10" s="76" t="s">
        <v>45</v>
      </c>
      <c r="E10" s="92">
        <f>E11+E17+E27+E32+E40+E45+E51+E58+E63+E68+E78+E80+E84+E86+E88+E90+E93+E95+E97+E99+E101+E103+E105+E107+E109</f>
        <v>57</v>
      </c>
      <c r="F10" s="92">
        <f t="shared" ref="F10:AA10" si="3">F11+F17+F27+F32+F40+F45+F51+F58+F63+F68+F78+F80+F84+F86+F88+F90+F93+F95+F97+F99+F101+F103+F105+F107+F109</f>
        <v>0</v>
      </c>
      <c r="G10" s="92">
        <f t="shared" si="3"/>
        <v>0</v>
      </c>
      <c r="H10" s="92">
        <f t="shared" si="3"/>
        <v>170551.02</v>
      </c>
      <c r="I10" s="92">
        <f t="shared" si="3"/>
        <v>0</v>
      </c>
      <c r="J10" s="92">
        <f t="shared" si="3"/>
        <v>170551.02</v>
      </c>
      <c r="K10" s="92">
        <f t="shared" si="3"/>
        <v>0</v>
      </c>
      <c r="L10" s="92"/>
      <c r="M10" s="92"/>
      <c r="N10" s="724">
        <f t="shared" si="3"/>
        <v>20202.3145</v>
      </c>
      <c r="O10" s="724">
        <f t="shared" si="3"/>
        <v>0</v>
      </c>
      <c r="P10" s="724">
        <f t="shared" si="3"/>
        <v>20202.3145</v>
      </c>
      <c r="Q10" s="724">
        <f t="shared" si="3"/>
        <v>0</v>
      </c>
      <c r="R10" s="724">
        <f t="shared" si="3"/>
        <v>0</v>
      </c>
      <c r="S10" s="724">
        <f t="shared" si="3"/>
        <v>18682.3145</v>
      </c>
      <c r="T10" s="724">
        <f t="shared" si="3"/>
        <v>0</v>
      </c>
      <c r="U10" s="724">
        <f t="shared" si="3"/>
        <v>1520</v>
      </c>
      <c r="V10" s="724">
        <f t="shared" si="3"/>
        <v>0</v>
      </c>
      <c r="W10" s="92">
        <f t="shared" si="3"/>
        <v>0</v>
      </c>
      <c r="X10" s="92">
        <f t="shared" si="3"/>
        <v>0</v>
      </c>
      <c r="Y10" s="92">
        <f t="shared" si="3"/>
        <v>64206</v>
      </c>
      <c r="Z10" s="92">
        <f t="shared" si="3"/>
        <v>312127</v>
      </c>
      <c r="AA10" s="92">
        <f t="shared" si="3"/>
        <v>57</v>
      </c>
      <c r="AB10" s="92"/>
      <c r="AC10" s="92"/>
      <c r="AD10" s="92"/>
      <c r="AE10" s="92"/>
      <c r="AF10" s="92" t="s">
        <v>43</v>
      </c>
      <c r="AG10" s="92"/>
    </row>
    <row r="11" ht="24.95" customHeight="1" spans="1:33">
      <c r="A11" s="705" t="s">
        <v>48</v>
      </c>
      <c r="B11" s="710" t="s">
        <v>49</v>
      </c>
      <c r="C11" s="71"/>
      <c r="D11" s="71"/>
      <c r="E11" s="92">
        <f>SUM(E12:E16)</f>
        <v>5</v>
      </c>
      <c r="F11" s="92">
        <f t="shared" ref="F11:AA11" si="4">SUM(F12:F16)</f>
        <v>0</v>
      </c>
      <c r="G11" s="92">
        <f t="shared" si="4"/>
        <v>0</v>
      </c>
      <c r="H11" s="92">
        <f t="shared" si="4"/>
        <v>41426.65</v>
      </c>
      <c r="I11" s="92">
        <f t="shared" si="4"/>
        <v>0</v>
      </c>
      <c r="J11" s="92">
        <f t="shared" si="4"/>
        <v>41426.65</v>
      </c>
      <c r="K11" s="92">
        <f t="shared" si="4"/>
        <v>0</v>
      </c>
      <c r="L11" s="92"/>
      <c r="M11" s="92"/>
      <c r="N11" s="724">
        <f t="shared" si="4"/>
        <v>6730.258</v>
      </c>
      <c r="O11" s="724">
        <f t="shared" si="4"/>
        <v>0</v>
      </c>
      <c r="P11" s="724">
        <f t="shared" si="4"/>
        <v>6730.258</v>
      </c>
      <c r="Q11" s="724">
        <f t="shared" si="4"/>
        <v>0</v>
      </c>
      <c r="R11" s="724">
        <f t="shared" si="4"/>
        <v>0</v>
      </c>
      <c r="S11" s="724">
        <f t="shared" si="4"/>
        <v>6610.258</v>
      </c>
      <c r="T11" s="724">
        <f t="shared" si="4"/>
        <v>0</v>
      </c>
      <c r="U11" s="724">
        <f t="shared" si="4"/>
        <v>120</v>
      </c>
      <c r="V11" s="724">
        <f t="shared" si="4"/>
        <v>0</v>
      </c>
      <c r="W11" s="92">
        <f t="shared" si="4"/>
        <v>0</v>
      </c>
      <c r="X11" s="92">
        <f t="shared" si="4"/>
        <v>0</v>
      </c>
      <c r="Y11" s="92">
        <f t="shared" si="4"/>
        <v>24210</v>
      </c>
      <c r="Z11" s="92">
        <f t="shared" si="4"/>
        <v>102313</v>
      </c>
      <c r="AA11" s="92">
        <f t="shared" si="4"/>
        <v>5</v>
      </c>
      <c r="AB11" s="92"/>
      <c r="AC11" s="92"/>
      <c r="AD11" s="141"/>
      <c r="AE11" s="146" t="s">
        <v>50</v>
      </c>
      <c r="AF11" s="438" t="s">
        <v>43</v>
      </c>
      <c r="AG11" s="92"/>
    </row>
    <row r="12" ht="24.95" customHeight="1" spans="1:33">
      <c r="A12" s="705"/>
      <c r="B12" s="97" t="s">
        <v>51</v>
      </c>
      <c r="C12" s="86" t="s">
        <v>52</v>
      </c>
      <c r="D12" s="151" t="s">
        <v>45</v>
      </c>
      <c r="E12" s="92">
        <v>1</v>
      </c>
      <c r="F12" s="97" t="s">
        <v>51</v>
      </c>
      <c r="G12" s="92"/>
      <c r="H12" s="71">
        <v>3550</v>
      </c>
      <c r="I12" s="92"/>
      <c r="J12" s="71">
        <v>3550</v>
      </c>
      <c r="K12" s="92"/>
      <c r="L12" s="92">
        <v>2019.01</v>
      </c>
      <c r="M12" s="92">
        <v>2019.12</v>
      </c>
      <c r="N12" s="727">
        <v>4973.683</v>
      </c>
      <c r="O12" s="92"/>
      <c r="P12" s="727">
        <v>4973.683</v>
      </c>
      <c r="Q12" s="92"/>
      <c r="R12" s="92"/>
      <c r="S12" s="727">
        <v>4973.683</v>
      </c>
      <c r="T12" s="92"/>
      <c r="U12" s="92"/>
      <c r="V12" s="92"/>
      <c r="W12" s="92"/>
      <c r="X12" s="92"/>
      <c r="Y12" s="29">
        <v>18685</v>
      </c>
      <c r="Z12" s="29">
        <v>79084</v>
      </c>
      <c r="AA12" s="92">
        <v>1</v>
      </c>
      <c r="AB12" s="92"/>
      <c r="AC12" s="92"/>
      <c r="AD12" s="740" t="s">
        <v>53</v>
      </c>
      <c r="AE12" s="741" t="s">
        <v>54</v>
      </c>
      <c r="AF12" s="742" t="s">
        <v>43</v>
      </c>
      <c r="AG12" s="92"/>
    </row>
    <row r="13" ht="24.95" customHeight="1" spans="1:33">
      <c r="A13" s="705"/>
      <c r="B13" s="96" t="s">
        <v>55</v>
      </c>
      <c r="C13" s="86" t="s">
        <v>52</v>
      </c>
      <c r="D13" s="151" t="s">
        <v>45</v>
      </c>
      <c r="E13" s="92">
        <v>1</v>
      </c>
      <c r="F13" s="96" t="s">
        <v>55</v>
      </c>
      <c r="G13" s="92"/>
      <c r="H13" s="86">
        <v>23913.8</v>
      </c>
      <c r="I13" s="92"/>
      <c r="J13" s="86">
        <v>23913.8</v>
      </c>
      <c r="K13" s="92"/>
      <c r="L13" s="92">
        <v>2019.01</v>
      </c>
      <c r="M13" s="92">
        <v>2019.12</v>
      </c>
      <c r="N13" s="146">
        <v>800</v>
      </c>
      <c r="O13" s="92"/>
      <c r="P13" s="146">
        <v>800</v>
      </c>
      <c r="Q13" s="92"/>
      <c r="R13" s="92"/>
      <c r="S13" s="146">
        <v>800</v>
      </c>
      <c r="T13" s="92"/>
      <c r="U13" s="92"/>
      <c r="V13" s="92"/>
      <c r="W13" s="92"/>
      <c r="X13" s="92"/>
      <c r="Y13" s="151">
        <v>2684</v>
      </c>
      <c r="Z13" s="151">
        <v>11330</v>
      </c>
      <c r="AA13" s="92">
        <v>1</v>
      </c>
      <c r="AB13" s="92"/>
      <c r="AC13" s="92"/>
      <c r="AD13" s="743" t="s">
        <v>56</v>
      </c>
      <c r="AE13" s="141" t="s">
        <v>57</v>
      </c>
      <c r="AF13" s="438" t="s">
        <v>43</v>
      </c>
      <c r="AG13" s="92"/>
    </row>
    <row r="14" ht="24.95" customHeight="1" spans="1:33">
      <c r="A14" s="705"/>
      <c r="B14" s="96" t="s">
        <v>58</v>
      </c>
      <c r="C14" s="86" t="s">
        <v>52</v>
      </c>
      <c r="D14" s="151" t="s">
        <v>45</v>
      </c>
      <c r="E14" s="92">
        <v>1</v>
      </c>
      <c r="F14" s="96" t="s">
        <v>58</v>
      </c>
      <c r="G14" s="92"/>
      <c r="H14" s="86">
        <v>2696</v>
      </c>
      <c r="I14" s="92"/>
      <c r="J14" s="86">
        <v>2696</v>
      </c>
      <c r="K14" s="92"/>
      <c r="L14" s="92">
        <v>2019.01</v>
      </c>
      <c r="M14" s="92">
        <v>2019.12</v>
      </c>
      <c r="N14" s="146">
        <v>64</v>
      </c>
      <c r="O14" s="92"/>
      <c r="P14" s="146">
        <v>64</v>
      </c>
      <c r="Q14" s="92"/>
      <c r="R14" s="92"/>
      <c r="S14" s="146">
        <v>64</v>
      </c>
      <c r="T14" s="92"/>
      <c r="U14" s="92"/>
      <c r="V14" s="92"/>
      <c r="W14" s="92"/>
      <c r="X14" s="92"/>
      <c r="Y14" s="151">
        <v>477</v>
      </c>
      <c r="Z14" s="151">
        <v>2016</v>
      </c>
      <c r="AA14" s="92">
        <v>1</v>
      </c>
      <c r="AB14" s="92"/>
      <c r="AC14" s="92"/>
      <c r="AD14" s="744" t="s">
        <v>59</v>
      </c>
      <c r="AE14" s="744" t="s">
        <v>60</v>
      </c>
      <c r="AF14" s="438" t="s">
        <v>43</v>
      </c>
      <c r="AG14" s="92"/>
    </row>
    <row r="15" ht="24.95" customHeight="1" spans="1:33">
      <c r="A15" s="705"/>
      <c r="B15" s="96" t="s">
        <v>61</v>
      </c>
      <c r="C15" s="86" t="s">
        <v>52</v>
      </c>
      <c r="D15" s="151" t="s">
        <v>45</v>
      </c>
      <c r="E15" s="92">
        <v>1</v>
      </c>
      <c r="F15" s="96" t="s">
        <v>61</v>
      </c>
      <c r="G15" s="92"/>
      <c r="H15" s="86">
        <v>5741.85</v>
      </c>
      <c r="I15" s="92"/>
      <c r="J15" s="86">
        <v>5741.85</v>
      </c>
      <c r="K15" s="92"/>
      <c r="L15" s="92">
        <v>2019.01</v>
      </c>
      <c r="M15" s="92">
        <v>2019.12</v>
      </c>
      <c r="N15" s="146">
        <v>516.4</v>
      </c>
      <c r="O15" s="92"/>
      <c r="P15" s="146">
        <v>516.4</v>
      </c>
      <c r="Q15" s="92"/>
      <c r="R15" s="92"/>
      <c r="S15" s="146">
        <v>396.4</v>
      </c>
      <c r="T15" s="92"/>
      <c r="U15" s="92">
        <v>120</v>
      </c>
      <c r="V15" s="92"/>
      <c r="W15" s="92"/>
      <c r="X15" s="92"/>
      <c r="Y15" s="151">
        <v>186</v>
      </c>
      <c r="Z15" s="151">
        <v>776</v>
      </c>
      <c r="AA15" s="92">
        <v>1</v>
      </c>
      <c r="AB15" s="92"/>
      <c r="AC15" s="92"/>
      <c r="AD15" s="141" t="s">
        <v>62</v>
      </c>
      <c r="AE15" s="141" t="s">
        <v>63</v>
      </c>
      <c r="AF15" s="438" t="s">
        <v>43</v>
      </c>
      <c r="AG15" s="92"/>
    </row>
    <row r="16" ht="24.95" customHeight="1" spans="1:33">
      <c r="A16" s="705"/>
      <c r="B16" s="96" t="s">
        <v>64</v>
      </c>
      <c r="C16" s="86" t="s">
        <v>52</v>
      </c>
      <c r="D16" s="151" t="s">
        <v>45</v>
      </c>
      <c r="E16" s="92">
        <v>1</v>
      </c>
      <c r="F16" s="96" t="s">
        <v>64</v>
      </c>
      <c r="G16" s="92"/>
      <c r="H16" s="86">
        <v>5525</v>
      </c>
      <c r="I16" s="92"/>
      <c r="J16" s="86">
        <v>5525</v>
      </c>
      <c r="K16" s="92"/>
      <c r="L16" s="92">
        <v>2019.01</v>
      </c>
      <c r="M16" s="92">
        <v>2019.12</v>
      </c>
      <c r="N16" s="86">
        <v>376.175</v>
      </c>
      <c r="O16" s="92"/>
      <c r="P16" s="86">
        <v>376.175</v>
      </c>
      <c r="Q16" s="92"/>
      <c r="R16" s="92"/>
      <c r="S16" s="86">
        <v>376.175</v>
      </c>
      <c r="T16" s="92"/>
      <c r="U16" s="92"/>
      <c r="V16" s="92"/>
      <c r="W16" s="92"/>
      <c r="X16" s="92"/>
      <c r="Y16" s="151">
        <v>2178</v>
      </c>
      <c r="Z16" s="151">
        <v>9107</v>
      </c>
      <c r="AA16" s="92">
        <v>1</v>
      </c>
      <c r="AB16" s="92"/>
      <c r="AC16" s="92"/>
      <c r="AD16" s="71" t="s">
        <v>65</v>
      </c>
      <c r="AE16" s="71" t="s">
        <v>66</v>
      </c>
      <c r="AF16" s="438" t="s">
        <v>43</v>
      </c>
      <c r="AG16" s="92"/>
    </row>
    <row r="17" ht="24.95" customHeight="1" spans="1:33">
      <c r="A17" s="705"/>
      <c r="B17" s="711" t="s">
        <v>67</v>
      </c>
      <c r="C17" s="146" t="s">
        <v>52</v>
      </c>
      <c r="D17" s="141" t="s">
        <v>45</v>
      </c>
      <c r="E17" s="92">
        <f>SUM(E18:E26)</f>
        <v>9</v>
      </c>
      <c r="F17" s="92">
        <f t="shared" ref="F17:AA17" si="5">SUM(F18:F26)</f>
        <v>0</v>
      </c>
      <c r="G17" s="92">
        <f t="shared" si="5"/>
        <v>0</v>
      </c>
      <c r="H17" s="92">
        <f t="shared" si="5"/>
        <v>32396.17</v>
      </c>
      <c r="I17" s="92">
        <f t="shared" si="5"/>
        <v>0</v>
      </c>
      <c r="J17" s="92">
        <f t="shared" si="5"/>
        <v>32396.17</v>
      </c>
      <c r="K17" s="92">
        <f t="shared" si="5"/>
        <v>0</v>
      </c>
      <c r="L17" s="92"/>
      <c r="M17" s="92"/>
      <c r="N17" s="92">
        <f t="shared" si="5"/>
        <v>3041.108</v>
      </c>
      <c r="O17" s="92">
        <f t="shared" si="5"/>
        <v>0</v>
      </c>
      <c r="P17" s="92">
        <f t="shared" si="5"/>
        <v>3041.108</v>
      </c>
      <c r="Q17" s="92">
        <f t="shared" si="5"/>
        <v>0</v>
      </c>
      <c r="R17" s="92">
        <f t="shared" si="5"/>
        <v>0</v>
      </c>
      <c r="S17" s="92">
        <f t="shared" si="5"/>
        <v>3041.108</v>
      </c>
      <c r="T17" s="92">
        <f t="shared" si="5"/>
        <v>0</v>
      </c>
      <c r="U17" s="92">
        <f t="shared" si="5"/>
        <v>0</v>
      </c>
      <c r="V17" s="92">
        <f t="shared" si="5"/>
        <v>0</v>
      </c>
      <c r="W17" s="92">
        <f t="shared" si="5"/>
        <v>0</v>
      </c>
      <c r="X17" s="92">
        <f t="shared" si="5"/>
        <v>0</v>
      </c>
      <c r="Y17" s="92">
        <f t="shared" si="5"/>
        <v>11380</v>
      </c>
      <c r="Z17" s="92">
        <f t="shared" si="5"/>
        <v>48711</v>
      </c>
      <c r="AA17" s="92">
        <f t="shared" si="5"/>
        <v>9</v>
      </c>
      <c r="AB17" s="92"/>
      <c r="AC17" s="92"/>
      <c r="AD17" s="141" t="s">
        <v>68</v>
      </c>
      <c r="AE17" s="146" t="s">
        <v>50</v>
      </c>
      <c r="AF17" s="438" t="s">
        <v>43</v>
      </c>
      <c r="AG17" s="92"/>
    </row>
    <row r="18" ht="24.95" customHeight="1" spans="1:33">
      <c r="A18" s="705"/>
      <c r="B18" s="199" t="s">
        <v>69</v>
      </c>
      <c r="C18" s="141" t="s">
        <v>52</v>
      </c>
      <c r="D18" s="141" t="s">
        <v>45</v>
      </c>
      <c r="E18" s="92">
        <v>1</v>
      </c>
      <c r="F18" s="199" t="s">
        <v>69</v>
      </c>
      <c r="G18" s="92"/>
      <c r="H18" s="86">
        <v>480</v>
      </c>
      <c r="I18" s="92"/>
      <c r="J18" s="86">
        <v>480</v>
      </c>
      <c r="K18" s="92"/>
      <c r="L18" s="92">
        <v>2019.01</v>
      </c>
      <c r="M18" s="92">
        <v>2019.12</v>
      </c>
      <c r="N18" s="86">
        <v>24</v>
      </c>
      <c r="O18" s="92"/>
      <c r="P18" s="86">
        <v>24</v>
      </c>
      <c r="Q18" s="92"/>
      <c r="R18" s="92"/>
      <c r="S18" s="86">
        <v>24</v>
      </c>
      <c r="T18" s="92"/>
      <c r="U18" s="92"/>
      <c r="V18" s="92"/>
      <c r="W18" s="92"/>
      <c r="X18" s="92"/>
      <c r="Y18" s="151">
        <v>225</v>
      </c>
      <c r="Z18" s="151">
        <v>922</v>
      </c>
      <c r="AA18" s="92">
        <v>1</v>
      </c>
      <c r="AB18" s="92"/>
      <c r="AC18" s="92"/>
      <c r="AD18" s="146" t="s">
        <v>70</v>
      </c>
      <c r="AE18" s="146" t="s">
        <v>71</v>
      </c>
      <c r="AF18" s="438" t="s">
        <v>43</v>
      </c>
      <c r="AG18" s="92"/>
    </row>
    <row r="19" ht="24.95" customHeight="1" spans="1:33">
      <c r="A19" s="705"/>
      <c r="B19" s="199" t="s">
        <v>51</v>
      </c>
      <c r="C19" s="141" t="s">
        <v>52</v>
      </c>
      <c r="D19" s="141" t="s">
        <v>45</v>
      </c>
      <c r="E19" s="92">
        <v>1</v>
      </c>
      <c r="F19" s="199" t="s">
        <v>51</v>
      </c>
      <c r="G19" s="92"/>
      <c r="H19" s="86">
        <v>1612.77</v>
      </c>
      <c r="I19" s="92"/>
      <c r="J19" s="86">
        <v>1612.77</v>
      </c>
      <c r="K19" s="92"/>
      <c r="L19" s="92">
        <v>2019.01</v>
      </c>
      <c r="M19" s="92">
        <v>2019.12</v>
      </c>
      <c r="N19" s="86">
        <v>1463.69</v>
      </c>
      <c r="O19" s="92"/>
      <c r="P19" s="86">
        <v>1463.69</v>
      </c>
      <c r="Q19" s="92"/>
      <c r="R19" s="92"/>
      <c r="S19" s="86">
        <v>1463.69</v>
      </c>
      <c r="T19" s="92"/>
      <c r="U19" s="92"/>
      <c r="V19" s="92"/>
      <c r="W19" s="92"/>
      <c r="X19" s="92"/>
      <c r="Y19" s="151">
        <v>1760</v>
      </c>
      <c r="Z19" s="151">
        <v>7269</v>
      </c>
      <c r="AA19" s="92">
        <v>1</v>
      </c>
      <c r="AB19" s="92"/>
      <c r="AC19" s="92"/>
      <c r="AD19" s="740" t="s">
        <v>53</v>
      </c>
      <c r="AE19" s="741" t="s">
        <v>54</v>
      </c>
      <c r="AF19" s="742" t="s">
        <v>43</v>
      </c>
      <c r="AG19" s="92"/>
    </row>
    <row r="20" ht="24.95" customHeight="1" spans="1:33">
      <c r="A20" s="705"/>
      <c r="B20" s="199" t="s">
        <v>72</v>
      </c>
      <c r="C20" s="141" t="s">
        <v>52</v>
      </c>
      <c r="D20" s="141" t="s">
        <v>45</v>
      </c>
      <c r="E20" s="92">
        <v>1</v>
      </c>
      <c r="F20" s="199" t="s">
        <v>72</v>
      </c>
      <c r="G20" s="92"/>
      <c r="H20" s="86">
        <v>5780</v>
      </c>
      <c r="I20" s="92"/>
      <c r="J20" s="86">
        <v>5780</v>
      </c>
      <c r="K20" s="92"/>
      <c r="L20" s="92">
        <v>2019.01</v>
      </c>
      <c r="M20" s="92">
        <v>2019.12</v>
      </c>
      <c r="N20" s="86">
        <v>152</v>
      </c>
      <c r="O20" s="92"/>
      <c r="P20" s="86">
        <v>152</v>
      </c>
      <c r="Q20" s="92"/>
      <c r="R20" s="92"/>
      <c r="S20" s="86">
        <v>152</v>
      </c>
      <c r="T20" s="92"/>
      <c r="U20" s="92"/>
      <c r="V20" s="92"/>
      <c r="W20" s="92"/>
      <c r="X20" s="92"/>
      <c r="Y20" s="151">
        <v>1780</v>
      </c>
      <c r="Z20" s="151">
        <v>7144</v>
      </c>
      <c r="AA20" s="92">
        <v>1</v>
      </c>
      <c r="AB20" s="92"/>
      <c r="AC20" s="92"/>
      <c r="AD20" s="146" t="s">
        <v>73</v>
      </c>
      <c r="AE20" s="438" t="s">
        <v>74</v>
      </c>
      <c r="AF20" s="438" t="s">
        <v>43</v>
      </c>
      <c r="AG20" s="92"/>
    </row>
    <row r="21" ht="24.95" customHeight="1" spans="1:33">
      <c r="A21" s="705"/>
      <c r="B21" s="199" t="s">
        <v>75</v>
      </c>
      <c r="C21" s="146" t="s">
        <v>52</v>
      </c>
      <c r="D21" s="152" t="s">
        <v>45</v>
      </c>
      <c r="E21" s="92">
        <v>1</v>
      </c>
      <c r="F21" s="199" t="s">
        <v>75</v>
      </c>
      <c r="G21" s="92"/>
      <c r="H21" s="86">
        <v>5540</v>
      </c>
      <c r="I21" s="92"/>
      <c r="J21" s="86">
        <v>5540</v>
      </c>
      <c r="K21" s="92"/>
      <c r="L21" s="92">
        <v>2019.01</v>
      </c>
      <c r="M21" s="92">
        <v>2019.12</v>
      </c>
      <c r="N21" s="86">
        <v>114.17</v>
      </c>
      <c r="O21" s="92"/>
      <c r="P21" s="86">
        <v>114.17</v>
      </c>
      <c r="Q21" s="92"/>
      <c r="R21" s="92"/>
      <c r="S21" s="86">
        <v>114.17</v>
      </c>
      <c r="T21" s="92"/>
      <c r="U21" s="92"/>
      <c r="V21" s="92"/>
      <c r="W21" s="92"/>
      <c r="X21" s="92"/>
      <c r="Y21" s="151">
        <v>2090</v>
      </c>
      <c r="Z21" s="151">
        <v>9380</v>
      </c>
      <c r="AA21" s="92">
        <v>1</v>
      </c>
      <c r="AB21" s="92"/>
      <c r="AC21" s="92"/>
      <c r="AD21" s="146" t="s">
        <v>76</v>
      </c>
      <c r="AE21" s="146" t="s">
        <v>77</v>
      </c>
      <c r="AF21" s="438" t="s">
        <v>43</v>
      </c>
      <c r="AG21" s="92"/>
    </row>
    <row r="22" ht="24.95" customHeight="1" spans="1:33">
      <c r="A22" s="705"/>
      <c r="B22" s="199" t="s">
        <v>58</v>
      </c>
      <c r="C22" s="146" t="s">
        <v>52</v>
      </c>
      <c r="D22" s="152" t="s">
        <v>45</v>
      </c>
      <c r="E22" s="92">
        <v>1</v>
      </c>
      <c r="F22" s="199" t="s">
        <v>58</v>
      </c>
      <c r="G22" s="92"/>
      <c r="H22" s="86">
        <v>3272</v>
      </c>
      <c r="I22" s="92"/>
      <c r="J22" s="86">
        <v>3272</v>
      </c>
      <c r="K22" s="92"/>
      <c r="L22" s="92">
        <v>2019.01</v>
      </c>
      <c r="M22" s="92">
        <v>2019.12</v>
      </c>
      <c r="N22" s="86">
        <v>408.08</v>
      </c>
      <c r="O22" s="92"/>
      <c r="P22" s="86">
        <v>408.08</v>
      </c>
      <c r="Q22" s="92"/>
      <c r="R22" s="92"/>
      <c r="S22" s="86">
        <v>408.08</v>
      </c>
      <c r="T22" s="92"/>
      <c r="U22" s="92"/>
      <c r="V22" s="92"/>
      <c r="W22" s="92"/>
      <c r="X22" s="92"/>
      <c r="Y22" s="151">
        <v>1611</v>
      </c>
      <c r="Z22" s="151">
        <v>6806</v>
      </c>
      <c r="AA22" s="92">
        <v>1</v>
      </c>
      <c r="AB22" s="92"/>
      <c r="AC22" s="92"/>
      <c r="AD22" s="146" t="s">
        <v>59</v>
      </c>
      <c r="AE22" s="146" t="s">
        <v>60</v>
      </c>
      <c r="AF22" s="438" t="s">
        <v>43</v>
      </c>
      <c r="AG22" s="92"/>
    </row>
    <row r="23" ht="24.95" customHeight="1" spans="1:33">
      <c r="A23" s="705"/>
      <c r="B23" s="199" t="s">
        <v>61</v>
      </c>
      <c r="C23" s="146" t="s">
        <v>52</v>
      </c>
      <c r="D23" s="152" t="s">
        <v>45</v>
      </c>
      <c r="E23" s="92">
        <v>1</v>
      </c>
      <c r="F23" s="199" t="s">
        <v>61</v>
      </c>
      <c r="G23" s="92"/>
      <c r="H23" s="86">
        <v>13185</v>
      </c>
      <c r="I23" s="92"/>
      <c r="J23" s="86">
        <v>13185</v>
      </c>
      <c r="K23" s="92"/>
      <c r="L23" s="92">
        <v>2019.01</v>
      </c>
      <c r="M23" s="92">
        <v>2019.12</v>
      </c>
      <c r="N23" s="86">
        <v>789.44</v>
      </c>
      <c r="O23" s="92"/>
      <c r="P23" s="86">
        <v>789.44</v>
      </c>
      <c r="Q23" s="92"/>
      <c r="R23" s="92"/>
      <c r="S23" s="86">
        <v>789.44</v>
      </c>
      <c r="T23" s="92"/>
      <c r="U23" s="92"/>
      <c r="V23" s="92"/>
      <c r="W23" s="92"/>
      <c r="X23" s="92"/>
      <c r="Y23" s="151">
        <v>3280</v>
      </c>
      <c r="Z23" s="151">
        <v>14809</v>
      </c>
      <c r="AA23" s="92">
        <v>1</v>
      </c>
      <c r="AB23" s="92"/>
      <c r="AC23" s="92"/>
      <c r="AD23" s="146" t="s">
        <v>62</v>
      </c>
      <c r="AE23" s="146" t="s">
        <v>63</v>
      </c>
      <c r="AF23" s="438" t="s">
        <v>43</v>
      </c>
      <c r="AG23" s="92"/>
    </row>
    <row r="24" ht="24.95" customHeight="1" spans="1:33">
      <c r="A24" s="705"/>
      <c r="B24" s="199" t="s">
        <v>78</v>
      </c>
      <c r="C24" s="71" t="s">
        <v>52</v>
      </c>
      <c r="D24" s="71" t="s">
        <v>45</v>
      </c>
      <c r="E24" s="92">
        <v>1</v>
      </c>
      <c r="F24" s="199" t="s">
        <v>78</v>
      </c>
      <c r="G24" s="92"/>
      <c r="H24" s="86">
        <v>1136</v>
      </c>
      <c r="I24" s="92"/>
      <c r="J24" s="86">
        <v>1136</v>
      </c>
      <c r="K24" s="92"/>
      <c r="L24" s="92">
        <v>2019.01</v>
      </c>
      <c r="M24" s="92">
        <v>2019.12</v>
      </c>
      <c r="N24" s="86">
        <v>15</v>
      </c>
      <c r="O24" s="92"/>
      <c r="P24" s="86">
        <v>15</v>
      </c>
      <c r="Q24" s="92"/>
      <c r="R24" s="92"/>
      <c r="S24" s="86">
        <v>15</v>
      </c>
      <c r="T24" s="92"/>
      <c r="U24" s="92"/>
      <c r="V24" s="92"/>
      <c r="W24" s="92"/>
      <c r="X24" s="92"/>
      <c r="Y24" s="151">
        <v>98</v>
      </c>
      <c r="Z24" s="151">
        <v>329</v>
      </c>
      <c r="AA24" s="92">
        <v>1</v>
      </c>
      <c r="AB24" s="92"/>
      <c r="AC24" s="92"/>
      <c r="AD24" s="86" t="s">
        <v>79</v>
      </c>
      <c r="AE24" s="86" t="s">
        <v>80</v>
      </c>
      <c r="AF24" s="438" t="s">
        <v>43</v>
      </c>
      <c r="AG24" s="92"/>
    </row>
    <row r="25" ht="24.95" customHeight="1" spans="1:33">
      <c r="A25" s="705"/>
      <c r="B25" s="199" t="s">
        <v>81</v>
      </c>
      <c r="C25" s="71" t="s">
        <v>52</v>
      </c>
      <c r="D25" s="71" t="s">
        <v>45</v>
      </c>
      <c r="E25" s="92">
        <v>1</v>
      </c>
      <c r="F25" s="199" t="s">
        <v>81</v>
      </c>
      <c r="G25" s="92"/>
      <c r="H25" s="86">
        <v>776</v>
      </c>
      <c r="I25" s="92"/>
      <c r="J25" s="86">
        <v>776</v>
      </c>
      <c r="K25" s="92"/>
      <c r="L25" s="92">
        <v>2019.01</v>
      </c>
      <c r="M25" s="92">
        <v>2019.12</v>
      </c>
      <c r="N25" s="86">
        <v>62.128</v>
      </c>
      <c r="O25" s="92"/>
      <c r="P25" s="86">
        <v>62.128</v>
      </c>
      <c r="Q25" s="92"/>
      <c r="R25" s="92"/>
      <c r="S25" s="86">
        <v>62.128</v>
      </c>
      <c r="T25" s="92"/>
      <c r="U25" s="92"/>
      <c r="V25" s="92"/>
      <c r="W25" s="92"/>
      <c r="X25" s="92"/>
      <c r="Y25" s="151">
        <v>319</v>
      </c>
      <c r="Z25" s="151">
        <v>1209</v>
      </c>
      <c r="AA25" s="92">
        <v>1</v>
      </c>
      <c r="AB25" s="92"/>
      <c r="AC25" s="92"/>
      <c r="AD25" s="86" t="s">
        <v>82</v>
      </c>
      <c r="AE25" s="86" t="s">
        <v>83</v>
      </c>
      <c r="AF25" s="438" t="s">
        <v>43</v>
      </c>
      <c r="AG25" s="92"/>
    </row>
    <row r="26" ht="24.95" customHeight="1" spans="1:33">
      <c r="A26" s="705"/>
      <c r="B26" s="199" t="s">
        <v>84</v>
      </c>
      <c r="C26" s="71" t="s">
        <v>52</v>
      </c>
      <c r="D26" s="71" t="s">
        <v>45</v>
      </c>
      <c r="E26" s="92">
        <v>1</v>
      </c>
      <c r="F26" s="199" t="s">
        <v>84</v>
      </c>
      <c r="G26" s="92"/>
      <c r="H26" s="86">
        <v>614.4</v>
      </c>
      <c r="I26" s="92"/>
      <c r="J26" s="86">
        <v>614.4</v>
      </c>
      <c r="K26" s="92"/>
      <c r="L26" s="92">
        <v>2019.01</v>
      </c>
      <c r="M26" s="92">
        <v>2019.12</v>
      </c>
      <c r="N26" s="86">
        <v>12.6</v>
      </c>
      <c r="O26" s="92"/>
      <c r="P26" s="86">
        <v>12.6</v>
      </c>
      <c r="Q26" s="92"/>
      <c r="R26" s="92"/>
      <c r="S26" s="86">
        <v>12.6</v>
      </c>
      <c r="T26" s="92"/>
      <c r="U26" s="92"/>
      <c r="V26" s="92"/>
      <c r="W26" s="92"/>
      <c r="X26" s="92"/>
      <c r="Y26" s="151">
        <v>217</v>
      </c>
      <c r="Z26" s="151">
        <v>843</v>
      </c>
      <c r="AA26" s="92">
        <v>1</v>
      </c>
      <c r="AB26" s="92"/>
      <c r="AC26" s="92"/>
      <c r="AD26" s="86" t="s">
        <v>65</v>
      </c>
      <c r="AE26" s="86" t="s">
        <v>85</v>
      </c>
      <c r="AF26" s="438" t="s">
        <v>43</v>
      </c>
      <c r="AG26" s="92"/>
    </row>
    <row r="27" ht="24.95" customHeight="1" spans="1:33">
      <c r="A27" s="705"/>
      <c r="B27" s="711" t="s">
        <v>86</v>
      </c>
      <c r="C27" s="71"/>
      <c r="D27" s="71"/>
      <c r="E27" s="92">
        <f>SUM(E28:E31)</f>
        <v>2</v>
      </c>
      <c r="F27" s="92">
        <f t="shared" ref="F27:AA27" si="6">SUM(F28:F31)</f>
        <v>0</v>
      </c>
      <c r="G27" s="92">
        <f t="shared" si="6"/>
        <v>0</v>
      </c>
      <c r="H27" s="92">
        <f t="shared" si="6"/>
        <v>20364</v>
      </c>
      <c r="I27" s="92">
        <f t="shared" si="6"/>
        <v>0</v>
      </c>
      <c r="J27" s="92">
        <f t="shared" si="6"/>
        <v>20364</v>
      </c>
      <c r="K27" s="92">
        <f t="shared" si="6"/>
        <v>0</v>
      </c>
      <c r="L27" s="92"/>
      <c r="M27" s="92"/>
      <c r="N27" s="92">
        <f t="shared" si="6"/>
        <v>1675.13</v>
      </c>
      <c r="O27" s="92">
        <f t="shared" si="6"/>
        <v>0</v>
      </c>
      <c r="P27" s="92">
        <f t="shared" si="6"/>
        <v>1675.13</v>
      </c>
      <c r="Q27" s="92">
        <f t="shared" si="6"/>
        <v>0</v>
      </c>
      <c r="R27" s="92">
        <f t="shared" si="6"/>
        <v>0</v>
      </c>
      <c r="S27" s="92">
        <f t="shared" si="6"/>
        <v>1245.13</v>
      </c>
      <c r="T27" s="92">
        <f t="shared" si="6"/>
        <v>0</v>
      </c>
      <c r="U27" s="92">
        <f t="shared" si="6"/>
        <v>430</v>
      </c>
      <c r="V27" s="92">
        <f t="shared" si="6"/>
        <v>0</v>
      </c>
      <c r="W27" s="92">
        <f t="shared" si="6"/>
        <v>0</v>
      </c>
      <c r="X27" s="92">
        <f t="shared" si="6"/>
        <v>0</v>
      </c>
      <c r="Y27" s="92">
        <f t="shared" si="6"/>
        <v>2892</v>
      </c>
      <c r="Z27" s="92">
        <f t="shared" si="6"/>
        <v>54539</v>
      </c>
      <c r="AA27" s="92">
        <f t="shared" si="6"/>
        <v>2</v>
      </c>
      <c r="AB27" s="92"/>
      <c r="AC27" s="92"/>
      <c r="AD27" s="141" t="s">
        <v>68</v>
      </c>
      <c r="AE27" s="146" t="s">
        <v>50</v>
      </c>
      <c r="AF27" s="438" t="s">
        <v>43</v>
      </c>
      <c r="AG27" s="92"/>
    </row>
    <row r="28" ht="24.95" customHeight="1" spans="1:33">
      <c r="A28" s="705"/>
      <c r="B28" s="199" t="s">
        <v>69</v>
      </c>
      <c r="C28" s="71" t="s">
        <v>52</v>
      </c>
      <c r="D28" s="71" t="s">
        <v>45</v>
      </c>
      <c r="E28" s="92">
        <v>1</v>
      </c>
      <c r="F28" s="199" t="s">
        <v>69</v>
      </c>
      <c r="G28" s="92"/>
      <c r="H28" s="86">
        <v>304</v>
      </c>
      <c r="I28" s="92"/>
      <c r="J28" s="86">
        <v>304</v>
      </c>
      <c r="K28" s="92"/>
      <c r="L28" s="92">
        <v>2019.01</v>
      </c>
      <c r="M28" s="92">
        <v>2019.12</v>
      </c>
      <c r="N28" s="86">
        <v>56.48</v>
      </c>
      <c r="O28" s="92"/>
      <c r="P28" s="86">
        <v>56.48</v>
      </c>
      <c r="Q28" s="92"/>
      <c r="R28" s="92"/>
      <c r="S28" s="86">
        <v>56.48</v>
      </c>
      <c r="T28" s="92"/>
      <c r="U28" s="92"/>
      <c r="V28" s="92"/>
      <c r="W28" s="92"/>
      <c r="X28" s="92"/>
      <c r="Y28" s="151">
        <v>118</v>
      </c>
      <c r="Z28" s="151">
        <v>553</v>
      </c>
      <c r="AA28" s="92">
        <v>1</v>
      </c>
      <c r="AB28" s="92"/>
      <c r="AC28" s="92"/>
      <c r="AD28" s="745" t="s">
        <v>88</v>
      </c>
      <c r="AE28" s="746" t="s">
        <v>89</v>
      </c>
      <c r="AF28" s="438" t="s">
        <v>43</v>
      </c>
      <c r="AG28" s="92"/>
    </row>
    <row r="29" ht="24.95" customHeight="1" spans="1:33">
      <c r="A29" s="705"/>
      <c r="B29" s="199" t="s">
        <v>51</v>
      </c>
      <c r="C29" s="712" t="s">
        <v>52</v>
      </c>
      <c r="D29" s="713" t="s">
        <v>45</v>
      </c>
      <c r="E29" s="92"/>
      <c r="F29" s="199"/>
      <c r="G29" s="92"/>
      <c r="H29" s="86"/>
      <c r="I29" s="92"/>
      <c r="J29" s="86"/>
      <c r="K29" s="92"/>
      <c r="L29" s="92"/>
      <c r="M29" s="92"/>
      <c r="N29" s="86"/>
      <c r="O29" s="92"/>
      <c r="P29" s="86"/>
      <c r="Q29" s="92"/>
      <c r="R29" s="92"/>
      <c r="S29" s="86"/>
      <c r="T29" s="92"/>
      <c r="U29" s="92"/>
      <c r="V29" s="92"/>
      <c r="W29" s="92"/>
      <c r="X29" s="92"/>
      <c r="Y29" s="151"/>
      <c r="Z29" s="151"/>
      <c r="AA29" s="92"/>
      <c r="AB29" s="92"/>
      <c r="AC29" s="92"/>
      <c r="AD29" s="101"/>
      <c r="AE29" s="712"/>
      <c r="AF29" s="438"/>
      <c r="AG29" s="92"/>
    </row>
    <row r="30" ht="24.95" customHeight="1" spans="1:33">
      <c r="A30" s="705"/>
      <c r="B30" s="714" t="s">
        <v>55</v>
      </c>
      <c r="C30" s="715" t="s">
        <v>52</v>
      </c>
      <c r="D30" s="716" t="s">
        <v>45</v>
      </c>
      <c r="E30" s="92">
        <v>1</v>
      </c>
      <c r="F30" s="714" t="s">
        <v>55</v>
      </c>
      <c r="G30" s="92"/>
      <c r="H30" s="86">
        <v>20060</v>
      </c>
      <c r="I30" s="92"/>
      <c r="J30" s="86">
        <v>20060</v>
      </c>
      <c r="K30" s="92"/>
      <c r="L30" s="92">
        <v>2019.01</v>
      </c>
      <c r="M30" s="92">
        <v>2019.12</v>
      </c>
      <c r="N30" s="86">
        <v>1618.65</v>
      </c>
      <c r="O30" s="92"/>
      <c r="P30" s="86">
        <v>1618.65</v>
      </c>
      <c r="Q30" s="92"/>
      <c r="R30" s="92"/>
      <c r="S30" s="86">
        <v>1188.65</v>
      </c>
      <c r="T30" s="92"/>
      <c r="U30" s="92">
        <v>430</v>
      </c>
      <c r="V30" s="92"/>
      <c r="W30" s="92"/>
      <c r="X30" s="92"/>
      <c r="Y30" s="151">
        <v>2774</v>
      </c>
      <c r="Z30" s="151">
        <v>53986</v>
      </c>
      <c r="AA30" s="92">
        <v>1</v>
      </c>
      <c r="AB30" s="92"/>
      <c r="AC30" s="92"/>
      <c r="AD30" s="747" t="s">
        <v>56</v>
      </c>
      <c r="AE30" s="715" t="s">
        <v>57</v>
      </c>
      <c r="AF30" s="438" t="s">
        <v>43</v>
      </c>
      <c r="AG30" s="92"/>
    </row>
    <row r="31" ht="24.95" customHeight="1" spans="1:33">
      <c r="A31" s="705"/>
      <c r="B31" s="199" t="s">
        <v>58</v>
      </c>
      <c r="C31" s="146" t="s">
        <v>52</v>
      </c>
      <c r="D31" s="152" t="s">
        <v>45</v>
      </c>
      <c r="E31" s="92"/>
      <c r="F31" s="199"/>
      <c r="G31" s="92"/>
      <c r="H31" s="86"/>
      <c r="I31" s="92"/>
      <c r="J31" s="86"/>
      <c r="K31" s="92"/>
      <c r="L31" s="92"/>
      <c r="M31" s="92"/>
      <c r="N31" s="86"/>
      <c r="O31" s="92"/>
      <c r="P31" s="86"/>
      <c r="Q31" s="92"/>
      <c r="R31" s="92"/>
      <c r="S31" s="86"/>
      <c r="T31" s="92"/>
      <c r="U31" s="92"/>
      <c r="V31" s="92"/>
      <c r="W31" s="92"/>
      <c r="X31" s="92"/>
      <c r="Y31" s="151"/>
      <c r="Z31" s="151"/>
      <c r="AA31" s="92"/>
      <c r="AB31" s="92"/>
      <c r="AC31" s="92"/>
      <c r="AD31" s="146"/>
      <c r="AE31" s="146"/>
      <c r="AF31" s="438"/>
      <c r="AG31" s="92"/>
    </row>
    <row r="32" ht="24.95" customHeight="1" spans="1:33">
      <c r="A32" s="705"/>
      <c r="B32" s="711" t="s">
        <v>90</v>
      </c>
      <c r="C32" s="141" t="s">
        <v>52</v>
      </c>
      <c r="D32" s="141" t="s">
        <v>45</v>
      </c>
      <c r="E32" s="92">
        <f>SUM(E33:E39)</f>
        <v>6</v>
      </c>
      <c r="F32" s="92">
        <f t="shared" ref="F32:AA32" si="7">SUM(F33:F39)</f>
        <v>0</v>
      </c>
      <c r="G32" s="92">
        <f t="shared" si="7"/>
        <v>0</v>
      </c>
      <c r="H32" s="92">
        <f t="shared" si="7"/>
        <v>13598.2</v>
      </c>
      <c r="I32" s="92">
        <f t="shared" si="7"/>
        <v>0</v>
      </c>
      <c r="J32" s="92">
        <f t="shared" si="7"/>
        <v>13598.2</v>
      </c>
      <c r="K32" s="92">
        <f t="shared" si="7"/>
        <v>0</v>
      </c>
      <c r="L32" s="92"/>
      <c r="M32" s="92"/>
      <c r="N32" s="92">
        <f t="shared" si="7"/>
        <v>3246.945</v>
      </c>
      <c r="O32" s="92">
        <f t="shared" si="7"/>
        <v>0</v>
      </c>
      <c r="P32" s="92">
        <f t="shared" si="7"/>
        <v>3246.945</v>
      </c>
      <c r="Q32" s="92">
        <f t="shared" si="7"/>
        <v>0</v>
      </c>
      <c r="R32" s="92">
        <f t="shared" si="7"/>
        <v>0</v>
      </c>
      <c r="S32" s="92">
        <f t="shared" si="7"/>
        <v>3176.945</v>
      </c>
      <c r="T32" s="92">
        <f t="shared" si="7"/>
        <v>0</v>
      </c>
      <c r="U32" s="92">
        <f t="shared" si="7"/>
        <v>70</v>
      </c>
      <c r="V32" s="92">
        <f t="shared" si="7"/>
        <v>0</v>
      </c>
      <c r="W32" s="92">
        <f t="shared" si="7"/>
        <v>0</v>
      </c>
      <c r="X32" s="92">
        <f t="shared" si="7"/>
        <v>0</v>
      </c>
      <c r="Y32" s="92">
        <f t="shared" si="7"/>
        <v>6117</v>
      </c>
      <c r="Z32" s="92">
        <f t="shared" si="7"/>
        <v>25271</v>
      </c>
      <c r="AA32" s="92">
        <f t="shared" si="7"/>
        <v>6</v>
      </c>
      <c r="AB32" s="92"/>
      <c r="AC32" s="92"/>
      <c r="AD32" s="141" t="s">
        <v>68</v>
      </c>
      <c r="AE32" s="146" t="s">
        <v>50</v>
      </c>
      <c r="AF32" s="438" t="s">
        <v>43</v>
      </c>
      <c r="AG32" s="92"/>
    </row>
    <row r="33" ht="24.95" customHeight="1" spans="1:33">
      <c r="A33" s="705"/>
      <c r="B33" s="199" t="s">
        <v>69</v>
      </c>
      <c r="C33" s="141" t="s">
        <v>52</v>
      </c>
      <c r="D33" s="141" t="s">
        <v>45</v>
      </c>
      <c r="E33" s="92">
        <v>1</v>
      </c>
      <c r="F33" s="199" t="s">
        <v>69</v>
      </c>
      <c r="G33" s="92"/>
      <c r="H33" s="86">
        <v>2440</v>
      </c>
      <c r="I33" s="92"/>
      <c r="J33" s="86">
        <v>2440</v>
      </c>
      <c r="K33" s="92"/>
      <c r="L33" s="92">
        <v>2019.01</v>
      </c>
      <c r="M33" s="92">
        <v>2019.12</v>
      </c>
      <c r="N33" s="86">
        <v>1200</v>
      </c>
      <c r="O33" s="92"/>
      <c r="P33" s="86">
        <v>1200</v>
      </c>
      <c r="Q33" s="92"/>
      <c r="R33" s="92"/>
      <c r="S33" s="86">
        <v>1200</v>
      </c>
      <c r="T33" s="92"/>
      <c r="U33" s="92"/>
      <c r="V33" s="92"/>
      <c r="W33" s="92"/>
      <c r="X33" s="92"/>
      <c r="Y33" s="151">
        <v>1220</v>
      </c>
      <c r="Z33" s="151">
        <v>4204</v>
      </c>
      <c r="AA33" s="92">
        <v>1</v>
      </c>
      <c r="AB33" s="92"/>
      <c r="AC33" s="92"/>
      <c r="AD33" s="146" t="s">
        <v>70</v>
      </c>
      <c r="AE33" s="146" t="s">
        <v>71</v>
      </c>
      <c r="AF33" s="438" t="s">
        <v>43</v>
      </c>
      <c r="AG33" s="92"/>
    </row>
    <row r="34" ht="24.95" customHeight="1" spans="1:33">
      <c r="A34" s="705"/>
      <c r="B34" s="199" t="s">
        <v>51</v>
      </c>
      <c r="C34" s="141" t="s">
        <v>52</v>
      </c>
      <c r="D34" s="141" t="s">
        <v>45</v>
      </c>
      <c r="E34" s="92"/>
      <c r="F34" s="199"/>
      <c r="G34" s="92"/>
      <c r="H34" s="86"/>
      <c r="I34" s="92"/>
      <c r="J34" s="86"/>
      <c r="K34" s="92"/>
      <c r="L34" s="92"/>
      <c r="M34" s="92"/>
      <c r="N34" s="86"/>
      <c r="O34" s="92"/>
      <c r="P34" s="86"/>
      <c r="Q34" s="92"/>
      <c r="R34" s="92"/>
      <c r="S34" s="86"/>
      <c r="T34" s="92"/>
      <c r="U34" s="92"/>
      <c r="V34" s="92"/>
      <c r="W34" s="92"/>
      <c r="X34" s="92"/>
      <c r="Y34" s="151"/>
      <c r="Z34" s="151"/>
      <c r="AA34" s="92"/>
      <c r="AB34" s="92"/>
      <c r="AC34" s="92"/>
      <c r="AD34" s="740"/>
      <c r="AE34" s="741"/>
      <c r="AF34" s="742"/>
      <c r="AG34" s="92"/>
    </row>
    <row r="35" ht="24.95" customHeight="1" spans="1:33">
      <c r="A35" s="705"/>
      <c r="B35" s="199" t="s">
        <v>91</v>
      </c>
      <c r="C35" s="146" t="s">
        <v>52</v>
      </c>
      <c r="D35" s="152" t="s">
        <v>45</v>
      </c>
      <c r="E35" s="92">
        <v>1</v>
      </c>
      <c r="F35" s="199" t="s">
        <v>91</v>
      </c>
      <c r="G35" s="92"/>
      <c r="H35" s="86">
        <v>2901.2</v>
      </c>
      <c r="I35" s="92"/>
      <c r="J35" s="86">
        <v>2901.2</v>
      </c>
      <c r="K35" s="92"/>
      <c r="L35" s="92">
        <v>2019.01</v>
      </c>
      <c r="M35" s="92">
        <v>2019.12</v>
      </c>
      <c r="N35" s="86">
        <v>594.345</v>
      </c>
      <c r="O35" s="92"/>
      <c r="P35" s="86">
        <v>594.345</v>
      </c>
      <c r="Q35" s="92"/>
      <c r="R35" s="92"/>
      <c r="S35" s="86">
        <v>524.345</v>
      </c>
      <c r="T35" s="92"/>
      <c r="U35" s="92">
        <v>70</v>
      </c>
      <c r="V35" s="92"/>
      <c r="W35" s="92"/>
      <c r="X35" s="92"/>
      <c r="Y35" s="151">
        <v>1305</v>
      </c>
      <c r="Z35" s="151">
        <v>5172</v>
      </c>
      <c r="AA35" s="92">
        <v>1</v>
      </c>
      <c r="AB35" s="92"/>
      <c r="AC35" s="92"/>
      <c r="AD35" s="146" t="s">
        <v>82</v>
      </c>
      <c r="AE35" s="146" t="s">
        <v>83</v>
      </c>
      <c r="AF35" s="438" t="s">
        <v>43</v>
      </c>
      <c r="AG35" s="92"/>
    </row>
    <row r="36" ht="24.95" customHeight="1" spans="1:33">
      <c r="A36" s="705"/>
      <c r="B36" s="199" t="s">
        <v>75</v>
      </c>
      <c r="C36" s="141" t="s">
        <v>52</v>
      </c>
      <c r="D36" s="141" t="s">
        <v>45</v>
      </c>
      <c r="E36" s="92">
        <v>1</v>
      </c>
      <c r="F36" s="199" t="s">
        <v>75</v>
      </c>
      <c r="G36" s="92"/>
      <c r="H36" s="86">
        <v>2966</v>
      </c>
      <c r="I36" s="92"/>
      <c r="J36" s="86">
        <v>2966</v>
      </c>
      <c r="K36" s="92"/>
      <c r="L36" s="92">
        <v>2019.01</v>
      </c>
      <c r="M36" s="92">
        <v>2019.12</v>
      </c>
      <c r="N36" s="86">
        <v>187.6</v>
      </c>
      <c r="O36" s="92"/>
      <c r="P36" s="86">
        <v>187.6</v>
      </c>
      <c r="Q36" s="92"/>
      <c r="R36" s="92"/>
      <c r="S36" s="86">
        <v>187.6</v>
      </c>
      <c r="T36" s="92"/>
      <c r="U36" s="92"/>
      <c r="V36" s="92"/>
      <c r="W36" s="92"/>
      <c r="X36" s="92"/>
      <c r="Y36" s="151">
        <v>1246</v>
      </c>
      <c r="Z36" s="151">
        <v>5572</v>
      </c>
      <c r="AA36" s="92">
        <v>1</v>
      </c>
      <c r="AB36" s="92"/>
      <c r="AC36" s="92"/>
      <c r="AD36" s="146" t="s">
        <v>76</v>
      </c>
      <c r="AE36" s="146" t="s">
        <v>77</v>
      </c>
      <c r="AF36" s="438" t="s">
        <v>43</v>
      </c>
      <c r="AG36" s="92"/>
    </row>
    <row r="37" ht="24.95" customHeight="1" spans="1:33">
      <c r="A37" s="705"/>
      <c r="B37" s="199" t="s">
        <v>58</v>
      </c>
      <c r="C37" s="146" t="s">
        <v>52</v>
      </c>
      <c r="D37" s="152" t="s">
        <v>45</v>
      </c>
      <c r="E37" s="92">
        <v>1</v>
      </c>
      <c r="F37" s="199" t="s">
        <v>58</v>
      </c>
      <c r="G37" s="92"/>
      <c r="H37" s="86">
        <v>2491</v>
      </c>
      <c r="I37" s="92"/>
      <c r="J37" s="86">
        <v>2491</v>
      </c>
      <c r="K37" s="92"/>
      <c r="L37" s="92">
        <v>2019.01</v>
      </c>
      <c r="M37" s="92">
        <v>2019.12</v>
      </c>
      <c r="N37" s="86">
        <v>480</v>
      </c>
      <c r="O37" s="92"/>
      <c r="P37" s="86">
        <v>480</v>
      </c>
      <c r="Q37" s="92"/>
      <c r="R37" s="92"/>
      <c r="S37" s="86">
        <v>480</v>
      </c>
      <c r="T37" s="92"/>
      <c r="U37" s="92"/>
      <c r="V37" s="92"/>
      <c r="W37" s="92"/>
      <c r="X37" s="92"/>
      <c r="Y37" s="151">
        <v>485</v>
      </c>
      <c r="Z37" s="151">
        <v>2154</v>
      </c>
      <c r="AA37" s="92">
        <v>1</v>
      </c>
      <c r="AB37" s="92"/>
      <c r="AC37" s="92"/>
      <c r="AD37" s="146" t="s">
        <v>59</v>
      </c>
      <c r="AE37" s="141" t="s">
        <v>60</v>
      </c>
      <c r="AF37" s="438" t="s">
        <v>43</v>
      </c>
      <c r="AG37" s="92"/>
    </row>
    <row r="38" ht="24.95" customHeight="1" spans="1:33">
      <c r="A38" s="705"/>
      <c r="B38" s="199" t="s">
        <v>61</v>
      </c>
      <c r="C38" s="146" t="s">
        <v>52</v>
      </c>
      <c r="D38" s="152" t="s">
        <v>45</v>
      </c>
      <c r="E38" s="92">
        <v>1</v>
      </c>
      <c r="F38" s="199" t="s">
        <v>61</v>
      </c>
      <c r="G38" s="92"/>
      <c r="H38" s="86">
        <v>2600</v>
      </c>
      <c r="I38" s="92"/>
      <c r="J38" s="86">
        <v>2600</v>
      </c>
      <c r="K38" s="92"/>
      <c r="L38" s="92">
        <v>2019.01</v>
      </c>
      <c r="M38" s="92">
        <v>2019.12</v>
      </c>
      <c r="N38" s="86">
        <v>720</v>
      </c>
      <c r="O38" s="92"/>
      <c r="P38" s="86">
        <v>720</v>
      </c>
      <c r="Q38" s="92"/>
      <c r="R38" s="92"/>
      <c r="S38" s="86">
        <v>720</v>
      </c>
      <c r="T38" s="92"/>
      <c r="U38" s="92"/>
      <c r="V38" s="92"/>
      <c r="W38" s="92"/>
      <c r="X38" s="92"/>
      <c r="Y38" s="151">
        <v>1666</v>
      </c>
      <c r="Z38" s="151">
        <v>7503</v>
      </c>
      <c r="AA38" s="92">
        <v>1</v>
      </c>
      <c r="AB38" s="92"/>
      <c r="AC38" s="92"/>
      <c r="AD38" s="146" t="s">
        <v>62</v>
      </c>
      <c r="AE38" s="146" t="s">
        <v>63</v>
      </c>
      <c r="AF38" s="438" t="s">
        <v>43</v>
      </c>
      <c r="AG38" s="92"/>
    </row>
    <row r="39" ht="24.95" customHeight="1" spans="1:33">
      <c r="A39" s="705"/>
      <c r="B39" s="199" t="s">
        <v>92</v>
      </c>
      <c r="C39" s="146" t="s">
        <v>52</v>
      </c>
      <c r="D39" s="152" t="s">
        <v>45</v>
      </c>
      <c r="E39" s="92">
        <v>1</v>
      </c>
      <c r="F39" s="199" t="s">
        <v>92</v>
      </c>
      <c r="G39" s="92"/>
      <c r="H39" s="86">
        <v>200</v>
      </c>
      <c r="I39" s="92"/>
      <c r="J39" s="86">
        <v>200</v>
      </c>
      <c r="K39" s="92"/>
      <c r="L39" s="92">
        <v>2019.01</v>
      </c>
      <c r="M39" s="92">
        <v>2019.12</v>
      </c>
      <c r="N39" s="86">
        <v>65</v>
      </c>
      <c r="O39" s="92"/>
      <c r="P39" s="86">
        <v>65</v>
      </c>
      <c r="Q39" s="92"/>
      <c r="R39" s="92"/>
      <c r="S39" s="86">
        <v>65</v>
      </c>
      <c r="T39" s="92"/>
      <c r="U39" s="92"/>
      <c r="V39" s="92"/>
      <c r="W39" s="92"/>
      <c r="X39" s="92"/>
      <c r="Y39" s="151">
        <v>195</v>
      </c>
      <c r="Z39" s="151">
        <v>666</v>
      </c>
      <c r="AA39" s="92">
        <v>1</v>
      </c>
      <c r="AB39" s="92"/>
      <c r="AC39" s="92"/>
      <c r="AD39" s="146" t="s">
        <v>93</v>
      </c>
      <c r="AE39" s="146" t="s">
        <v>94</v>
      </c>
      <c r="AF39" s="438" t="s">
        <v>43</v>
      </c>
      <c r="AG39" s="92"/>
    </row>
    <row r="40" ht="24.95" customHeight="1" spans="1:33">
      <c r="A40" s="705"/>
      <c r="B40" s="711" t="s">
        <v>95</v>
      </c>
      <c r="C40" s="141" t="s">
        <v>52</v>
      </c>
      <c r="D40" s="141" t="s">
        <v>45</v>
      </c>
      <c r="E40" s="92">
        <f>SUM(E41:E44)</f>
        <v>3</v>
      </c>
      <c r="F40" s="92">
        <f t="shared" ref="F40:AA40" si="8">SUM(F41:F44)</f>
        <v>0</v>
      </c>
      <c r="G40" s="92">
        <f t="shared" si="8"/>
        <v>0</v>
      </c>
      <c r="H40" s="92">
        <f t="shared" si="8"/>
        <v>11628</v>
      </c>
      <c r="I40" s="92">
        <f t="shared" si="8"/>
        <v>0</v>
      </c>
      <c r="J40" s="92">
        <f t="shared" si="8"/>
        <v>11628</v>
      </c>
      <c r="K40" s="92">
        <f t="shared" si="8"/>
        <v>0</v>
      </c>
      <c r="L40" s="92"/>
      <c r="M40" s="92"/>
      <c r="N40" s="92">
        <f t="shared" si="8"/>
        <v>212.52</v>
      </c>
      <c r="O40" s="92">
        <f t="shared" si="8"/>
        <v>0</v>
      </c>
      <c r="P40" s="92">
        <f t="shared" si="8"/>
        <v>212.52</v>
      </c>
      <c r="Q40" s="92">
        <f t="shared" si="8"/>
        <v>0</v>
      </c>
      <c r="R40" s="92">
        <f t="shared" si="8"/>
        <v>0</v>
      </c>
      <c r="S40" s="92">
        <f t="shared" si="8"/>
        <v>212.52</v>
      </c>
      <c r="T40" s="92">
        <f t="shared" si="8"/>
        <v>0</v>
      </c>
      <c r="U40" s="92">
        <f t="shared" si="8"/>
        <v>0</v>
      </c>
      <c r="V40" s="92">
        <f t="shared" si="8"/>
        <v>0</v>
      </c>
      <c r="W40" s="92">
        <f t="shared" si="8"/>
        <v>0</v>
      </c>
      <c r="X40" s="92">
        <f t="shared" si="8"/>
        <v>0</v>
      </c>
      <c r="Y40" s="92">
        <f t="shared" si="8"/>
        <v>3701</v>
      </c>
      <c r="Z40" s="92">
        <f t="shared" si="8"/>
        <v>16000</v>
      </c>
      <c r="AA40" s="92">
        <f t="shared" si="8"/>
        <v>3</v>
      </c>
      <c r="AB40" s="92"/>
      <c r="AC40" s="92"/>
      <c r="AD40" s="141" t="s">
        <v>68</v>
      </c>
      <c r="AE40" s="146" t="s">
        <v>50</v>
      </c>
      <c r="AF40" s="438" t="s">
        <v>43</v>
      </c>
      <c r="AG40" s="92"/>
    </row>
    <row r="41" ht="24.95" customHeight="1" spans="1:33">
      <c r="A41" s="705"/>
      <c r="B41" s="199" t="s">
        <v>51</v>
      </c>
      <c r="C41" s="141" t="s">
        <v>52</v>
      </c>
      <c r="D41" s="141" t="s">
        <v>45</v>
      </c>
      <c r="E41" s="92"/>
      <c r="F41" s="199"/>
      <c r="G41" s="92"/>
      <c r="H41" s="86"/>
      <c r="I41" s="92"/>
      <c r="J41" s="86"/>
      <c r="K41" s="92"/>
      <c r="L41" s="92"/>
      <c r="M41" s="92"/>
      <c r="N41" s="86"/>
      <c r="O41" s="92"/>
      <c r="P41" s="86"/>
      <c r="Q41" s="92"/>
      <c r="R41" s="92"/>
      <c r="S41" s="86"/>
      <c r="T41" s="92"/>
      <c r="U41" s="92"/>
      <c r="V41" s="92"/>
      <c r="W41" s="92"/>
      <c r="X41" s="92"/>
      <c r="Y41" s="151"/>
      <c r="Z41" s="151"/>
      <c r="AA41" s="92"/>
      <c r="AB41" s="92"/>
      <c r="AC41" s="92"/>
      <c r="AD41" s="740"/>
      <c r="AE41" s="741"/>
      <c r="AF41" s="742"/>
      <c r="AG41" s="92"/>
    </row>
    <row r="42" ht="24.95" customHeight="1" spans="1:33">
      <c r="A42" s="705"/>
      <c r="B42" s="199" t="s">
        <v>72</v>
      </c>
      <c r="C42" s="146" t="s">
        <v>52</v>
      </c>
      <c r="D42" s="152" t="s">
        <v>45</v>
      </c>
      <c r="E42" s="92">
        <v>1</v>
      </c>
      <c r="F42" s="199" t="s">
        <v>72</v>
      </c>
      <c r="G42" s="92"/>
      <c r="H42" s="86">
        <v>1200</v>
      </c>
      <c r="I42" s="92"/>
      <c r="J42" s="86">
        <v>1200</v>
      </c>
      <c r="K42" s="92"/>
      <c r="L42" s="92">
        <v>2019.01</v>
      </c>
      <c r="M42" s="92">
        <v>2019.12</v>
      </c>
      <c r="N42" s="86">
        <v>17.52</v>
      </c>
      <c r="O42" s="92"/>
      <c r="P42" s="86">
        <v>17.52</v>
      </c>
      <c r="Q42" s="92"/>
      <c r="R42" s="92"/>
      <c r="S42" s="86">
        <v>17.52</v>
      </c>
      <c r="T42" s="92"/>
      <c r="U42" s="92"/>
      <c r="V42" s="92"/>
      <c r="W42" s="92"/>
      <c r="X42" s="92"/>
      <c r="Y42" s="151">
        <v>599</v>
      </c>
      <c r="Z42" s="151">
        <v>2487</v>
      </c>
      <c r="AA42" s="92">
        <v>1</v>
      </c>
      <c r="AB42" s="92"/>
      <c r="AC42" s="92"/>
      <c r="AD42" s="146" t="s">
        <v>73</v>
      </c>
      <c r="AE42" s="438" t="s">
        <v>74</v>
      </c>
      <c r="AF42" s="438" t="s">
        <v>43</v>
      </c>
      <c r="AG42" s="92"/>
    </row>
    <row r="43" ht="24.95" customHeight="1" spans="1:33">
      <c r="A43" s="705"/>
      <c r="B43" s="199" t="s">
        <v>75</v>
      </c>
      <c r="C43" s="141" t="s">
        <v>52</v>
      </c>
      <c r="D43" s="141" t="s">
        <v>45</v>
      </c>
      <c r="E43" s="92">
        <v>1</v>
      </c>
      <c r="F43" s="199" t="s">
        <v>75</v>
      </c>
      <c r="G43" s="92"/>
      <c r="H43" s="86">
        <v>7888</v>
      </c>
      <c r="I43" s="92"/>
      <c r="J43" s="86">
        <v>7888</v>
      </c>
      <c r="K43" s="92"/>
      <c r="L43" s="92">
        <v>2019.01</v>
      </c>
      <c r="M43" s="92">
        <v>2019.12</v>
      </c>
      <c r="N43" s="86">
        <v>140</v>
      </c>
      <c r="O43" s="92"/>
      <c r="P43" s="86">
        <v>140</v>
      </c>
      <c r="Q43" s="92"/>
      <c r="R43" s="92"/>
      <c r="S43" s="86">
        <v>140</v>
      </c>
      <c r="T43" s="92"/>
      <c r="U43" s="92"/>
      <c r="V43" s="92"/>
      <c r="W43" s="92"/>
      <c r="X43" s="92"/>
      <c r="Y43" s="151">
        <v>2160</v>
      </c>
      <c r="Z43" s="151">
        <v>9662</v>
      </c>
      <c r="AA43" s="92">
        <v>1</v>
      </c>
      <c r="AB43" s="92"/>
      <c r="AC43" s="92"/>
      <c r="AD43" s="146" t="s">
        <v>76</v>
      </c>
      <c r="AE43" s="146" t="s">
        <v>77</v>
      </c>
      <c r="AF43" s="438" t="s">
        <v>43</v>
      </c>
      <c r="AG43" s="92"/>
    </row>
    <row r="44" ht="24.95" customHeight="1" spans="1:33">
      <c r="A44" s="705"/>
      <c r="B44" s="714" t="s">
        <v>84</v>
      </c>
      <c r="C44" s="141" t="s">
        <v>96</v>
      </c>
      <c r="D44" s="141" t="s">
        <v>45</v>
      </c>
      <c r="E44" s="92">
        <v>1</v>
      </c>
      <c r="F44" s="714" t="s">
        <v>84</v>
      </c>
      <c r="G44" s="92"/>
      <c r="H44" s="86">
        <v>2540</v>
      </c>
      <c r="I44" s="92"/>
      <c r="J44" s="86">
        <v>2540</v>
      </c>
      <c r="K44" s="92"/>
      <c r="L44" s="92">
        <v>2019.01</v>
      </c>
      <c r="M44" s="92">
        <v>2019.12</v>
      </c>
      <c r="N44" s="86">
        <v>55</v>
      </c>
      <c r="O44" s="92"/>
      <c r="P44" s="86">
        <v>55</v>
      </c>
      <c r="Q44" s="92"/>
      <c r="R44" s="92"/>
      <c r="S44" s="86">
        <v>55</v>
      </c>
      <c r="T44" s="92"/>
      <c r="U44" s="92"/>
      <c r="V44" s="92"/>
      <c r="W44" s="92"/>
      <c r="X44" s="92"/>
      <c r="Y44" s="151">
        <v>942</v>
      </c>
      <c r="Z44" s="151">
        <v>3851</v>
      </c>
      <c r="AA44" s="92">
        <v>1</v>
      </c>
      <c r="AB44" s="92"/>
      <c r="AC44" s="92"/>
      <c r="AD44" s="146" t="s">
        <v>65</v>
      </c>
      <c r="AE44" s="146" t="s">
        <v>85</v>
      </c>
      <c r="AF44" s="438" t="s">
        <v>43</v>
      </c>
      <c r="AG44" s="92"/>
    </row>
    <row r="45" ht="24.95" customHeight="1" spans="1:33">
      <c r="A45" s="705"/>
      <c r="B45" s="711" t="s">
        <v>97</v>
      </c>
      <c r="C45" s="71" t="s">
        <v>52</v>
      </c>
      <c r="D45" s="71" t="s">
        <v>45</v>
      </c>
      <c r="E45" s="92">
        <f>SUM(E46:E50)</f>
        <v>3</v>
      </c>
      <c r="F45" s="92">
        <f t="shared" ref="F45:AA45" si="9">SUM(F46:F50)</f>
        <v>0</v>
      </c>
      <c r="G45" s="92">
        <f t="shared" si="9"/>
        <v>0</v>
      </c>
      <c r="H45" s="92">
        <f t="shared" si="9"/>
        <v>9642.5</v>
      </c>
      <c r="I45" s="92">
        <f t="shared" si="9"/>
        <v>0</v>
      </c>
      <c r="J45" s="92">
        <f t="shared" si="9"/>
        <v>9642.5</v>
      </c>
      <c r="K45" s="92">
        <f t="shared" si="9"/>
        <v>0</v>
      </c>
      <c r="L45" s="92"/>
      <c r="M45" s="92"/>
      <c r="N45" s="92">
        <f t="shared" si="9"/>
        <v>669.528</v>
      </c>
      <c r="O45" s="92">
        <f t="shared" si="9"/>
        <v>0</v>
      </c>
      <c r="P45" s="92">
        <f t="shared" si="9"/>
        <v>669.528</v>
      </c>
      <c r="Q45" s="92">
        <f t="shared" si="9"/>
        <v>0</v>
      </c>
      <c r="R45" s="92">
        <f t="shared" si="9"/>
        <v>0</v>
      </c>
      <c r="S45" s="92">
        <f t="shared" si="9"/>
        <v>669.528</v>
      </c>
      <c r="T45" s="92">
        <f t="shared" si="9"/>
        <v>0</v>
      </c>
      <c r="U45" s="92">
        <f t="shared" si="9"/>
        <v>0</v>
      </c>
      <c r="V45" s="92">
        <f t="shared" si="9"/>
        <v>0</v>
      </c>
      <c r="W45" s="92">
        <f t="shared" si="9"/>
        <v>0</v>
      </c>
      <c r="X45" s="92">
        <f t="shared" si="9"/>
        <v>0</v>
      </c>
      <c r="Y45" s="92">
        <f t="shared" si="9"/>
        <v>1299</v>
      </c>
      <c r="Z45" s="92">
        <f t="shared" si="9"/>
        <v>5410</v>
      </c>
      <c r="AA45" s="92">
        <f t="shared" si="9"/>
        <v>3</v>
      </c>
      <c r="AB45" s="92"/>
      <c r="AC45" s="92"/>
      <c r="AD45" s="141" t="s">
        <v>68</v>
      </c>
      <c r="AE45" s="146" t="s">
        <v>50</v>
      </c>
      <c r="AF45" s="438" t="s">
        <v>43</v>
      </c>
      <c r="AG45" s="92"/>
    </row>
    <row r="46" ht="24.95" customHeight="1" spans="1:33">
      <c r="A46" s="705"/>
      <c r="B46" s="199" t="s">
        <v>98</v>
      </c>
      <c r="C46" s="71" t="s">
        <v>52</v>
      </c>
      <c r="D46" s="71" t="s">
        <v>45</v>
      </c>
      <c r="E46" s="92">
        <v>1</v>
      </c>
      <c r="F46" s="199" t="s">
        <v>98</v>
      </c>
      <c r="G46" s="92"/>
      <c r="H46" s="86">
        <v>1061</v>
      </c>
      <c r="I46" s="92"/>
      <c r="J46" s="86">
        <v>1061</v>
      </c>
      <c r="K46" s="92"/>
      <c r="L46" s="92">
        <v>2019.01</v>
      </c>
      <c r="M46" s="92">
        <v>2019.12</v>
      </c>
      <c r="N46" s="86">
        <v>33.2</v>
      </c>
      <c r="O46" s="92"/>
      <c r="P46" s="86">
        <v>33.2</v>
      </c>
      <c r="Q46" s="92"/>
      <c r="R46" s="92"/>
      <c r="S46" s="86">
        <v>33.2</v>
      </c>
      <c r="T46" s="92"/>
      <c r="U46" s="92"/>
      <c r="V46" s="92"/>
      <c r="W46" s="92"/>
      <c r="X46" s="92"/>
      <c r="Y46" s="151">
        <v>474</v>
      </c>
      <c r="Z46" s="151">
        <v>2027</v>
      </c>
      <c r="AA46" s="92">
        <v>1</v>
      </c>
      <c r="AB46" s="92"/>
      <c r="AC46" s="92"/>
      <c r="AD46" s="746" t="s">
        <v>56</v>
      </c>
      <c r="AE46" s="746" t="s">
        <v>57</v>
      </c>
      <c r="AF46" s="438" t="s">
        <v>43</v>
      </c>
      <c r="AG46" s="92"/>
    </row>
    <row r="47" ht="24.95" customHeight="1" spans="1:33">
      <c r="A47" s="705"/>
      <c r="B47" s="199" t="s">
        <v>58</v>
      </c>
      <c r="C47" s="71" t="s">
        <v>52</v>
      </c>
      <c r="D47" s="71" t="s">
        <v>45</v>
      </c>
      <c r="E47" s="92"/>
      <c r="F47" s="199"/>
      <c r="G47" s="92"/>
      <c r="H47" s="86"/>
      <c r="I47" s="92"/>
      <c r="J47" s="86"/>
      <c r="K47" s="92"/>
      <c r="L47" s="92"/>
      <c r="M47" s="92"/>
      <c r="N47" s="86"/>
      <c r="O47" s="92"/>
      <c r="P47" s="86"/>
      <c r="Q47" s="92"/>
      <c r="R47" s="92"/>
      <c r="S47" s="86"/>
      <c r="T47" s="92"/>
      <c r="U47" s="92"/>
      <c r="V47" s="92"/>
      <c r="W47" s="92"/>
      <c r="X47" s="92"/>
      <c r="Y47" s="151"/>
      <c r="Z47" s="151"/>
      <c r="AA47" s="92"/>
      <c r="AB47" s="92"/>
      <c r="AC47" s="92"/>
      <c r="AD47" s="744"/>
      <c r="AE47" s="744"/>
      <c r="AF47" s="438"/>
      <c r="AG47" s="92"/>
    </row>
    <row r="48" ht="24.95" customHeight="1" spans="1:33">
      <c r="A48" s="705"/>
      <c r="B48" s="199" t="s">
        <v>72</v>
      </c>
      <c r="C48" s="71" t="s">
        <v>52</v>
      </c>
      <c r="D48" s="71" t="s">
        <v>45</v>
      </c>
      <c r="E48" s="92"/>
      <c r="F48" s="199"/>
      <c r="G48" s="92"/>
      <c r="H48" s="86"/>
      <c r="I48" s="92"/>
      <c r="J48" s="86"/>
      <c r="K48" s="92"/>
      <c r="L48" s="92"/>
      <c r="M48" s="92"/>
      <c r="N48" s="86"/>
      <c r="O48" s="92"/>
      <c r="P48" s="86"/>
      <c r="Q48" s="92"/>
      <c r="R48" s="92"/>
      <c r="S48" s="86"/>
      <c r="T48" s="92"/>
      <c r="U48" s="92"/>
      <c r="V48" s="92"/>
      <c r="W48" s="92"/>
      <c r="X48" s="92"/>
      <c r="Y48" s="151"/>
      <c r="Z48" s="151"/>
      <c r="AA48" s="92"/>
      <c r="AB48" s="92"/>
      <c r="AC48" s="92"/>
      <c r="AD48" s="745"/>
      <c r="AE48" s="745"/>
      <c r="AF48" s="438"/>
      <c r="AG48" s="92"/>
    </row>
    <row r="49" ht="24.95" customHeight="1" spans="1:33">
      <c r="A49" s="705"/>
      <c r="B49" s="199" t="s">
        <v>78</v>
      </c>
      <c r="C49" s="71" t="s">
        <v>52</v>
      </c>
      <c r="D49" s="71" t="s">
        <v>45</v>
      </c>
      <c r="E49" s="92">
        <v>1</v>
      </c>
      <c r="F49" s="199" t="s">
        <v>78</v>
      </c>
      <c r="G49" s="92"/>
      <c r="H49" s="86">
        <v>2511</v>
      </c>
      <c r="I49" s="92"/>
      <c r="J49" s="86">
        <v>2511</v>
      </c>
      <c r="K49" s="92"/>
      <c r="L49" s="92">
        <v>2019.01</v>
      </c>
      <c r="M49" s="92">
        <v>2019.12</v>
      </c>
      <c r="N49" s="86">
        <v>52.5</v>
      </c>
      <c r="O49" s="92"/>
      <c r="P49" s="86">
        <v>52.5</v>
      </c>
      <c r="Q49" s="92"/>
      <c r="R49" s="92"/>
      <c r="S49" s="86">
        <v>52.5</v>
      </c>
      <c r="T49" s="92"/>
      <c r="U49" s="92"/>
      <c r="V49" s="92"/>
      <c r="W49" s="92"/>
      <c r="X49" s="92"/>
      <c r="Y49" s="151">
        <v>368</v>
      </c>
      <c r="Z49" s="151">
        <v>1656</v>
      </c>
      <c r="AA49" s="92">
        <v>1</v>
      </c>
      <c r="AB49" s="92"/>
      <c r="AC49" s="92"/>
      <c r="AD49" s="86" t="s">
        <v>79</v>
      </c>
      <c r="AE49" s="86" t="s">
        <v>80</v>
      </c>
      <c r="AF49" s="438" t="s">
        <v>43</v>
      </c>
      <c r="AG49" s="92"/>
    </row>
    <row r="50" ht="24.95" customHeight="1" spans="1:33">
      <c r="A50" s="705"/>
      <c r="B50" s="199" t="s">
        <v>91</v>
      </c>
      <c r="C50" s="71" t="s">
        <v>52</v>
      </c>
      <c r="D50" s="71" t="s">
        <v>45</v>
      </c>
      <c r="E50" s="92">
        <v>1</v>
      </c>
      <c r="F50" s="199" t="s">
        <v>91</v>
      </c>
      <c r="G50" s="92"/>
      <c r="H50" s="86">
        <v>6070.5</v>
      </c>
      <c r="I50" s="92"/>
      <c r="J50" s="86">
        <v>6070.5</v>
      </c>
      <c r="K50" s="92"/>
      <c r="L50" s="92">
        <v>2019.01</v>
      </c>
      <c r="M50" s="92">
        <v>2019.12</v>
      </c>
      <c r="N50" s="86">
        <v>583.828</v>
      </c>
      <c r="O50" s="92"/>
      <c r="P50" s="86">
        <v>583.828</v>
      </c>
      <c r="Q50" s="92"/>
      <c r="R50" s="92"/>
      <c r="S50" s="86">
        <v>583.828</v>
      </c>
      <c r="T50" s="92"/>
      <c r="U50" s="92"/>
      <c r="V50" s="92"/>
      <c r="W50" s="92"/>
      <c r="X50" s="92"/>
      <c r="Y50" s="151">
        <v>457</v>
      </c>
      <c r="Z50" s="151">
        <v>1727</v>
      </c>
      <c r="AA50" s="92">
        <v>1</v>
      </c>
      <c r="AB50" s="92"/>
      <c r="AC50" s="92"/>
      <c r="AD50" s="146" t="s">
        <v>82</v>
      </c>
      <c r="AE50" s="146" t="s">
        <v>83</v>
      </c>
      <c r="AF50" s="438" t="s">
        <v>43</v>
      </c>
      <c r="AG50" s="92"/>
    </row>
    <row r="51" ht="24.95" customHeight="1" spans="1:33">
      <c r="A51" s="705"/>
      <c r="B51" s="711" t="s">
        <v>99</v>
      </c>
      <c r="C51" s="146" t="s">
        <v>52</v>
      </c>
      <c r="D51" s="152" t="s">
        <v>45</v>
      </c>
      <c r="E51" s="92">
        <f>SUM(E52:E57)</f>
        <v>3</v>
      </c>
      <c r="F51" s="92">
        <f t="shared" ref="F51:AA51" si="10">SUM(F52:F57)</f>
        <v>0</v>
      </c>
      <c r="G51" s="92">
        <f t="shared" si="10"/>
        <v>0</v>
      </c>
      <c r="H51" s="92">
        <f t="shared" si="10"/>
        <v>7390</v>
      </c>
      <c r="I51" s="92">
        <f t="shared" si="10"/>
        <v>0</v>
      </c>
      <c r="J51" s="92">
        <f t="shared" si="10"/>
        <v>7390</v>
      </c>
      <c r="K51" s="92">
        <f t="shared" si="10"/>
        <v>0</v>
      </c>
      <c r="L51" s="92"/>
      <c r="M51" s="92"/>
      <c r="N51" s="92">
        <f t="shared" si="10"/>
        <v>483.6</v>
      </c>
      <c r="O51" s="92">
        <f t="shared" si="10"/>
        <v>0</v>
      </c>
      <c r="P51" s="92">
        <f t="shared" si="10"/>
        <v>483.6</v>
      </c>
      <c r="Q51" s="92">
        <f t="shared" si="10"/>
        <v>0</v>
      </c>
      <c r="R51" s="92">
        <f t="shared" si="10"/>
        <v>0</v>
      </c>
      <c r="S51" s="92">
        <f t="shared" si="10"/>
        <v>483.6</v>
      </c>
      <c r="T51" s="92">
        <f t="shared" si="10"/>
        <v>0</v>
      </c>
      <c r="U51" s="92">
        <f t="shared" si="10"/>
        <v>0</v>
      </c>
      <c r="V51" s="92">
        <f t="shared" si="10"/>
        <v>0</v>
      </c>
      <c r="W51" s="92">
        <f t="shared" si="10"/>
        <v>0</v>
      </c>
      <c r="X51" s="92">
        <f t="shared" si="10"/>
        <v>0</v>
      </c>
      <c r="Y51" s="92">
        <f t="shared" si="10"/>
        <v>2649</v>
      </c>
      <c r="Z51" s="92">
        <f t="shared" si="10"/>
        <v>11240</v>
      </c>
      <c r="AA51" s="92">
        <f t="shared" si="10"/>
        <v>3</v>
      </c>
      <c r="AB51" s="92"/>
      <c r="AC51" s="92"/>
      <c r="AD51" s="141" t="s">
        <v>68</v>
      </c>
      <c r="AE51" s="146" t="s">
        <v>50</v>
      </c>
      <c r="AF51" s="438" t="s">
        <v>43</v>
      </c>
      <c r="AG51" s="92"/>
    </row>
    <row r="52" ht="24.95" customHeight="1" spans="1:33">
      <c r="A52" s="705"/>
      <c r="B52" s="199" t="s">
        <v>51</v>
      </c>
      <c r="C52" s="71" t="s">
        <v>52</v>
      </c>
      <c r="D52" s="71" t="s">
        <v>45</v>
      </c>
      <c r="E52" s="92">
        <v>1</v>
      </c>
      <c r="F52" s="199" t="s">
        <v>51</v>
      </c>
      <c r="G52" s="92"/>
      <c r="H52" s="86">
        <v>3550</v>
      </c>
      <c r="I52" s="92"/>
      <c r="J52" s="86">
        <v>3550</v>
      </c>
      <c r="K52" s="92"/>
      <c r="L52" s="92">
        <v>2019.01</v>
      </c>
      <c r="M52" s="92">
        <v>2019.12</v>
      </c>
      <c r="N52" s="86">
        <v>184.6</v>
      </c>
      <c r="O52" s="92"/>
      <c r="P52" s="86">
        <v>184.6</v>
      </c>
      <c r="Q52" s="92"/>
      <c r="R52" s="92"/>
      <c r="S52" s="86">
        <v>184.6</v>
      </c>
      <c r="T52" s="92"/>
      <c r="U52" s="92"/>
      <c r="V52" s="92"/>
      <c r="W52" s="92"/>
      <c r="X52" s="92"/>
      <c r="Y52" s="151">
        <v>991</v>
      </c>
      <c r="Z52" s="151">
        <v>4102</v>
      </c>
      <c r="AA52" s="92">
        <v>1</v>
      </c>
      <c r="AB52" s="92"/>
      <c r="AC52" s="92"/>
      <c r="AD52" s="146" t="s">
        <v>53</v>
      </c>
      <c r="AE52" s="86" t="s">
        <v>54</v>
      </c>
      <c r="AF52" s="438" t="s">
        <v>43</v>
      </c>
      <c r="AG52" s="92"/>
    </row>
    <row r="53" ht="24.95" customHeight="1" spans="1:33">
      <c r="A53" s="705"/>
      <c r="B53" s="199" t="s">
        <v>100</v>
      </c>
      <c r="C53" s="146" t="s">
        <v>52</v>
      </c>
      <c r="D53" s="152" t="s">
        <v>45</v>
      </c>
      <c r="E53" s="92"/>
      <c r="F53" s="199"/>
      <c r="G53" s="92"/>
      <c r="H53" s="86"/>
      <c r="I53" s="92"/>
      <c r="J53" s="86"/>
      <c r="K53" s="92"/>
      <c r="L53" s="92"/>
      <c r="M53" s="92"/>
      <c r="N53" s="86"/>
      <c r="O53" s="92"/>
      <c r="P53" s="86"/>
      <c r="Q53" s="92"/>
      <c r="R53" s="92"/>
      <c r="S53" s="86"/>
      <c r="T53" s="92"/>
      <c r="U53" s="92"/>
      <c r="V53" s="92"/>
      <c r="W53" s="92"/>
      <c r="X53" s="92"/>
      <c r="Y53" s="151"/>
      <c r="Z53" s="151"/>
      <c r="AA53" s="92"/>
      <c r="AB53" s="92"/>
      <c r="AC53" s="92"/>
      <c r="AD53" s="146"/>
      <c r="AE53" s="146"/>
      <c r="AF53" s="438"/>
      <c r="AG53" s="92"/>
    </row>
    <row r="54" ht="24.95" customHeight="1" spans="1:33">
      <c r="A54" s="705"/>
      <c r="B54" s="199" t="s">
        <v>91</v>
      </c>
      <c r="C54" s="146" t="s">
        <v>52</v>
      </c>
      <c r="D54" s="152" t="s">
        <v>45</v>
      </c>
      <c r="E54" s="92"/>
      <c r="F54" s="199"/>
      <c r="G54" s="92"/>
      <c r="H54" s="86"/>
      <c r="I54" s="92"/>
      <c r="J54" s="86"/>
      <c r="K54" s="92"/>
      <c r="L54" s="92"/>
      <c r="M54" s="92"/>
      <c r="N54" s="86"/>
      <c r="O54" s="92"/>
      <c r="P54" s="86"/>
      <c r="Q54" s="92"/>
      <c r="R54" s="92"/>
      <c r="S54" s="86"/>
      <c r="T54" s="92"/>
      <c r="U54" s="92"/>
      <c r="V54" s="92"/>
      <c r="W54" s="92"/>
      <c r="X54" s="92"/>
      <c r="Y54" s="151"/>
      <c r="Z54" s="151"/>
      <c r="AA54" s="92"/>
      <c r="AB54" s="92"/>
      <c r="AC54" s="92"/>
      <c r="AD54" s="146"/>
      <c r="AE54" s="146"/>
      <c r="AF54" s="438"/>
      <c r="AG54" s="92"/>
    </row>
    <row r="55" ht="24.95" customHeight="1" spans="1:33">
      <c r="A55" s="705"/>
      <c r="B55" s="199" t="s">
        <v>101</v>
      </c>
      <c r="C55" s="146" t="s">
        <v>52</v>
      </c>
      <c r="D55" s="152" t="s">
        <v>45</v>
      </c>
      <c r="E55" s="92">
        <v>1</v>
      </c>
      <c r="F55" s="199" t="s">
        <v>101</v>
      </c>
      <c r="G55" s="92"/>
      <c r="H55" s="86">
        <v>740</v>
      </c>
      <c r="I55" s="92"/>
      <c r="J55" s="86">
        <v>740</v>
      </c>
      <c r="K55" s="92"/>
      <c r="L55" s="92">
        <v>2019.01</v>
      </c>
      <c r="M55" s="92">
        <v>2019.12</v>
      </c>
      <c r="N55" s="86">
        <v>74</v>
      </c>
      <c r="O55" s="92"/>
      <c r="P55" s="86">
        <v>74</v>
      </c>
      <c r="Q55" s="92"/>
      <c r="R55" s="92"/>
      <c r="S55" s="86">
        <v>74</v>
      </c>
      <c r="T55" s="92"/>
      <c r="U55" s="92"/>
      <c r="V55" s="92"/>
      <c r="W55" s="92"/>
      <c r="X55" s="92"/>
      <c r="Y55" s="151">
        <v>367</v>
      </c>
      <c r="Z55" s="151">
        <v>1605</v>
      </c>
      <c r="AA55" s="92">
        <v>1</v>
      </c>
      <c r="AB55" s="92"/>
      <c r="AC55" s="92"/>
      <c r="AD55" s="146" t="s">
        <v>70</v>
      </c>
      <c r="AE55" s="146" t="s">
        <v>71</v>
      </c>
      <c r="AF55" s="438" t="s">
        <v>43</v>
      </c>
      <c r="AG55" s="92"/>
    </row>
    <row r="56" ht="24.95" customHeight="1" spans="1:33">
      <c r="A56" s="705"/>
      <c r="B56" s="199" t="s">
        <v>102</v>
      </c>
      <c r="C56" s="146" t="s">
        <v>52</v>
      </c>
      <c r="D56" s="152" t="s">
        <v>45</v>
      </c>
      <c r="E56" s="92">
        <v>1</v>
      </c>
      <c r="F56" s="199" t="s">
        <v>102</v>
      </c>
      <c r="G56" s="92"/>
      <c r="H56" s="86">
        <v>3100</v>
      </c>
      <c r="I56" s="92"/>
      <c r="J56" s="86">
        <v>3100</v>
      </c>
      <c r="K56" s="92"/>
      <c r="L56" s="92">
        <v>2019.01</v>
      </c>
      <c r="M56" s="92">
        <v>2019.12</v>
      </c>
      <c r="N56" s="86">
        <v>225</v>
      </c>
      <c r="O56" s="92"/>
      <c r="P56" s="86">
        <v>225</v>
      </c>
      <c r="Q56" s="92"/>
      <c r="R56" s="92"/>
      <c r="S56" s="86">
        <v>225</v>
      </c>
      <c r="T56" s="92"/>
      <c r="U56" s="92"/>
      <c r="V56" s="92"/>
      <c r="W56" s="92"/>
      <c r="X56" s="92"/>
      <c r="Y56" s="151">
        <v>1291</v>
      </c>
      <c r="Z56" s="151">
        <v>5533</v>
      </c>
      <c r="AA56" s="92">
        <v>1</v>
      </c>
      <c r="AB56" s="92"/>
      <c r="AC56" s="92"/>
      <c r="AD56" s="146" t="s">
        <v>62</v>
      </c>
      <c r="AE56" s="146" t="s">
        <v>63</v>
      </c>
      <c r="AF56" s="438" t="s">
        <v>43</v>
      </c>
      <c r="AG56" s="92"/>
    </row>
    <row r="57" ht="24.95" customHeight="1" spans="1:33">
      <c r="A57" s="705"/>
      <c r="B57" s="199" t="s">
        <v>58</v>
      </c>
      <c r="C57" s="146" t="s">
        <v>52</v>
      </c>
      <c r="D57" s="71" t="s">
        <v>45</v>
      </c>
      <c r="E57" s="92"/>
      <c r="F57" s="199"/>
      <c r="G57" s="92"/>
      <c r="H57" s="86"/>
      <c r="I57" s="92"/>
      <c r="J57" s="86"/>
      <c r="K57" s="92"/>
      <c r="L57" s="92"/>
      <c r="M57" s="92"/>
      <c r="N57" s="86"/>
      <c r="O57" s="92"/>
      <c r="P57" s="86"/>
      <c r="Q57" s="92"/>
      <c r="R57" s="92"/>
      <c r="S57" s="86"/>
      <c r="T57" s="92"/>
      <c r="U57" s="92"/>
      <c r="V57" s="92"/>
      <c r="W57" s="92"/>
      <c r="X57" s="92"/>
      <c r="Y57" s="151"/>
      <c r="Z57" s="151"/>
      <c r="AA57" s="92"/>
      <c r="AB57" s="92"/>
      <c r="AC57" s="92"/>
      <c r="AD57" s="744"/>
      <c r="AE57" s="744"/>
      <c r="AF57" s="438"/>
      <c r="AG57" s="92"/>
    </row>
    <row r="58" ht="24.95" customHeight="1" spans="1:33">
      <c r="A58" s="705"/>
      <c r="B58" s="711" t="s">
        <v>103</v>
      </c>
      <c r="C58" s="141" t="s">
        <v>52</v>
      </c>
      <c r="D58" s="141" t="s">
        <v>45</v>
      </c>
      <c r="E58" s="92">
        <f>SUM(E59:E62)</f>
        <v>4</v>
      </c>
      <c r="F58" s="92">
        <f t="shared" ref="F58:AA58" si="11">SUM(F59:F62)</f>
        <v>0</v>
      </c>
      <c r="G58" s="92">
        <f t="shared" si="11"/>
        <v>0</v>
      </c>
      <c r="H58" s="92">
        <f t="shared" si="11"/>
        <v>7171</v>
      </c>
      <c r="I58" s="92">
        <f t="shared" si="11"/>
        <v>0</v>
      </c>
      <c r="J58" s="92">
        <f t="shared" si="11"/>
        <v>7171</v>
      </c>
      <c r="K58" s="92">
        <f t="shared" si="11"/>
        <v>0</v>
      </c>
      <c r="L58" s="92"/>
      <c r="M58" s="92"/>
      <c r="N58" s="92">
        <f t="shared" si="11"/>
        <v>268.53</v>
      </c>
      <c r="O58" s="92">
        <f t="shared" si="11"/>
        <v>0</v>
      </c>
      <c r="P58" s="92">
        <f t="shared" si="11"/>
        <v>268.53</v>
      </c>
      <c r="Q58" s="92">
        <f t="shared" si="11"/>
        <v>0</v>
      </c>
      <c r="R58" s="92">
        <f t="shared" si="11"/>
        <v>0</v>
      </c>
      <c r="S58" s="92">
        <f t="shared" si="11"/>
        <v>268.53</v>
      </c>
      <c r="T58" s="92">
        <f t="shared" si="11"/>
        <v>0</v>
      </c>
      <c r="U58" s="92">
        <f t="shared" si="11"/>
        <v>0</v>
      </c>
      <c r="V58" s="92">
        <f t="shared" si="11"/>
        <v>0</v>
      </c>
      <c r="W58" s="92">
        <f t="shared" si="11"/>
        <v>0</v>
      </c>
      <c r="X58" s="92">
        <f t="shared" si="11"/>
        <v>0</v>
      </c>
      <c r="Y58" s="92">
        <f t="shared" si="11"/>
        <v>2258</v>
      </c>
      <c r="Z58" s="92">
        <f t="shared" si="11"/>
        <v>9464</v>
      </c>
      <c r="AA58" s="92">
        <f t="shared" si="11"/>
        <v>4</v>
      </c>
      <c r="AB58" s="92"/>
      <c r="AC58" s="92"/>
      <c r="AD58" s="141"/>
      <c r="AE58" s="146"/>
      <c r="AF58" s="748" t="s">
        <v>104</v>
      </c>
      <c r="AG58" s="92"/>
    </row>
    <row r="59" ht="24.95" customHeight="1" spans="1:33">
      <c r="A59" s="705"/>
      <c r="B59" s="199" t="s">
        <v>51</v>
      </c>
      <c r="C59" s="141" t="s">
        <v>52</v>
      </c>
      <c r="D59" s="141" t="s">
        <v>45</v>
      </c>
      <c r="E59" s="92">
        <v>1</v>
      </c>
      <c r="F59" s="199" t="s">
        <v>51</v>
      </c>
      <c r="G59" s="92"/>
      <c r="H59" s="86">
        <v>1010</v>
      </c>
      <c r="I59" s="92"/>
      <c r="J59" s="86">
        <v>1010</v>
      </c>
      <c r="K59" s="92"/>
      <c r="L59" s="92">
        <v>2019.01</v>
      </c>
      <c r="M59" s="92">
        <v>2019.12</v>
      </c>
      <c r="N59" s="86">
        <v>0</v>
      </c>
      <c r="O59" s="92"/>
      <c r="P59" s="86">
        <v>0</v>
      </c>
      <c r="Q59" s="92"/>
      <c r="R59" s="92"/>
      <c r="S59" s="86">
        <v>0</v>
      </c>
      <c r="T59" s="92"/>
      <c r="U59" s="92"/>
      <c r="V59" s="92"/>
      <c r="W59" s="92"/>
      <c r="X59" s="92"/>
      <c r="Y59" s="151">
        <v>1772</v>
      </c>
      <c r="Z59" s="151">
        <v>7383</v>
      </c>
      <c r="AA59" s="92">
        <v>1</v>
      </c>
      <c r="AB59" s="92"/>
      <c r="AC59" s="92"/>
      <c r="AD59" s="740" t="s">
        <v>53</v>
      </c>
      <c r="AE59" s="741" t="s">
        <v>105</v>
      </c>
      <c r="AF59" s="748" t="s">
        <v>104</v>
      </c>
      <c r="AG59" s="92"/>
    </row>
    <row r="60" ht="24.95" customHeight="1" spans="1:33">
      <c r="A60" s="705"/>
      <c r="B60" s="199" t="s">
        <v>58</v>
      </c>
      <c r="C60" s="146" t="s">
        <v>52</v>
      </c>
      <c r="D60" s="152" t="s">
        <v>45</v>
      </c>
      <c r="E60" s="92">
        <v>1</v>
      </c>
      <c r="F60" s="199" t="s">
        <v>58</v>
      </c>
      <c r="G60" s="92"/>
      <c r="H60" s="86">
        <v>1943</v>
      </c>
      <c r="I60" s="92"/>
      <c r="J60" s="86">
        <v>1943</v>
      </c>
      <c r="K60" s="92"/>
      <c r="L60" s="92">
        <v>2019.01</v>
      </c>
      <c r="M60" s="92">
        <v>2019.12</v>
      </c>
      <c r="N60" s="86">
        <v>25.2</v>
      </c>
      <c r="O60" s="92"/>
      <c r="P60" s="86">
        <v>25.2</v>
      </c>
      <c r="Q60" s="92"/>
      <c r="R60" s="92"/>
      <c r="S60" s="86">
        <v>25.2</v>
      </c>
      <c r="T60" s="92"/>
      <c r="U60" s="92"/>
      <c r="V60" s="92"/>
      <c r="W60" s="92"/>
      <c r="X60" s="92"/>
      <c r="Y60" s="151">
        <v>101</v>
      </c>
      <c r="Z60" s="151">
        <v>449</v>
      </c>
      <c r="AA60" s="92">
        <v>1</v>
      </c>
      <c r="AB60" s="92"/>
      <c r="AC60" s="92"/>
      <c r="AD60" s="146" t="s">
        <v>59</v>
      </c>
      <c r="AE60" s="146" t="s">
        <v>60</v>
      </c>
      <c r="AF60" s="748" t="s">
        <v>104</v>
      </c>
      <c r="AG60" s="92"/>
    </row>
    <row r="61" ht="24.95" customHeight="1" spans="1:33">
      <c r="A61" s="705"/>
      <c r="B61" s="199" t="s">
        <v>92</v>
      </c>
      <c r="C61" s="146" t="s">
        <v>52</v>
      </c>
      <c r="D61" s="152" t="s">
        <v>45</v>
      </c>
      <c r="E61" s="92">
        <v>1</v>
      </c>
      <c r="F61" s="199" t="s">
        <v>92</v>
      </c>
      <c r="G61" s="92"/>
      <c r="H61" s="86">
        <v>828</v>
      </c>
      <c r="I61" s="92"/>
      <c r="J61" s="86">
        <v>828</v>
      </c>
      <c r="K61" s="92"/>
      <c r="L61" s="92">
        <v>2019.01</v>
      </c>
      <c r="M61" s="92">
        <v>2019.12</v>
      </c>
      <c r="N61" s="86">
        <v>84</v>
      </c>
      <c r="O61" s="92"/>
      <c r="P61" s="86">
        <v>84</v>
      </c>
      <c r="Q61" s="92"/>
      <c r="R61" s="92"/>
      <c r="S61" s="86">
        <v>84</v>
      </c>
      <c r="T61" s="92"/>
      <c r="U61" s="92"/>
      <c r="V61" s="92"/>
      <c r="W61" s="92"/>
      <c r="X61" s="92"/>
      <c r="Y61" s="151">
        <v>282</v>
      </c>
      <c r="Z61" s="151">
        <v>1164</v>
      </c>
      <c r="AA61" s="92">
        <v>1</v>
      </c>
      <c r="AB61" s="92"/>
      <c r="AC61" s="92"/>
      <c r="AD61" s="146" t="s">
        <v>93</v>
      </c>
      <c r="AE61" s="146" t="s">
        <v>94</v>
      </c>
      <c r="AF61" s="748" t="s">
        <v>104</v>
      </c>
      <c r="AG61" s="92"/>
    </row>
    <row r="62" ht="24.95" customHeight="1" spans="1:33">
      <c r="A62" s="705"/>
      <c r="B62" s="199" t="s">
        <v>64</v>
      </c>
      <c r="C62" s="146" t="s">
        <v>52</v>
      </c>
      <c r="D62" s="152" t="s">
        <v>45</v>
      </c>
      <c r="E62" s="92">
        <v>1</v>
      </c>
      <c r="F62" s="199" t="s">
        <v>64</v>
      </c>
      <c r="G62" s="92"/>
      <c r="H62" s="86">
        <v>3390</v>
      </c>
      <c r="I62" s="92"/>
      <c r="J62" s="86">
        <v>3390</v>
      </c>
      <c r="K62" s="92"/>
      <c r="L62" s="92">
        <v>2019.01</v>
      </c>
      <c r="M62" s="92">
        <v>2019.12</v>
      </c>
      <c r="N62" s="86">
        <v>159.33</v>
      </c>
      <c r="O62" s="92"/>
      <c r="P62" s="86">
        <v>159.33</v>
      </c>
      <c r="Q62" s="92"/>
      <c r="R62" s="92"/>
      <c r="S62" s="86">
        <v>159.33</v>
      </c>
      <c r="T62" s="92"/>
      <c r="U62" s="92"/>
      <c r="V62" s="92"/>
      <c r="W62" s="92"/>
      <c r="X62" s="92"/>
      <c r="Y62" s="151">
        <v>103</v>
      </c>
      <c r="Z62" s="151">
        <v>468</v>
      </c>
      <c r="AA62" s="92">
        <v>1</v>
      </c>
      <c r="AB62" s="92"/>
      <c r="AC62" s="92"/>
      <c r="AD62" s="146" t="s">
        <v>106</v>
      </c>
      <c r="AE62" s="146" t="s">
        <v>107</v>
      </c>
      <c r="AF62" s="748" t="s">
        <v>104</v>
      </c>
      <c r="AG62" s="92"/>
    </row>
    <row r="63" ht="24.95" customHeight="1" spans="1:33">
      <c r="A63" s="705"/>
      <c r="B63" s="711" t="s">
        <v>108</v>
      </c>
      <c r="C63" s="141" t="s">
        <v>52</v>
      </c>
      <c r="D63" s="141" t="s">
        <v>45</v>
      </c>
      <c r="E63" s="92">
        <f>SUM(E64:E67)</f>
        <v>4</v>
      </c>
      <c r="F63" s="92">
        <f t="shared" ref="F63:AA63" si="12">SUM(F64:F67)</f>
        <v>0</v>
      </c>
      <c r="G63" s="92">
        <f t="shared" si="12"/>
        <v>0</v>
      </c>
      <c r="H63" s="92">
        <f t="shared" si="12"/>
        <v>7302</v>
      </c>
      <c r="I63" s="92">
        <f t="shared" si="12"/>
        <v>0</v>
      </c>
      <c r="J63" s="92">
        <f t="shared" si="12"/>
        <v>7302</v>
      </c>
      <c r="K63" s="92">
        <f t="shared" si="12"/>
        <v>0</v>
      </c>
      <c r="L63" s="92"/>
      <c r="M63" s="92"/>
      <c r="N63" s="92">
        <f t="shared" si="12"/>
        <v>1324</v>
      </c>
      <c r="O63" s="92">
        <f t="shared" si="12"/>
        <v>0</v>
      </c>
      <c r="P63" s="92">
        <f t="shared" si="12"/>
        <v>1324</v>
      </c>
      <c r="Q63" s="92">
        <f t="shared" si="12"/>
        <v>0</v>
      </c>
      <c r="R63" s="92">
        <f t="shared" si="12"/>
        <v>0</v>
      </c>
      <c r="S63" s="92">
        <f t="shared" si="12"/>
        <v>1324</v>
      </c>
      <c r="T63" s="92">
        <f t="shared" si="12"/>
        <v>0</v>
      </c>
      <c r="U63" s="92">
        <f t="shared" si="12"/>
        <v>0</v>
      </c>
      <c r="V63" s="92">
        <f t="shared" si="12"/>
        <v>0</v>
      </c>
      <c r="W63" s="92">
        <f t="shared" si="12"/>
        <v>0</v>
      </c>
      <c r="X63" s="92">
        <f t="shared" si="12"/>
        <v>0</v>
      </c>
      <c r="Y63" s="92">
        <f t="shared" si="12"/>
        <v>1286</v>
      </c>
      <c r="Z63" s="92">
        <f t="shared" si="12"/>
        <v>5302</v>
      </c>
      <c r="AA63" s="92">
        <f t="shared" si="12"/>
        <v>4</v>
      </c>
      <c r="AB63" s="92"/>
      <c r="AC63" s="92"/>
      <c r="AD63" s="141" t="s">
        <v>68</v>
      </c>
      <c r="AE63" s="146" t="s">
        <v>50</v>
      </c>
      <c r="AF63" s="438" t="s">
        <v>43</v>
      </c>
      <c r="AG63" s="92"/>
    </row>
    <row r="64" ht="24.95" customHeight="1" spans="1:33">
      <c r="A64" s="705"/>
      <c r="B64" s="199" t="s">
        <v>51</v>
      </c>
      <c r="C64" s="141" t="s">
        <v>52</v>
      </c>
      <c r="D64" s="141" t="s">
        <v>45</v>
      </c>
      <c r="E64" s="92">
        <v>1</v>
      </c>
      <c r="F64" s="199" t="s">
        <v>51</v>
      </c>
      <c r="G64" s="92"/>
      <c r="H64" s="86">
        <v>1000</v>
      </c>
      <c r="I64" s="92"/>
      <c r="J64" s="86">
        <v>1000</v>
      </c>
      <c r="K64" s="92"/>
      <c r="L64" s="92">
        <v>2019.01</v>
      </c>
      <c r="M64" s="92">
        <v>2019.12</v>
      </c>
      <c r="N64" s="86">
        <v>225</v>
      </c>
      <c r="O64" s="92"/>
      <c r="P64" s="86">
        <v>225</v>
      </c>
      <c r="Q64" s="92"/>
      <c r="R64" s="92"/>
      <c r="S64" s="86">
        <v>225</v>
      </c>
      <c r="T64" s="92"/>
      <c r="U64" s="92"/>
      <c r="V64" s="92"/>
      <c r="W64" s="92"/>
      <c r="X64" s="92"/>
      <c r="Y64" s="151"/>
      <c r="Z64" s="151"/>
      <c r="AA64" s="92">
        <v>1</v>
      </c>
      <c r="AB64" s="92"/>
      <c r="AC64" s="92"/>
      <c r="AD64" s="743" t="s">
        <v>53</v>
      </c>
      <c r="AE64" s="146" t="s">
        <v>54</v>
      </c>
      <c r="AF64" s="438" t="s">
        <v>43</v>
      </c>
      <c r="AG64" s="92"/>
    </row>
    <row r="65" ht="24.95" customHeight="1" spans="1:33">
      <c r="A65" s="705"/>
      <c r="B65" s="199" t="s">
        <v>91</v>
      </c>
      <c r="C65" s="141" t="s">
        <v>52</v>
      </c>
      <c r="D65" s="141" t="s">
        <v>45</v>
      </c>
      <c r="E65" s="92">
        <v>1</v>
      </c>
      <c r="F65" s="199" t="s">
        <v>91</v>
      </c>
      <c r="G65" s="92"/>
      <c r="H65" s="86">
        <v>1870</v>
      </c>
      <c r="I65" s="92"/>
      <c r="J65" s="86">
        <v>1870</v>
      </c>
      <c r="K65" s="92"/>
      <c r="L65" s="92">
        <v>2019.01</v>
      </c>
      <c r="M65" s="92">
        <v>2019.12</v>
      </c>
      <c r="N65" s="86">
        <v>153</v>
      </c>
      <c r="O65" s="92"/>
      <c r="P65" s="86">
        <v>153</v>
      </c>
      <c r="Q65" s="92"/>
      <c r="R65" s="92"/>
      <c r="S65" s="86">
        <v>153</v>
      </c>
      <c r="T65" s="92"/>
      <c r="U65" s="92"/>
      <c r="V65" s="92"/>
      <c r="W65" s="92"/>
      <c r="X65" s="92"/>
      <c r="Y65" s="151">
        <v>237</v>
      </c>
      <c r="Z65" s="151">
        <v>864</v>
      </c>
      <c r="AA65" s="92">
        <v>1</v>
      </c>
      <c r="AB65" s="92"/>
      <c r="AC65" s="92"/>
      <c r="AD65" s="146" t="s">
        <v>82</v>
      </c>
      <c r="AE65" s="146" t="s">
        <v>83</v>
      </c>
      <c r="AF65" s="438" t="s">
        <v>43</v>
      </c>
      <c r="AG65" s="92"/>
    </row>
    <row r="66" ht="24.95" customHeight="1" spans="1:33">
      <c r="A66" s="705"/>
      <c r="B66" s="199" t="s">
        <v>102</v>
      </c>
      <c r="C66" s="141" t="s">
        <v>52</v>
      </c>
      <c r="D66" s="141" t="s">
        <v>45</v>
      </c>
      <c r="E66" s="92">
        <v>1</v>
      </c>
      <c r="F66" s="199" t="s">
        <v>102</v>
      </c>
      <c r="G66" s="92"/>
      <c r="H66" s="86">
        <v>4000</v>
      </c>
      <c r="I66" s="92"/>
      <c r="J66" s="86">
        <v>4000</v>
      </c>
      <c r="K66" s="92"/>
      <c r="L66" s="92">
        <v>2019.01</v>
      </c>
      <c r="M66" s="92">
        <v>2019.12</v>
      </c>
      <c r="N66" s="86">
        <v>900</v>
      </c>
      <c r="O66" s="92"/>
      <c r="P66" s="86">
        <v>900</v>
      </c>
      <c r="Q66" s="92"/>
      <c r="R66" s="92"/>
      <c r="S66" s="86">
        <v>900</v>
      </c>
      <c r="T66" s="92"/>
      <c r="U66" s="92"/>
      <c r="V66" s="92"/>
      <c r="W66" s="92"/>
      <c r="X66" s="92"/>
      <c r="Y66" s="151">
        <v>915</v>
      </c>
      <c r="Z66" s="151">
        <v>3946</v>
      </c>
      <c r="AA66" s="92">
        <v>1</v>
      </c>
      <c r="AB66" s="92"/>
      <c r="AC66" s="92"/>
      <c r="AD66" s="146" t="s">
        <v>62</v>
      </c>
      <c r="AE66" s="146" t="s">
        <v>63</v>
      </c>
      <c r="AF66" s="438" t="s">
        <v>43</v>
      </c>
      <c r="AG66" s="92"/>
    </row>
    <row r="67" ht="24.95" customHeight="1" spans="1:33">
      <c r="A67" s="705"/>
      <c r="B67" s="199" t="s">
        <v>100</v>
      </c>
      <c r="C67" s="141" t="s">
        <v>52</v>
      </c>
      <c r="D67" s="141" t="s">
        <v>45</v>
      </c>
      <c r="E67" s="92">
        <v>1</v>
      </c>
      <c r="F67" s="199" t="s">
        <v>100</v>
      </c>
      <c r="G67" s="92"/>
      <c r="H67" s="86">
        <v>432</v>
      </c>
      <c r="I67" s="92"/>
      <c r="J67" s="86">
        <v>432</v>
      </c>
      <c r="K67" s="92"/>
      <c r="L67" s="92">
        <v>2019.01</v>
      </c>
      <c r="M67" s="92">
        <v>2019.12</v>
      </c>
      <c r="N67" s="86">
        <v>46</v>
      </c>
      <c r="O67" s="92"/>
      <c r="P67" s="86">
        <v>46</v>
      </c>
      <c r="Q67" s="92"/>
      <c r="R67" s="92"/>
      <c r="S67" s="86">
        <v>46</v>
      </c>
      <c r="T67" s="92"/>
      <c r="U67" s="92"/>
      <c r="V67" s="92"/>
      <c r="W67" s="92"/>
      <c r="X67" s="92"/>
      <c r="Y67" s="151">
        <v>134</v>
      </c>
      <c r="Z67" s="151">
        <v>492</v>
      </c>
      <c r="AA67" s="92">
        <v>1</v>
      </c>
      <c r="AB67" s="92"/>
      <c r="AC67" s="92"/>
      <c r="AD67" s="146" t="s">
        <v>79</v>
      </c>
      <c r="AE67" s="146" t="s">
        <v>80</v>
      </c>
      <c r="AF67" s="438" t="s">
        <v>43</v>
      </c>
      <c r="AG67" s="92"/>
    </row>
    <row r="68" ht="24.95" customHeight="1" spans="1:33">
      <c r="A68" s="705"/>
      <c r="B68" s="711" t="s">
        <v>109</v>
      </c>
      <c r="C68" s="141" t="s">
        <v>52</v>
      </c>
      <c r="D68" s="141" t="s">
        <v>45</v>
      </c>
      <c r="E68" s="92">
        <f>SUM(E69:E77)</f>
        <v>7</v>
      </c>
      <c r="F68" s="92">
        <f t="shared" ref="F68:AA68" si="13">SUM(F69:F77)</f>
        <v>0</v>
      </c>
      <c r="G68" s="92">
        <f t="shared" si="13"/>
        <v>0</v>
      </c>
      <c r="H68" s="92">
        <f t="shared" si="13"/>
        <v>4256</v>
      </c>
      <c r="I68" s="92">
        <f t="shared" si="13"/>
        <v>0</v>
      </c>
      <c r="J68" s="92">
        <f t="shared" si="13"/>
        <v>4256</v>
      </c>
      <c r="K68" s="92">
        <f t="shared" si="13"/>
        <v>0</v>
      </c>
      <c r="L68" s="92"/>
      <c r="M68" s="92"/>
      <c r="N68" s="92">
        <f t="shared" si="13"/>
        <v>1073.459</v>
      </c>
      <c r="O68" s="92">
        <f t="shared" si="13"/>
        <v>0</v>
      </c>
      <c r="P68" s="92">
        <f t="shared" si="13"/>
        <v>1073.459</v>
      </c>
      <c r="Q68" s="92">
        <f t="shared" si="13"/>
        <v>0</v>
      </c>
      <c r="R68" s="92">
        <f t="shared" si="13"/>
        <v>0</v>
      </c>
      <c r="S68" s="92">
        <f t="shared" si="13"/>
        <v>573.459</v>
      </c>
      <c r="T68" s="92">
        <f t="shared" si="13"/>
        <v>0</v>
      </c>
      <c r="U68" s="92">
        <f t="shared" si="13"/>
        <v>500</v>
      </c>
      <c r="V68" s="92">
        <f t="shared" si="13"/>
        <v>0</v>
      </c>
      <c r="W68" s="92">
        <f t="shared" si="13"/>
        <v>0</v>
      </c>
      <c r="X68" s="92">
        <f t="shared" si="13"/>
        <v>0</v>
      </c>
      <c r="Y68" s="92">
        <f t="shared" si="13"/>
        <v>5442</v>
      </c>
      <c r="Z68" s="92">
        <f t="shared" si="13"/>
        <v>21772</v>
      </c>
      <c r="AA68" s="92">
        <f t="shared" si="13"/>
        <v>7</v>
      </c>
      <c r="AB68" s="92"/>
      <c r="AC68" s="92"/>
      <c r="AD68" s="141" t="s">
        <v>68</v>
      </c>
      <c r="AE68" s="146" t="s">
        <v>50</v>
      </c>
      <c r="AF68" s="438" t="s">
        <v>43</v>
      </c>
      <c r="AG68" s="92"/>
    </row>
    <row r="69" ht="24.95" customHeight="1" spans="1:33">
      <c r="A69" s="705"/>
      <c r="B69" s="199" t="s">
        <v>69</v>
      </c>
      <c r="C69" s="141" t="s">
        <v>52</v>
      </c>
      <c r="D69" s="141" t="s">
        <v>45</v>
      </c>
      <c r="E69" s="92">
        <v>1</v>
      </c>
      <c r="F69" s="199" t="s">
        <v>69</v>
      </c>
      <c r="G69" s="92"/>
      <c r="H69" s="86">
        <v>456</v>
      </c>
      <c r="I69" s="92"/>
      <c r="J69" s="86">
        <v>456</v>
      </c>
      <c r="K69" s="92"/>
      <c r="L69" s="92">
        <v>2019.01</v>
      </c>
      <c r="M69" s="92">
        <v>2019.12</v>
      </c>
      <c r="N69" s="86">
        <v>59.28</v>
      </c>
      <c r="O69" s="92"/>
      <c r="P69" s="86">
        <v>59.28</v>
      </c>
      <c r="Q69" s="92"/>
      <c r="R69" s="92"/>
      <c r="S69" s="86">
        <v>59.28</v>
      </c>
      <c r="T69" s="92"/>
      <c r="U69" s="92"/>
      <c r="V69" s="92"/>
      <c r="W69" s="92"/>
      <c r="X69" s="92"/>
      <c r="Y69" s="151">
        <v>456</v>
      </c>
      <c r="Z69" s="151">
        <v>1892</v>
      </c>
      <c r="AA69" s="92">
        <v>1</v>
      </c>
      <c r="AB69" s="92"/>
      <c r="AC69" s="92"/>
      <c r="AD69" s="146" t="s">
        <v>70</v>
      </c>
      <c r="AE69" s="146" t="s">
        <v>71</v>
      </c>
      <c r="AF69" s="438" t="s">
        <v>43</v>
      </c>
      <c r="AG69" s="92"/>
    </row>
    <row r="70" ht="24.95" customHeight="1" spans="1:33">
      <c r="A70" s="705"/>
      <c r="B70" s="199" t="s">
        <v>51</v>
      </c>
      <c r="C70" s="146" t="s">
        <v>52</v>
      </c>
      <c r="D70" s="152" t="s">
        <v>45</v>
      </c>
      <c r="E70" s="92">
        <v>1</v>
      </c>
      <c r="F70" s="199" t="s">
        <v>51</v>
      </c>
      <c r="G70" s="92"/>
      <c r="H70" s="86">
        <v>765</v>
      </c>
      <c r="I70" s="92"/>
      <c r="J70" s="86">
        <v>765</v>
      </c>
      <c r="K70" s="92"/>
      <c r="L70" s="92">
        <v>2019.01</v>
      </c>
      <c r="M70" s="92">
        <v>2019.12</v>
      </c>
      <c r="N70" s="86">
        <v>192.95</v>
      </c>
      <c r="O70" s="92"/>
      <c r="P70" s="86">
        <v>192.95</v>
      </c>
      <c r="Q70" s="92"/>
      <c r="R70" s="92"/>
      <c r="S70" s="86">
        <v>92.95</v>
      </c>
      <c r="T70" s="92"/>
      <c r="U70" s="92">
        <v>100</v>
      </c>
      <c r="V70" s="92"/>
      <c r="W70" s="92"/>
      <c r="X70" s="92"/>
      <c r="Y70" s="151">
        <v>1760</v>
      </c>
      <c r="Z70" s="151">
        <v>7269</v>
      </c>
      <c r="AA70" s="92">
        <v>1</v>
      </c>
      <c r="AB70" s="92"/>
      <c r="AC70" s="92"/>
      <c r="AD70" s="743" t="s">
        <v>53</v>
      </c>
      <c r="AE70" s="146" t="s">
        <v>54</v>
      </c>
      <c r="AF70" s="438" t="s">
        <v>43</v>
      </c>
      <c r="AG70" s="92"/>
    </row>
    <row r="71" ht="24.95" customHeight="1" spans="1:33">
      <c r="A71" s="705"/>
      <c r="B71" s="199" t="s">
        <v>72</v>
      </c>
      <c r="C71" s="146" t="s">
        <v>52</v>
      </c>
      <c r="D71" s="152" t="s">
        <v>45</v>
      </c>
      <c r="E71" s="92">
        <v>1</v>
      </c>
      <c r="F71" s="199" t="s">
        <v>72</v>
      </c>
      <c r="G71" s="92"/>
      <c r="H71" s="86">
        <v>551</v>
      </c>
      <c r="I71" s="92"/>
      <c r="J71" s="86">
        <v>551</v>
      </c>
      <c r="K71" s="92"/>
      <c r="L71" s="92">
        <v>2019.01</v>
      </c>
      <c r="M71" s="92">
        <v>2019.12</v>
      </c>
      <c r="N71" s="86">
        <v>71.63</v>
      </c>
      <c r="O71" s="92"/>
      <c r="P71" s="86">
        <v>71.63</v>
      </c>
      <c r="Q71" s="92"/>
      <c r="R71" s="92"/>
      <c r="S71" s="86">
        <v>71.63</v>
      </c>
      <c r="T71" s="92"/>
      <c r="U71" s="92"/>
      <c r="V71" s="92"/>
      <c r="W71" s="92"/>
      <c r="X71" s="92"/>
      <c r="Y71" s="151">
        <v>551</v>
      </c>
      <c r="Z71" s="151">
        <v>2192</v>
      </c>
      <c r="AA71" s="92">
        <v>1</v>
      </c>
      <c r="AB71" s="92"/>
      <c r="AC71" s="92"/>
      <c r="AD71" s="146" t="s">
        <v>73</v>
      </c>
      <c r="AE71" s="438" t="s">
        <v>74</v>
      </c>
      <c r="AF71" s="438" t="s">
        <v>43</v>
      </c>
      <c r="AG71" s="92"/>
    </row>
    <row r="72" ht="24.95" customHeight="1" spans="1:33">
      <c r="A72" s="705"/>
      <c r="B72" s="199" t="s">
        <v>91</v>
      </c>
      <c r="C72" s="146" t="s">
        <v>52</v>
      </c>
      <c r="D72" s="152" t="s">
        <v>45</v>
      </c>
      <c r="E72" s="92">
        <v>1</v>
      </c>
      <c r="F72" s="199" t="s">
        <v>91</v>
      </c>
      <c r="G72" s="92"/>
      <c r="H72" s="86">
        <v>279</v>
      </c>
      <c r="I72" s="92"/>
      <c r="J72" s="86">
        <v>279</v>
      </c>
      <c r="K72" s="92"/>
      <c r="L72" s="92">
        <v>2019.01</v>
      </c>
      <c r="M72" s="92">
        <v>2019.12</v>
      </c>
      <c r="N72" s="86">
        <v>83.7</v>
      </c>
      <c r="O72" s="92"/>
      <c r="P72" s="86">
        <v>83.7</v>
      </c>
      <c r="Q72" s="92"/>
      <c r="R72" s="92"/>
      <c r="S72" s="86">
        <v>83.7</v>
      </c>
      <c r="T72" s="92"/>
      <c r="U72" s="92"/>
      <c r="V72" s="92"/>
      <c r="W72" s="92"/>
      <c r="X72" s="92"/>
      <c r="Y72" s="151">
        <v>279</v>
      </c>
      <c r="Z72" s="151">
        <v>1019</v>
      </c>
      <c r="AA72" s="92">
        <v>1</v>
      </c>
      <c r="AB72" s="92"/>
      <c r="AC72" s="92"/>
      <c r="AD72" s="146" t="s">
        <v>82</v>
      </c>
      <c r="AE72" s="146" t="s">
        <v>83</v>
      </c>
      <c r="AF72" s="438" t="s">
        <v>43</v>
      </c>
      <c r="AG72" s="92"/>
    </row>
    <row r="73" ht="24.95" customHeight="1" spans="1:33">
      <c r="A73" s="705"/>
      <c r="B73" s="199" t="s">
        <v>98</v>
      </c>
      <c r="C73" s="146" t="s">
        <v>52</v>
      </c>
      <c r="D73" s="152" t="s">
        <v>45</v>
      </c>
      <c r="E73" s="92">
        <v>1</v>
      </c>
      <c r="F73" s="199" t="s">
        <v>98</v>
      </c>
      <c r="G73" s="92"/>
      <c r="H73" s="86">
        <v>405</v>
      </c>
      <c r="I73" s="92"/>
      <c r="J73" s="86">
        <v>405</v>
      </c>
      <c r="K73" s="92"/>
      <c r="L73" s="92">
        <v>2019.01</v>
      </c>
      <c r="M73" s="92">
        <v>2019.12</v>
      </c>
      <c r="N73" s="86">
        <v>168.399</v>
      </c>
      <c r="O73" s="92"/>
      <c r="P73" s="86">
        <v>168.399</v>
      </c>
      <c r="Q73" s="92"/>
      <c r="R73" s="92"/>
      <c r="S73" s="86">
        <v>168.399</v>
      </c>
      <c r="T73" s="92"/>
      <c r="U73" s="92"/>
      <c r="V73" s="92"/>
      <c r="W73" s="92"/>
      <c r="X73" s="92"/>
      <c r="Y73" s="151">
        <v>443</v>
      </c>
      <c r="Z73" s="151">
        <v>1872</v>
      </c>
      <c r="AA73" s="92">
        <v>1</v>
      </c>
      <c r="AB73" s="92"/>
      <c r="AC73" s="92"/>
      <c r="AD73" s="141" t="s">
        <v>56</v>
      </c>
      <c r="AE73" s="146" t="s">
        <v>57</v>
      </c>
      <c r="AF73" s="438" t="s">
        <v>43</v>
      </c>
      <c r="AG73" s="92"/>
    </row>
    <row r="74" ht="24.95" customHeight="1" spans="1:33">
      <c r="A74" s="705"/>
      <c r="B74" s="199" t="s">
        <v>75</v>
      </c>
      <c r="C74" s="141" t="s">
        <v>52</v>
      </c>
      <c r="D74" s="141" t="s">
        <v>45</v>
      </c>
      <c r="E74" s="92">
        <v>1</v>
      </c>
      <c r="F74" s="199" t="s">
        <v>75</v>
      </c>
      <c r="G74" s="92"/>
      <c r="H74" s="86">
        <v>750</v>
      </c>
      <c r="I74" s="92"/>
      <c r="J74" s="86">
        <v>750</v>
      </c>
      <c r="K74" s="92"/>
      <c r="L74" s="92">
        <v>2019.01</v>
      </c>
      <c r="M74" s="92">
        <v>2019.12</v>
      </c>
      <c r="N74" s="86">
        <v>297.5</v>
      </c>
      <c r="O74" s="92"/>
      <c r="P74" s="86">
        <v>297.5</v>
      </c>
      <c r="Q74" s="92"/>
      <c r="R74" s="92"/>
      <c r="S74" s="86">
        <v>97.5</v>
      </c>
      <c r="T74" s="92"/>
      <c r="U74" s="92">
        <v>200</v>
      </c>
      <c r="V74" s="92"/>
      <c r="W74" s="92"/>
      <c r="X74" s="92"/>
      <c r="Y74" s="151">
        <v>1017</v>
      </c>
      <c r="Z74" s="151">
        <v>4248</v>
      </c>
      <c r="AA74" s="92">
        <v>1</v>
      </c>
      <c r="AB74" s="92"/>
      <c r="AC74" s="92"/>
      <c r="AD74" s="146" t="s">
        <v>76</v>
      </c>
      <c r="AE74" s="146" t="s">
        <v>77</v>
      </c>
      <c r="AF74" s="438" t="s">
        <v>43</v>
      </c>
      <c r="AG74" s="92"/>
    </row>
    <row r="75" ht="24.95" customHeight="1" spans="1:33">
      <c r="A75" s="705"/>
      <c r="B75" s="199" t="s">
        <v>61</v>
      </c>
      <c r="C75" s="141" t="s">
        <v>52</v>
      </c>
      <c r="D75" s="141" t="s">
        <v>45</v>
      </c>
      <c r="E75" s="92">
        <v>1</v>
      </c>
      <c r="F75" s="199" t="s">
        <v>61</v>
      </c>
      <c r="G75" s="92"/>
      <c r="H75" s="86">
        <v>1050</v>
      </c>
      <c r="I75" s="92"/>
      <c r="J75" s="86">
        <v>1050</v>
      </c>
      <c r="K75" s="92"/>
      <c r="L75" s="92">
        <v>2019.01</v>
      </c>
      <c r="M75" s="92">
        <v>2019.12</v>
      </c>
      <c r="N75" s="86">
        <v>200</v>
      </c>
      <c r="O75" s="92"/>
      <c r="P75" s="86">
        <v>200</v>
      </c>
      <c r="Q75" s="92"/>
      <c r="R75" s="92"/>
      <c r="S75" s="86">
        <v>0</v>
      </c>
      <c r="T75" s="92"/>
      <c r="U75" s="92">
        <v>200</v>
      </c>
      <c r="V75" s="92"/>
      <c r="W75" s="92"/>
      <c r="X75" s="92"/>
      <c r="Y75" s="151">
        <v>936</v>
      </c>
      <c r="Z75" s="151">
        <v>3280</v>
      </c>
      <c r="AA75" s="92">
        <v>1</v>
      </c>
      <c r="AB75" s="92"/>
      <c r="AC75" s="92"/>
      <c r="AD75" s="146" t="s">
        <v>62</v>
      </c>
      <c r="AE75" s="146" t="s">
        <v>63</v>
      </c>
      <c r="AF75" s="438" t="s">
        <v>43</v>
      </c>
      <c r="AG75" s="92"/>
    </row>
    <row r="76" ht="24.95" customHeight="1" spans="1:33">
      <c r="A76" s="705"/>
      <c r="B76" s="199" t="s">
        <v>78</v>
      </c>
      <c r="C76" s="146" t="s">
        <v>52</v>
      </c>
      <c r="D76" s="152" t="s">
        <v>45</v>
      </c>
      <c r="E76" s="92"/>
      <c r="F76" s="199"/>
      <c r="G76" s="92"/>
      <c r="H76" s="86"/>
      <c r="I76" s="92"/>
      <c r="J76" s="86"/>
      <c r="K76" s="92"/>
      <c r="L76" s="92"/>
      <c r="M76" s="92"/>
      <c r="N76" s="86"/>
      <c r="O76" s="92"/>
      <c r="P76" s="86"/>
      <c r="Q76" s="92"/>
      <c r="R76" s="92"/>
      <c r="S76" s="86"/>
      <c r="T76" s="92"/>
      <c r="U76" s="92"/>
      <c r="V76" s="92"/>
      <c r="W76" s="92"/>
      <c r="X76" s="92"/>
      <c r="Y76" s="151"/>
      <c r="Z76" s="151"/>
      <c r="AA76" s="92"/>
      <c r="AB76" s="92"/>
      <c r="AC76" s="92"/>
      <c r="AD76" s="146"/>
      <c r="AE76" s="146"/>
      <c r="AF76" s="438"/>
      <c r="AG76" s="92"/>
    </row>
    <row r="77" ht="24.95" customHeight="1" spans="1:33">
      <c r="A77" s="705"/>
      <c r="B77" s="199" t="s">
        <v>84</v>
      </c>
      <c r="C77" s="146" t="s">
        <v>52</v>
      </c>
      <c r="D77" s="152" t="s">
        <v>45</v>
      </c>
      <c r="E77" s="92"/>
      <c r="F77" s="199"/>
      <c r="G77" s="92"/>
      <c r="H77" s="86"/>
      <c r="I77" s="92"/>
      <c r="J77" s="86"/>
      <c r="K77" s="92"/>
      <c r="L77" s="92"/>
      <c r="M77" s="92"/>
      <c r="N77" s="86"/>
      <c r="O77" s="92"/>
      <c r="P77" s="86"/>
      <c r="Q77" s="92"/>
      <c r="R77" s="92"/>
      <c r="S77" s="86"/>
      <c r="T77" s="92"/>
      <c r="U77" s="92"/>
      <c r="V77" s="92"/>
      <c r="W77" s="92"/>
      <c r="X77" s="92"/>
      <c r="Y77" s="151"/>
      <c r="Z77" s="151"/>
      <c r="AA77" s="92"/>
      <c r="AB77" s="92"/>
      <c r="AC77" s="92"/>
      <c r="AD77" s="146"/>
      <c r="AE77" s="146"/>
      <c r="AF77" s="438"/>
      <c r="AG77" s="92"/>
    </row>
    <row r="78" ht="24.95" customHeight="1" spans="1:33">
      <c r="A78" s="705"/>
      <c r="B78" s="711" t="s">
        <v>110</v>
      </c>
      <c r="C78" s="71" t="s">
        <v>52</v>
      </c>
      <c r="D78" s="152"/>
      <c r="E78" s="92">
        <v>1</v>
      </c>
      <c r="F78" s="96"/>
      <c r="G78" s="92"/>
      <c r="H78" s="86">
        <v>4300</v>
      </c>
      <c r="I78" s="92"/>
      <c r="J78" s="86">
        <v>4300</v>
      </c>
      <c r="K78" s="92"/>
      <c r="L78" s="92">
        <v>2019.01</v>
      </c>
      <c r="M78" s="92">
        <v>2019.12</v>
      </c>
      <c r="N78" s="86">
        <v>78</v>
      </c>
      <c r="O78" s="92"/>
      <c r="P78" s="86">
        <v>78</v>
      </c>
      <c r="Q78" s="92"/>
      <c r="R78" s="92"/>
      <c r="S78" s="86">
        <v>78</v>
      </c>
      <c r="T78" s="92"/>
      <c r="U78" s="92"/>
      <c r="V78" s="92"/>
      <c r="W78" s="92"/>
      <c r="X78" s="92"/>
      <c r="Y78" s="151">
        <v>219</v>
      </c>
      <c r="Z78" s="151">
        <v>909</v>
      </c>
      <c r="AA78" s="92">
        <v>1</v>
      </c>
      <c r="AB78" s="92"/>
      <c r="AC78" s="92"/>
      <c r="AD78" s="141" t="s">
        <v>68</v>
      </c>
      <c r="AE78" s="146" t="s">
        <v>50</v>
      </c>
      <c r="AF78" s="438" t="s">
        <v>43</v>
      </c>
      <c r="AG78" s="92"/>
    </row>
    <row r="79" ht="24.95" customHeight="1" spans="1:33">
      <c r="A79" s="705"/>
      <c r="B79" s="199" t="s">
        <v>58</v>
      </c>
      <c r="C79" s="71" t="s">
        <v>52</v>
      </c>
      <c r="D79" s="71" t="s">
        <v>45</v>
      </c>
      <c r="E79" s="92">
        <v>1</v>
      </c>
      <c r="F79" s="199" t="s">
        <v>58</v>
      </c>
      <c r="G79" s="92"/>
      <c r="H79" s="86">
        <v>4300</v>
      </c>
      <c r="I79" s="92"/>
      <c r="J79" s="86">
        <v>4300</v>
      </c>
      <c r="K79" s="92"/>
      <c r="L79" s="92">
        <v>2019.01</v>
      </c>
      <c r="M79" s="92">
        <v>2019.12</v>
      </c>
      <c r="N79" s="86">
        <v>78</v>
      </c>
      <c r="O79" s="92"/>
      <c r="P79" s="86">
        <v>78</v>
      </c>
      <c r="Q79" s="92"/>
      <c r="R79" s="92"/>
      <c r="S79" s="86">
        <v>78</v>
      </c>
      <c r="T79" s="92"/>
      <c r="U79" s="92"/>
      <c r="V79" s="92"/>
      <c r="W79" s="92"/>
      <c r="X79" s="92"/>
      <c r="Y79" s="151">
        <v>219</v>
      </c>
      <c r="Z79" s="151">
        <v>909</v>
      </c>
      <c r="AA79" s="92">
        <v>1</v>
      </c>
      <c r="AB79" s="92"/>
      <c r="AC79" s="92"/>
      <c r="AD79" s="744" t="s">
        <v>59</v>
      </c>
      <c r="AE79" s="744" t="s">
        <v>60</v>
      </c>
      <c r="AF79" s="438" t="s">
        <v>43</v>
      </c>
      <c r="AG79" s="92"/>
    </row>
    <row r="80" ht="24.95" customHeight="1" spans="1:33">
      <c r="A80" s="705"/>
      <c r="B80" s="711" t="s">
        <v>111</v>
      </c>
      <c r="C80" s="146"/>
      <c r="D80" s="141" t="s">
        <v>45</v>
      </c>
      <c r="E80" s="92">
        <f>SUM(E81:E83)</f>
        <v>2</v>
      </c>
      <c r="F80" s="92">
        <f t="shared" ref="F80:AA80" si="14">SUM(F81:F83)</f>
        <v>0</v>
      </c>
      <c r="G80" s="92">
        <f t="shared" si="14"/>
        <v>0</v>
      </c>
      <c r="H80" s="92">
        <f t="shared" si="14"/>
        <v>4007.5</v>
      </c>
      <c r="I80" s="92">
        <f t="shared" si="14"/>
        <v>0</v>
      </c>
      <c r="J80" s="92">
        <f t="shared" si="14"/>
        <v>4007.5</v>
      </c>
      <c r="K80" s="92">
        <f t="shared" si="14"/>
        <v>0</v>
      </c>
      <c r="L80" s="92"/>
      <c r="M80" s="92"/>
      <c r="N80" s="92">
        <f t="shared" si="14"/>
        <v>786.4425</v>
      </c>
      <c r="O80" s="92">
        <f t="shared" si="14"/>
        <v>0</v>
      </c>
      <c r="P80" s="92">
        <f t="shared" si="14"/>
        <v>786.4425</v>
      </c>
      <c r="Q80" s="92">
        <f t="shared" si="14"/>
        <v>0</v>
      </c>
      <c r="R80" s="92">
        <f t="shared" si="14"/>
        <v>0</v>
      </c>
      <c r="S80" s="92">
        <f t="shared" si="14"/>
        <v>486.4425</v>
      </c>
      <c r="T80" s="92">
        <f t="shared" si="14"/>
        <v>0</v>
      </c>
      <c r="U80" s="92">
        <f t="shared" si="14"/>
        <v>300</v>
      </c>
      <c r="V80" s="92">
        <f t="shared" si="14"/>
        <v>0</v>
      </c>
      <c r="W80" s="92">
        <f t="shared" si="14"/>
        <v>0</v>
      </c>
      <c r="X80" s="92">
        <f t="shared" si="14"/>
        <v>0</v>
      </c>
      <c r="Y80" s="92">
        <f t="shared" si="14"/>
        <v>777</v>
      </c>
      <c r="Z80" s="92">
        <f t="shared" si="14"/>
        <v>3129</v>
      </c>
      <c r="AA80" s="92">
        <f t="shared" si="14"/>
        <v>2</v>
      </c>
      <c r="AB80" s="92"/>
      <c r="AC80" s="92"/>
      <c r="AD80" s="141" t="s">
        <v>68</v>
      </c>
      <c r="AE80" s="146" t="s">
        <v>50</v>
      </c>
      <c r="AF80" s="438" t="s">
        <v>43</v>
      </c>
      <c r="AG80" s="92"/>
    </row>
    <row r="81" ht="24.95" customHeight="1" spans="1:33">
      <c r="A81" s="705"/>
      <c r="B81" s="199" t="s">
        <v>78</v>
      </c>
      <c r="C81" s="146" t="s">
        <v>52</v>
      </c>
      <c r="D81" s="152" t="s">
        <v>45</v>
      </c>
      <c r="E81" s="92"/>
      <c r="F81" s="199"/>
      <c r="G81" s="92"/>
      <c r="H81" s="86"/>
      <c r="I81" s="92"/>
      <c r="J81" s="86"/>
      <c r="K81" s="92"/>
      <c r="L81" s="92"/>
      <c r="M81" s="92"/>
      <c r="N81" s="86"/>
      <c r="O81" s="92"/>
      <c r="P81" s="86"/>
      <c r="Q81" s="92"/>
      <c r="R81" s="92"/>
      <c r="S81" s="86"/>
      <c r="T81" s="92"/>
      <c r="U81" s="92"/>
      <c r="V81" s="92"/>
      <c r="W81" s="92"/>
      <c r="X81" s="92"/>
      <c r="Y81" s="151"/>
      <c r="Z81" s="151"/>
      <c r="AA81" s="92"/>
      <c r="AB81" s="92"/>
      <c r="AC81" s="92"/>
      <c r="AD81" s="146"/>
      <c r="AE81" s="146"/>
      <c r="AF81" s="438"/>
      <c r="AG81" s="92"/>
    </row>
    <row r="82" ht="24.95" customHeight="1" spans="1:33">
      <c r="A82" s="705"/>
      <c r="B82" s="199" t="s">
        <v>92</v>
      </c>
      <c r="C82" s="146" t="s">
        <v>52</v>
      </c>
      <c r="D82" s="152" t="s">
        <v>45</v>
      </c>
      <c r="E82" s="92">
        <v>1</v>
      </c>
      <c r="F82" s="199" t="s">
        <v>92</v>
      </c>
      <c r="G82" s="92"/>
      <c r="H82" s="86">
        <v>705</v>
      </c>
      <c r="I82" s="92"/>
      <c r="J82" s="86">
        <v>705</v>
      </c>
      <c r="K82" s="92"/>
      <c r="L82" s="92">
        <v>2019.01</v>
      </c>
      <c r="M82" s="92">
        <v>2019.12</v>
      </c>
      <c r="N82" s="86">
        <v>142.7625</v>
      </c>
      <c r="O82" s="92"/>
      <c r="P82" s="86">
        <v>142.7625</v>
      </c>
      <c r="Q82" s="92"/>
      <c r="R82" s="92"/>
      <c r="S82" s="86">
        <v>142.7625</v>
      </c>
      <c r="T82" s="92"/>
      <c r="U82" s="92"/>
      <c r="V82" s="92"/>
      <c r="W82" s="92"/>
      <c r="X82" s="92"/>
      <c r="Y82" s="151">
        <v>195</v>
      </c>
      <c r="Z82" s="151">
        <v>666</v>
      </c>
      <c r="AA82" s="92">
        <v>1</v>
      </c>
      <c r="AB82" s="92"/>
      <c r="AC82" s="92"/>
      <c r="AD82" s="146" t="s">
        <v>93</v>
      </c>
      <c r="AE82" s="146" t="s">
        <v>94</v>
      </c>
      <c r="AF82" s="438" t="s">
        <v>43</v>
      </c>
      <c r="AG82" s="92"/>
    </row>
    <row r="83" ht="24.95" customHeight="1" spans="1:33">
      <c r="A83" s="705"/>
      <c r="B83" s="199" t="s">
        <v>64</v>
      </c>
      <c r="C83" s="141" t="s">
        <v>96</v>
      </c>
      <c r="D83" s="141" t="s">
        <v>45</v>
      </c>
      <c r="E83" s="92">
        <v>1</v>
      </c>
      <c r="F83" s="199" t="s">
        <v>64</v>
      </c>
      <c r="G83" s="92"/>
      <c r="H83" s="86">
        <v>3302.5</v>
      </c>
      <c r="I83" s="92"/>
      <c r="J83" s="86">
        <v>3302.5</v>
      </c>
      <c r="K83" s="92"/>
      <c r="L83" s="92">
        <v>2019.01</v>
      </c>
      <c r="M83" s="92">
        <v>2019.12</v>
      </c>
      <c r="N83" s="86">
        <v>643.68</v>
      </c>
      <c r="O83" s="92"/>
      <c r="P83" s="86">
        <v>643.68</v>
      </c>
      <c r="Q83" s="92"/>
      <c r="R83" s="92"/>
      <c r="S83" s="86">
        <v>343.68</v>
      </c>
      <c r="T83" s="92"/>
      <c r="U83" s="92">
        <v>300</v>
      </c>
      <c r="V83" s="92"/>
      <c r="W83" s="92"/>
      <c r="X83" s="92"/>
      <c r="Y83" s="151">
        <v>582</v>
      </c>
      <c r="Z83" s="151">
        <v>2463</v>
      </c>
      <c r="AA83" s="92">
        <v>1</v>
      </c>
      <c r="AB83" s="92"/>
      <c r="AC83" s="92"/>
      <c r="AD83" s="146" t="s">
        <v>65</v>
      </c>
      <c r="AE83" s="146" t="s">
        <v>66</v>
      </c>
      <c r="AF83" s="438" t="s">
        <v>43</v>
      </c>
      <c r="AG83" s="92"/>
    </row>
    <row r="84" ht="24.95" customHeight="1" spans="1:33">
      <c r="A84" s="705"/>
      <c r="B84" s="711" t="s">
        <v>112</v>
      </c>
      <c r="C84" s="141" t="s">
        <v>52</v>
      </c>
      <c r="D84" s="141" t="s">
        <v>45</v>
      </c>
      <c r="E84" s="92">
        <v>1</v>
      </c>
      <c r="F84" s="96"/>
      <c r="G84" s="92"/>
      <c r="H84" s="86">
        <v>3126</v>
      </c>
      <c r="I84" s="92"/>
      <c r="J84" s="86">
        <v>3126</v>
      </c>
      <c r="K84" s="92"/>
      <c r="L84" s="92">
        <v>2019.01</v>
      </c>
      <c r="M84" s="92">
        <v>2019.12</v>
      </c>
      <c r="N84" s="86">
        <v>180</v>
      </c>
      <c r="O84" s="92"/>
      <c r="P84" s="86">
        <v>180</v>
      </c>
      <c r="Q84" s="92"/>
      <c r="R84" s="92"/>
      <c r="S84" s="86">
        <v>180</v>
      </c>
      <c r="T84" s="92"/>
      <c r="U84" s="92"/>
      <c r="V84" s="92"/>
      <c r="W84" s="92"/>
      <c r="X84" s="92"/>
      <c r="Y84" s="151">
        <v>116</v>
      </c>
      <c r="Z84" s="151">
        <v>432</v>
      </c>
      <c r="AA84" s="92">
        <v>1</v>
      </c>
      <c r="AB84" s="92"/>
      <c r="AC84" s="92"/>
      <c r="AD84" s="141" t="s">
        <v>68</v>
      </c>
      <c r="AE84" s="146" t="s">
        <v>50</v>
      </c>
      <c r="AF84" s="438" t="s">
        <v>43</v>
      </c>
      <c r="AG84" s="92"/>
    </row>
    <row r="85" ht="24.95" customHeight="1" spans="1:33">
      <c r="A85" s="705"/>
      <c r="B85" s="714" t="s">
        <v>81</v>
      </c>
      <c r="C85" s="141" t="s">
        <v>52</v>
      </c>
      <c r="D85" s="152" t="s">
        <v>45</v>
      </c>
      <c r="E85" s="92">
        <v>1</v>
      </c>
      <c r="F85" s="714" t="s">
        <v>81</v>
      </c>
      <c r="G85" s="92"/>
      <c r="H85" s="86">
        <v>3126</v>
      </c>
      <c r="I85" s="92"/>
      <c r="J85" s="86">
        <v>3126</v>
      </c>
      <c r="K85" s="92"/>
      <c r="L85" s="92">
        <v>2019.01</v>
      </c>
      <c r="M85" s="92">
        <v>2019.12</v>
      </c>
      <c r="N85" s="86">
        <v>180</v>
      </c>
      <c r="O85" s="92"/>
      <c r="P85" s="86">
        <v>180</v>
      </c>
      <c r="Q85" s="92"/>
      <c r="R85" s="92"/>
      <c r="S85" s="86">
        <v>180</v>
      </c>
      <c r="T85" s="92"/>
      <c r="U85" s="92"/>
      <c r="V85" s="92"/>
      <c r="W85" s="92"/>
      <c r="X85" s="92"/>
      <c r="Y85" s="151">
        <v>116</v>
      </c>
      <c r="Z85" s="151">
        <v>432</v>
      </c>
      <c r="AA85" s="92">
        <v>1</v>
      </c>
      <c r="AB85" s="92"/>
      <c r="AC85" s="92"/>
      <c r="AD85" s="146" t="s">
        <v>82</v>
      </c>
      <c r="AE85" s="146" t="s">
        <v>83</v>
      </c>
      <c r="AF85" s="752" t="s">
        <v>43</v>
      </c>
      <c r="AG85" s="92"/>
    </row>
    <row r="86" ht="24.95" customHeight="1" spans="1:33">
      <c r="A86" s="705"/>
      <c r="B86" s="750" t="s">
        <v>113</v>
      </c>
      <c r="C86" s="146" t="str">
        <f>C87</f>
        <v>新建</v>
      </c>
      <c r="D86" s="146" t="str">
        <f>D87</f>
        <v>亩</v>
      </c>
      <c r="E86" s="92">
        <v>1</v>
      </c>
      <c r="F86" s="96"/>
      <c r="G86" s="92"/>
      <c r="H86" s="86">
        <v>1000</v>
      </c>
      <c r="I86" s="92"/>
      <c r="J86" s="86">
        <v>1000</v>
      </c>
      <c r="K86" s="92"/>
      <c r="L86" s="92">
        <v>2019.01</v>
      </c>
      <c r="M86" s="92">
        <v>2019.12</v>
      </c>
      <c r="N86" s="86">
        <v>90</v>
      </c>
      <c r="O86" s="92"/>
      <c r="P86" s="86">
        <v>90</v>
      </c>
      <c r="Q86" s="92"/>
      <c r="R86" s="92"/>
      <c r="S86" s="86">
        <v>90</v>
      </c>
      <c r="T86" s="92"/>
      <c r="U86" s="92"/>
      <c r="V86" s="92"/>
      <c r="W86" s="92"/>
      <c r="X86" s="92"/>
      <c r="Y86" s="151">
        <v>137</v>
      </c>
      <c r="Z86" s="151">
        <v>589</v>
      </c>
      <c r="AA86" s="92">
        <v>1</v>
      </c>
      <c r="AB86" s="92"/>
      <c r="AC86" s="92"/>
      <c r="AD86" s="141" t="s">
        <v>68</v>
      </c>
      <c r="AE86" s="146" t="s">
        <v>50</v>
      </c>
      <c r="AF86" s="438" t="s">
        <v>43</v>
      </c>
      <c r="AG86" s="92"/>
    </row>
    <row r="87" ht="24.95" customHeight="1" spans="1:33">
      <c r="A87" s="705"/>
      <c r="B87" s="199" t="s">
        <v>114</v>
      </c>
      <c r="C87" s="141" t="s">
        <v>52</v>
      </c>
      <c r="D87" s="141" t="s">
        <v>45</v>
      </c>
      <c r="E87" s="92">
        <v>1</v>
      </c>
      <c r="F87" s="199" t="s">
        <v>114</v>
      </c>
      <c r="G87" s="92"/>
      <c r="H87" s="86">
        <v>1000</v>
      </c>
      <c r="I87" s="92"/>
      <c r="J87" s="86">
        <v>1000</v>
      </c>
      <c r="K87" s="92"/>
      <c r="L87" s="92">
        <v>2019.01</v>
      </c>
      <c r="M87" s="92">
        <v>2019.12</v>
      </c>
      <c r="N87" s="86">
        <v>90</v>
      </c>
      <c r="O87" s="92"/>
      <c r="P87" s="86">
        <v>90</v>
      </c>
      <c r="Q87" s="92"/>
      <c r="R87" s="92"/>
      <c r="S87" s="86">
        <v>90</v>
      </c>
      <c r="T87" s="92"/>
      <c r="U87" s="92"/>
      <c r="V87" s="92"/>
      <c r="W87" s="92"/>
      <c r="X87" s="92"/>
      <c r="Y87" s="151">
        <v>137</v>
      </c>
      <c r="Z87" s="151">
        <v>589</v>
      </c>
      <c r="AA87" s="92">
        <v>1</v>
      </c>
      <c r="AB87" s="92"/>
      <c r="AC87" s="92"/>
      <c r="AD87" s="193" t="s">
        <v>115</v>
      </c>
      <c r="AE87" s="146" t="s">
        <v>116</v>
      </c>
      <c r="AF87" s="752" t="s">
        <v>43</v>
      </c>
      <c r="AG87" s="92"/>
    </row>
    <row r="88" ht="24.95" customHeight="1" spans="1:33">
      <c r="A88" s="705"/>
      <c r="B88" s="711" t="s">
        <v>117</v>
      </c>
      <c r="C88" s="712"/>
      <c r="D88" s="713"/>
      <c r="E88" s="92">
        <v>1</v>
      </c>
      <c r="F88" s="96"/>
      <c r="G88" s="92"/>
      <c r="H88" s="86">
        <v>1020</v>
      </c>
      <c r="I88" s="92"/>
      <c r="J88" s="86">
        <v>1020</v>
      </c>
      <c r="K88" s="92"/>
      <c r="L88" s="92">
        <v>2019.01</v>
      </c>
      <c r="M88" s="92">
        <v>2019.12</v>
      </c>
      <c r="N88" s="86">
        <v>30</v>
      </c>
      <c r="O88" s="92"/>
      <c r="P88" s="86">
        <v>30</v>
      </c>
      <c r="Q88" s="92"/>
      <c r="R88" s="92"/>
      <c r="S88" s="86">
        <v>30</v>
      </c>
      <c r="T88" s="92"/>
      <c r="U88" s="92"/>
      <c r="V88" s="92"/>
      <c r="W88" s="92"/>
      <c r="X88" s="92"/>
      <c r="Y88" s="151">
        <v>159</v>
      </c>
      <c r="Z88" s="151">
        <v>620</v>
      </c>
      <c r="AA88" s="92">
        <v>1</v>
      </c>
      <c r="AB88" s="92"/>
      <c r="AC88" s="92"/>
      <c r="AD88" s="141" t="s">
        <v>68</v>
      </c>
      <c r="AE88" s="146" t="s">
        <v>50</v>
      </c>
      <c r="AF88" s="438" t="s">
        <v>43</v>
      </c>
      <c r="AG88" s="92"/>
    </row>
    <row r="89" ht="24.95" customHeight="1" spans="1:33">
      <c r="A89" s="705"/>
      <c r="B89" s="199" t="s">
        <v>72</v>
      </c>
      <c r="C89" s="712" t="s">
        <v>52</v>
      </c>
      <c r="D89" s="713" t="s">
        <v>45</v>
      </c>
      <c r="E89" s="92">
        <v>1</v>
      </c>
      <c r="F89" s="199" t="s">
        <v>72</v>
      </c>
      <c r="G89" s="92"/>
      <c r="H89" s="86">
        <v>1020</v>
      </c>
      <c r="I89" s="92"/>
      <c r="J89" s="86">
        <v>1020</v>
      </c>
      <c r="K89" s="92"/>
      <c r="L89" s="92">
        <v>2019.01</v>
      </c>
      <c r="M89" s="92">
        <v>2019.12</v>
      </c>
      <c r="N89" s="86">
        <v>30</v>
      </c>
      <c r="O89" s="92"/>
      <c r="P89" s="86">
        <v>30</v>
      </c>
      <c r="Q89" s="92"/>
      <c r="R89" s="92"/>
      <c r="S89" s="86">
        <v>30</v>
      </c>
      <c r="T89" s="92"/>
      <c r="U89" s="92"/>
      <c r="V89" s="92"/>
      <c r="W89" s="92"/>
      <c r="X89" s="92"/>
      <c r="Y89" s="151">
        <v>159</v>
      </c>
      <c r="Z89" s="151">
        <v>620</v>
      </c>
      <c r="AA89" s="92">
        <v>1</v>
      </c>
      <c r="AB89" s="92"/>
      <c r="AC89" s="92"/>
      <c r="AD89" s="101" t="s">
        <v>73</v>
      </c>
      <c r="AE89" s="601" t="s">
        <v>74</v>
      </c>
      <c r="AF89" s="438" t="s">
        <v>43</v>
      </c>
      <c r="AG89" s="92"/>
    </row>
    <row r="90" ht="24.95" customHeight="1" spans="1:33">
      <c r="A90" s="705"/>
      <c r="B90" s="711" t="s">
        <v>118</v>
      </c>
      <c r="C90" s="141" t="s">
        <v>52</v>
      </c>
      <c r="D90" s="141" t="s">
        <v>45</v>
      </c>
      <c r="E90" s="92">
        <v>1</v>
      </c>
      <c r="F90" s="96"/>
      <c r="G90" s="92"/>
      <c r="H90" s="86">
        <v>937</v>
      </c>
      <c r="I90" s="92"/>
      <c r="J90" s="86">
        <v>937</v>
      </c>
      <c r="K90" s="92"/>
      <c r="L90" s="92">
        <v>2019.01</v>
      </c>
      <c r="M90" s="92">
        <v>2019.12</v>
      </c>
      <c r="N90" s="86">
        <v>14.014</v>
      </c>
      <c r="O90" s="92"/>
      <c r="P90" s="86">
        <v>14.014</v>
      </c>
      <c r="Q90" s="92"/>
      <c r="R90" s="92"/>
      <c r="S90" s="86">
        <v>14.014</v>
      </c>
      <c r="T90" s="92"/>
      <c r="U90" s="92"/>
      <c r="V90" s="92"/>
      <c r="W90" s="92"/>
      <c r="X90" s="92"/>
      <c r="Y90" s="151">
        <v>293</v>
      </c>
      <c r="Z90" s="151">
        <v>1217</v>
      </c>
      <c r="AA90" s="92">
        <v>1</v>
      </c>
      <c r="AB90" s="92"/>
      <c r="AC90" s="92"/>
      <c r="AD90" s="141" t="s">
        <v>68</v>
      </c>
      <c r="AE90" s="146" t="s">
        <v>50</v>
      </c>
      <c r="AF90" s="438" t="s">
        <v>43</v>
      </c>
      <c r="AG90" s="92"/>
    </row>
    <row r="91" ht="24.95" customHeight="1" spans="1:33">
      <c r="A91" s="705"/>
      <c r="B91" s="199" t="s">
        <v>98</v>
      </c>
      <c r="C91" s="146" t="s">
        <v>52</v>
      </c>
      <c r="D91" s="152" t="s">
        <v>45</v>
      </c>
      <c r="E91" s="92">
        <v>1</v>
      </c>
      <c r="F91" s="199" t="s">
        <v>98</v>
      </c>
      <c r="G91" s="92"/>
      <c r="H91" s="86">
        <v>637</v>
      </c>
      <c r="I91" s="92"/>
      <c r="J91" s="86">
        <v>637</v>
      </c>
      <c r="K91" s="92"/>
      <c r="L91" s="92">
        <v>2019.01</v>
      </c>
      <c r="M91" s="92">
        <v>2019.12</v>
      </c>
      <c r="N91" s="86">
        <v>14.014</v>
      </c>
      <c r="O91" s="92"/>
      <c r="P91" s="86">
        <v>14.014</v>
      </c>
      <c r="Q91" s="92"/>
      <c r="R91" s="92"/>
      <c r="S91" s="86">
        <v>14.014</v>
      </c>
      <c r="T91" s="92"/>
      <c r="U91" s="92"/>
      <c r="V91" s="92"/>
      <c r="W91" s="92"/>
      <c r="X91" s="92"/>
      <c r="Y91" s="151">
        <v>156</v>
      </c>
      <c r="Z91" s="151">
        <v>628</v>
      </c>
      <c r="AA91" s="92">
        <v>1</v>
      </c>
      <c r="AB91" s="92"/>
      <c r="AC91" s="92"/>
      <c r="AD91" s="141" t="s">
        <v>56</v>
      </c>
      <c r="AE91" s="146" t="s">
        <v>57</v>
      </c>
      <c r="AF91" s="438" t="s">
        <v>43</v>
      </c>
      <c r="AG91" s="92"/>
    </row>
    <row r="92" ht="24.95" customHeight="1" spans="1:33">
      <c r="A92" s="705"/>
      <c r="B92" s="199" t="s">
        <v>114</v>
      </c>
      <c r="C92" s="141" t="s">
        <v>52</v>
      </c>
      <c r="D92" s="141" t="s">
        <v>45</v>
      </c>
      <c r="E92" s="92"/>
      <c r="F92" s="199"/>
      <c r="G92" s="92"/>
      <c r="H92" s="86"/>
      <c r="I92" s="92"/>
      <c r="J92" s="86"/>
      <c r="K92" s="92"/>
      <c r="L92" s="92"/>
      <c r="M92" s="92"/>
      <c r="N92" s="86"/>
      <c r="O92" s="92"/>
      <c r="P92" s="86"/>
      <c r="Q92" s="92"/>
      <c r="R92" s="92"/>
      <c r="S92" s="86"/>
      <c r="T92" s="92"/>
      <c r="U92" s="92"/>
      <c r="V92" s="92"/>
      <c r="W92" s="92"/>
      <c r="X92" s="92"/>
      <c r="Y92" s="151"/>
      <c r="Z92" s="151"/>
      <c r="AA92" s="92"/>
      <c r="AB92" s="92"/>
      <c r="AC92" s="92"/>
      <c r="AD92" s="146"/>
      <c r="AE92" s="146"/>
      <c r="AF92" s="438"/>
      <c r="AG92" s="92"/>
    </row>
    <row r="93" ht="24.95" customHeight="1" spans="1:33">
      <c r="A93" s="705"/>
      <c r="B93" s="711" t="s">
        <v>119</v>
      </c>
      <c r="C93" s="141" t="s">
        <v>52</v>
      </c>
      <c r="D93" s="141" t="s">
        <v>45</v>
      </c>
      <c r="E93" s="92"/>
      <c r="F93" s="96"/>
      <c r="G93" s="92"/>
      <c r="H93" s="86"/>
      <c r="I93" s="92"/>
      <c r="J93" s="86"/>
      <c r="K93" s="92"/>
      <c r="L93" s="92"/>
      <c r="M93" s="92"/>
      <c r="N93" s="86"/>
      <c r="O93" s="92"/>
      <c r="P93" s="86"/>
      <c r="Q93" s="92"/>
      <c r="R93" s="92"/>
      <c r="S93" s="86"/>
      <c r="T93" s="92"/>
      <c r="U93" s="92"/>
      <c r="V93" s="92"/>
      <c r="W93" s="92"/>
      <c r="X93" s="92"/>
      <c r="Y93" s="151"/>
      <c r="Z93" s="151"/>
      <c r="AA93" s="92"/>
      <c r="AB93" s="92"/>
      <c r="AC93" s="92"/>
      <c r="AD93" s="141"/>
      <c r="AE93" s="146"/>
      <c r="AF93" s="438"/>
      <c r="AG93" s="92"/>
    </row>
    <row r="94" ht="24.95" customHeight="1" spans="1:33">
      <c r="A94" s="705"/>
      <c r="B94" s="199" t="s">
        <v>58</v>
      </c>
      <c r="C94" s="146" t="s">
        <v>52</v>
      </c>
      <c r="D94" s="152" t="s">
        <v>45</v>
      </c>
      <c r="E94" s="92"/>
      <c r="F94" s="199"/>
      <c r="G94" s="92"/>
      <c r="H94" s="86"/>
      <c r="I94" s="92"/>
      <c r="J94" s="86"/>
      <c r="K94" s="92"/>
      <c r="L94" s="92"/>
      <c r="M94" s="92"/>
      <c r="N94" s="86"/>
      <c r="O94" s="92"/>
      <c r="P94" s="86"/>
      <c r="Q94" s="92"/>
      <c r="R94" s="92"/>
      <c r="S94" s="86"/>
      <c r="T94" s="92"/>
      <c r="U94" s="92"/>
      <c r="V94" s="92"/>
      <c r="W94" s="92"/>
      <c r="X94" s="92"/>
      <c r="Y94" s="151"/>
      <c r="Z94" s="151"/>
      <c r="AA94" s="92"/>
      <c r="AB94" s="92"/>
      <c r="AC94" s="92"/>
      <c r="AD94" s="744"/>
      <c r="AE94" s="744"/>
      <c r="AF94" s="438"/>
      <c r="AG94" s="92"/>
    </row>
    <row r="95" ht="24.95" customHeight="1" spans="1:33">
      <c r="A95" s="705"/>
      <c r="B95" s="711" t="s">
        <v>120</v>
      </c>
      <c r="C95" s="712" t="s">
        <v>52</v>
      </c>
      <c r="D95" s="713" t="s">
        <v>45</v>
      </c>
      <c r="E95" s="92"/>
      <c r="F95" s="96"/>
      <c r="G95" s="92"/>
      <c r="H95" s="86"/>
      <c r="I95" s="92"/>
      <c r="J95" s="86"/>
      <c r="K95" s="92"/>
      <c r="L95" s="92"/>
      <c r="M95" s="92"/>
      <c r="N95" s="86"/>
      <c r="O95" s="92"/>
      <c r="P95" s="86"/>
      <c r="Q95" s="92"/>
      <c r="R95" s="92"/>
      <c r="S95" s="86"/>
      <c r="T95" s="92"/>
      <c r="U95" s="92"/>
      <c r="V95" s="92"/>
      <c r="W95" s="92"/>
      <c r="X95" s="92"/>
      <c r="Y95" s="151"/>
      <c r="Z95" s="151"/>
      <c r="AA95" s="92"/>
      <c r="AB95" s="92"/>
      <c r="AC95" s="92"/>
      <c r="AD95" s="101"/>
      <c r="AE95" s="712"/>
      <c r="AF95" s="601"/>
      <c r="AG95" s="92"/>
    </row>
    <row r="96" ht="24.95" customHeight="1" spans="1:33">
      <c r="A96" s="705"/>
      <c r="B96" s="199" t="s">
        <v>69</v>
      </c>
      <c r="C96" s="712" t="s">
        <v>52</v>
      </c>
      <c r="D96" s="713" t="s">
        <v>45</v>
      </c>
      <c r="E96" s="92"/>
      <c r="F96" s="199"/>
      <c r="G96" s="92"/>
      <c r="H96" s="86"/>
      <c r="I96" s="92"/>
      <c r="J96" s="86"/>
      <c r="K96" s="92"/>
      <c r="L96" s="92"/>
      <c r="M96" s="92"/>
      <c r="N96" s="86"/>
      <c r="O96" s="92"/>
      <c r="P96" s="86"/>
      <c r="Q96" s="92"/>
      <c r="R96" s="92"/>
      <c r="S96" s="86"/>
      <c r="T96" s="92"/>
      <c r="U96" s="92"/>
      <c r="V96" s="92"/>
      <c r="W96" s="92"/>
      <c r="X96" s="92"/>
      <c r="Y96" s="151"/>
      <c r="Z96" s="151"/>
      <c r="AA96" s="92"/>
      <c r="AB96" s="92"/>
      <c r="AC96" s="92"/>
      <c r="AD96" s="101"/>
      <c r="AE96" s="712"/>
      <c r="AF96" s="601"/>
      <c r="AG96" s="92"/>
    </row>
    <row r="97" ht="24.95" customHeight="1" spans="1:33">
      <c r="A97" s="705"/>
      <c r="B97" s="711" t="s">
        <v>121</v>
      </c>
      <c r="C97" s="712"/>
      <c r="D97" s="713"/>
      <c r="E97" s="92"/>
      <c r="F97" s="96"/>
      <c r="G97" s="92"/>
      <c r="H97" s="86"/>
      <c r="I97" s="92"/>
      <c r="J97" s="86"/>
      <c r="K97" s="92"/>
      <c r="L97" s="92"/>
      <c r="M97" s="92"/>
      <c r="N97" s="86"/>
      <c r="O97" s="92"/>
      <c r="P97" s="86"/>
      <c r="Q97" s="92"/>
      <c r="R97" s="92"/>
      <c r="S97" s="86"/>
      <c r="T97" s="92"/>
      <c r="U97" s="92"/>
      <c r="V97" s="92"/>
      <c r="W97" s="92"/>
      <c r="X97" s="92"/>
      <c r="Y97" s="151"/>
      <c r="Z97" s="151"/>
      <c r="AA97" s="92"/>
      <c r="AB97" s="92"/>
      <c r="AC97" s="92"/>
      <c r="AD97" s="141"/>
      <c r="AE97" s="146"/>
      <c r="AF97" s="438"/>
      <c r="AG97" s="92"/>
    </row>
    <row r="98" ht="24.95" customHeight="1" spans="1:33">
      <c r="A98" s="705"/>
      <c r="B98" s="199" t="s">
        <v>51</v>
      </c>
      <c r="C98" s="712" t="s">
        <v>52</v>
      </c>
      <c r="D98" s="713" t="s">
        <v>45</v>
      </c>
      <c r="E98" s="92"/>
      <c r="F98" s="199"/>
      <c r="G98" s="92"/>
      <c r="H98" s="86"/>
      <c r="I98" s="92"/>
      <c r="J98" s="86"/>
      <c r="K98" s="92"/>
      <c r="L98" s="92"/>
      <c r="M98" s="92"/>
      <c r="N98" s="86"/>
      <c r="O98" s="92"/>
      <c r="P98" s="86"/>
      <c r="Q98" s="92"/>
      <c r="R98" s="92"/>
      <c r="S98" s="86"/>
      <c r="T98" s="92"/>
      <c r="U98" s="92"/>
      <c r="V98" s="92"/>
      <c r="W98" s="92"/>
      <c r="X98" s="92"/>
      <c r="Y98" s="151"/>
      <c r="Z98" s="151"/>
      <c r="AA98" s="92"/>
      <c r="AB98" s="92"/>
      <c r="AC98" s="92"/>
      <c r="AD98" s="712"/>
      <c r="AE98" s="753"/>
      <c r="AF98" s="438"/>
      <c r="AG98" s="92"/>
    </row>
    <row r="99" ht="24.95" customHeight="1" spans="1:33">
      <c r="A99" s="705"/>
      <c r="B99" s="711" t="s">
        <v>122</v>
      </c>
      <c r="C99" s="146" t="s">
        <v>52</v>
      </c>
      <c r="D99" s="152" t="s">
        <v>45</v>
      </c>
      <c r="E99" s="92">
        <v>1</v>
      </c>
      <c r="F99" s="96"/>
      <c r="G99" s="92"/>
      <c r="H99" s="86">
        <v>368</v>
      </c>
      <c r="I99" s="92"/>
      <c r="J99" s="86">
        <v>368</v>
      </c>
      <c r="K99" s="92"/>
      <c r="L99" s="92">
        <v>2019.01</v>
      </c>
      <c r="M99" s="92">
        <v>2019.12</v>
      </c>
      <c r="N99" s="86">
        <v>49.66</v>
      </c>
      <c r="O99" s="92"/>
      <c r="P99" s="86">
        <v>49.66</v>
      </c>
      <c r="Q99" s="92"/>
      <c r="R99" s="92"/>
      <c r="S99" s="86">
        <v>49.66</v>
      </c>
      <c r="T99" s="92"/>
      <c r="U99" s="92"/>
      <c r="V99" s="92"/>
      <c r="W99" s="92"/>
      <c r="X99" s="92"/>
      <c r="Y99" s="151">
        <v>368</v>
      </c>
      <c r="Z99" s="151">
        <v>1544</v>
      </c>
      <c r="AA99" s="92">
        <v>1</v>
      </c>
      <c r="AB99" s="92"/>
      <c r="AC99" s="92"/>
      <c r="AD99" s="141" t="s">
        <v>68</v>
      </c>
      <c r="AE99" s="146" t="s">
        <v>50</v>
      </c>
      <c r="AF99" s="438" t="s">
        <v>43</v>
      </c>
      <c r="AG99" s="92"/>
    </row>
    <row r="100" ht="24.95" customHeight="1" spans="1:33">
      <c r="A100" s="705"/>
      <c r="B100" s="199" t="s">
        <v>114</v>
      </c>
      <c r="C100" s="146" t="s">
        <v>52</v>
      </c>
      <c r="D100" s="152" t="s">
        <v>45</v>
      </c>
      <c r="E100" s="92">
        <v>1</v>
      </c>
      <c r="F100" s="199" t="s">
        <v>114</v>
      </c>
      <c r="G100" s="92"/>
      <c r="H100" s="86">
        <v>368</v>
      </c>
      <c r="I100" s="92"/>
      <c r="J100" s="86">
        <v>368</v>
      </c>
      <c r="K100" s="92"/>
      <c r="L100" s="92">
        <v>2019.01</v>
      </c>
      <c r="M100" s="92">
        <v>2019.12</v>
      </c>
      <c r="N100" s="86">
        <v>49.66</v>
      </c>
      <c r="O100" s="92"/>
      <c r="P100" s="86">
        <v>49.66</v>
      </c>
      <c r="Q100" s="92"/>
      <c r="R100" s="92"/>
      <c r="S100" s="86">
        <v>49.66</v>
      </c>
      <c r="T100" s="92"/>
      <c r="U100" s="92"/>
      <c r="V100" s="92"/>
      <c r="W100" s="92"/>
      <c r="X100" s="92"/>
      <c r="Y100" s="151">
        <v>368</v>
      </c>
      <c r="Z100" s="151">
        <v>1544</v>
      </c>
      <c r="AA100" s="92">
        <v>1</v>
      </c>
      <c r="AB100" s="92"/>
      <c r="AC100" s="92"/>
      <c r="AD100" s="146" t="s">
        <v>115</v>
      </c>
      <c r="AE100" s="146" t="s">
        <v>116</v>
      </c>
      <c r="AF100" s="438" t="s">
        <v>43</v>
      </c>
      <c r="AG100" s="92"/>
    </row>
    <row r="101" ht="24.95" customHeight="1" spans="1:33">
      <c r="A101" s="705"/>
      <c r="B101" s="711" t="s">
        <v>123</v>
      </c>
      <c r="C101" s="141" t="s">
        <v>52</v>
      </c>
      <c r="D101" s="141" t="s">
        <v>45</v>
      </c>
      <c r="E101" s="92">
        <v>1</v>
      </c>
      <c r="F101" s="96"/>
      <c r="G101" s="92"/>
      <c r="H101" s="86">
        <v>368</v>
      </c>
      <c r="I101" s="92"/>
      <c r="J101" s="86">
        <v>368</v>
      </c>
      <c r="K101" s="92"/>
      <c r="L101" s="92">
        <v>2019.01</v>
      </c>
      <c r="M101" s="92">
        <v>2019.12</v>
      </c>
      <c r="N101" s="86">
        <v>11</v>
      </c>
      <c r="O101" s="92"/>
      <c r="P101" s="86">
        <v>11</v>
      </c>
      <c r="Q101" s="92"/>
      <c r="R101" s="92"/>
      <c r="S101" s="86">
        <v>11</v>
      </c>
      <c r="T101" s="92"/>
      <c r="U101" s="92"/>
      <c r="V101" s="92"/>
      <c r="W101" s="92"/>
      <c r="X101" s="92"/>
      <c r="Y101" s="151">
        <v>368</v>
      </c>
      <c r="Z101" s="151">
        <v>1544</v>
      </c>
      <c r="AA101" s="92">
        <v>1</v>
      </c>
      <c r="AB101" s="92"/>
      <c r="AC101" s="92"/>
      <c r="AD101" s="141" t="s">
        <v>68</v>
      </c>
      <c r="AE101" s="146" t="s">
        <v>50</v>
      </c>
      <c r="AF101" s="438" t="s">
        <v>43</v>
      </c>
      <c r="AG101" s="92"/>
    </row>
    <row r="102" ht="24.95" customHeight="1" spans="1:33">
      <c r="A102" s="705"/>
      <c r="B102" s="199" t="s">
        <v>114</v>
      </c>
      <c r="C102" s="141" t="s">
        <v>52</v>
      </c>
      <c r="D102" s="141" t="s">
        <v>45</v>
      </c>
      <c r="E102" s="92">
        <v>1</v>
      </c>
      <c r="F102" s="199" t="s">
        <v>114</v>
      </c>
      <c r="G102" s="92"/>
      <c r="H102" s="86">
        <v>368</v>
      </c>
      <c r="I102" s="92"/>
      <c r="J102" s="86">
        <v>368</v>
      </c>
      <c r="K102" s="92"/>
      <c r="L102" s="92">
        <v>2019.01</v>
      </c>
      <c r="M102" s="92">
        <v>2019.12</v>
      </c>
      <c r="N102" s="86">
        <v>11</v>
      </c>
      <c r="O102" s="92"/>
      <c r="P102" s="86">
        <v>11</v>
      </c>
      <c r="Q102" s="92"/>
      <c r="R102" s="92"/>
      <c r="S102" s="86">
        <v>11</v>
      </c>
      <c r="T102" s="92"/>
      <c r="U102" s="92"/>
      <c r="V102" s="92"/>
      <c r="W102" s="92"/>
      <c r="X102" s="92"/>
      <c r="Y102" s="151">
        <v>368</v>
      </c>
      <c r="Z102" s="151">
        <v>1544</v>
      </c>
      <c r="AA102" s="92">
        <v>1</v>
      </c>
      <c r="AB102" s="92"/>
      <c r="AC102" s="92"/>
      <c r="AD102" s="193" t="s">
        <v>115</v>
      </c>
      <c r="AE102" s="146" t="s">
        <v>116</v>
      </c>
      <c r="AF102" s="438" t="s">
        <v>43</v>
      </c>
      <c r="AG102" s="92"/>
    </row>
    <row r="103" ht="24.95" customHeight="1" spans="1:33">
      <c r="A103" s="705"/>
      <c r="B103" s="711" t="s">
        <v>124</v>
      </c>
      <c r="C103" s="712"/>
      <c r="D103" s="713"/>
      <c r="E103" s="92">
        <v>1</v>
      </c>
      <c r="F103" s="96"/>
      <c r="G103" s="92"/>
      <c r="H103" s="86">
        <v>210</v>
      </c>
      <c r="I103" s="92"/>
      <c r="J103" s="86">
        <v>210</v>
      </c>
      <c r="K103" s="92"/>
      <c r="L103" s="92">
        <v>2019.01</v>
      </c>
      <c r="M103" s="92">
        <v>2019.12</v>
      </c>
      <c r="N103" s="86">
        <v>198.12</v>
      </c>
      <c r="O103" s="92"/>
      <c r="P103" s="86">
        <v>198.12</v>
      </c>
      <c r="Q103" s="92"/>
      <c r="R103" s="92"/>
      <c r="S103" s="86">
        <v>98.12</v>
      </c>
      <c r="T103" s="92"/>
      <c r="U103" s="92">
        <v>100</v>
      </c>
      <c r="V103" s="92"/>
      <c r="W103" s="92"/>
      <c r="X103" s="92"/>
      <c r="Y103" s="151">
        <v>402</v>
      </c>
      <c r="Z103" s="151">
        <v>1601</v>
      </c>
      <c r="AA103" s="92">
        <v>1</v>
      </c>
      <c r="AB103" s="92"/>
      <c r="AC103" s="92"/>
      <c r="AD103" s="141" t="s">
        <v>68</v>
      </c>
      <c r="AE103" s="146" t="s">
        <v>50</v>
      </c>
      <c r="AF103" s="438" t="s">
        <v>43</v>
      </c>
      <c r="AG103" s="92"/>
    </row>
    <row r="104" ht="24.95" customHeight="1" spans="1:33">
      <c r="A104" s="705"/>
      <c r="B104" s="199" t="s">
        <v>72</v>
      </c>
      <c r="C104" s="712" t="s">
        <v>52</v>
      </c>
      <c r="D104" s="713" t="s">
        <v>45</v>
      </c>
      <c r="E104" s="92">
        <v>1</v>
      </c>
      <c r="F104" s="199" t="s">
        <v>72</v>
      </c>
      <c r="G104" s="92"/>
      <c r="H104" s="86">
        <v>210</v>
      </c>
      <c r="I104" s="92"/>
      <c r="J104" s="86">
        <v>210</v>
      </c>
      <c r="K104" s="92"/>
      <c r="L104" s="92">
        <v>2019.01</v>
      </c>
      <c r="M104" s="92">
        <v>2019.12</v>
      </c>
      <c r="N104" s="86">
        <v>198.12</v>
      </c>
      <c r="O104" s="92"/>
      <c r="P104" s="86">
        <v>198.12</v>
      </c>
      <c r="Q104" s="92"/>
      <c r="R104" s="92"/>
      <c r="S104" s="86">
        <v>98.12</v>
      </c>
      <c r="T104" s="92"/>
      <c r="U104" s="92">
        <v>100</v>
      </c>
      <c r="V104" s="92"/>
      <c r="W104" s="92"/>
      <c r="X104" s="92"/>
      <c r="Y104" s="151">
        <v>402</v>
      </c>
      <c r="Z104" s="151">
        <v>1601</v>
      </c>
      <c r="AA104" s="92">
        <v>1</v>
      </c>
      <c r="AB104" s="92"/>
      <c r="AC104" s="92"/>
      <c r="AD104" s="101" t="s">
        <v>73</v>
      </c>
      <c r="AE104" s="601" t="s">
        <v>74</v>
      </c>
      <c r="AF104" s="438" t="s">
        <v>43</v>
      </c>
      <c r="AG104" s="92"/>
    </row>
    <row r="105" ht="24.95" customHeight="1" spans="1:33">
      <c r="A105" s="705"/>
      <c r="B105" s="711" t="s">
        <v>125</v>
      </c>
      <c r="C105" s="712" t="s">
        <v>52</v>
      </c>
      <c r="D105" s="713" t="s">
        <v>45</v>
      </c>
      <c r="E105" s="92"/>
      <c r="F105" s="96"/>
      <c r="G105" s="92"/>
      <c r="H105" s="86"/>
      <c r="I105" s="92"/>
      <c r="J105" s="86"/>
      <c r="K105" s="92"/>
      <c r="L105" s="92"/>
      <c r="M105" s="92"/>
      <c r="N105" s="86"/>
      <c r="O105" s="92"/>
      <c r="P105" s="86"/>
      <c r="Q105" s="92"/>
      <c r="R105" s="92"/>
      <c r="S105" s="86"/>
      <c r="T105" s="92"/>
      <c r="U105" s="92"/>
      <c r="V105" s="92"/>
      <c r="W105" s="92"/>
      <c r="X105" s="92"/>
      <c r="Y105" s="151"/>
      <c r="Z105" s="151"/>
      <c r="AA105" s="92"/>
      <c r="AB105" s="92"/>
      <c r="AC105" s="92"/>
      <c r="AD105" s="101"/>
      <c r="AE105" s="712"/>
      <c r="AF105" s="601"/>
      <c r="AG105" s="92"/>
    </row>
    <row r="106" ht="24.95" customHeight="1" spans="1:33">
      <c r="A106" s="705"/>
      <c r="B106" s="199" t="s">
        <v>69</v>
      </c>
      <c r="C106" s="712" t="s">
        <v>52</v>
      </c>
      <c r="D106" s="713" t="s">
        <v>45</v>
      </c>
      <c r="E106" s="92"/>
      <c r="F106" s="199"/>
      <c r="G106" s="92"/>
      <c r="H106" s="86"/>
      <c r="I106" s="92"/>
      <c r="J106" s="86"/>
      <c r="K106" s="92"/>
      <c r="L106" s="92"/>
      <c r="M106" s="92"/>
      <c r="N106" s="86"/>
      <c r="O106" s="92"/>
      <c r="P106" s="86"/>
      <c r="Q106" s="92"/>
      <c r="R106" s="92"/>
      <c r="S106" s="86"/>
      <c r="T106" s="92"/>
      <c r="U106" s="92"/>
      <c r="V106" s="92"/>
      <c r="W106" s="92"/>
      <c r="X106" s="92"/>
      <c r="Y106" s="151"/>
      <c r="Z106" s="151"/>
      <c r="AA106" s="92"/>
      <c r="AB106" s="92"/>
      <c r="AC106" s="92"/>
      <c r="AD106" s="101"/>
      <c r="AE106" s="712"/>
      <c r="AF106" s="601"/>
      <c r="AG106" s="92"/>
    </row>
    <row r="107" ht="24.95" customHeight="1" spans="1:33">
      <c r="A107" s="705"/>
      <c r="B107" s="711" t="s">
        <v>126</v>
      </c>
      <c r="C107" s="713" t="s">
        <v>52</v>
      </c>
      <c r="D107" s="56" t="s">
        <v>45</v>
      </c>
      <c r="E107" s="92"/>
      <c r="F107" s="96"/>
      <c r="G107" s="92"/>
      <c r="H107" s="86"/>
      <c r="I107" s="92"/>
      <c r="J107" s="86"/>
      <c r="K107" s="92"/>
      <c r="L107" s="92"/>
      <c r="M107" s="92"/>
      <c r="N107" s="86"/>
      <c r="O107" s="92"/>
      <c r="P107" s="86"/>
      <c r="Q107" s="92"/>
      <c r="R107" s="92"/>
      <c r="S107" s="86"/>
      <c r="T107" s="92"/>
      <c r="U107" s="92"/>
      <c r="V107" s="92"/>
      <c r="W107" s="92"/>
      <c r="X107" s="92"/>
      <c r="Y107" s="151"/>
      <c r="Z107" s="151"/>
      <c r="AA107" s="92"/>
      <c r="AB107" s="92"/>
      <c r="AC107" s="92"/>
      <c r="AD107" s="141"/>
      <c r="AE107" s="146"/>
      <c r="AF107" s="438"/>
      <c r="AG107" s="92"/>
    </row>
    <row r="108" ht="24.95" customHeight="1" spans="1:33">
      <c r="A108" s="705"/>
      <c r="B108" s="199" t="s">
        <v>69</v>
      </c>
      <c r="C108" s="713" t="s">
        <v>52</v>
      </c>
      <c r="D108" s="56" t="s">
        <v>45</v>
      </c>
      <c r="E108" s="92"/>
      <c r="F108" s="199"/>
      <c r="G108" s="92"/>
      <c r="H108" s="86"/>
      <c r="I108" s="92"/>
      <c r="J108" s="86"/>
      <c r="K108" s="92"/>
      <c r="L108" s="92"/>
      <c r="M108" s="92"/>
      <c r="N108" s="86"/>
      <c r="O108" s="92"/>
      <c r="P108" s="86"/>
      <c r="Q108" s="92"/>
      <c r="R108" s="92"/>
      <c r="S108" s="86"/>
      <c r="T108" s="92"/>
      <c r="U108" s="92"/>
      <c r="V108" s="92"/>
      <c r="W108" s="92"/>
      <c r="X108" s="92"/>
      <c r="Y108" s="151"/>
      <c r="Z108" s="151"/>
      <c r="AA108" s="92"/>
      <c r="AB108" s="92"/>
      <c r="AC108" s="92"/>
      <c r="AD108" s="712"/>
      <c r="AE108" s="753"/>
      <c r="AF108" s="601"/>
      <c r="AG108" s="92"/>
    </row>
    <row r="109" ht="24.95" customHeight="1" spans="1:33">
      <c r="A109" s="705"/>
      <c r="B109" s="711" t="s">
        <v>128</v>
      </c>
      <c r="C109" s="712" t="s">
        <v>52</v>
      </c>
      <c r="D109" s="713" t="s">
        <v>129</v>
      </c>
      <c r="E109" s="92">
        <v>1</v>
      </c>
      <c r="F109" s="96"/>
      <c r="G109" s="92"/>
      <c r="H109" s="86">
        <v>40</v>
      </c>
      <c r="I109" s="92"/>
      <c r="J109" s="86">
        <v>40</v>
      </c>
      <c r="K109" s="92"/>
      <c r="L109" s="92">
        <v>2019.01</v>
      </c>
      <c r="M109" s="92">
        <v>2019.12</v>
      </c>
      <c r="N109" s="86">
        <v>40</v>
      </c>
      <c r="O109" s="92"/>
      <c r="P109" s="86">
        <v>40</v>
      </c>
      <c r="Q109" s="92"/>
      <c r="R109" s="92"/>
      <c r="S109" s="86">
        <v>40</v>
      </c>
      <c r="T109" s="92"/>
      <c r="U109" s="92"/>
      <c r="V109" s="92"/>
      <c r="W109" s="92"/>
      <c r="X109" s="92"/>
      <c r="Y109" s="151">
        <v>133</v>
      </c>
      <c r="Z109" s="151">
        <v>520</v>
      </c>
      <c r="AA109" s="92">
        <v>1</v>
      </c>
      <c r="AB109" s="92"/>
      <c r="AC109" s="92"/>
      <c r="AD109" s="101" t="s">
        <v>70</v>
      </c>
      <c r="AE109" s="712" t="s">
        <v>71</v>
      </c>
      <c r="AF109" s="438" t="s">
        <v>43</v>
      </c>
      <c r="AG109" s="92"/>
    </row>
    <row r="110" ht="24.95" customHeight="1" spans="1:33">
      <c r="A110" s="705"/>
      <c r="B110" s="199" t="s">
        <v>69</v>
      </c>
      <c r="C110" s="712" t="s">
        <v>52</v>
      </c>
      <c r="D110" s="713" t="s">
        <v>129</v>
      </c>
      <c r="E110" s="92">
        <v>1</v>
      </c>
      <c r="F110" s="199" t="s">
        <v>69</v>
      </c>
      <c r="G110" s="92"/>
      <c r="H110" s="86">
        <v>40</v>
      </c>
      <c r="I110" s="92"/>
      <c r="J110" s="86">
        <v>40</v>
      </c>
      <c r="K110" s="92"/>
      <c r="L110" s="92">
        <v>2019.01</v>
      </c>
      <c r="M110" s="92">
        <v>2019.12</v>
      </c>
      <c r="N110" s="86">
        <v>40</v>
      </c>
      <c r="O110" s="92"/>
      <c r="P110" s="86">
        <v>40</v>
      </c>
      <c r="Q110" s="92"/>
      <c r="R110" s="92"/>
      <c r="S110" s="86">
        <v>40</v>
      </c>
      <c r="T110" s="92"/>
      <c r="U110" s="92"/>
      <c r="V110" s="92"/>
      <c r="W110" s="92"/>
      <c r="X110" s="92"/>
      <c r="Y110" s="151">
        <v>133</v>
      </c>
      <c r="Z110" s="151">
        <v>520</v>
      </c>
      <c r="AA110" s="92">
        <v>1</v>
      </c>
      <c r="AB110" s="92"/>
      <c r="AC110" s="92"/>
      <c r="AD110" s="101" t="s">
        <v>70</v>
      </c>
      <c r="AE110" s="712" t="s">
        <v>71</v>
      </c>
      <c r="AF110" s="438" t="s">
        <v>43</v>
      </c>
      <c r="AG110" s="92"/>
    </row>
    <row r="111" ht="24.95" customHeight="1" spans="1:33">
      <c r="A111" s="705">
        <v>5</v>
      </c>
      <c r="B111" s="708" t="s">
        <v>130</v>
      </c>
      <c r="C111" s="708"/>
      <c r="D111" s="709" t="s">
        <v>131</v>
      </c>
      <c r="E111" s="708">
        <f>E112</f>
        <v>7</v>
      </c>
      <c r="F111" s="708">
        <f t="shared" ref="F111:AA111" si="15">F112</f>
        <v>0</v>
      </c>
      <c r="G111" s="708">
        <f t="shared" si="15"/>
        <v>0</v>
      </c>
      <c r="H111" s="708">
        <f t="shared" si="15"/>
        <v>60658</v>
      </c>
      <c r="I111" s="708">
        <f t="shared" si="15"/>
        <v>0</v>
      </c>
      <c r="J111" s="708">
        <f t="shared" si="15"/>
        <v>60658</v>
      </c>
      <c r="K111" s="708">
        <f t="shared" si="15"/>
        <v>0</v>
      </c>
      <c r="L111" s="708"/>
      <c r="M111" s="708"/>
      <c r="N111" s="708">
        <f t="shared" si="15"/>
        <v>1717.29</v>
      </c>
      <c r="O111" s="708">
        <f t="shared" si="15"/>
        <v>0</v>
      </c>
      <c r="P111" s="708">
        <f t="shared" si="15"/>
        <v>1717.29</v>
      </c>
      <c r="Q111" s="708">
        <f t="shared" si="15"/>
        <v>0</v>
      </c>
      <c r="R111" s="708">
        <f t="shared" si="15"/>
        <v>0</v>
      </c>
      <c r="S111" s="708">
        <f t="shared" si="15"/>
        <v>1717.29</v>
      </c>
      <c r="T111" s="708">
        <f t="shared" si="15"/>
        <v>0</v>
      </c>
      <c r="U111" s="708">
        <f t="shared" si="15"/>
        <v>0</v>
      </c>
      <c r="V111" s="708">
        <f t="shared" si="15"/>
        <v>0</v>
      </c>
      <c r="W111" s="708">
        <f t="shared" si="15"/>
        <v>0</v>
      </c>
      <c r="X111" s="708">
        <f t="shared" si="15"/>
        <v>0</v>
      </c>
      <c r="Y111" s="708">
        <f t="shared" si="15"/>
        <v>5361</v>
      </c>
      <c r="Z111" s="708">
        <f t="shared" si="15"/>
        <v>22690</v>
      </c>
      <c r="AA111" s="708">
        <f t="shared" si="15"/>
        <v>7</v>
      </c>
      <c r="AB111" s="708"/>
      <c r="AC111" s="708"/>
      <c r="AD111" s="708"/>
      <c r="AE111" s="708"/>
      <c r="AF111" s="708" t="s">
        <v>43</v>
      </c>
      <c r="AG111" s="708"/>
    </row>
    <row r="112" ht="58.5" customHeight="1" spans="1:33">
      <c r="A112" s="705">
        <v>7</v>
      </c>
      <c r="B112" s="92" t="s">
        <v>617</v>
      </c>
      <c r="C112" s="92"/>
      <c r="D112" s="76"/>
      <c r="E112" s="92">
        <f>E113+E118+E120+E124+E128</f>
        <v>7</v>
      </c>
      <c r="F112" s="92">
        <f t="shared" ref="F112:AA112" si="16">F113+F118+F120+F124+F128</f>
        <v>0</v>
      </c>
      <c r="G112" s="92">
        <f t="shared" si="16"/>
        <v>0</v>
      </c>
      <c r="H112" s="92">
        <f t="shared" si="16"/>
        <v>60658</v>
      </c>
      <c r="I112" s="92">
        <f t="shared" si="16"/>
        <v>0</v>
      </c>
      <c r="J112" s="92">
        <f t="shared" si="16"/>
        <v>60658</v>
      </c>
      <c r="K112" s="92">
        <f t="shared" si="16"/>
        <v>0</v>
      </c>
      <c r="L112" s="92"/>
      <c r="M112" s="92"/>
      <c r="N112" s="92">
        <f t="shared" si="16"/>
        <v>1717.29</v>
      </c>
      <c r="O112" s="92">
        <f t="shared" si="16"/>
        <v>0</v>
      </c>
      <c r="P112" s="92">
        <f t="shared" si="16"/>
        <v>1717.29</v>
      </c>
      <c r="Q112" s="92">
        <f t="shared" si="16"/>
        <v>0</v>
      </c>
      <c r="R112" s="92">
        <f t="shared" si="16"/>
        <v>0</v>
      </c>
      <c r="S112" s="92">
        <f t="shared" si="16"/>
        <v>1717.29</v>
      </c>
      <c r="T112" s="92">
        <f t="shared" si="16"/>
        <v>0</v>
      </c>
      <c r="U112" s="92">
        <f t="shared" si="16"/>
        <v>0</v>
      </c>
      <c r="V112" s="92">
        <f t="shared" si="16"/>
        <v>0</v>
      </c>
      <c r="W112" s="92">
        <f t="shared" si="16"/>
        <v>0</v>
      </c>
      <c r="X112" s="92">
        <f t="shared" si="16"/>
        <v>0</v>
      </c>
      <c r="Y112" s="92">
        <f t="shared" si="16"/>
        <v>5361</v>
      </c>
      <c r="Z112" s="92">
        <f t="shared" si="16"/>
        <v>22690</v>
      </c>
      <c r="AA112" s="92">
        <f t="shared" si="16"/>
        <v>7</v>
      </c>
      <c r="AB112" s="92"/>
      <c r="AC112" s="92"/>
      <c r="AD112" s="92"/>
      <c r="AE112" s="92"/>
      <c r="AF112" s="92" t="s">
        <v>43</v>
      </c>
      <c r="AG112" s="92"/>
    </row>
    <row r="113" ht="24.95" customHeight="1" spans="1:33">
      <c r="A113" s="705" t="s">
        <v>48</v>
      </c>
      <c r="B113" s="751" t="s">
        <v>133</v>
      </c>
      <c r="C113" s="146" t="s">
        <v>52</v>
      </c>
      <c r="D113" s="434" t="s">
        <v>134</v>
      </c>
      <c r="E113" s="92">
        <f>SUM(E114:E117)</f>
        <v>4</v>
      </c>
      <c r="F113" s="92">
        <f t="shared" ref="F113:AA113" si="17">SUM(F114:F117)</f>
        <v>0</v>
      </c>
      <c r="G113" s="92">
        <f t="shared" si="17"/>
        <v>0</v>
      </c>
      <c r="H113" s="92">
        <f t="shared" si="17"/>
        <v>52189</v>
      </c>
      <c r="I113" s="92">
        <f t="shared" si="17"/>
        <v>0</v>
      </c>
      <c r="J113" s="92">
        <f t="shared" si="17"/>
        <v>52189</v>
      </c>
      <c r="K113" s="92">
        <f t="shared" si="17"/>
        <v>0</v>
      </c>
      <c r="L113" s="92"/>
      <c r="M113" s="92"/>
      <c r="N113" s="92">
        <f t="shared" si="17"/>
        <v>1670.55</v>
      </c>
      <c r="O113" s="92">
        <f t="shared" si="17"/>
        <v>0</v>
      </c>
      <c r="P113" s="92">
        <f t="shared" si="17"/>
        <v>1670.55</v>
      </c>
      <c r="Q113" s="92">
        <f t="shared" si="17"/>
        <v>0</v>
      </c>
      <c r="R113" s="92">
        <f t="shared" si="17"/>
        <v>0</v>
      </c>
      <c r="S113" s="92">
        <f t="shared" si="17"/>
        <v>1670.55</v>
      </c>
      <c r="T113" s="92">
        <f t="shared" si="17"/>
        <v>0</v>
      </c>
      <c r="U113" s="92">
        <f t="shared" si="17"/>
        <v>0</v>
      </c>
      <c r="V113" s="92">
        <f t="shared" si="17"/>
        <v>0</v>
      </c>
      <c r="W113" s="92">
        <f t="shared" si="17"/>
        <v>0</v>
      </c>
      <c r="X113" s="92">
        <f t="shared" si="17"/>
        <v>0</v>
      </c>
      <c r="Y113" s="92">
        <f t="shared" si="17"/>
        <v>4967</v>
      </c>
      <c r="Z113" s="92">
        <f t="shared" si="17"/>
        <v>21136</v>
      </c>
      <c r="AA113" s="92">
        <f t="shared" si="17"/>
        <v>4</v>
      </c>
      <c r="AB113" s="92"/>
      <c r="AC113" s="92"/>
      <c r="AD113" s="141" t="s">
        <v>68</v>
      </c>
      <c r="AE113" s="146" t="s">
        <v>50</v>
      </c>
      <c r="AF113" s="438" t="s">
        <v>43</v>
      </c>
      <c r="AG113" s="92"/>
    </row>
    <row r="114" ht="24.95" customHeight="1" spans="1:33">
      <c r="A114" s="705"/>
      <c r="B114" s="714" t="s">
        <v>81</v>
      </c>
      <c r="C114" s="146" t="s">
        <v>52</v>
      </c>
      <c r="D114" s="141" t="s">
        <v>134</v>
      </c>
      <c r="E114" s="92">
        <v>1</v>
      </c>
      <c r="F114" s="714" t="s">
        <v>81</v>
      </c>
      <c r="G114" s="92"/>
      <c r="H114" s="92">
        <v>778</v>
      </c>
      <c r="I114" s="92"/>
      <c r="J114" s="92">
        <v>778</v>
      </c>
      <c r="K114" s="92"/>
      <c r="L114" s="92">
        <v>2019.01</v>
      </c>
      <c r="M114" s="92">
        <v>2019.12</v>
      </c>
      <c r="N114" s="92">
        <v>50</v>
      </c>
      <c r="O114" s="92"/>
      <c r="P114" s="92">
        <v>50</v>
      </c>
      <c r="Q114" s="92"/>
      <c r="R114" s="92"/>
      <c r="S114" s="92">
        <v>50</v>
      </c>
      <c r="T114" s="92"/>
      <c r="U114" s="92"/>
      <c r="V114" s="92"/>
      <c r="W114" s="92"/>
      <c r="X114" s="92"/>
      <c r="Y114" s="92">
        <v>406</v>
      </c>
      <c r="Z114" s="92">
        <v>1689</v>
      </c>
      <c r="AA114" s="92">
        <v>1</v>
      </c>
      <c r="AB114" s="92"/>
      <c r="AC114" s="92"/>
      <c r="AD114" s="193" t="s">
        <v>82</v>
      </c>
      <c r="AE114" s="146" t="s">
        <v>135</v>
      </c>
      <c r="AF114" s="438" t="s">
        <v>43</v>
      </c>
      <c r="AG114" s="92"/>
    </row>
    <row r="115" ht="24.95" customHeight="1" spans="1:33">
      <c r="A115" s="705"/>
      <c r="B115" s="199" t="s">
        <v>75</v>
      </c>
      <c r="C115" s="146" t="s">
        <v>52</v>
      </c>
      <c r="D115" s="141" t="s">
        <v>134</v>
      </c>
      <c r="E115" s="92">
        <v>1</v>
      </c>
      <c r="F115" s="199" t="s">
        <v>75</v>
      </c>
      <c r="G115" s="92"/>
      <c r="H115" s="92">
        <v>6986</v>
      </c>
      <c r="I115" s="92"/>
      <c r="J115" s="92">
        <v>6986</v>
      </c>
      <c r="K115" s="92"/>
      <c r="L115" s="92">
        <v>2019.01</v>
      </c>
      <c r="M115" s="92">
        <v>2019.12</v>
      </c>
      <c r="N115" s="92">
        <v>192.41</v>
      </c>
      <c r="O115" s="92"/>
      <c r="P115" s="92">
        <v>192.41</v>
      </c>
      <c r="Q115" s="92"/>
      <c r="R115" s="92"/>
      <c r="S115" s="92">
        <v>192.41</v>
      </c>
      <c r="T115" s="92"/>
      <c r="U115" s="92"/>
      <c r="V115" s="92"/>
      <c r="W115" s="92"/>
      <c r="X115" s="92"/>
      <c r="Y115" s="92">
        <v>579</v>
      </c>
      <c r="Z115" s="92">
        <v>2546</v>
      </c>
      <c r="AA115" s="92">
        <v>1</v>
      </c>
      <c r="AB115" s="92"/>
      <c r="AC115" s="92"/>
      <c r="AD115" s="146" t="s">
        <v>76</v>
      </c>
      <c r="AE115" s="146" t="s">
        <v>136</v>
      </c>
      <c r="AF115" s="438" t="s">
        <v>43</v>
      </c>
      <c r="AG115" s="92"/>
    </row>
    <row r="116" ht="24.95" customHeight="1" spans="1:33">
      <c r="A116" s="705"/>
      <c r="B116" s="714" t="s">
        <v>98</v>
      </c>
      <c r="C116" s="141" t="s">
        <v>52</v>
      </c>
      <c r="D116" s="141" t="s">
        <v>134</v>
      </c>
      <c r="E116" s="92">
        <v>1</v>
      </c>
      <c r="F116" s="714" t="s">
        <v>98</v>
      </c>
      <c r="G116" s="92"/>
      <c r="H116" s="92">
        <v>41889</v>
      </c>
      <c r="I116" s="92"/>
      <c r="J116" s="92">
        <v>41889</v>
      </c>
      <c r="K116" s="92"/>
      <c r="L116" s="92">
        <v>2019.01</v>
      </c>
      <c r="M116" s="92">
        <v>2019.12</v>
      </c>
      <c r="N116" s="92">
        <v>1174.54</v>
      </c>
      <c r="O116" s="92"/>
      <c r="P116" s="92">
        <v>1174.54</v>
      </c>
      <c r="Q116" s="92"/>
      <c r="R116" s="92"/>
      <c r="S116" s="92">
        <v>1174.54</v>
      </c>
      <c r="T116" s="92"/>
      <c r="U116" s="92"/>
      <c r="V116" s="92"/>
      <c r="W116" s="92"/>
      <c r="X116" s="92"/>
      <c r="Y116" s="92">
        <v>2126</v>
      </c>
      <c r="Z116" s="92">
        <v>8902</v>
      </c>
      <c r="AA116" s="92">
        <v>1</v>
      </c>
      <c r="AB116" s="92"/>
      <c r="AC116" s="92"/>
      <c r="AD116" s="146" t="s">
        <v>56</v>
      </c>
      <c r="AE116" s="141" t="s">
        <v>137</v>
      </c>
      <c r="AF116" s="438" t="s">
        <v>43</v>
      </c>
      <c r="AG116" s="92"/>
    </row>
    <row r="117" ht="24.95" customHeight="1" spans="1:33">
      <c r="A117" s="705"/>
      <c r="B117" s="199" t="s">
        <v>69</v>
      </c>
      <c r="C117" s="141" t="s">
        <v>52</v>
      </c>
      <c r="D117" s="141" t="s">
        <v>134</v>
      </c>
      <c r="E117" s="92">
        <v>1</v>
      </c>
      <c r="F117" s="199" t="s">
        <v>69</v>
      </c>
      <c r="G117" s="92"/>
      <c r="H117" s="92">
        <v>2536</v>
      </c>
      <c r="I117" s="92"/>
      <c r="J117" s="92">
        <v>2536</v>
      </c>
      <c r="K117" s="92"/>
      <c r="L117" s="92">
        <v>2019.01</v>
      </c>
      <c r="M117" s="92">
        <v>2019.12</v>
      </c>
      <c r="N117" s="92">
        <v>253.6</v>
      </c>
      <c r="O117" s="92"/>
      <c r="P117" s="92">
        <v>253.6</v>
      </c>
      <c r="Q117" s="92"/>
      <c r="R117" s="92"/>
      <c r="S117" s="92">
        <v>253.6</v>
      </c>
      <c r="T117" s="92"/>
      <c r="U117" s="92"/>
      <c r="V117" s="92"/>
      <c r="W117" s="92"/>
      <c r="X117" s="92"/>
      <c r="Y117" s="92">
        <v>1856</v>
      </c>
      <c r="Z117" s="92">
        <v>7999</v>
      </c>
      <c r="AA117" s="92">
        <v>1</v>
      </c>
      <c r="AB117" s="92"/>
      <c r="AC117" s="92"/>
      <c r="AD117" s="146" t="s">
        <v>70</v>
      </c>
      <c r="AE117" s="146" t="s">
        <v>138</v>
      </c>
      <c r="AF117" s="438" t="s">
        <v>43</v>
      </c>
      <c r="AG117" s="92"/>
    </row>
    <row r="118" ht="24.95" customHeight="1" spans="1:33">
      <c r="A118" s="705"/>
      <c r="B118" s="711" t="s">
        <v>139</v>
      </c>
      <c r="C118" s="146" t="s">
        <v>52</v>
      </c>
      <c r="D118" s="152" t="s">
        <v>140</v>
      </c>
      <c r="E118" s="92">
        <v>1</v>
      </c>
      <c r="F118" s="92"/>
      <c r="G118" s="92"/>
      <c r="H118" s="92">
        <v>7520</v>
      </c>
      <c r="I118" s="92"/>
      <c r="J118" s="92">
        <v>7520</v>
      </c>
      <c r="K118" s="92"/>
      <c r="L118" s="92">
        <v>2019.01</v>
      </c>
      <c r="M118" s="92">
        <v>2019.12</v>
      </c>
      <c r="N118" s="92">
        <v>8.78</v>
      </c>
      <c r="O118" s="92"/>
      <c r="P118" s="92">
        <v>8.78</v>
      </c>
      <c r="Q118" s="92"/>
      <c r="R118" s="92"/>
      <c r="S118" s="92">
        <v>8.78</v>
      </c>
      <c r="T118" s="92"/>
      <c r="U118" s="92"/>
      <c r="V118" s="92"/>
      <c r="W118" s="92"/>
      <c r="X118" s="92"/>
      <c r="Y118" s="92">
        <v>127</v>
      </c>
      <c r="Z118" s="92">
        <v>501</v>
      </c>
      <c r="AA118" s="92">
        <v>1</v>
      </c>
      <c r="AB118" s="92"/>
      <c r="AC118" s="92"/>
      <c r="AD118" s="141" t="s">
        <v>68</v>
      </c>
      <c r="AE118" s="146" t="s">
        <v>50</v>
      </c>
      <c r="AF118" s="438" t="s">
        <v>43</v>
      </c>
      <c r="AG118" s="92"/>
    </row>
    <row r="119" ht="24.95" customHeight="1" spans="1:33">
      <c r="A119" s="705"/>
      <c r="B119" s="714" t="s">
        <v>81</v>
      </c>
      <c r="C119" s="146" t="s">
        <v>52</v>
      </c>
      <c r="D119" s="152" t="s">
        <v>140</v>
      </c>
      <c r="E119" s="92">
        <v>1</v>
      </c>
      <c r="F119" s="714" t="s">
        <v>81</v>
      </c>
      <c r="G119" s="92"/>
      <c r="H119" s="92">
        <v>7520</v>
      </c>
      <c r="I119" s="92"/>
      <c r="J119" s="92">
        <v>7520</v>
      </c>
      <c r="K119" s="92"/>
      <c r="L119" s="92">
        <v>2019.01</v>
      </c>
      <c r="M119" s="92">
        <v>2019.12</v>
      </c>
      <c r="N119" s="92">
        <v>8.78</v>
      </c>
      <c r="O119" s="92"/>
      <c r="P119" s="92">
        <v>8.78</v>
      </c>
      <c r="Q119" s="92"/>
      <c r="R119" s="92"/>
      <c r="S119" s="92">
        <v>8.78</v>
      </c>
      <c r="T119" s="92"/>
      <c r="U119" s="92"/>
      <c r="V119" s="92"/>
      <c r="W119" s="92"/>
      <c r="X119" s="92"/>
      <c r="Y119" s="92">
        <v>127</v>
      </c>
      <c r="Z119" s="92">
        <v>501</v>
      </c>
      <c r="AA119" s="92">
        <v>1</v>
      </c>
      <c r="AB119" s="92"/>
      <c r="AC119" s="92"/>
      <c r="AD119" s="146" t="s">
        <v>82</v>
      </c>
      <c r="AE119" s="146" t="s">
        <v>135</v>
      </c>
      <c r="AF119" s="438" t="s">
        <v>43</v>
      </c>
      <c r="AG119" s="92"/>
    </row>
    <row r="120" ht="24.95" customHeight="1" spans="1:33">
      <c r="A120" s="705"/>
      <c r="B120" s="751" t="s">
        <v>141</v>
      </c>
      <c r="C120" s="146" t="s">
        <v>52</v>
      </c>
      <c r="D120" s="434"/>
      <c r="E120" s="92">
        <f>SUM(E121:E123)</f>
        <v>2</v>
      </c>
      <c r="F120" s="92">
        <f t="shared" ref="F120:AA120" si="18">SUM(F121:F123)</f>
        <v>0</v>
      </c>
      <c r="G120" s="92">
        <f t="shared" si="18"/>
        <v>0</v>
      </c>
      <c r="H120" s="92">
        <f t="shared" si="18"/>
        <v>949</v>
      </c>
      <c r="I120" s="92">
        <f t="shared" si="18"/>
        <v>0</v>
      </c>
      <c r="J120" s="92">
        <f t="shared" si="18"/>
        <v>949</v>
      </c>
      <c r="K120" s="92">
        <f t="shared" si="18"/>
        <v>0</v>
      </c>
      <c r="L120" s="92"/>
      <c r="M120" s="92"/>
      <c r="N120" s="92">
        <f t="shared" si="18"/>
        <v>37.96</v>
      </c>
      <c r="O120" s="92">
        <f t="shared" si="18"/>
        <v>0</v>
      </c>
      <c r="P120" s="92">
        <f t="shared" si="18"/>
        <v>37.96</v>
      </c>
      <c r="Q120" s="92">
        <f t="shared" si="18"/>
        <v>0</v>
      </c>
      <c r="R120" s="92">
        <f t="shared" si="18"/>
        <v>0</v>
      </c>
      <c r="S120" s="92">
        <f t="shared" si="18"/>
        <v>37.96</v>
      </c>
      <c r="T120" s="92">
        <f t="shared" si="18"/>
        <v>0</v>
      </c>
      <c r="U120" s="92">
        <f t="shared" si="18"/>
        <v>0</v>
      </c>
      <c r="V120" s="92">
        <f t="shared" si="18"/>
        <v>0</v>
      </c>
      <c r="W120" s="92">
        <f t="shared" si="18"/>
        <v>0</v>
      </c>
      <c r="X120" s="92">
        <f t="shared" si="18"/>
        <v>0</v>
      </c>
      <c r="Y120" s="92">
        <f t="shared" si="18"/>
        <v>267</v>
      </c>
      <c r="Z120" s="92">
        <f t="shared" si="18"/>
        <v>1053</v>
      </c>
      <c r="AA120" s="92">
        <f t="shared" si="18"/>
        <v>2</v>
      </c>
      <c r="AB120" s="92"/>
      <c r="AC120" s="92"/>
      <c r="AD120" s="141" t="s">
        <v>68</v>
      </c>
      <c r="AE120" s="146" t="s">
        <v>50</v>
      </c>
      <c r="AF120" s="438" t="s">
        <v>43</v>
      </c>
      <c r="AG120" s="92"/>
    </row>
    <row r="121" ht="24.95" customHeight="1" spans="1:33">
      <c r="A121" s="705"/>
      <c r="B121" s="714" t="s">
        <v>81</v>
      </c>
      <c r="C121" s="146" t="s">
        <v>52</v>
      </c>
      <c r="D121" s="152" t="s">
        <v>140</v>
      </c>
      <c r="E121" s="92">
        <v>1</v>
      </c>
      <c r="F121" s="714" t="s">
        <v>81</v>
      </c>
      <c r="G121" s="92"/>
      <c r="H121" s="92">
        <v>795</v>
      </c>
      <c r="I121" s="92"/>
      <c r="J121" s="92">
        <v>795</v>
      </c>
      <c r="K121" s="92"/>
      <c r="L121" s="92">
        <v>2019.01</v>
      </c>
      <c r="M121" s="92">
        <v>2019.12</v>
      </c>
      <c r="N121" s="92">
        <v>22.56</v>
      </c>
      <c r="O121" s="92"/>
      <c r="P121" s="92">
        <v>22.56</v>
      </c>
      <c r="Q121" s="92"/>
      <c r="R121" s="92"/>
      <c r="S121" s="92">
        <v>22.56</v>
      </c>
      <c r="T121" s="92"/>
      <c r="U121" s="92"/>
      <c r="V121" s="92"/>
      <c r="W121" s="92"/>
      <c r="X121" s="92"/>
      <c r="Y121" s="92">
        <v>191</v>
      </c>
      <c r="Z121" s="92">
        <v>738</v>
      </c>
      <c r="AA121" s="92">
        <v>1</v>
      </c>
      <c r="AB121" s="92"/>
      <c r="AC121" s="92"/>
      <c r="AD121" s="146" t="s">
        <v>82</v>
      </c>
      <c r="AE121" s="146" t="s">
        <v>135</v>
      </c>
      <c r="AF121" s="438" t="s">
        <v>43</v>
      </c>
      <c r="AG121" s="92"/>
    </row>
    <row r="122" ht="24.95" customHeight="1" spans="1:33">
      <c r="A122" s="705"/>
      <c r="B122" s="714" t="s">
        <v>98</v>
      </c>
      <c r="C122" s="146" t="s">
        <v>52</v>
      </c>
      <c r="D122" s="152" t="s">
        <v>140</v>
      </c>
      <c r="E122" s="92"/>
      <c r="F122" s="714"/>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146"/>
      <c r="AE122" s="141"/>
      <c r="AF122" s="438"/>
      <c r="AG122" s="92"/>
    </row>
    <row r="123" ht="24.95" customHeight="1" spans="1:33">
      <c r="A123" s="705"/>
      <c r="B123" s="199" t="s">
        <v>69</v>
      </c>
      <c r="C123" s="146" t="s">
        <v>52</v>
      </c>
      <c r="D123" s="152" t="s">
        <v>140</v>
      </c>
      <c r="E123" s="92">
        <v>1</v>
      </c>
      <c r="F123" s="199" t="s">
        <v>69</v>
      </c>
      <c r="G123" s="92"/>
      <c r="H123" s="92">
        <v>154</v>
      </c>
      <c r="I123" s="92"/>
      <c r="J123" s="92">
        <v>154</v>
      </c>
      <c r="K123" s="92"/>
      <c r="L123" s="92">
        <v>2019.01</v>
      </c>
      <c r="M123" s="92">
        <v>2019.12</v>
      </c>
      <c r="N123" s="92">
        <v>15.4</v>
      </c>
      <c r="O123" s="92"/>
      <c r="P123" s="92">
        <v>15.4</v>
      </c>
      <c r="Q123" s="92"/>
      <c r="R123" s="92"/>
      <c r="S123" s="92">
        <v>15.4</v>
      </c>
      <c r="T123" s="92"/>
      <c r="U123" s="92"/>
      <c r="V123" s="92"/>
      <c r="W123" s="92"/>
      <c r="X123" s="92"/>
      <c r="Y123" s="92">
        <v>76</v>
      </c>
      <c r="Z123" s="92">
        <v>315</v>
      </c>
      <c r="AA123" s="92">
        <v>1</v>
      </c>
      <c r="AB123" s="92"/>
      <c r="AC123" s="92"/>
      <c r="AD123" s="146" t="s">
        <v>70</v>
      </c>
      <c r="AE123" s="146" t="s">
        <v>138</v>
      </c>
      <c r="AF123" s="438" t="s">
        <v>43</v>
      </c>
      <c r="AG123" s="92"/>
    </row>
    <row r="124" ht="24.95" customHeight="1" spans="1:33">
      <c r="A124" s="705"/>
      <c r="B124" s="750" t="s">
        <v>142</v>
      </c>
      <c r="C124" s="141" t="s">
        <v>52</v>
      </c>
      <c r="D124" s="141" t="s">
        <v>134</v>
      </c>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141"/>
      <c r="AE124" s="146"/>
      <c r="AF124" s="438"/>
      <c r="AG124" s="92"/>
    </row>
    <row r="125" ht="24.95" customHeight="1" spans="1:33">
      <c r="A125" s="705"/>
      <c r="B125" s="714" t="s">
        <v>143</v>
      </c>
      <c r="C125" s="146" t="s">
        <v>52</v>
      </c>
      <c r="D125" s="152" t="s">
        <v>134</v>
      </c>
      <c r="E125" s="92"/>
      <c r="F125" s="714"/>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141"/>
      <c r="AE125" s="146"/>
      <c r="AF125" s="438"/>
      <c r="AG125" s="92"/>
    </row>
    <row r="126" ht="24.95" customHeight="1" spans="1:33">
      <c r="A126" s="705"/>
      <c r="B126" s="714" t="s">
        <v>81</v>
      </c>
      <c r="C126" s="146" t="s">
        <v>52</v>
      </c>
      <c r="D126" s="152" t="s">
        <v>134</v>
      </c>
      <c r="E126" s="92"/>
      <c r="F126" s="714"/>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146"/>
      <c r="AE126" s="146"/>
      <c r="AF126" s="438"/>
      <c r="AG126" s="92"/>
    </row>
    <row r="127" ht="24.95" customHeight="1" spans="1:33">
      <c r="A127" s="705"/>
      <c r="B127" s="714" t="s">
        <v>98</v>
      </c>
      <c r="C127" s="146" t="s">
        <v>52</v>
      </c>
      <c r="D127" s="152" t="s">
        <v>134</v>
      </c>
      <c r="E127" s="92"/>
      <c r="F127" s="714"/>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146"/>
      <c r="AE127" s="141"/>
      <c r="AF127" s="438"/>
      <c r="AG127" s="92"/>
    </row>
    <row r="128" ht="24.95" customHeight="1" spans="1:33">
      <c r="A128" s="705"/>
      <c r="B128" s="750" t="s">
        <v>144</v>
      </c>
      <c r="C128" s="141" t="s">
        <v>52</v>
      </c>
      <c r="D128" s="434" t="s">
        <v>145</v>
      </c>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141"/>
      <c r="AE128" s="146"/>
      <c r="AF128" s="438"/>
      <c r="AG128" s="92"/>
    </row>
    <row r="129" ht="24.95" customHeight="1" spans="1:33">
      <c r="A129" s="705"/>
      <c r="B129" s="714" t="s">
        <v>72</v>
      </c>
      <c r="C129" s="141" t="s">
        <v>52</v>
      </c>
      <c r="D129" s="434" t="s">
        <v>145</v>
      </c>
      <c r="E129" s="92"/>
      <c r="F129" s="714"/>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146"/>
      <c r="AE129" s="438"/>
      <c r="AF129" s="438"/>
      <c r="AG129" s="92"/>
    </row>
    <row r="130" ht="48" spans="1:33">
      <c r="A130" s="705">
        <v>8</v>
      </c>
      <c r="B130" s="708" t="s">
        <v>146</v>
      </c>
      <c r="C130" s="708"/>
      <c r="D130" s="709" t="s">
        <v>147</v>
      </c>
      <c r="E130" s="708"/>
      <c r="F130" s="708"/>
      <c r="G130" s="708"/>
      <c r="H130" s="708"/>
      <c r="I130" s="708"/>
      <c r="J130" s="708"/>
      <c r="K130" s="708"/>
      <c r="L130" s="92"/>
      <c r="M130" s="92"/>
      <c r="N130" s="726"/>
      <c r="O130" s="726"/>
      <c r="P130" s="726"/>
      <c r="Q130" s="726"/>
      <c r="R130" s="726"/>
      <c r="S130" s="726"/>
      <c r="T130" s="726"/>
      <c r="U130" s="726"/>
      <c r="V130" s="726"/>
      <c r="W130" s="726"/>
      <c r="X130" s="726"/>
      <c r="Y130" s="726"/>
      <c r="Z130" s="726"/>
      <c r="AA130" s="708"/>
      <c r="AB130" s="708"/>
      <c r="AC130" s="708"/>
      <c r="AD130" s="708"/>
      <c r="AE130" s="708"/>
      <c r="AF130" s="708"/>
      <c r="AG130" s="708"/>
    </row>
    <row r="131" ht="24.95" customHeight="1" spans="1:33">
      <c r="A131" s="705" t="s">
        <v>48</v>
      </c>
      <c r="B131" s="92" t="s">
        <v>148</v>
      </c>
      <c r="C131" s="92"/>
      <c r="D131" s="76"/>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row>
    <row r="132" ht="52" customHeight="1" spans="1:33">
      <c r="A132" s="705">
        <v>9</v>
      </c>
      <c r="B132" s="708" t="s">
        <v>149</v>
      </c>
      <c r="C132" s="708"/>
      <c r="D132" s="709" t="s">
        <v>150</v>
      </c>
      <c r="E132" s="152">
        <f>SUM(E133:E144)</f>
        <v>80</v>
      </c>
      <c r="F132" s="152">
        <f t="shared" ref="F132:AA132" si="19">SUM(F133:F144)</f>
        <v>0</v>
      </c>
      <c r="G132" s="152">
        <f t="shared" si="19"/>
        <v>0</v>
      </c>
      <c r="H132" s="152">
        <f t="shared" si="19"/>
        <v>80</v>
      </c>
      <c r="I132" s="152">
        <f t="shared" si="19"/>
        <v>0</v>
      </c>
      <c r="J132" s="152">
        <f t="shared" si="19"/>
        <v>80</v>
      </c>
      <c r="K132" s="152">
        <f t="shared" si="19"/>
        <v>0</v>
      </c>
      <c r="L132" s="152"/>
      <c r="M132" s="152"/>
      <c r="N132" s="146">
        <f t="shared" si="19"/>
        <v>1127.5</v>
      </c>
      <c r="O132" s="146">
        <f t="shared" si="19"/>
        <v>0</v>
      </c>
      <c r="P132" s="146">
        <f t="shared" si="19"/>
        <v>1127.5</v>
      </c>
      <c r="Q132" s="146">
        <f t="shared" si="19"/>
        <v>0</v>
      </c>
      <c r="R132" s="146">
        <f t="shared" si="19"/>
        <v>0</v>
      </c>
      <c r="S132" s="146">
        <f t="shared" si="19"/>
        <v>1127.5</v>
      </c>
      <c r="T132" s="146">
        <f t="shared" si="19"/>
        <v>0</v>
      </c>
      <c r="U132" s="146">
        <f t="shared" si="19"/>
        <v>0</v>
      </c>
      <c r="V132" s="146">
        <f t="shared" si="19"/>
        <v>0</v>
      </c>
      <c r="W132" s="152">
        <f t="shared" si="19"/>
        <v>0</v>
      </c>
      <c r="X132" s="152">
        <f t="shared" si="19"/>
        <v>0</v>
      </c>
      <c r="Y132" s="152">
        <f t="shared" si="19"/>
        <v>5872</v>
      </c>
      <c r="Z132" s="152">
        <f t="shared" si="19"/>
        <v>23285</v>
      </c>
      <c r="AA132" s="152">
        <f t="shared" si="19"/>
        <v>80</v>
      </c>
      <c r="AB132" s="708"/>
      <c r="AC132" s="708"/>
      <c r="AD132" s="141" t="s">
        <v>68</v>
      </c>
      <c r="AE132" s="146" t="s">
        <v>50</v>
      </c>
      <c r="AF132" s="438" t="s">
        <v>43</v>
      </c>
      <c r="AG132" s="708" t="s">
        <v>41</v>
      </c>
    </row>
    <row r="133" ht="38" customHeight="1" spans="1:33">
      <c r="A133" s="705"/>
      <c r="B133" s="199" t="s">
        <v>69</v>
      </c>
      <c r="C133" s="146" t="s">
        <v>52</v>
      </c>
      <c r="D133" s="152" t="s">
        <v>150</v>
      </c>
      <c r="E133" s="152">
        <v>2</v>
      </c>
      <c r="F133" s="199" t="s">
        <v>69</v>
      </c>
      <c r="G133" s="708"/>
      <c r="H133" s="152">
        <v>2</v>
      </c>
      <c r="I133" s="708"/>
      <c r="J133" s="152">
        <v>2</v>
      </c>
      <c r="K133" s="708"/>
      <c r="L133" s="92">
        <v>2019.01</v>
      </c>
      <c r="M133" s="92">
        <v>2019.12</v>
      </c>
      <c r="N133" s="726">
        <v>60</v>
      </c>
      <c r="O133" s="726"/>
      <c r="P133" s="726">
        <v>60</v>
      </c>
      <c r="Q133" s="724"/>
      <c r="R133" s="726"/>
      <c r="S133" s="726">
        <v>60</v>
      </c>
      <c r="T133" s="726"/>
      <c r="U133" s="726"/>
      <c r="V133" s="726"/>
      <c r="W133" s="726"/>
      <c r="X133" s="726"/>
      <c r="Y133" s="763">
        <v>73</v>
      </c>
      <c r="Z133" s="763">
        <v>338</v>
      </c>
      <c r="AA133" s="152">
        <v>2</v>
      </c>
      <c r="AB133" s="708"/>
      <c r="AC133" s="708"/>
      <c r="AD133" s="146" t="s">
        <v>70</v>
      </c>
      <c r="AE133" s="146" t="s">
        <v>138</v>
      </c>
      <c r="AF133" s="146" t="s">
        <v>43</v>
      </c>
      <c r="AG133" s="708"/>
    </row>
    <row r="134" ht="38" customHeight="1" spans="1:33">
      <c r="A134" s="705"/>
      <c r="B134" s="714" t="s">
        <v>151</v>
      </c>
      <c r="C134" s="146" t="s">
        <v>52</v>
      </c>
      <c r="D134" s="152" t="s">
        <v>150</v>
      </c>
      <c r="E134" s="152">
        <v>2</v>
      </c>
      <c r="F134" s="714" t="s">
        <v>151</v>
      </c>
      <c r="G134" s="708"/>
      <c r="H134" s="152">
        <v>2</v>
      </c>
      <c r="I134" s="708"/>
      <c r="J134" s="152">
        <v>2</v>
      </c>
      <c r="K134" s="708"/>
      <c r="L134" s="92">
        <v>2019.01</v>
      </c>
      <c r="M134" s="92">
        <v>2019.12</v>
      </c>
      <c r="N134" s="726">
        <v>100</v>
      </c>
      <c r="O134" s="726"/>
      <c r="P134" s="726">
        <v>100</v>
      </c>
      <c r="Q134" s="724"/>
      <c r="R134" s="726"/>
      <c r="S134" s="726">
        <v>100</v>
      </c>
      <c r="T134" s="726"/>
      <c r="U134" s="726"/>
      <c r="V134" s="726"/>
      <c r="W134" s="726"/>
      <c r="X134" s="726"/>
      <c r="Y134" s="763">
        <v>1760</v>
      </c>
      <c r="Z134" s="763">
        <v>7269</v>
      </c>
      <c r="AA134" s="152">
        <v>2</v>
      </c>
      <c r="AB134" s="708"/>
      <c r="AC134" s="708"/>
      <c r="AD134" s="743" t="s">
        <v>152</v>
      </c>
      <c r="AE134" s="146" t="s">
        <v>153</v>
      </c>
      <c r="AF134" s="146" t="s">
        <v>43</v>
      </c>
      <c r="AG134" s="708"/>
    </row>
    <row r="135" ht="38" customHeight="1" spans="1:33">
      <c r="A135" s="705"/>
      <c r="B135" s="714" t="s">
        <v>154</v>
      </c>
      <c r="C135" s="146" t="s">
        <v>52</v>
      </c>
      <c r="D135" s="152" t="s">
        <v>150</v>
      </c>
      <c r="E135" s="152">
        <v>14</v>
      </c>
      <c r="F135" s="714" t="s">
        <v>154</v>
      </c>
      <c r="G135" s="708"/>
      <c r="H135" s="152">
        <v>14</v>
      </c>
      <c r="I135" s="708"/>
      <c r="J135" s="152">
        <v>14</v>
      </c>
      <c r="K135" s="708"/>
      <c r="L135" s="92">
        <v>2019.01</v>
      </c>
      <c r="M135" s="92">
        <v>2019.12</v>
      </c>
      <c r="N135" s="726">
        <v>120</v>
      </c>
      <c r="O135" s="726"/>
      <c r="P135" s="726">
        <v>120</v>
      </c>
      <c r="Q135" s="724"/>
      <c r="R135" s="726"/>
      <c r="S135" s="726">
        <v>120</v>
      </c>
      <c r="T135" s="726"/>
      <c r="U135" s="726"/>
      <c r="V135" s="726"/>
      <c r="W135" s="726"/>
      <c r="X135" s="726"/>
      <c r="Y135" s="763">
        <v>228</v>
      </c>
      <c r="Z135" s="763">
        <v>885</v>
      </c>
      <c r="AA135" s="152">
        <v>14</v>
      </c>
      <c r="AB135" s="708"/>
      <c r="AC135" s="708"/>
      <c r="AD135" s="146" t="s">
        <v>73</v>
      </c>
      <c r="AE135" s="438" t="s">
        <v>74</v>
      </c>
      <c r="AF135" s="146" t="s">
        <v>43</v>
      </c>
      <c r="AG135" s="708"/>
    </row>
    <row r="136" ht="38" customHeight="1" spans="1:33">
      <c r="A136" s="705"/>
      <c r="B136" s="714" t="s">
        <v>81</v>
      </c>
      <c r="C136" s="146" t="s">
        <v>52</v>
      </c>
      <c r="D136" s="152" t="s">
        <v>150</v>
      </c>
      <c r="E136" s="152">
        <v>11</v>
      </c>
      <c r="F136" s="714" t="s">
        <v>81</v>
      </c>
      <c r="G136" s="708"/>
      <c r="H136" s="152">
        <v>11</v>
      </c>
      <c r="I136" s="708"/>
      <c r="J136" s="152">
        <v>11</v>
      </c>
      <c r="K136" s="708"/>
      <c r="L136" s="92">
        <v>2019.01</v>
      </c>
      <c r="M136" s="92">
        <v>2019.12</v>
      </c>
      <c r="N136" s="726">
        <v>0</v>
      </c>
      <c r="O136" s="726"/>
      <c r="P136" s="726">
        <v>0</v>
      </c>
      <c r="Q136" s="724"/>
      <c r="R136" s="726"/>
      <c r="S136" s="726">
        <v>0</v>
      </c>
      <c r="T136" s="726"/>
      <c r="U136" s="726"/>
      <c r="V136" s="726"/>
      <c r="W136" s="726"/>
      <c r="X136" s="726"/>
      <c r="Y136" s="763">
        <v>1977</v>
      </c>
      <c r="Z136" s="763">
        <v>7676</v>
      </c>
      <c r="AA136" s="152">
        <v>11</v>
      </c>
      <c r="AB136" s="708"/>
      <c r="AC136" s="708"/>
      <c r="AD136" s="146" t="s">
        <v>82</v>
      </c>
      <c r="AE136" s="146" t="s">
        <v>135</v>
      </c>
      <c r="AF136" s="146" t="s">
        <v>43</v>
      </c>
      <c r="AG136" s="708"/>
    </row>
    <row r="137" ht="38" customHeight="1" spans="1:33">
      <c r="A137" s="705"/>
      <c r="B137" s="714" t="s">
        <v>98</v>
      </c>
      <c r="C137" s="146" t="s">
        <v>52</v>
      </c>
      <c r="D137" s="152" t="s">
        <v>150</v>
      </c>
      <c r="E137" s="152">
        <v>9</v>
      </c>
      <c r="F137" s="714" t="s">
        <v>98</v>
      </c>
      <c r="G137" s="708"/>
      <c r="H137" s="152">
        <v>9</v>
      </c>
      <c r="I137" s="708"/>
      <c r="J137" s="152">
        <v>9</v>
      </c>
      <c r="K137" s="708"/>
      <c r="L137" s="92">
        <v>2019.01</v>
      </c>
      <c r="M137" s="92">
        <v>2019.12</v>
      </c>
      <c r="N137" s="726">
        <v>60</v>
      </c>
      <c r="O137" s="726"/>
      <c r="P137" s="726">
        <v>60</v>
      </c>
      <c r="Q137" s="724"/>
      <c r="R137" s="726"/>
      <c r="S137" s="726">
        <v>60</v>
      </c>
      <c r="T137" s="726"/>
      <c r="U137" s="726"/>
      <c r="V137" s="726"/>
      <c r="W137" s="726"/>
      <c r="X137" s="726"/>
      <c r="Y137" s="763">
        <v>360</v>
      </c>
      <c r="Z137" s="763">
        <v>1615</v>
      </c>
      <c r="AA137" s="152">
        <v>9</v>
      </c>
      <c r="AB137" s="708"/>
      <c r="AC137" s="708"/>
      <c r="AD137" s="146" t="s">
        <v>56</v>
      </c>
      <c r="AE137" s="146" t="s">
        <v>137</v>
      </c>
      <c r="AF137" s="146" t="s">
        <v>43</v>
      </c>
      <c r="AG137" s="708"/>
    </row>
    <row r="138" ht="38" customHeight="1" spans="1:33">
      <c r="A138" s="705"/>
      <c r="B138" s="199" t="s">
        <v>75</v>
      </c>
      <c r="C138" s="146" t="s">
        <v>52</v>
      </c>
      <c r="D138" s="152" t="s">
        <v>150</v>
      </c>
      <c r="E138" s="152">
        <v>6</v>
      </c>
      <c r="F138" s="199" t="s">
        <v>75</v>
      </c>
      <c r="G138" s="708"/>
      <c r="H138" s="152">
        <v>6</v>
      </c>
      <c r="I138" s="708"/>
      <c r="J138" s="152">
        <v>6</v>
      </c>
      <c r="K138" s="708"/>
      <c r="L138" s="92">
        <v>2019.01</v>
      </c>
      <c r="M138" s="92">
        <v>2019.12</v>
      </c>
      <c r="N138" s="726">
        <v>380</v>
      </c>
      <c r="O138" s="726"/>
      <c r="P138" s="726">
        <v>380</v>
      </c>
      <c r="Q138" s="724"/>
      <c r="R138" s="726"/>
      <c r="S138" s="726">
        <v>380</v>
      </c>
      <c r="T138" s="726"/>
      <c r="U138" s="726"/>
      <c r="V138" s="726"/>
      <c r="W138" s="726"/>
      <c r="X138" s="726"/>
      <c r="Y138" s="763">
        <v>216</v>
      </c>
      <c r="Z138" s="763">
        <v>659</v>
      </c>
      <c r="AA138" s="152">
        <v>6</v>
      </c>
      <c r="AB138" s="708"/>
      <c r="AC138" s="708"/>
      <c r="AD138" s="146" t="s">
        <v>76</v>
      </c>
      <c r="AE138" s="753" t="s">
        <v>136</v>
      </c>
      <c r="AF138" s="146" t="s">
        <v>43</v>
      </c>
      <c r="AG138" s="708"/>
    </row>
    <row r="139" ht="38" customHeight="1" spans="1:33">
      <c r="A139" s="705"/>
      <c r="B139" s="714" t="s">
        <v>155</v>
      </c>
      <c r="C139" s="146" t="s">
        <v>52</v>
      </c>
      <c r="D139" s="152" t="s">
        <v>150</v>
      </c>
      <c r="E139" s="152">
        <v>2</v>
      </c>
      <c r="F139" s="714" t="s">
        <v>155</v>
      </c>
      <c r="G139" s="708"/>
      <c r="H139" s="152">
        <v>2</v>
      </c>
      <c r="I139" s="708"/>
      <c r="J139" s="152">
        <v>2</v>
      </c>
      <c r="K139" s="708"/>
      <c r="L139" s="92">
        <v>2019.01</v>
      </c>
      <c r="M139" s="92">
        <v>2019.12</v>
      </c>
      <c r="N139" s="726">
        <v>60</v>
      </c>
      <c r="O139" s="726"/>
      <c r="P139" s="726">
        <v>60</v>
      </c>
      <c r="Q139" s="724"/>
      <c r="R139" s="726"/>
      <c r="S139" s="726">
        <v>60</v>
      </c>
      <c r="T139" s="726"/>
      <c r="U139" s="726"/>
      <c r="V139" s="726"/>
      <c r="W139" s="726"/>
      <c r="X139" s="726"/>
      <c r="Y139" s="763">
        <v>153</v>
      </c>
      <c r="Z139" s="763">
        <v>445</v>
      </c>
      <c r="AA139" s="152">
        <v>2</v>
      </c>
      <c r="AB139" s="708"/>
      <c r="AC139" s="708"/>
      <c r="AD139" s="146" t="s">
        <v>59</v>
      </c>
      <c r="AE139" s="146" t="s">
        <v>156</v>
      </c>
      <c r="AF139" s="146" t="s">
        <v>43</v>
      </c>
      <c r="AG139" s="708"/>
    </row>
    <row r="140" ht="38" customHeight="1" spans="1:33">
      <c r="A140" s="705"/>
      <c r="B140" s="714" t="s">
        <v>102</v>
      </c>
      <c r="C140" s="146" t="s">
        <v>52</v>
      </c>
      <c r="D140" s="152" t="s">
        <v>150</v>
      </c>
      <c r="E140" s="754">
        <v>23</v>
      </c>
      <c r="F140" s="714" t="s">
        <v>102</v>
      </c>
      <c r="G140" s="708"/>
      <c r="H140" s="754">
        <v>23</v>
      </c>
      <c r="I140" s="708"/>
      <c r="J140" s="754">
        <v>23</v>
      </c>
      <c r="K140" s="708"/>
      <c r="L140" s="92">
        <v>2019.01</v>
      </c>
      <c r="M140" s="92">
        <v>2019.12</v>
      </c>
      <c r="N140" s="726">
        <v>200</v>
      </c>
      <c r="O140" s="726"/>
      <c r="P140" s="726">
        <v>200</v>
      </c>
      <c r="Q140" s="724"/>
      <c r="R140" s="726"/>
      <c r="S140" s="726">
        <v>200</v>
      </c>
      <c r="T140" s="726"/>
      <c r="U140" s="726"/>
      <c r="V140" s="726"/>
      <c r="W140" s="726"/>
      <c r="X140" s="726"/>
      <c r="Y140" s="763">
        <v>818</v>
      </c>
      <c r="Z140" s="763">
        <v>3248</v>
      </c>
      <c r="AA140" s="754">
        <v>23</v>
      </c>
      <c r="AB140" s="708"/>
      <c r="AC140" s="708"/>
      <c r="AD140" s="792" t="s">
        <v>62</v>
      </c>
      <c r="AE140" s="146" t="s">
        <v>63</v>
      </c>
      <c r="AF140" s="146" t="s">
        <v>43</v>
      </c>
      <c r="AG140" s="708"/>
    </row>
    <row r="141" ht="38" customHeight="1" spans="1:33">
      <c r="A141" s="705"/>
      <c r="B141" s="714" t="s">
        <v>100</v>
      </c>
      <c r="C141" s="146" t="s">
        <v>52</v>
      </c>
      <c r="D141" s="152" t="s">
        <v>150</v>
      </c>
      <c r="E141" s="152">
        <v>5</v>
      </c>
      <c r="F141" s="714" t="s">
        <v>100</v>
      </c>
      <c r="G141" s="708"/>
      <c r="H141" s="152">
        <v>5</v>
      </c>
      <c r="I141" s="708"/>
      <c r="J141" s="152">
        <v>5</v>
      </c>
      <c r="K141" s="708"/>
      <c r="L141" s="92">
        <v>2019.01</v>
      </c>
      <c r="M141" s="92">
        <v>2019.12</v>
      </c>
      <c r="N141" s="726">
        <v>67.5</v>
      </c>
      <c r="O141" s="726"/>
      <c r="P141" s="726">
        <v>67.5</v>
      </c>
      <c r="Q141" s="724"/>
      <c r="R141" s="726"/>
      <c r="S141" s="726">
        <v>67.5</v>
      </c>
      <c r="T141" s="726"/>
      <c r="U141" s="726"/>
      <c r="V141" s="726"/>
      <c r="W141" s="726"/>
      <c r="X141" s="726"/>
      <c r="Y141" s="763">
        <v>71</v>
      </c>
      <c r="Z141" s="763">
        <v>255</v>
      </c>
      <c r="AA141" s="152">
        <v>5</v>
      </c>
      <c r="AB141" s="708"/>
      <c r="AC141" s="708"/>
      <c r="AD141" s="146" t="s">
        <v>79</v>
      </c>
      <c r="AE141" s="146" t="s">
        <v>157</v>
      </c>
      <c r="AF141" s="146" t="s">
        <v>43</v>
      </c>
      <c r="AG141" s="708"/>
    </row>
    <row r="142" ht="38" customHeight="1" spans="1:33">
      <c r="A142" s="705"/>
      <c r="B142" s="714" t="s">
        <v>84</v>
      </c>
      <c r="C142" s="146" t="s">
        <v>52</v>
      </c>
      <c r="D142" s="152" t="s">
        <v>150</v>
      </c>
      <c r="E142" s="152">
        <v>6</v>
      </c>
      <c r="F142" s="714" t="s">
        <v>84</v>
      </c>
      <c r="G142" s="708"/>
      <c r="H142" s="152">
        <v>6</v>
      </c>
      <c r="I142" s="708"/>
      <c r="J142" s="152">
        <v>6</v>
      </c>
      <c r="K142" s="708"/>
      <c r="L142" s="92">
        <v>2019.01</v>
      </c>
      <c r="M142" s="92">
        <v>2019.12</v>
      </c>
      <c r="N142" s="726">
        <v>80</v>
      </c>
      <c r="O142" s="726"/>
      <c r="P142" s="726">
        <v>80</v>
      </c>
      <c r="Q142" s="724"/>
      <c r="R142" s="726"/>
      <c r="S142" s="726">
        <v>80</v>
      </c>
      <c r="T142" s="726"/>
      <c r="U142" s="726"/>
      <c r="V142" s="726"/>
      <c r="W142" s="726"/>
      <c r="X142" s="726"/>
      <c r="Y142" s="763">
        <v>216</v>
      </c>
      <c r="Z142" s="763">
        <v>895</v>
      </c>
      <c r="AA142" s="152">
        <v>6</v>
      </c>
      <c r="AB142" s="708"/>
      <c r="AC142" s="708"/>
      <c r="AD142" s="146" t="s">
        <v>65</v>
      </c>
      <c r="AE142" s="146" t="s">
        <v>66</v>
      </c>
      <c r="AF142" s="146" t="s">
        <v>43</v>
      </c>
      <c r="AG142" s="708"/>
    </row>
    <row r="143" ht="38" customHeight="1" spans="1:33">
      <c r="A143" s="705"/>
      <c r="B143" s="199" t="s">
        <v>114</v>
      </c>
      <c r="C143" s="146" t="s">
        <v>52</v>
      </c>
      <c r="D143" s="152" t="s">
        <v>150</v>
      </c>
      <c r="E143" s="152"/>
      <c r="F143" s="199"/>
      <c r="G143" s="708"/>
      <c r="H143" s="152"/>
      <c r="I143" s="708"/>
      <c r="J143" s="152"/>
      <c r="K143" s="708"/>
      <c r="L143" s="92"/>
      <c r="M143" s="92"/>
      <c r="N143" s="726"/>
      <c r="O143" s="726"/>
      <c r="P143" s="726"/>
      <c r="Q143" s="724"/>
      <c r="R143" s="726"/>
      <c r="S143" s="726"/>
      <c r="T143" s="726"/>
      <c r="U143" s="726"/>
      <c r="V143" s="726"/>
      <c r="W143" s="726"/>
      <c r="X143" s="726"/>
      <c r="Y143" s="763"/>
      <c r="Z143" s="763"/>
      <c r="AA143" s="152"/>
      <c r="AB143" s="708"/>
      <c r="AC143" s="708"/>
      <c r="AD143" s="146"/>
      <c r="AE143" s="146"/>
      <c r="AF143" s="146"/>
      <c r="AG143" s="708"/>
    </row>
    <row r="144" ht="38" customHeight="1" spans="1:33">
      <c r="A144" s="705"/>
      <c r="B144" s="714" t="s">
        <v>143</v>
      </c>
      <c r="C144" s="146" t="s">
        <v>52</v>
      </c>
      <c r="D144" s="152" t="s">
        <v>150</v>
      </c>
      <c r="E144" s="152"/>
      <c r="F144" s="714"/>
      <c r="G144" s="708"/>
      <c r="H144" s="152"/>
      <c r="I144" s="708"/>
      <c r="J144" s="152"/>
      <c r="K144" s="708"/>
      <c r="L144" s="92"/>
      <c r="M144" s="92"/>
      <c r="N144" s="726"/>
      <c r="O144" s="726"/>
      <c r="P144" s="726"/>
      <c r="Q144" s="726"/>
      <c r="R144" s="726"/>
      <c r="S144" s="726"/>
      <c r="T144" s="726"/>
      <c r="U144" s="726"/>
      <c r="V144" s="726"/>
      <c r="W144" s="726"/>
      <c r="X144" s="726"/>
      <c r="Y144" s="763"/>
      <c r="Z144" s="763"/>
      <c r="AA144" s="152"/>
      <c r="AB144" s="708"/>
      <c r="AC144" s="708"/>
      <c r="AD144" s="146"/>
      <c r="AE144" s="146"/>
      <c r="AF144" s="146"/>
      <c r="AG144" s="708"/>
    </row>
    <row r="145" ht="24.95" customHeight="1" spans="1:33">
      <c r="A145" s="705">
        <v>10</v>
      </c>
      <c r="B145" s="708" t="s">
        <v>158</v>
      </c>
      <c r="C145" s="708"/>
      <c r="D145" s="709" t="s">
        <v>159</v>
      </c>
      <c r="E145" s="708">
        <f>E146+E147</f>
        <v>24</v>
      </c>
      <c r="F145" s="708"/>
      <c r="G145" s="708">
        <f t="shared" ref="F145:AA145" si="20">G146+G147</f>
        <v>0</v>
      </c>
      <c r="H145" s="708">
        <f t="shared" si="20"/>
        <v>33041.5</v>
      </c>
      <c r="I145" s="708">
        <f t="shared" si="20"/>
        <v>0</v>
      </c>
      <c r="J145" s="708">
        <f t="shared" si="20"/>
        <v>33041.5</v>
      </c>
      <c r="K145" s="708">
        <f t="shared" si="20"/>
        <v>0</v>
      </c>
      <c r="L145" s="708"/>
      <c r="M145" s="708"/>
      <c r="N145" s="726">
        <f t="shared" si="20"/>
        <v>1570</v>
      </c>
      <c r="O145" s="726">
        <f t="shared" si="20"/>
        <v>0</v>
      </c>
      <c r="P145" s="726">
        <f t="shared" si="20"/>
        <v>1570</v>
      </c>
      <c r="Q145" s="726">
        <f t="shared" si="20"/>
        <v>0</v>
      </c>
      <c r="R145" s="726">
        <f t="shared" si="20"/>
        <v>0</v>
      </c>
      <c r="S145" s="726">
        <f t="shared" si="20"/>
        <v>1570</v>
      </c>
      <c r="T145" s="726">
        <f t="shared" si="20"/>
        <v>0</v>
      </c>
      <c r="U145" s="726">
        <f t="shared" si="20"/>
        <v>0</v>
      </c>
      <c r="V145" s="726">
        <f t="shared" si="20"/>
        <v>0</v>
      </c>
      <c r="W145" s="708">
        <f t="shared" si="20"/>
        <v>0</v>
      </c>
      <c r="X145" s="708">
        <f t="shared" si="20"/>
        <v>0</v>
      </c>
      <c r="Y145" s="708">
        <f t="shared" si="20"/>
        <v>6338</v>
      </c>
      <c r="Z145" s="708">
        <f t="shared" si="20"/>
        <v>27253.4</v>
      </c>
      <c r="AA145" s="708">
        <f t="shared" si="20"/>
        <v>24</v>
      </c>
      <c r="AB145" s="708"/>
      <c r="AC145" s="708"/>
      <c r="AD145" s="708"/>
      <c r="AE145" s="708"/>
      <c r="AF145" s="708" t="s">
        <v>160</v>
      </c>
      <c r="AG145" s="708" t="s">
        <v>41</v>
      </c>
    </row>
    <row r="146" s="570" customFormat="1" ht="50" customHeight="1" spans="1:33">
      <c r="A146" s="705"/>
      <c r="B146" s="755" t="s">
        <v>161</v>
      </c>
      <c r="C146" s="146" t="s">
        <v>162</v>
      </c>
      <c r="D146" s="152" t="s">
        <v>163</v>
      </c>
      <c r="E146" s="708"/>
      <c r="F146" s="708"/>
      <c r="G146" s="708"/>
      <c r="H146" s="708"/>
      <c r="I146" s="708"/>
      <c r="J146" s="708"/>
      <c r="K146" s="708"/>
      <c r="L146" s="92"/>
      <c r="M146" s="92"/>
      <c r="N146" s="726"/>
      <c r="O146" s="726"/>
      <c r="P146" s="726"/>
      <c r="Q146" s="726"/>
      <c r="R146" s="726"/>
      <c r="S146" s="726"/>
      <c r="T146" s="726"/>
      <c r="U146" s="726"/>
      <c r="V146" s="726"/>
      <c r="W146" s="726"/>
      <c r="X146" s="726"/>
      <c r="Y146" s="726"/>
      <c r="Z146" s="726"/>
      <c r="AA146" s="708"/>
      <c r="AB146" s="708"/>
      <c r="AC146" s="708"/>
      <c r="AD146" s="141"/>
      <c r="AE146" s="146"/>
      <c r="AF146" s="708"/>
      <c r="AG146" s="146"/>
    </row>
    <row r="147" s="570" customFormat="1" ht="41" customHeight="1" spans="1:33">
      <c r="A147" s="705" t="s">
        <v>48</v>
      </c>
      <c r="B147" s="755" t="s">
        <v>164</v>
      </c>
      <c r="C147" s="146" t="s">
        <v>162</v>
      </c>
      <c r="D147" s="152" t="s">
        <v>163</v>
      </c>
      <c r="E147" s="92">
        <f>SUM(E148:E160)</f>
        <v>24</v>
      </c>
      <c r="F147" s="92">
        <f t="shared" ref="F147:AA147" si="21">SUM(F148:F160)</f>
        <v>0</v>
      </c>
      <c r="G147" s="92">
        <f t="shared" si="21"/>
        <v>0</v>
      </c>
      <c r="H147" s="92">
        <f t="shared" si="21"/>
        <v>33041.5</v>
      </c>
      <c r="I147" s="92">
        <f t="shared" si="21"/>
        <v>0</v>
      </c>
      <c r="J147" s="92">
        <f t="shared" si="21"/>
        <v>33041.5</v>
      </c>
      <c r="K147" s="92">
        <f t="shared" si="21"/>
        <v>0</v>
      </c>
      <c r="L147" s="92"/>
      <c r="M147" s="92"/>
      <c r="N147" s="724">
        <f t="shared" si="21"/>
        <v>1570</v>
      </c>
      <c r="O147" s="724">
        <f t="shared" si="21"/>
        <v>0</v>
      </c>
      <c r="P147" s="724">
        <f t="shared" si="21"/>
        <v>1570</v>
      </c>
      <c r="Q147" s="724">
        <f t="shared" si="21"/>
        <v>0</v>
      </c>
      <c r="R147" s="724">
        <f t="shared" si="21"/>
        <v>0</v>
      </c>
      <c r="S147" s="724">
        <f t="shared" si="21"/>
        <v>1570</v>
      </c>
      <c r="T147" s="724">
        <f t="shared" si="21"/>
        <v>0</v>
      </c>
      <c r="U147" s="724">
        <f t="shared" si="21"/>
        <v>0</v>
      </c>
      <c r="V147" s="724">
        <f t="shared" si="21"/>
        <v>0</v>
      </c>
      <c r="W147" s="92">
        <f t="shared" si="21"/>
        <v>0</v>
      </c>
      <c r="X147" s="92">
        <f t="shared" si="21"/>
        <v>0</v>
      </c>
      <c r="Y147" s="92">
        <f t="shared" si="21"/>
        <v>6338</v>
      </c>
      <c r="Z147" s="92">
        <f t="shared" si="21"/>
        <v>27253.4</v>
      </c>
      <c r="AA147" s="92">
        <f t="shared" si="21"/>
        <v>24</v>
      </c>
      <c r="AB147" s="92"/>
      <c r="AC147" s="92"/>
      <c r="AD147" s="141" t="s">
        <v>165</v>
      </c>
      <c r="AE147" s="146" t="s">
        <v>166</v>
      </c>
      <c r="AF147" s="708" t="s">
        <v>160</v>
      </c>
      <c r="AG147" s="92"/>
    </row>
    <row r="148" s="694" customFormat="1" ht="41" customHeight="1" spans="1:33">
      <c r="A148" s="705"/>
      <c r="B148" s="822" t="s">
        <v>69</v>
      </c>
      <c r="C148" s="146" t="s">
        <v>162</v>
      </c>
      <c r="D148" s="152" t="s">
        <v>163</v>
      </c>
      <c r="E148" s="92">
        <v>1</v>
      </c>
      <c r="F148" s="822" t="s">
        <v>69</v>
      </c>
      <c r="G148" s="92"/>
      <c r="H148" s="822">
        <v>1143</v>
      </c>
      <c r="I148" s="92"/>
      <c r="J148" s="822">
        <v>1143</v>
      </c>
      <c r="K148" s="92"/>
      <c r="L148" s="92">
        <v>2019.01</v>
      </c>
      <c r="M148" s="92">
        <v>2019.12</v>
      </c>
      <c r="N148" s="146">
        <v>54</v>
      </c>
      <c r="O148" s="92"/>
      <c r="P148" s="146">
        <v>54</v>
      </c>
      <c r="Q148" s="92"/>
      <c r="R148" s="92"/>
      <c r="S148" s="146">
        <v>54</v>
      </c>
      <c r="T148" s="92"/>
      <c r="U148" s="92"/>
      <c r="V148" s="92"/>
      <c r="W148" s="92"/>
      <c r="X148" s="92"/>
      <c r="Y148" s="738">
        <v>243</v>
      </c>
      <c r="Z148" s="738">
        <v>1044.9</v>
      </c>
      <c r="AA148" s="92">
        <v>1</v>
      </c>
      <c r="AB148" s="92"/>
      <c r="AC148" s="92"/>
      <c r="AD148" s="141" t="s">
        <v>167</v>
      </c>
      <c r="AE148" s="146" t="s">
        <v>168</v>
      </c>
      <c r="AF148" s="708" t="s">
        <v>160</v>
      </c>
      <c r="AG148" s="92"/>
    </row>
    <row r="149" s="694" customFormat="1" ht="41" customHeight="1" spans="1:33">
      <c r="A149" s="705"/>
      <c r="B149" s="822" t="s">
        <v>51</v>
      </c>
      <c r="C149" s="146" t="s">
        <v>162</v>
      </c>
      <c r="D149" s="152" t="s">
        <v>163</v>
      </c>
      <c r="E149" s="92">
        <v>1</v>
      </c>
      <c r="F149" s="822" t="s">
        <v>51</v>
      </c>
      <c r="G149" s="92"/>
      <c r="H149" s="822">
        <v>1795.1</v>
      </c>
      <c r="I149" s="92"/>
      <c r="J149" s="822">
        <v>1795.1</v>
      </c>
      <c r="K149" s="92"/>
      <c r="L149" s="92">
        <v>2019.01</v>
      </c>
      <c r="M149" s="92">
        <v>2019.12</v>
      </c>
      <c r="N149" s="146">
        <v>85</v>
      </c>
      <c r="O149" s="92"/>
      <c r="P149" s="146">
        <v>85</v>
      </c>
      <c r="Q149" s="92"/>
      <c r="R149" s="92"/>
      <c r="S149" s="146">
        <v>85</v>
      </c>
      <c r="T149" s="92"/>
      <c r="U149" s="92"/>
      <c r="V149" s="92"/>
      <c r="W149" s="92"/>
      <c r="X149" s="92"/>
      <c r="Y149" s="738">
        <v>380</v>
      </c>
      <c r="Z149" s="738">
        <v>1634</v>
      </c>
      <c r="AA149" s="92">
        <v>1</v>
      </c>
      <c r="AB149" s="92"/>
      <c r="AC149" s="92"/>
      <c r="AD149" s="141" t="s">
        <v>169</v>
      </c>
      <c r="AE149" s="146" t="s">
        <v>170</v>
      </c>
      <c r="AF149" s="708" t="s">
        <v>160</v>
      </c>
      <c r="AG149" s="92"/>
    </row>
    <row r="150" s="694" customFormat="1" ht="41" customHeight="1" spans="1:33">
      <c r="A150" s="705"/>
      <c r="B150" s="822" t="s">
        <v>72</v>
      </c>
      <c r="C150" s="146" t="s">
        <v>162</v>
      </c>
      <c r="D150" s="152" t="s">
        <v>163</v>
      </c>
      <c r="E150" s="92">
        <v>1</v>
      </c>
      <c r="F150" s="822" t="s">
        <v>72</v>
      </c>
      <c r="G150" s="92"/>
      <c r="H150" s="822">
        <v>3285.6</v>
      </c>
      <c r="I150" s="92"/>
      <c r="J150" s="822">
        <v>3285.6</v>
      </c>
      <c r="K150" s="92"/>
      <c r="L150" s="92">
        <v>2019.01</v>
      </c>
      <c r="M150" s="92">
        <v>2019.12</v>
      </c>
      <c r="N150" s="146">
        <v>156</v>
      </c>
      <c r="O150" s="92"/>
      <c r="P150" s="146">
        <v>156</v>
      </c>
      <c r="Q150" s="92"/>
      <c r="R150" s="92"/>
      <c r="S150" s="146">
        <v>156</v>
      </c>
      <c r="T150" s="92"/>
      <c r="U150" s="92"/>
      <c r="V150" s="92"/>
      <c r="W150" s="92"/>
      <c r="X150" s="92"/>
      <c r="Y150" s="738">
        <v>724</v>
      </c>
      <c r="Z150" s="738">
        <v>3113.2</v>
      </c>
      <c r="AA150" s="92">
        <v>1</v>
      </c>
      <c r="AB150" s="92"/>
      <c r="AC150" s="92"/>
      <c r="AD150" s="141" t="s">
        <v>171</v>
      </c>
      <c r="AE150" s="146" t="s">
        <v>172</v>
      </c>
      <c r="AF150" s="708" t="s">
        <v>160</v>
      </c>
      <c r="AG150" s="92"/>
    </row>
    <row r="151" s="694" customFormat="1" ht="41" customHeight="1" spans="1:33">
      <c r="A151" s="705"/>
      <c r="B151" s="822" t="s">
        <v>91</v>
      </c>
      <c r="C151" s="146" t="s">
        <v>162</v>
      </c>
      <c r="D151" s="152" t="s">
        <v>163</v>
      </c>
      <c r="E151" s="92">
        <v>1</v>
      </c>
      <c r="F151" s="822" t="s">
        <v>91</v>
      </c>
      <c r="G151" s="92"/>
      <c r="H151" s="822">
        <v>3356.7</v>
      </c>
      <c r="I151" s="92"/>
      <c r="J151" s="822">
        <v>3356.7</v>
      </c>
      <c r="K151" s="92"/>
      <c r="L151" s="92">
        <v>2019.01</v>
      </c>
      <c r="M151" s="92">
        <v>2019.12</v>
      </c>
      <c r="N151" s="146">
        <v>159</v>
      </c>
      <c r="O151" s="92"/>
      <c r="P151" s="146">
        <v>159</v>
      </c>
      <c r="Q151" s="92"/>
      <c r="R151" s="92"/>
      <c r="S151" s="146">
        <v>159</v>
      </c>
      <c r="T151" s="92"/>
      <c r="U151" s="92"/>
      <c r="V151" s="92"/>
      <c r="W151" s="92"/>
      <c r="X151" s="92"/>
      <c r="Y151" s="738">
        <v>717</v>
      </c>
      <c r="Z151" s="738">
        <v>3083.1</v>
      </c>
      <c r="AA151" s="92">
        <v>1</v>
      </c>
      <c r="AB151" s="92"/>
      <c r="AC151" s="92"/>
      <c r="AD151" s="141" t="s">
        <v>82</v>
      </c>
      <c r="AE151" s="146" t="s">
        <v>173</v>
      </c>
      <c r="AF151" s="708" t="s">
        <v>160</v>
      </c>
      <c r="AG151" s="92"/>
    </row>
    <row r="152" s="694" customFormat="1" ht="41" customHeight="1" spans="1:33">
      <c r="A152" s="705"/>
      <c r="B152" s="822" t="s">
        <v>55</v>
      </c>
      <c r="C152" s="146" t="s">
        <v>162</v>
      </c>
      <c r="D152" s="152" t="s">
        <v>163</v>
      </c>
      <c r="E152" s="92">
        <v>1</v>
      </c>
      <c r="F152" s="822" t="s">
        <v>55</v>
      </c>
      <c r="G152" s="92"/>
      <c r="H152" s="822">
        <v>2982.7</v>
      </c>
      <c r="I152" s="92"/>
      <c r="J152" s="822">
        <v>2982.7</v>
      </c>
      <c r="K152" s="92"/>
      <c r="L152" s="92">
        <v>2019.01</v>
      </c>
      <c r="M152" s="92">
        <v>2019.12</v>
      </c>
      <c r="N152" s="146">
        <v>142</v>
      </c>
      <c r="O152" s="92"/>
      <c r="P152" s="146">
        <v>142</v>
      </c>
      <c r="Q152" s="92"/>
      <c r="R152" s="92"/>
      <c r="S152" s="146">
        <v>142</v>
      </c>
      <c r="T152" s="92"/>
      <c r="U152" s="92"/>
      <c r="V152" s="92"/>
      <c r="W152" s="92"/>
      <c r="X152" s="92"/>
      <c r="Y152" s="738">
        <v>722</v>
      </c>
      <c r="Z152" s="738">
        <v>3104.6</v>
      </c>
      <c r="AA152" s="92">
        <v>1</v>
      </c>
      <c r="AB152" s="92"/>
      <c r="AC152" s="92"/>
      <c r="AD152" s="141" t="s">
        <v>174</v>
      </c>
      <c r="AE152" s="146" t="s">
        <v>175</v>
      </c>
      <c r="AF152" s="708" t="s">
        <v>160</v>
      </c>
      <c r="AG152" s="92"/>
    </row>
    <row r="153" s="694" customFormat="1" ht="41" customHeight="1" spans="1:33">
      <c r="A153" s="705"/>
      <c r="B153" s="822" t="s">
        <v>75</v>
      </c>
      <c r="C153" s="146" t="s">
        <v>162</v>
      </c>
      <c r="D153" s="152" t="s">
        <v>163</v>
      </c>
      <c r="E153" s="92">
        <v>1</v>
      </c>
      <c r="F153" s="822" t="s">
        <v>75</v>
      </c>
      <c r="G153" s="92"/>
      <c r="H153" s="822">
        <v>3661.5</v>
      </c>
      <c r="I153" s="92"/>
      <c r="J153" s="822">
        <v>3661.5</v>
      </c>
      <c r="K153" s="92"/>
      <c r="L153" s="92">
        <v>2019.01</v>
      </c>
      <c r="M153" s="92">
        <v>2019.12</v>
      </c>
      <c r="N153" s="146">
        <v>174</v>
      </c>
      <c r="O153" s="92"/>
      <c r="P153" s="146">
        <v>174</v>
      </c>
      <c r="Q153" s="92"/>
      <c r="R153" s="92"/>
      <c r="S153" s="146">
        <v>174</v>
      </c>
      <c r="T153" s="92"/>
      <c r="U153" s="92"/>
      <c r="V153" s="92"/>
      <c r="W153" s="92"/>
      <c r="X153" s="92"/>
      <c r="Y153" s="738">
        <v>741</v>
      </c>
      <c r="Z153" s="738">
        <v>3186.3</v>
      </c>
      <c r="AA153" s="92">
        <v>1</v>
      </c>
      <c r="AB153" s="92"/>
      <c r="AC153" s="92"/>
      <c r="AD153" s="141" t="s">
        <v>176</v>
      </c>
      <c r="AE153" s="146" t="s">
        <v>177</v>
      </c>
      <c r="AF153" s="708" t="s">
        <v>160</v>
      </c>
      <c r="AG153" s="92"/>
    </row>
    <row r="154" s="694" customFormat="1" ht="41" customHeight="1" spans="1:33">
      <c r="A154" s="705"/>
      <c r="B154" s="822" t="s">
        <v>58</v>
      </c>
      <c r="C154" s="146" t="s">
        <v>162</v>
      </c>
      <c r="D154" s="152" t="s">
        <v>163</v>
      </c>
      <c r="E154" s="92">
        <v>1</v>
      </c>
      <c r="F154" s="822" t="s">
        <v>58</v>
      </c>
      <c r="G154" s="92"/>
      <c r="H154" s="822">
        <v>1108</v>
      </c>
      <c r="I154" s="92"/>
      <c r="J154" s="822">
        <v>1108</v>
      </c>
      <c r="K154" s="92"/>
      <c r="L154" s="92">
        <v>2019.01</v>
      </c>
      <c r="M154" s="92">
        <v>2019.12</v>
      </c>
      <c r="N154" s="146">
        <v>53</v>
      </c>
      <c r="O154" s="92"/>
      <c r="P154" s="146">
        <v>53</v>
      </c>
      <c r="Q154" s="92"/>
      <c r="R154" s="92"/>
      <c r="S154" s="146">
        <v>53</v>
      </c>
      <c r="T154" s="92"/>
      <c r="U154" s="92"/>
      <c r="V154" s="92"/>
      <c r="W154" s="92"/>
      <c r="X154" s="92"/>
      <c r="Y154" s="738">
        <v>225</v>
      </c>
      <c r="Z154" s="738">
        <v>967.5</v>
      </c>
      <c r="AA154" s="92">
        <v>1</v>
      </c>
      <c r="AB154" s="92"/>
      <c r="AC154" s="92"/>
      <c r="AD154" s="141" t="s">
        <v>178</v>
      </c>
      <c r="AE154" s="146" t="s">
        <v>179</v>
      </c>
      <c r="AF154" s="708" t="s">
        <v>160</v>
      </c>
      <c r="AG154" s="92"/>
    </row>
    <row r="155" s="694" customFormat="1" ht="41" customHeight="1" spans="1:33">
      <c r="A155" s="705"/>
      <c r="B155" s="822" t="s">
        <v>61</v>
      </c>
      <c r="C155" s="146" t="s">
        <v>162</v>
      </c>
      <c r="D155" s="152" t="s">
        <v>163</v>
      </c>
      <c r="E155" s="92">
        <v>1</v>
      </c>
      <c r="F155" s="822" t="s">
        <v>61</v>
      </c>
      <c r="G155" s="92"/>
      <c r="H155" s="822">
        <v>6485.5</v>
      </c>
      <c r="I155" s="92"/>
      <c r="J155" s="822">
        <v>6485.5</v>
      </c>
      <c r="K155" s="92"/>
      <c r="L155" s="92">
        <v>2019.01</v>
      </c>
      <c r="M155" s="92">
        <v>2019.12</v>
      </c>
      <c r="N155" s="146">
        <v>308</v>
      </c>
      <c r="O155" s="92"/>
      <c r="P155" s="146">
        <v>308</v>
      </c>
      <c r="Q155" s="92"/>
      <c r="R155" s="92"/>
      <c r="S155" s="146">
        <v>308</v>
      </c>
      <c r="T155" s="92"/>
      <c r="U155" s="92"/>
      <c r="V155" s="92"/>
      <c r="W155" s="92"/>
      <c r="X155" s="92"/>
      <c r="Y155" s="738">
        <v>1312</v>
      </c>
      <c r="Z155" s="738">
        <v>5641.6</v>
      </c>
      <c r="AA155" s="92">
        <v>1</v>
      </c>
      <c r="AB155" s="92"/>
      <c r="AC155" s="92"/>
      <c r="AD155" s="141" t="s">
        <v>180</v>
      </c>
      <c r="AE155" s="146" t="s">
        <v>181</v>
      </c>
      <c r="AF155" s="708" t="s">
        <v>160</v>
      </c>
      <c r="AG155" s="92"/>
    </row>
    <row r="156" s="694" customFormat="1" ht="41" customHeight="1" spans="1:33">
      <c r="A156" s="705"/>
      <c r="B156" s="822" t="s">
        <v>78</v>
      </c>
      <c r="C156" s="146" t="s">
        <v>162</v>
      </c>
      <c r="D156" s="152" t="s">
        <v>163</v>
      </c>
      <c r="E156" s="92">
        <v>1</v>
      </c>
      <c r="F156" s="822" t="s">
        <v>78</v>
      </c>
      <c r="G156" s="92"/>
      <c r="H156" s="822">
        <v>1870</v>
      </c>
      <c r="I156" s="92"/>
      <c r="J156" s="822">
        <v>1870</v>
      </c>
      <c r="K156" s="92"/>
      <c r="L156" s="92">
        <v>2019.01</v>
      </c>
      <c r="M156" s="92">
        <v>2019.12</v>
      </c>
      <c r="N156" s="146">
        <v>89</v>
      </c>
      <c r="O156" s="92"/>
      <c r="P156" s="146">
        <v>89</v>
      </c>
      <c r="Q156" s="92"/>
      <c r="R156" s="92"/>
      <c r="S156" s="146">
        <v>89</v>
      </c>
      <c r="T156" s="92"/>
      <c r="U156" s="92"/>
      <c r="V156" s="92"/>
      <c r="W156" s="92"/>
      <c r="X156" s="92"/>
      <c r="Y156" s="738">
        <v>385</v>
      </c>
      <c r="Z156" s="738">
        <v>1655.5</v>
      </c>
      <c r="AA156" s="92">
        <v>1</v>
      </c>
      <c r="AB156" s="92"/>
      <c r="AC156" s="92"/>
      <c r="AD156" s="141" t="s">
        <v>79</v>
      </c>
      <c r="AE156" s="146" t="s">
        <v>182</v>
      </c>
      <c r="AF156" s="708" t="s">
        <v>160</v>
      </c>
      <c r="AG156" s="92"/>
    </row>
    <row r="157" s="694" customFormat="1" ht="41" customHeight="1" spans="1:33">
      <c r="A157" s="705"/>
      <c r="B157" s="822" t="s">
        <v>114</v>
      </c>
      <c r="C157" s="146" t="s">
        <v>162</v>
      </c>
      <c r="D157" s="152" t="s">
        <v>163</v>
      </c>
      <c r="E157" s="92">
        <v>1</v>
      </c>
      <c r="F157" s="822" t="s">
        <v>114</v>
      </c>
      <c r="G157" s="92"/>
      <c r="H157" s="822">
        <v>625</v>
      </c>
      <c r="I157" s="92"/>
      <c r="J157" s="822">
        <v>625</v>
      </c>
      <c r="K157" s="92"/>
      <c r="L157" s="92">
        <v>2019.01</v>
      </c>
      <c r="M157" s="92">
        <v>2019.12</v>
      </c>
      <c r="N157" s="146">
        <v>30</v>
      </c>
      <c r="O157" s="92"/>
      <c r="P157" s="146">
        <v>30</v>
      </c>
      <c r="Q157" s="92"/>
      <c r="R157" s="92"/>
      <c r="S157" s="146">
        <v>30</v>
      </c>
      <c r="T157" s="92"/>
      <c r="U157" s="92"/>
      <c r="V157" s="92"/>
      <c r="W157" s="92"/>
      <c r="X157" s="92"/>
      <c r="Y157" s="738">
        <v>126</v>
      </c>
      <c r="Z157" s="738">
        <v>541.8</v>
      </c>
      <c r="AA157" s="92">
        <v>1</v>
      </c>
      <c r="AB157" s="92"/>
      <c r="AC157" s="92"/>
      <c r="AD157" s="141" t="s">
        <v>183</v>
      </c>
      <c r="AE157" s="146" t="s">
        <v>184</v>
      </c>
      <c r="AF157" s="708" t="s">
        <v>160</v>
      </c>
      <c r="AG157" s="92"/>
    </row>
    <row r="158" s="694" customFormat="1" ht="41" customHeight="1" spans="1:33">
      <c r="A158" s="705"/>
      <c r="B158" s="822" t="s">
        <v>64</v>
      </c>
      <c r="C158" s="146" t="s">
        <v>162</v>
      </c>
      <c r="D158" s="152" t="s">
        <v>163</v>
      </c>
      <c r="E158" s="92">
        <v>1</v>
      </c>
      <c r="F158" s="822" t="s">
        <v>64</v>
      </c>
      <c r="G158" s="92"/>
      <c r="H158" s="822">
        <v>2553.4</v>
      </c>
      <c r="I158" s="92"/>
      <c r="J158" s="822">
        <v>2553.4</v>
      </c>
      <c r="K158" s="92"/>
      <c r="L158" s="92">
        <v>2019.01</v>
      </c>
      <c r="M158" s="92">
        <v>2019.12</v>
      </c>
      <c r="N158" s="146">
        <v>121</v>
      </c>
      <c r="O158" s="92"/>
      <c r="P158" s="146">
        <v>121</v>
      </c>
      <c r="Q158" s="92"/>
      <c r="R158" s="92"/>
      <c r="S158" s="146">
        <v>121</v>
      </c>
      <c r="T158" s="92"/>
      <c r="U158" s="92"/>
      <c r="V158" s="92"/>
      <c r="W158" s="92"/>
      <c r="X158" s="92"/>
      <c r="Y158" s="738">
        <v>527</v>
      </c>
      <c r="Z158" s="738">
        <v>2266.1</v>
      </c>
      <c r="AA158" s="92">
        <v>1</v>
      </c>
      <c r="AB158" s="92"/>
      <c r="AC158" s="92"/>
      <c r="AD158" s="141" t="s">
        <v>185</v>
      </c>
      <c r="AE158" s="146" t="s">
        <v>186</v>
      </c>
      <c r="AF158" s="708" t="s">
        <v>160</v>
      </c>
      <c r="AG158" s="92"/>
    </row>
    <row r="159" s="694" customFormat="1" ht="41" customHeight="1" spans="1:33">
      <c r="A159" s="705"/>
      <c r="B159" s="822" t="s">
        <v>92</v>
      </c>
      <c r="C159" s="146" t="s">
        <v>162</v>
      </c>
      <c r="D159" s="152" t="s">
        <v>163</v>
      </c>
      <c r="E159" s="92">
        <v>1</v>
      </c>
      <c r="F159" s="822" t="s">
        <v>92</v>
      </c>
      <c r="G159" s="92"/>
      <c r="H159" s="822">
        <v>1175</v>
      </c>
      <c r="I159" s="92"/>
      <c r="J159" s="822">
        <v>1175</v>
      </c>
      <c r="K159" s="92"/>
      <c r="L159" s="92">
        <v>2019.01</v>
      </c>
      <c r="M159" s="92">
        <v>2019.12</v>
      </c>
      <c r="N159" s="146">
        <v>56</v>
      </c>
      <c r="O159" s="92"/>
      <c r="P159" s="146">
        <v>56</v>
      </c>
      <c r="Q159" s="92"/>
      <c r="R159" s="92"/>
      <c r="S159" s="146">
        <v>56</v>
      </c>
      <c r="T159" s="92"/>
      <c r="U159" s="92"/>
      <c r="V159" s="92"/>
      <c r="W159" s="92"/>
      <c r="X159" s="92"/>
      <c r="Y159" s="738">
        <v>236</v>
      </c>
      <c r="Z159" s="738">
        <v>1014.8</v>
      </c>
      <c r="AA159" s="92">
        <v>1</v>
      </c>
      <c r="AB159" s="92"/>
      <c r="AC159" s="92"/>
      <c r="AD159" s="141" t="s">
        <v>187</v>
      </c>
      <c r="AE159" s="146" t="s">
        <v>188</v>
      </c>
      <c r="AF159" s="708" t="s">
        <v>160</v>
      </c>
      <c r="AG159" s="92"/>
    </row>
    <row r="160" ht="24.95" customHeight="1" spans="1:33">
      <c r="A160" s="705" t="s">
        <v>48</v>
      </c>
      <c r="B160" s="823" t="s">
        <v>189</v>
      </c>
      <c r="C160" s="146" t="s">
        <v>162</v>
      </c>
      <c r="D160" s="76" t="s">
        <v>163</v>
      </c>
      <c r="E160" s="92">
        <v>12</v>
      </c>
      <c r="F160" s="92" t="s">
        <v>643</v>
      </c>
      <c r="G160" s="92"/>
      <c r="H160" s="92">
        <v>3000</v>
      </c>
      <c r="I160" s="92"/>
      <c r="J160" s="738">
        <v>3000</v>
      </c>
      <c r="K160" s="738"/>
      <c r="L160" s="92">
        <v>2019.01</v>
      </c>
      <c r="M160" s="92">
        <v>2019.12</v>
      </c>
      <c r="N160" s="724">
        <v>143</v>
      </c>
      <c r="O160" s="724"/>
      <c r="P160" s="724">
        <v>143</v>
      </c>
      <c r="Q160" s="724"/>
      <c r="R160" s="92"/>
      <c r="S160" s="92">
        <v>143</v>
      </c>
      <c r="T160" s="92"/>
      <c r="U160" s="92"/>
      <c r="V160" s="92"/>
      <c r="W160" s="92"/>
      <c r="X160" s="92"/>
      <c r="Y160" s="92"/>
      <c r="Z160" s="92"/>
      <c r="AA160" s="92">
        <v>12</v>
      </c>
      <c r="AB160" s="92"/>
      <c r="AC160" s="92"/>
      <c r="AD160" s="141" t="s">
        <v>165</v>
      </c>
      <c r="AE160" s="146" t="s">
        <v>166</v>
      </c>
      <c r="AF160" s="708" t="s">
        <v>160</v>
      </c>
      <c r="AG160" s="92"/>
    </row>
    <row r="161" ht="24.95" customHeight="1" spans="1:33">
      <c r="A161" s="705">
        <v>11</v>
      </c>
      <c r="B161" s="708" t="s">
        <v>190</v>
      </c>
      <c r="C161" s="708"/>
      <c r="D161" s="709"/>
      <c r="E161" s="708"/>
      <c r="F161" s="708"/>
      <c r="G161" s="708"/>
      <c r="H161" s="708"/>
      <c r="I161" s="708"/>
      <c r="J161" s="708"/>
      <c r="K161" s="708"/>
      <c r="L161" s="708"/>
      <c r="M161" s="708"/>
      <c r="N161" s="726"/>
      <c r="O161" s="726"/>
      <c r="P161" s="726"/>
      <c r="Q161" s="726"/>
      <c r="R161" s="726"/>
      <c r="S161" s="726"/>
      <c r="T161" s="726"/>
      <c r="U161" s="726"/>
      <c r="V161" s="726"/>
      <c r="W161" s="726"/>
      <c r="X161" s="726"/>
      <c r="Y161" s="726"/>
      <c r="Z161" s="726"/>
      <c r="AA161" s="708"/>
      <c r="AB161" s="708"/>
      <c r="AC161" s="708"/>
      <c r="AD161" s="708"/>
      <c r="AE161" s="708"/>
      <c r="AF161" s="708"/>
      <c r="AG161" s="708"/>
    </row>
    <row r="162" ht="25" customHeight="1" spans="1:33">
      <c r="A162" s="705" t="s">
        <v>48</v>
      </c>
      <c r="B162" s="92" t="s">
        <v>191</v>
      </c>
      <c r="C162" s="92"/>
      <c r="D162" s="76" t="s">
        <v>192</v>
      </c>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row>
    <row r="163" ht="24.95" customHeight="1" spans="1:33">
      <c r="A163" s="705">
        <v>13</v>
      </c>
      <c r="B163" s="708" t="s">
        <v>193</v>
      </c>
      <c r="C163" s="708"/>
      <c r="D163" s="709" t="s">
        <v>194</v>
      </c>
      <c r="E163" s="708"/>
      <c r="F163" s="708"/>
      <c r="G163" s="708"/>
      <c r="H163" s="708"/>
      <c r="I163" s="708"/>
      <c r="J163" s="708"/>
      <c r="K163" s="708"/>
      <c r="L163" s="708"/>
      <c r="M163" s="708"/>
      <c r="N163" s="726"/>
      <c r="O163" s="726"/>
      <c r="P163" s="726"/>
      <c r="Q163" s="726"/>
      <c r="R163" s="726"/>
      <c r="S163" s="726"/>
      <c r="T163" s="726"/>
      <c r="U163" s="726"/>
      <c r="V163" s="726"/>
      <c r="W163" s="761"/>
      <c r="X163" s="761"/>
      <c r="Y163" s="761"/>
      <c r="Z163" s="761"/>
      <c r="AA163" s="764"/>
      <c r="AB163" s="708"/>
      <c r="AC163" s="708"/>
      <c r="AD163" s="708"/>
      <c r="AE163" s="708"/>
      <c r="AF163" s="708" t="s">
        <v>195</v>
      </c>
      <c r="AG163" s="708"/>
    </row>
    <row r="164" ht="32.1" customHeight="1" spans="1:33">
      <c r="A164" s="705">
        <v>19</v>
      </c>
      <c r="B164" s="708" t="s">
        <v>196</v>
      </c>
      <c r="C164" s="708"/>
      <c r="D164" s="709"/>
      <c r="E164" s="708">
        <f>E165</f>
        <v>53</v>
      </c>
      <c r="F164" s="708">
        <f t="shared" ref="F164:AA164" si="22">F165</f>
        <v>0</v>
      </c>
      <c r="G164" s="708">
        <f t="shared" si="22"/>
        <v>0</v>
      </c>
      <c r="H164" s="708">
        <f t="shared" si="22"/>
        <v>53</v>
      </c>
      <c r="I164" s="708">
        <f t="shared" si="22"/>
        <v>0</v>
      </c>
      <c r="J164" s="708">
        <f t="shared" si="22"/>
        <v>53</v>
      </c>
      <c r="K164" s="708">
        <f t="shared" si="22"/>
        <v>0</v>
      </c>
      <c r="L164" s="708">
        <f t="shared" si="22"/>
        <v>0</v>
      </c>
      <c r="M164" s="708">
        <f t="shared" si="22"/>
        <v>0</v>
      </c>
      <c r="N164" s="726">
        <f t="shared" si="22"/>
        <v>3710</v>
      </c>
      <c r="O164" s="726">
        <f t="shared" si="22"/>
        <v>0</v>
      </c>
      <c r="P164" s="726">
        <f t="shared" si="22"/>
        <v>3710</v>
      </c>
      <c r="Q164" s="726">
        <f t="shared" si="22"/>
        <v>0</v>
      </c>
      <c r="R164" s="726">
        <f t="shared" si="22"/>
        <v>0</v>
      </c>
      <c r="S164" s="726">
        <f t="shared" si="22"/>
        <v>3710</v>
      </c>
      <c r="T164" s="726">
        <f t="shared" si="22"/>
        <v>0</v>
      </c>
      <c r="U164" s="726">
        <f t="shared" si="22"/>
        <v>0</v>
      </c>
      <c r="V164" s="726">
        <f t="shared" si="22"/>
        <v>0</v>
      </c>
      <c r="W164" s="726">
        <f t="shared" si="22"/>
        <v>0</v>
      </c>
      <c r="X164" s="726">
        <f t="shared" si="22"/>
        <v>0</v>
      </c>
      <c r="Y164" s="708">
        <f t="shared" si="22"/>
        <v>4981</v>
      </c>
      <c r="Z164" s="763">
        <f t="shared" si="22"/>
        <v>21437.1</v>
      </c>
      <c r="AA164" s="708">
        <f t="shared" si="22"/>
        <v>53</v>
      </c>
      <c r="AB164" s="708"/>
      <c r="AC164" s="708"/>
      <c r="AD164" s="708"/>
      <c r="AE164" s="708"/>
      <c r="AF164" s="708"/>
      <c r="AG164" s="708" t="s">
        <v>41</v>
      </c>
    </row>
    <row r="165" ht="24.95" customHeight="1" spans="1:33">
      <c r="A165" s="705">
        <v>20</v>
      </c>
      <c r="B165" s="756" t="s">
        <v>197</v>
      </c>
      <c r="C165" s="757"/>
      <c r="D165" s="705" t="s">
        <v>150</v>
      </c>
      <c r="E165" s="757">
        <f>E166</f>
        <v>53</v>
      </c>
      <c r="F165" s="757">
        <f t="shared" ref="F165:AA165" si="23">F166</f>
        <v>0</v>
      </c>
      <c r="G165" s="757">
        <f t="shared" si="23"/>
        <v>0</v>
      </c>
      <c r="H165" s="757">
        <f t="shared" si="23"/>
        <v>53</v>
      </c>
      <c r="I165" s="757">
        <f t="shared" si="23"/>
        <v>0</v>
      </c>
      <c r="J165" s="757">
        <f t="shared" si="23"/>
        <v>53</v>
      </c>
      <c r="K165" s="757">
        <f t="shared" si="23"/>
        <v>0</v>
      </c>
      <c r="L165" s="757">
        <f t="shared" si="23"/>
        <v>0</v>
      </c>
      <c r="M165" s="757">
        <f t="shared" si="23"/>
        <v>0</v>
      </c>
      <c r="N165" s="759">
        <f t="shared" si="23"/>
        <v>3710</v>
      </c>
      <c r="O165" s="759">
        <f t="shared" si="23"/>
        <v>0</v>
      </c>
      <c r="P165" s="759">
        <f t="shared" si="23"/>
        <v>3710</v>
      </c>
      <c r="Q165" s="759">
        <f t="shared" si="23"/>
        <v>0</v>
      </c>
      <c r="R165" s="759">
        <f t="shared" si="23"/>
        <v>0</v>
      </c>
      <c r="S165" s="759">
        <f t="shared" si="23"/>
        <v>3710</v>
      </c>
      <c r="T165" s="759">
        <f t="shared" si="23"/>
        <v>0</v>
      </c>
      <c r="U165" s="759">
        <f t="shared" si="23"/>
        <v>0</v>
      </c>
      <c r="V165" s="759">
        <f t="shared" si="23"/>
        <v>0</v>
      </c>
      <c r="W165" s="759">
        <f t="shared" si="23"/>
        <v>0</v>
      </c>
      <c r="X165" s="759">
        <f t="shared" si="23"/>
        <v>0</v>
      </c>
      <c r="Y165" s="757">
        <f t="shared" si="23"/>
        <v>4981</v>
      </c>
      <c r="Z165" s="762">
        <f t="shared" si="23"/>
        <v>21437.1</v>
      </c>
      <c r="AA165" s="757">
        <f t="shared" si="23"/>
        <v>53</v>
      </c>
      <c r="AB165" s="757"/>
      <c r="AC165" s="757"/>
      <c r="AD165" s="757"/>
      <c r="AE165" s="757"/>
      <c r="AF165" s="757"/>
      <c r="AG165" s="757" t="s">
        <v>41</v>
      </c>
    </row>
    <row r="166" ht="24.95" customHeight="1" spans="1:33">
      <c r="A166" s="705">
        <v>21</v>
      </c>
      <c r="B166" s="756" t="s">
        <v>198</v>
      </c>
      <c r="C166" s="757"/>
      <c r="D166" s="705" t="s">
        <v>150</v>
      </c>
      <c r="E166" s="757">
        <f>SUM(E167:E177)</f>
        <v>53</v>
      </c>
      <c r="F166" s="757">
        <f t="shared" ref="F166:AA166" si="24">SUM(F167:F177)</f>
        <v>0</v>
      </c>
      <c r="G166" s="757">
        <f t="shared" si="24"/>
        <v>0</v>
      </c>
      <c r="H166" s="757">
        <f t="shared" si="24"/>
        <v>53</v>
      </c>
      <c r="I166" s="757">
        <f t="shared" si="24"/>
        <v>0</v>
      </c>
      <c r="J166" s="757">
        <f t="shared" si="24"/>
        <v>53</v>
      </c>
      <c r="K166" s="757">
        <f t="shared" si="24"/>
        <v>0</v>
      </c>
      <c r="L166" s="757"/>
      <c r="M166" s="757"/>
      <c r="N166" s="759">
        <f t="shared" si="24"/>
        <v>3710</v>
      </c>
      <c r="O166" s="759">
        <f t="shared" si="24"/>
        <v>0</v>
      </c>
      <c r="P166" s="759">
        <f t="shared" si="24"/>
        <v>3710</v>
      </c>
      <c r="Q166" s="759">
        <f t="shared" si="24"/>
        <v>0</v>
      </c>
      <c r="R166" s="759">
        <f t="shared" si="24"/>
        <v>0</v>
      </c>
      <c r="S166" s="759">
        <f t="shared" si="24"/>
        <v>3710</v>
      </c>
      <c r="T166" s="759">
        <f t="shared" si="24"/>
        <v>0</v>
      </c>
      <c r="U166" s="759">
        <f t="shared" si="24"/>
        <v>0</v>
      </c>
      <c r="V166" s="759">
        <f t="shared" si="24"/>
        <v>0</v>
      </c>
      <c r="W166" s="759">
        <f t="shared" si="24"/>
        <v>0</v>
      </c>
      <c r="X166" s="759">
        <f t="shared" si="24"/>
        <v>0</v>
      </c>
      <c r="Y166" s="757">
        <f t="shared" si="24"/>
        <v>4981</v>
      </c>
      <c r="Z166" s="762">
        <f t="shared" si="24"/>
        <v>21437.1</v>
      </c>
      <c r="AA166" s="757">
        <f t="shared" si="24"/>
        <v>53</v>
      </c>
      <c r="AB166" s="757"/>
      <c r="AC166" s="757"/>
      <c r="AD166" s="146" t="s">
        <v>199</v>
      </c>
      <c r="AE166" s="141" t="s">
        <v>200</v>
      </c>
      <c r="AF166" s="146" t="s">
        <v>201</v>
      </c>
      <c r="AG166" s="757" t="s">
        <v>41</v>
      </c>
    </row>
    <row r="167" ht="24.95" customHeight="1" spans="1:33">
      <c r="A167" s="705"/>
      <c r="B167" s="714" t="s">
        <v>101</v>
      </c>
      <c r="C167" s="146" t="s">
        <v>52</v>
      </c>
      <c r="D167" s="152" t="s">
        <v>202</v>
      </c>
      <c r="E167" s="152">
        <v>3</v>
      </c>
      <c r="F167" s="714" t="s">
        <v>101</v>
      </c>
      <c r="G167" s="757"/>
      <c r="H167" s="152">
        <v>3</v>
      </c>
      <c r="I167" s="757"/>
      <c r="J167" s="152">
        <v>3</v>
      </c>
      <c r="K167" s="757"/>
      <c r="L167" s="92">
        <v>2019.01</v>
      </c>
      <c r="M167" s="92">
        <v>2019.12</v>
      </c>
      <c r="N167" s="759">
        <v>210</v>
      </c>
      <c r="O167" s="759"/>
      <c r="P167" s="759">
        <v>210</v>
      </c>
      <c r="Q167" s="759"/>
      <c r="R167" s="759"/>
      <c r="S167" s="759">
        <v>210</v>
      </c>
      <c r="T167" s="759"/>
      <c r="U167" s="759"/>
      <c r="V167" s="762"/>
      <c r="W167" s="762"/>
      <c r="X167" s="762"/>
      <c r="Y167" s="762">
        <v>56</v>
      </c>
      <c r="Z167" s="762">
        <v>240.8</v>
      </c>
      <c r="AA167" s="152">
        <v>3</v>
      </c>
      <c r="AB167" s="757"/>
      <c r="AC167" s="757"/>
      <c r="AD167" s="146" t="s">
        <v>203</v>
      </c>
      <c r="AE167" s="141" t="s">
        <v>204</v>
      </c>
      <c r="AF167" s="146" t="s">
        <v>201</v>
      </c>
      <c r="AG167" s="757"/>
    </row>
    <row r="168" ht="24.95" customHeight="1" spans="1:33">
      <c r="A168" s="705"/>
      <c r="B168" s="714" t="s">
        <v>151</v>
      </c>
      <c r="C168" s="146" t="s">
        <v>52</v>
      </c>
      <c r="D168" s="152" t="s">
        <v>202</v>
      </c>
      <c r="E168" s="152">
        <v>4</v>
      </c>
      <c r="F168" s="714" t="s">
        <v>151</v>
      </c>
      <c r="G168" s="757"/>
      <c r="H168" s="152">
        <v>4</v>
      </c>
      <c r="I168" s="757"/>
      <c r="J168" s="152">
        <v>4</v>
      </c>
      <c r="K168" s="757"/>
      <c r="L168" s="92">
        <v>2019.01</v>
      </c>
      <c r="M168" s="92">
        <v>2019.12</v>
      </c>
      <c r="N168" s="759">
        <v>280</v>
      </c>
      <c r="O168" s="759"/>
      <c r="P168" s="759">
        <v>280</v>
      </c>
      <c r="Q168" s="759"/>
      <c r="R168" s="759"/>
      <c r="S168" s="759">
        <v>280</v>
      </c>
      <c r="T168" s="759"/>
      <c r="U168" s="759"/>
      <c r="V168" s="762"/>
      <c r="W168" s="762"/>
      <c r="X168" s="762"/>
      <c r="Y168" s="762">
        <v>77</v>
      </c>
      <c r="Z168" s="762">
        <v>331.1</v>
      </c>
      <c r="AA168" s="152">
        <v>4</v>
      </c>
      <c r="AB168" s="757"/>
      <c r="AC168" s="757"/>
      <c r="AD168" s="146" t="s">
        <v>53</v>
      </c>
      <c r="AE168" s="141" t="s">
        <v>205</v>
      </c>
      <c r="AF168" s="146" t="s">
        <v>201</v>
      </c>
      <c r="AG168" s="757"/>
    </row>
    <row r="169" ht="24.95" customHeight="1" spans="1:33">
      <c r="A169" s="705"/>
      <c r="B169" s="714" t="s">
        <v>154</v>
      </c>
      <c r="C169" s="146" t="s">
        <v>52</v>
      </c>
      <c r="D169" s="152" t="s">
        <v>202</v>
      </c>
      <c r="E169" s="152">
        <v>2</v>
      </c>
      <c r="F169" s="714" t="s">
        <v>154</v>
      </c>
      <c r="G169" s="757"/>
      <c r="H169" s="152">
        <v>2</v>
      </c>
      <c r="I169" s="757"/>
      <c r="J169" s="152">
        <v>2</v>
      </c>
      <c r="K169" s="757"/>
      <c r="L169" s="92">
        <v>2019.01</v>
      </c>
      <c r="M169" s="92">
        <v>2019.12</v>
      </c>
      <c r="N169" s="759">
        <v>140</v>
      </c>
      <c r="O169" s="759"/>
      <c r="P169" s="759">
        <v>140</v>
      </c>
      <c r="Q169" s="759"/>
      <c r="R169" s="759"/>
      <c r="S169" s="759">
        <v>140</v>
      </c>
      <c r="T169" s="759"/>
      <c r="U169" s="759"/>
      <c r="V169" s="762"/>
      <c r="W169" s="762"/>
      <c r="X169" s="762"/>
      <c r="Y169" s="762">
        <v>38</v>
      </c>
      <c r="Z169" s="762">
        <v>163.4</v>
      </c>
      <c r="AA169" s="152">
        <v>2</v>
      </c>
      <c r="AB169" s="757"/>
      <c r="AC169" s="757"/>
      <c r="AD169" s="146" t="s">
        <v>171</v>
      </c>
      <c r="AE169" s="141" t="s">
        <v>206</v>
      </c>
      <c r="AF169" s="146" t="s">
        <v>201</v>
      </c>
      <c r="AG169" s="757"/>
    </row>
    <row r="170" ht="24.95" customHeight="1" spans="1:33">
      <c r="A170" s="705"/>
      <c r="B170" s="714" t="s">
        <v>81</v>
      </c>
      <c r="C170" s="146" t="s">
        <v>52</v>
      </c>
      <c r="D170" s="152" t="s">
        <v>202</v>
      </c>
      <c r="E170" s="152">
        <v>7</v>
      </c>
      <c r="F170" s="714" t="s">
        <v>81</v>
      </c>
      <c r="G170" s="757"/>
      <c r="H170" s="152">
        <v>7</v>
      </c>
      <c r="I170" s="757"/>
      <c r="J170" s="152">
        <v>7</v>
      </c>
      <c r="K170" s="757"/>
      <c r="L170" s="92">
        <v>2019.01</v>
      </c>
      <c r="M170" s="92">
        <v>2019.12</v>
      </c>
      <c r="N170" s="759">
        <v>490</v>
      </c>
      <c r="O170" s="759"/>
      <c r="P170" s="759">
        <v>490</v>
      </c>
      <c r="Q170" s="759"/>
      <c r="R170" s="759"/>
      <c r="S170" s="759">
        <v>490</v>
      </c>
      <c r="T170" s="759"/>
      <c r="U170" s="759"/>
      <c r="V170" s="762"/>
      <c r="W170" s="762"/>
      <c r="X170" s="762"/>
      <c r="Y170" s="762">
        <v>905</v>
      </c>
      <c r="Z170" s="762">
        <v>3615</v>
      </c>
      <c r="AA170" s="152">
        <v>7</v>
      </c>
      <c r="AB170" s="757"/>
      <c r="AC170" s="757"/>
      <c r="AD170" s="146" t="s">
        <v>207</v>
      </c>
      <c r="AE170" s="141" t="s">
        <v>208</v>
      </c>
      <c r="AF170" s="146" t="s">
        <v>201</v>
      </c>
      <c r="AG170" s="757"/>
    </row>
    <row r="171" ht="24.95" customHeight="1" spans="1:33">
      <c r="A171" s="705"/>
      <c r="B171" s="714" t="s">
        <v>98</v>
      </c>
      <c r="C171" s="146" t="s">
        <v>52</v>
      </c>
      <c r="D171" s="152" t="s">
        <v>202</v>
      </c>
      <c r="E171" s="152">
        <v>4</v>
      </c>
      <c r="F171" s="714" t="s">
        <v>98</v>
      </c>
      <c r="G171" s="757"/>
      <c r="H171" s="152">
        <v>4</v>
      </c>
      <c r="I171" s="757"/>
      <c r="J171" s="152">
        <v>4</v>
      </c>
      <c r="K171" s="757"/>
      <c r="L171" s="92">
        <v>2019.01</v>
      </c>
      <c r="M171" s="92">
        <v>2019.12</v>
      </c>
      <c r="N171" s="759">
        <v>280</v>
      </c>
      <c r="O171" s="759"/>
      <c r="P171" s="759">
        <v>280</v>
      </c>
      <c r="Q171" s="759"/>
      <c r="R171" s="759"/>
      <c r="S171" s="759">
        <v>280</v>
      </c>
      <c r="T171" s="759"/>
      <c r="U171" s="759"/>
      <c r="V171" s="762"/>
      <c r="W171" s="762"/>
      <c r="X171" s="762"/>
      <c r="Y171" s="762">
        <v>70</v>
      </c>
      <c r="Z171" s="762">
        <v>301</v>
      </c>
      <c r="AA171" s="152">
        <v>4</v>
      </c>
      <c r="AB171" s="757"/>
      <c r="AC171" s="757"/>
      <c r="AD171" s="146" t="s">
        <v>209</v>
      </c>
      <c r="AE171" s="141" t="s">
        <v>210</v>
      </c>
      <c r="AF171" s="146" t="s">
        <v>201</v>
      </c>
      <c r="AG171" s="757"/>
    </row>
    <row r="172" ht="24.95" customHeight="1" spans="1:33">
      <c r="A172" s="705"/>
      <c r="B172" s="714" t="s">
        <v>211</v>
      </c>
      <c r="C172" s="146" t="s">
        <v>52</v>
      </c>
      <c r="D172" s="152" t="s">
        <v>202</v>
      </c>
      <c r="E172" s="152">
        <v>13</v>
      </c>
      <c r="F172" s="714" t="s">
        <v>211</v>
      </c>
      <c r="G172" s="757"/>
      <c r="H172" s="152">
        <v>13</v>
      </c>
      <c r="I172" s="757"/>
      <c r="J172" s="152">
        <v>13</v>
      </c>
      <c r="K172" s="757"/>
      <c r="L172" s="92">
        <v>2019.01</v>
      </c>
      <c r="M172" s="92">
        <v>2019.12</v>
      </c>
      <c r="N172" s="759">
        <v>910</v>
      </c>
      <c r="O172" s="759"/>
      <c r="P172" s="759">
        <v>910</v>
      </c>
      <c r="Q172" s="759"/>
      <c r="R172" s="759"/>
      <c r="S172" s="759">
        <v>910</v>
      </c>
      <c r="T172" s="759"/>
      <c r="U172" s="759"/>
      <c r="V172" s="762"/>
      <c r="W172" s="762"/>
      <c r="X172" s="762"/>
      <c r="Y172" s="762">
        <v>1847</v>
      </c>
      <c r="Z172" s="762">
        <v>8399</v>
      </c>
      <c r="AA172" s="152">
        <v>13</v>
      </c>
      <c r="AB172" s="757"/>
      <c r="AC172" s="757"/>
      <c r="AD172" s="146" t="s">
        <v>212</v>
      </c>
      <c r="AE172" s="141" t="s">
        <v>213</v>
      </c>
      <c r="AF172" s="146" t="s">
        <v>201</v>
      </c>
      <c r="AG172" s="757"/>
    </row>
    <row r="173" ht="24.95" customHeight="1" spans="1:33">
      <c r="A173" s="705"/>
      <c r="B173" s="714" t="s">
        <v>155</v>
      </c>
      <c r="C173" s="146" t="s">
        <v>52</v>
      </c>
      <c r="D173" s="152" t="s">
        <v>202</v>
      </c>
      <c r="E173" s="152">
        <v>8</v>
      </c>
      <c r="F173" s="714" t="s">
        <v>155</v>
      </c>
      <c r="G173" s="757"/>
      <c r="H173" s="152">
        <v>8</v>
      </c>
      <c r="I173" s="757"/>
      <c r="J173" s="152">
        <v>8</v>
      </c>
      <c r="K173" s="757"/>
      <c r="L173" s="92">
        <v>2019.01</v>
      </c>
      <c r="M173" s="92">
        <v>2019.12</v>
      </c>
      <c r="N173" s="759">
        <v>560</v>
      </c>
      <c r="O173" s="759"/>
      <c r="P173" s="759">
        <v>560</v>
      </c>
      <c r="Q173" s="759"/>
      <c r="R173" s="759"/>
      <c r="S173" s="759">
        <v>560</v>
      </c>
      <c r="T173" s="759"/>
      <c r="U173" s="759"/>
      <c r="V173" s="762"/>
      <c r="W173" s="762"/>
      <c r="X173" s="762"/>
      <c r="Y173" s="762">
        <v>618</v>
      </c>
      <c r="Z173" s="762">
        <v>2651</v>
      </c>
      <c r="AA173" s="152">
        <v>8</v>
      </c>
      <c r="AB173" s="757"/>
      <c r="AC173" s="757"/>
      <c r="AD173" s="146" t="s">
        <v>178</v>
      </c>
      <c r="AE173" s="141" t="s">
        <v>214</v>
      </c>
      <c r="AF173" s="146" t="s">
        <v>201</v>
      </c>
      <c r="AG173" s="757"/>
    </row>
    <row r="174" ht="24.95" customHeight="1" spans="1:33">
      <c r="A174" s="705"/>
      <c r="B174" s="714" t="s">
        <v>102</v>
      </c>
      <c r="C174" s="146" t="s">
        <v>52</v>
      </c>
      <c r="D174" s="152" t="s">
        <v>202</v>
      </c>
      <c r="E174" s="152">
        <v>7</v>
      </c>
      <c r="F174" s="714" t="s">
        <v>102</v>
      </c>
      <c r="G174" s="757"/>
      <c r="H174" s="152">
        <v>7</v>
      </c>
      <c r="I174" s="757"/>
      <c r="J174" s="152">
        <v>7</v>
      </c>
      <c r="K174" s="757"/>
      <c r="L174" s="92">
        <v>2019.01</v>
      </c>
      <c r="M174" s="92">
        <v>2019.12</v>
      </c>
      <c r="N174" s="759">
        <v>490</v>
      </c>
      <c r="O174" s="759"/>
      <c r="P174" s="759">
        <v>490</v>
      </c>
      <c r="Q174" s="759"/>
      <c r="R174" s="759"/>
      <c r="S174" s="759">
        <v>490</v>
      </c>
      <c r="T174" s="759"/>
      <c r="U174" s="759"/>
      <c r="V174" s="762"/>
      <c r="W174" s="762"/>
      <c r="X174" s="762"/>
      <c r="Y174" s="762">
        <v>960</v>
      </c>
      <c r="Z174" s="762">
        <v>4128</v>
      </c>
      <c r="AA174" s="152">
        <v>7</v>
      </c>
      <c r="AB174" s="757"/>
      <c r="AC174" s="757"/>
      <c r="AD174" s="146" t="s">
        <v>215</v>
      </c>
      <c r="AE174" s="141" t="s">
        <v>216</v>
      </c>
      <c r="AF174" s="146" t="s">
        <v>201</v>
      </c>
      <c r="AG174" s="757"/>
    </row>
    <row r="175" ht="24.95" customHeight="1" spans="1:33">
      <c r="A175" s="705"/>
      <c r="B175" s="714" t="s">
        <v>100</v>
      </c>
      <c r="C175" s="146" t="s">
        <v>52</v>
      </c>
      <c r="D175" s="152" t="s">
        <v>202</v>
      </c>
      <c r="E175" s="152">
        <v>1</v>
      </c>
      <c r="F175" s="714" t="s">
        <v>100</v>
      </c>
      <c r="G175" s="757"/>
      <c r="H175" s="152">
        <v>1</v>
      </c>
      <c r="I175" s="757"/>
      <c r="J175" s="152">
        <v>1</v>
      </c>
      <c r="K175" s="757"/>
      <c r="L175" s="92">
        <v>2019.01</v>
      </c>
      <c r="M175" s="92">
        <v>2019.12</v>
      </c>
      <c r="N175" s="759">
        <v>70</v>
      </c>
      <c r="O175" s="759"/>
      <c r="P175" s="759">
        <v>70</v>
      </c>
      <c r="Q175" s="759"/>
      <c r="R175" s="759"/>
      <c r="S175" s="759">
        <v>70</v>
      </c>
      <c r="T175" s="759"/>
      <c r="U175" s="759"/>
      <c r="V175" s="762"/>
      <c r="W175" s="762"/>
      <c r="X175" s="762"/>
      <c r="Y175" s="762">
        <v>19</v>
      </c>
      <c r="Z175" s="762">
        <v>81.7</v>
      </c>
      <c r="AA175" s="152">
        <v>1</v>
      </c>
      <c r="AB175" s="757"/>
      <c r="AC175" s="757"/>
      <c r="AD175" s="146" t="s">
        <v>217</v>
      </c>
      <c r="AE175" s="141" t="s">
        <v>218</v>
      </c>
      <c r="AF175" s="146" t="s">
        <v>201</v>
      </c>
      <c r="AG175" s="757"/>
    </row>
    <row r="176" ht="24.95" customHeight="1" spans="1:33">
      <c r="A176" s="705"/>
      <c r="B176" s="714" t="s">
        <v>84</v>
      </c>
      <c r="C176" s="146" t="s">
        <v>52</v>
      </c>
      <c r="D176" s="152" t="s">
        <v>202</v>
      </c>
      <c r="E176" s="152">
        <v>3</v>
      </c>
      <c r="F176" s="714" t="s">
        <v>84</v>
      </c>
      <c r="G176" s="757"/>
      <c r="H176" s="152">
        <v>3</v>
      </c>
      <c r="I176" s="757"/>
      <c r="J176" s="152">
        <v>3</v>
      </c>
      <c r="K176" s="757"/>
      <c r="L176" s="92">
        <v>2019.01</v>
      </c>
      <c r="M176" s="92">
        <v>2019.12</v>
      </c>
      <c r="N176" s="759">
        <v>210</v>
      </c>
      <c r="O176" s="759"/>
      <c r="P176" s="759">
        <v>210</v>
      </c>
      <c r="Q176" s="759"/>
      <c r="R176" s="759"/>
      <c r="S176" s="759">
        <v>210</v>
      </c>
      <c r="T176" s="759"/>
      <c r="U176" s="759"/>
      <c r="V176" s="762"/>
      <c r="W176" s="762"/>
      <c r="X176" s="762"/>
      <c r="Y176" s="762">
        <v>374</v>
      </c>
      <c r="Z176" s="762">
        <v>1453</v>
      </c>
      <c r="AA176" s="152">
        <v>3</v>
      </c>
      <c r="AB176" s="757"/>
      <c r="AC176" s="757"/>
      <c r="AD176" s="146" t="s">
        <v>219</v>
      </c>
      <c r="AE176" s="141" t="s">
        <v>220</v>
      </c>
      <c r="AF176" s="146" t="s">
        <v>201</v>
      </c>
      <c r="AG176" s="757"/>
    </row>
    <row r="177" ht="24.95" customHeight="1" spans="1:33">
      <c r="A177" s="705"/>
      <c r="B177" s="714" t="s">
        <v>143</v>
      </c>
      <c r="C177" s="146" t="s">
        <v>52</v>
      </c>
      <c r="D177" s="152" t="s">
        <v>202</v>
      </c>
      <c r="E177" s="152">
        <v>1</v>
      </c>
      <c r="F177" s="714" t="s">
        <v>143</v>
      </c>
      <c r="G177" s="757"/>
      <c r="H177" s="152">
        <v>1</v>
      </c>
      <c r="I177" s="757"/>
      <c r="J177" s="152">
        <v>1</v>
      </c>
      <c r="K177" s="757"/>
      <c r="L177" s="92">
        <v>2019.01</v>
      </c>
      <c r="M177" s="92">
        <v>2019.12</v>
      </c>
      <c r="N177" s="759">
        <v>70</v>
      </c>
      <c r="O177" s="759"/>
      <c r="P177" s="759">
        <v>70</v>
      </c>
      <c r="Q177" s="759"/>
      <c r="R177" s="759"/>
      <c r="S177" s="759">
        <v>70</v>
      </c>
      <c r="T177" s="759"/>
      <c r="U177" s="759"/>
      <c r="V177" s="762"/>
      <c r="W177" s="762"/>
      <c r="X177" s="762"/>
      <c r="Y177" s="762">
        <v>17</v>
      </c>
      <c r="Z177" s="762">
        <v>73.1</v>
      </c>
      <c r="AA177" s="152">
        <v>1</v>
      </c>
      <c r="AB177" s="757"/>
      <c r="AC177" s="757"/>
      <c r="AD177" s="146" t="s">
        <v>221</v>
      </c>
      <c r="AE177" s="141" t="s">
        <v>222</v>
      </c>
      <c r="AF177" s="146" t="s">
        <v>201</v>
      </c>
      <c r="AG177" s="757"/>
    </row>
    <row r="178" ht="24.95" customHeight="1" spans="1:33">
      <c r="A178" s="705">
        <v>22</v>
      </c>
      <c r="B178" s="757" t="s">
        <v>223</v>
      </c>
      <c r="C178" s="757"/>
      <c r="D178" s="705"/>
      <c r="E178" s="757"/>
      <c r="F178" s="757"/>
      <c r="G178" s="757"/>
      <c r="H178" s="757"/>
      <c r="I178" s="757"/>
      <c r="J178" s="757"/>
      <c r="K178" s="757"/>
      <c r="L178" s="757"/>
      <c r="M178" s="757"/>
      <c r="N178" s="759"/>
      <c r="O178" s="759"/>
      <c r="P178" s="759"/>
      <c r="Q178" s="759"/>
      <c r="R178" s="759"/>
      <c r="S178" s="759"/>
      <c r="T178" s="759"/>
      <c r="U178" s="759"/>
      <c r="V178" s="759"/>
      <c r="W178" s="759"/>
      <c r="X178" s="759"/>
      <c r="Y178" s="759"/>
      <c r="Z178" s="759"/>
      <c r="AA178" s="757"/>
      <c r="AB178" s="757"/>
      <c r="AC178" s="757"/>
      <c r="AD178" s="757"/>
      <c r="AE178" s="757"/>
      <c r="AF178" s="757" t="s">
        <v>160</v>
      </c>
      <c r="AG178" s="757" t="s">
        <v>41</v>
      </c>
    </row>
    <row r="179" ht="24.95" customHeight="1" spans="1:33">
      <c r="A179" s="705" t="s">
        <v>48</v>
      </c>
      <c r="B179" s="757" t="s">
        <v>148</v>
      </c>
      <c r="C179" s="757"/>
      <c r="D179" s="705"/>
      <c r="E179" s="757"/>
      <c r="F179" s="757"/>
      <c r="G179" s="757"/>
      <c r="H179" s="757"/>
      <c r="I179" s="757"/>
      <c r="J179" s="757"/>
      <c r="K179" s="757"/>
      <c r="L179" s="757"/>
      <c r="M179" s="757"/>
      <c r="N179" s="759"/>
      <c r="O179" s="759"/>
      <c r="P179" s="759"/>
      <c r="Q179" s="759"/>
      <c r="R179" s="759"/>
      <c r="S179" s="759"/>
      <c r="T179" s="759"/>
      <c r="U179" s="759"/>
      <c r="V179" s="759"/>
      <c r="W179" s="759"/>
      <c r="X179" s="759"/>
      <c r="Y179" s="759"/>
      <c r="Z179" s="759"/>
      <c r="AA179" s="757"/>
      <c r="AB179" s="757"/>
      <c r="AC179" s="757"/>
      <c r="AD179" s="757"/>
      <c r="AE179" s="757"/>
      <c r="AF179" s="757"/>
      <c r="AG179" s="757"/>
    </row>
    <row r="180" ht="44.25" customHeight="1" spans="1:33">
      <c r="A180" s="705">
        <v>23</v>
      </c>
      <c r="B180" s="757" t="s">
        <v>224</v>
      </c>
      <c r="C180" s="757"/>
      <c r="D180" s="705" t="s">
        <v>150</v>
      </c>
      <c r="E180" s="757"/>
      <c r="F180" s="757"/>
      <c r="G180" s="757"/>
      <c r="H180" s="757"/>
      <c r="I180" s="757"/>
      <c r="J180" s="757"/>
      <c r="K180" s="757"/>
      <c r="L180" s="757"/>
      <c r="M180" s="757"/>
      <c r="N180" s="759"/>
      <c r="O180" s="759"/>
      <c r="P180" s="759"/>
      <c r="Q180" s="759"/>
      <c r="R180" s="759"/>
      <c r="S180" s="759"/>
      <c r="T180" s="759"/>
      <c r="U180" s="759"/>
      <c r="V180" s="759"/>
      <c r="W180" s="759"/>
      <c r="X180" s="759"/>
      <c r="Y180" s="759"/>
      <c r="Z180" s="759"/>
      <c r="AA180" s="757"/>
      <c r="AB180" s="757"/>
      <c r="AC180" s="757"/>
      <c r="AD180" s="765"/>
      <c r="AE180" s="757"/>
      <c r="AF180" s="757" t="s">
        <v>43</v>
      </c>
      <c r="AG180" s="757" t="s">
        <v>41</v>
      </c>
    </row>
    <row r="181" ht="24.95" customHeight="1" spans="1:33">
      <c r="A181" s="705" t="s">
        <v>48</v>
      </c>
      <c r="B181" s="757" t="s">
        <v>148</v>
      </c>
      <c r="C181" s="757"/>
      <c r="D181" s="705"/>
      <c r="E181" s="757"/>
      <c r="F181" s="757"/>
      <c r="G181" s="757"/>
      <c r="H181" s="757"/>
      <c r="I181" s="757"/>
      <c r="J181" s="757"/>
      <c r="K181" s="757"/>
      <c r="L181" s="757"/>
      <c r="M181" s="757"/>
      <c r="N181" s="757"/>
      <c r="O181" s="757"/>
      <c r="P181" s="757"/>
      <c r="Q181" s="757"/>
      <c r="R181" s="757"/>
      <c r="S181" s="757"/>
      <c r="T181" s="757"/>
      <c r="U181" s="757"/>
      <c r="V181" s="757"/>
      <c r="W181" s="757"/>
      <c r="X181" s="757"/>
      <c r="Y181" s="757"/>
      <c r="Z181" s="757"/>
      <c r="AA181" s="757"/>
      <c r="AB181" s="757"/>
      <c r="AC181" s="757"/>
      <c r="AD181" s="757"/>
      <c r="AE181" s="757"/>
      <c r="AF181" s="757"/>
      <c r="AG181" s="757"/>
    </row>
    <row r="182" ht="24.95" customHeight="1" spans="1:33">
      <c r="A182" s="705">
        <v>24</v>
      </c>
      <c r="B182" s="757" t="s">
        <v>225</v>
      </c>
      <c r="C182" s="757"/>
      <c r="D182" s="705" t="s">
        <v>150</v>
      </c>
      <c r="E182" s="757"/>
      <c r="F182" s="757"/>
      <c r="G182" s="757"/>
      <c r="H182" s="757"/>
      <c r="I182" s="757"/>
      <c r="J182" s="757"/>
      <c r="K182" s="757"/>
      <c r="L182" s="757"/>
      <c r="M182" s="757"/>
      <c r="N182" s="759"/>
      <c r="O182" s="759"/>
      <c r="P182" s="759"/>
      <c r="Q182" s="759"/>
      <c r="R182" s="759"/>
      <c r="S182" s="759"/>
      <c r="T182" s="759"/>
      <c r="U182" s="759"/>
      <c r="V182" s="759"/>
      <c r="W182" s="759"/>
      <c r="X182" s="759"/>
      <c r="Y182" s="759"/>
      <c r="Z182" s="759"/>
      <c r="AA182" s="757"/>
      <c r="AB182" s="757"/>
      <c r="AC182" s="757"/>
      <c r="AD182" s="765"/>
      <c r="AE182" s="757"/>
      <c r="AF182" s="757" t="s">
        <v>43</v>
      </c>
      <c r="AG182" s="757" t="s">
        <v>41</v>
      </c>
    </row>
    <row r="183" ht="24.95" customHeight="1" spans="1:33">
      <c r="A183" s="705" t="s">
        <v>48</v>
      </c>
      <c r="B183" s="757" t="s">
        <v>148</v>
      </c>
      <c r="C183" s="757"/>
      <c r="D183" s="705"/>
      <c r="E183" s="757"/>
      <c r="F183" s="757"/>
      <c r="G183" s="757"/>
      <c r="H183" s="757"/>
      <c r="I183" s="757"/>
      <c r="J183" s="757"/>
      <c r="K183" s="757"/>
      <c r="L183" s="757"/>
      <c r="M183" s="757"/>
      <c r="N183" s="759"/>
      <c r="O183" s="759"/>
      <c r="P183" s="759"/>
      <c r="Q183" s="759"/>
      <c r="R183" s="759"/>
      <c r="S183" s="759"/>
      <c r="T183" s="759"/>
      <c r="U183" s="759"/>
      <c r="V183" s="757"/>
      <c r="W183" s="757"/>
      <c r="X183" s="757"/>
      <c r="Y183" s="757"/>
      <c r="Z183" s="757"/>
      <c r="AA183" s="757"/>
      <c r="AB183" s="757"/>
      <c r="AC183" s="757"/>
      <c r="AD183" s="757"/>
      <c r="AE183" s="757"/>
      <c r="AF183" s="757"/>
      <c r="AG183" s="757"/>
    </row>
    <row r="184" ht="29.1" customHeight="1" spans="1:33">
      <c r="A184" s="705">
        <v>25</v>
      </c>
      <c r="B184" s="757" t="s">
        <v>226</v>
      </c>
      <c r="C184" s="757"/>
      <c r="D184" s="705" t="s">
        <v>202</v>
      </c>
      <c r="E184" s="757"/>
      <c r="F184" s="757"/>
      <c r="G184" s="757"/>
      <c r="H184" s="757"/>
      <c r="I184" s="757"/>
      <c r="J184" s="757"/>
      <c r="K184" s="757"/>
      <c r="L184" s="757"/>
      <c r="M184" s="757"/>
      <c r="N184" s="759"/>
      <c r="O184" s="759"/>
      <c r="P184" s="759"/>
      <c r="Q184" s="759"/>
      <c r="R184" s="759"/>
      <c r="S184" s="759"/>
      <c r="T184" s="759"/>
      <c r="U184" s="759"/>
      <c r="V184" s="759"/>
      <c r="W184" s="759"/>
      <c r="X184" s="759"/>
      <c r="Y184" s="759"/>
      <c r="Z184" s="759"/>
      <c r="AA184" s="757"/>
      <c r="AB184" s="757"/>
      <c r="AC184" s="757"/>
      <c r="AD184" s="757"/>
      <c r="AE184" s="757"/>
      <c r="AF184" s="757"/>
      <c r="AG184" s="757" t="s">
        <v>41</v>
      </c>
    </row>
    <row r="185" ht="24.95" customHeight="1" spans="1:33">
      <c r="A185" s="705" t="s">
        <v>48</v>
      </c>
      <c r="B185" s="757" t="s">
        <v>148</v>
      </c>
      <c r="C185" s="757"/>
      <c r="D185" s="705"/>
      <c r="E185" s="757"/>
      <c r="F185" s="757"/>
      <c r="G185" s="757"/>
      <c r="H185" s="757"/>
      <c r="I185" s="757"/>
      <c r="J185" s="757"/>
      <c r="K185" s="757"/>
      <c r="L185" s="757"/>
      <c r="M185" s="757"/>
      <c r="N185" s="759"/>
      <c r="O185" s="759"/>
      <c r="P185" s="759"/>
      <c r="Q185" s="759"/>
      <c r="R185" s="759"/>
      <c r="S185" s="759"/>
      <c r="T185" s="759"/>
      <c r="U185" s="759"/>
      <c r="V185" s="757"/>
      <c r="W185" s="757"/>
      <c r="X185" s="757"/>
      <c r="Y185" s="757"/>
      <c r="Z185" s="757"/>
      <c r="AA185" s="757"/>
      <c r="AB185" s="757"/>
      <c r="AC185" s="757"/>
      <c r="AD185" s="757"/>
      <c r="AE185" s="757"/>
      <c r="AF185" s="757"/>
      <c r="AG185" s="757"/>
    </row>
    <row r="186" ht="24.95" customHeight="1" spans="1:33">
      <c r="A186" s="705"/>
      <c r="B186" s="757" t="s">
        <v>227</v>
      </c>
      <c r="C186" s="757"/>
      <c r="D186" s="705"/>
      <c r="E186" s="757">
        <f t="shared" ref="E186:AA186" si="25">E187+E192+E197+E200+E204+E216+E217+E218+E224</f>
        <v>74</v>
      </c>
      <c r="F186" s="757"/>
      <c r="G186" s="757"/>
      <c r="H186" s="757">
        <f t="shared" si="25"/>
        <v>5600</v>
      </c>
      <c r="I186" s="757">
        <f t="shared" si="25"/>
        <v>0</v>
      </c>
      <c r="J186" s="757">
        <f t="shared" si="25"/>
        <v>5600</v>
      </c>
      <c r="K186" s="757">
        <f t="shared" si="25"/>
        <v>0</v>
      </c>
      <c r="L186" s="757"/>
      <c r="M186" s="757"/>
      <c r="N186" s="759">
        <f t="shared" si="25"/>
        <v>1210</v>
      </c>
      <c r="O186" s="759">
        <f t="shared" si="25"/>
        <v>0</v>
      </c>
      <c r="P186" s="759">
        <f t="shared" si="25"/>
        <v>1210</v>
      </c>
      <c r="Q186" s="759">
        <f t="shared" si="25"/>
        <v>0</v>
      </c>
      <c r="R186" s="759">
        <f t="shared" si="25"/>
        <v>0</v>
      </c>
      <c r="S186" s="759">
        <f t="shared" si="25"/>
        <v>1210</v>
      </c>
      <c r="T186" s="759">
        <f t="shared" si="25"/>
        <v>0</v>
      </c>
      <c r="U186" s="759">
        <f t="shared" si="25"/>
        <v>0</v>
      </c>
      <c r="V186" s="757">
        <f t="shared" si="25"/>
        <v>0</v>
      </c>
      <c r="W186" s="757"/>
      <c r="X186" s="757"/>
      <c r="Y186" s="757">
        <f t="shared" si="25"/>
        <v>4127</v>
      </c>
      <c r="Z186" s="757">
        <f t="shared" si="25"/>
        <v>16347</v>
      </c>
      <c r="AA186" s="757">
        <f t="shared" si="25"/>
        <v>74</v>
      </c>
      <c r="AB186" s="757"/>
      <c r="AC186" s="757"/>
      <c r="AD186" s="757"/>
      <c r="AE186" s="757"/>
      <c r="AF186" s="757"/>
      <c r="AG186" s="757"/>
    </row>
    <row r="187" ht="24.95" customHeight="1" spans="1:33">
      <c r="A187" s="705"/>
      <c r="B187" s="757" t="s">
        <v>228</v>
      </c>
      <c r="C187" s="146" t="s">
        <v>52</v>
      </c>
      <c r="D187" s="705" t="s">
        <v>150</v>
      </c>
      <c r="E187" s="757">
        <f t="shared" ref="E187:W187" si="26">SUM(E188:E191)</f>
        <v>5</v>
      </c>
      <c r="F187" s="757"/>
      <c r="G187" s="757" t="s">
        <v>644</v>
      </c>
      <c r="H187" s="757">
        <f t="shared" si="26"/>
        <v>5</v>
      </c>
      <c r="I187" s="757">
        <f t="shared" si="26"/>
        <v>0</v>
      </c>
      <c r="J187" s="757">
        <f t="shared" si="26"/>
        <v>5</v>
      </c>
      <c r="K187" s="757">
        <f t="shared" si="26"/>
        <v>0</v>
      </c>
      <c r="L187" s="757">
        <f t="shared" si="26"/>
        <v>8076.24</v>
      </c>
      <c r="M187" s="757">
        <f t="shared" si="26"/>
        <v>8080.2</v>
      </c>
      <c r="N187" s="759">
        <f t="shared" si="26"/>
        <v>400</v>
      </c>
      <c r="O187" s="759">
        <f t="shared" si="26"/>
        <v>0</v>
      </c>
      <c r="P187" s="759">
        <f t="shared" si="26"/>
        <v>400</v>
      </c>
      <c r="Q187" s="759">
        <f t="shared" si="26"/>
        <v>0</v>
      </c>
      <c r="R187" s="759">
        <f t="shared" si="26"/>
        <v>0</v>
      </c>
      <c r="S187" s="759">
        <f t="shared" si="26"/>
        <v>400</v>
      </c>
      <c r="T187" s="759">
        <f t="shared" si="26"/>
        <v>0</v>
      </c>
      <c r="U187" s="759">
        <f t="shared" si="26"/>
        <v>0</v>
      </c>
      <c r="V187" s="757">
        <f t="shared" si="26"/>
        <v>0</v>
      </c>
      <c r="W187" s="757"/>
      <c r="X187" s="757" t="s">
        <v>645</v>
      </c>
      <c r="Y187" s="766">
        <f t="shared" ref="Y187:AA187" si="27">SUM(Y188:Y191)</f>
        <v>91</v>
      </c>
      <c r="Z187" s="766">
        <f t="shared" si="27"/>
        <v>366</v>
      </c>
      <c r="AA187" s="757">
        <f t="shared" si="27"/>
        <v>5</v>
      </c>
      <c r="AB187" s="757"/>
      <c r="AC187" s="757"/>
      <c r="AD187" s="141" t="s">
        <v>68</v>
      </c>
      <c r="AE187" s="146" t="s">
        <v>50</v>
      </c>
      <c r="AF187" s="438" t="s">
        <v>43</v>
      </c>
      <c r="AG187" s="757"/>
    </row>
    <row r="188" ht="24.95" customHeight="1" spans="1:33">
      <c r="A188" s="705"/>
      <c r="B188" s="758" t="s">
        <v>55</v>
      </c>
      <c r="C188" s="146" t="s">
        <v>52</v>
      </c>
      <c r="D188" s="705" t="s">
        <v>150</v>
      </c>
      <c r="E188" s="757">
        <v>2</v>
      </c>
      <c r="F188" s="757" t="s">
        <v>646</v>
      </c>
      <c r="G188" s="757"/>
      <c r="H188" s="757">
        <v>2</v>
      </c>
      <c r="I188" s="757"/>
      <c r="J188" s="757">
        <v>2</v>
      </c>
      <c r="K188" s="757"/>
      <c r="L188" s="757">
        <v>2019.06</v>
      </c>
      <c r="M188" s="757">
        <v>2020.05</v>
      </c>
      <c r="N188" s="760">
        <v>160</v>
      </c>
      <c r="O188" s="759"/>
      <c r="P188" s="760">
        <v>160</v>
      </c>
      <c r="Q188" s="759"/>
      <c r="R188" s="759"/>
      <c r="S188" s="760">
        <v>160</v>
      </c>
      <c r="T188" s="759"/>
      <c r="U188" s="759"/>
      <c r="V188" s="757"/>
      <c r="W188" s="757"/>
      <c r="X188" s="757"/>
      <c r="Y188" s="766">
        <v>40</v>
      </c>
      <c r="Z188" s="766">
        <v>160</v>
      </c>
      <c r="AA188" s="757">
        <v>2</v>
      </c>
      <c r="AB188" s="757"/>
      <c r="AC188" s="757"/>
      <c r="AD188" s="146" t="s">
        <v>56</v>
      </c>
      <c r="AE188" s="146" t="s">
        <v>137</v>
      </c>
      <c r="AF188" s="146" t="s">
        <v>43</v>
      </c>
      <c r="AG188" s="757"/>
    </row>
    <row r="189" ht="24.95" customHeight="1" spans="1:33">
      <c r="A189" s="705"/>
      <c r="B189" s="758" t="s">
        <v>69</v>
      </c>
      <c r="C189" s="146" t="s">
        <v>52</v>
      </c>
      <c r="D189" s="705" t="s">
        <v>150</v>
      </c>
      <c r="E189" s="757">
        <v>1</v>
      </c>
      <c r="F189" s="757" t="s">
        <v>647</v>
      </c>
      <c r="G189" s="757"/>
      <c r="H189" s="757">
        <v>1</v>
      </c>
      <c r="I189" s="757"/>
      <c r="J189" s="757">
        <v>1</v>
      </c>
      <c r="K189" s="757"/>
      <c r="L189" s="757">
        <v>2019.06</v>
      </c>
      <c r="M189" s="757">
        <v>2020.05</v>
      </c>
      <c r="N189" s="760">
        <v>80</v>
      </c>
      <c r="O189" s="759"/>
      <c r="P189" s="760">
        <v>80</v>
      </c>
      <c r="Q189" s="759"/>
      <c r="R189" s="759"/>
      <c r="S189" s="760">
        <v>80</v>
      </c>
      <c r="T189" s="759"/>
      <c r="U189" s="759"/>
      <c r="V189" s="757"/>
      <c r="W189" s="757"/>
      <c r="X189" s="757"/>
      <c r="Y189" s="766">
        <v>20</v>
      </c>
      <c r="Z189" s="766">
        <v>80</v>
      </c>
      <c r="AA189" s="757">
        <v>1</v>
      </c>
      <c r="AB189" s="757"/>
      <c r="AC189" s="757"/>
      <c r="AD189" s="146" t="s">
        <v>70</v>
      </c>
      <c r="AE189" s="146" t="s">
        <v>138</v>
      </c>
      <c r="AF189" s="146" t="s">
        <v>43</v>
      </c>
      <c r="AG189" s="757"/>
    </row>
    <row r="190" ht="24.95" customHeight="1" spans="1:33">
      <c r="A190" s="705"/>
      <c r="B190" s="758" t="s">
        <v>75</v>
      </c>
      <c r="C190" s="146" t="s">
        <v>52</v>
      </c>
      <c r="D190" s="705" t="s">
        <v>150</v>
      </c>
      <c r="E190" s="757">
        <v>1</v>
      </c>
      <c r="F190" s="757" t="s">
        <v>648</v>
      </c>
      <c r="G190" s="757"/>
      <c r="H190" s="757">
        <v>1</v>
      </c>
      <c r="I190" s="757"/>
      <c r="J190" s="757">
        <v>1</v>
      </c>
      <c r="K190" s="757"/>
      <c r="L190" s="757">
        <v>2019.06</v>
      </c>
      <c r="M190" s="757">
        <v>2020.05</v>
      </c>
      <c r="N190" s="760">
        <v>80</v>
      </c>
      <c r="O190" s="759"/>
      <c r="P190" s="760">
        <v>80</v>
      </c>
      <c r="Q190" s="759"/>
      <c r="R190" s="759"/>
      <c r="S190" s="760">
        <v>80</v>
      </c>
      <c r="T190" s="759"/>
      <c r="U190" s="759"/>
      <c r="V190" s="757"/>
      <c r="W190" s="757"/>
      <c r="X190" s="757"/>
      <c r="Y190" s="766">
        <v>20</v>
      </c>
      <c r="Z190" s="766">
        <v>80</v>
      </c>
      <c r="AA190" s="757">
        <v>1</v>
      </c>
      <c r="AB190" s="757"/>
      <c r="AC190" s="757"/>
      <c r="AD190" s="146" t="s">
        <v>76</v>
      </c>
      <c r="AE190" s="753" t="s">
        <v>136</v>
      </c>
      <c r="AF190" s="146" t="s">
        <v>43</v>
      </c>
      <c r="AG190" s="757"/>
    </row>
    <row r="191" ht="24.95" customHeight="1" spans="1:33">
      <c r="A191" s="705"/>
      <c r="B191" s="758" t="s">
        <v>64</v>
      </c>
      <c r="C191" s="146" t="s">
        <v>52</v>
      </c>
      <c r="D191" s="705" t="s">
        <v>150</v>
      </c>
      <c r="E191" s="757">
        <v>1</v>
      </c>
      <c r="F191" s="757" t="s">
        <v>649</v>
      </c>
      <c r="G191" s="757"/>
      <c r="H191" s="757">
        <v>1</v>
      </c>
      <c r="I191" s="757"/>
      <c r="J191" s="757">
        <v>1</v>
      </c>
      <c r="K191" s="757"/>
      <c r="L191" s="757">
        <v>2019.06</v>
      </c>
      <c r="M191" s="757">
        <v>2020.05</v>
      </c>
      <c r="N191" s="760">
        <v>80</v>
      </c>
      <c r="O191" s="759"/>
      <c r="P191" s="760">
        <v>80</v>
      </c>
      <c r="Q191" s="759"/>
      <c r="R191" s="759"/>
      <c r="S191" s="760">
        <v>80</v>
      </c>
      <c r="T191" s="759"/>
      <c r="U191" s="759"/>
      <c r="V191" s="757"/>
      <c r="W191" s="757"/>
      <c r="X191" s="757"/>
      <c r="Y191" s="766">
        <v>11</v>
      </c>
      <c r="Z191" s="766">
        <v>46</v>
      </c>
      <c r="AA191" s="757">
        <v>1</v>
      </c>
      <c r="AB191" s="757"/>
      <c r="AC191" s="757"/>
      <c r="AD191" s="146" t="s">
        <v>65</v>
      </c>
      <c r="AE191" s="146" t="s">
        <v>66</v>
      </c>
      <c r="AF191" s="146" t="s">
        <v>43</v>
      </c>
      <c r="AG191" s="757"/>
    </row>
    <row r="192" ht="34" customHeight="1" spans="1:33">
      <c r="A192" s="705"/>
      <c r="B192" s="758" t="s">
        <v>229</v>
      </c>
      <c r="C192" s="146" t="s">
        <v>52</v>
      </c>
      <c r="D192" s="705" t="s">
        <v>150</v>
      </c>
      <c r="E192" s="757">
        <f t="shared" ref="E192:K192" si="28">SUM(E193:E196)</f>
        <v>5</v>
      </c>
      <c r="F192" s="757"/>
      <c r="G192" s="757" t="s">
        <v>650</v>
      </c>
      <c r="H192" s="757">
        <f t="shared" si="28"/>
        <v>5</v>
      </c>
      <c r="I192" s="757">
        <f t="shared" si="28"/>
        <v>0</v>
      </c>
      <c r="J192" s="757">
        <f t="shared" si="28"/>
        <v>5</v>
      </c>
      <c r="K192" s="757">
        <f t="shared" si="28"/>
        <v>0</v>
      </c>
      <c r="L192" s="757"/>
      <c r="M192" s="757"/>
      <c r="N192" s="760">
        <f t="shared" ref="N192:W192" si="29">SUM(N193:N196)</f>
        <v>100</v>
      </c>
      <c r="O192" s="759">
        <f t="shared" si="29"/>
        <v>0</v>
      </c>
      <c r="P192" s="760">
        <f t="shared" si="29"/>
        <v>100</v>
      </c>
      <c r="Q192" s="759">
        <f t="shared" si="29"/>
        <v>0</v>
      </c>
      <c r="R192" s="759">
        <f t="shared" si="29"/>
        <v>0</v>
      </c>
      <c r="S192" s="760">
        <f t="shared" si="29"/>
        <v>100</v>
      </c>
      <c r="T192" s="759">
        <f t="shared" si="29"/>
        <v>0</v>
      </c>
      <c r="U192" s="759">
        <f t="shared" si="29"/>
        <v>0</v>
      </c>
      <c r="V192" s="757">
        <f t="shared" si="29"/>
        <v>0</v>
      </c>
      <c r="W192" s="757"/>
      <c r="X192" s="757" t="s">
        <v>651</v>
      </c>
      <c r="Y192" s="766">
        <f t="shared" ref="Y192:AA192" si="30">SUM(Y193:Y196)</f>
        <v>250</v>
      </c>
      <c r="Z192" s="766">
        <f t="shared" si="30"/>
        <v>1000</v>
      </c>
      <c r="AA192" s="757">
        <f t="shared" si="30"/>
        <v>5</v>
      </c>
      <c r="AB192" s="757"/>
      <c r="AC192" s="757"/>
      <c r="AD192" s="146"/>
      <c r="AE192" s="146"/>
      <c r="AF192" s="146"/>
      <c r="AG192" s="757"/>
    </row>
    <row r="193" ht="24.95" customHeight="1" spans="1:33">
      <c r="A193" s="705"/>
      <c r="B193" s="767" t="s">
        <v>58</v>
      </c>
      <c r="C193" s="146" t="s">
        <v>52</v>
      </c>
      <c r="D193" s="705" t="s">
        <v>150</v>
      </c>
      <c r="E193" s="757">
        <v>2</v>
      </c>
      <c r="F193" s="757" t="s">
        <v>652</v>
      </c>
      <c r="G193" s="757"/>
      <c r="H193" s="757">
        <v>2</v>
      </c>
      <c r="I193" s="757"/>
      <c r="J193" s="757">
        <v>2</v>
      </c>
      <c r="K193" s="757"/>
      <c r="L193" s="92">
        <v>2019.01</v>
      </c>
      <c r="M193" s="92">
        <v>2019.12</v>
      </c>
      <c r="N193" s="760">
        <v>40</v>
      </c>
      <c r="O193" s="759"/>
      <c r="P193" s="760">
        <v>40</v>
      </c>
      <c r="Q193" s="759"/>
      <c r="R193" s="759"/>
      <c r="S193" s="760">
        <v>40</v>
      </c>
      <c r="T193" s="759"/>
      <c r="U193" s="759"/>
      <c r="V193" s="757"/>
      <c r="W193" s="757"/>
      <c r="X193" s="757"/>
      <c r="Y193" s="766">
        <v>100</v>
      </c>
      <c r="Z193" s="766">
        <v>400</v>
      </c>
      <c r="AA193" s="757">
        <v>2</v>
      </c>
      <c r="AB193" s="757"/>
      <c r="AC193" s="757"/>
      <c r="AD193" s="744" t="s">
        <v>59</v>
      </c>
      <c r="AE193" s="744" t="s">
        <v>60</v>
      </c>
      <c r="AF193" s="438" t="s">
        <v>43</v>
      </c>
      <c r="AG193" s="757"/>
    </row>
    <row r="194" ht="24.95" customHeight="1" spans="1:33">
      <c r="A194" s="705"/>
      <c r="B194" s="767" t="s">
        <v>64</v>
      </c>
      <c r="C194" s="146" t="s">
        <v>52</v>
      </c>
      <c r="D194" s="705" t="s">
        <v>150</v>
      </c>
      <c r="E194" s="757">
        <v>1</v>
      </c>
      <c r="F194" s="757" t="s">
        <v>653</v>
      </c>
      <c r="G194" s="757"/>
      <c r="H194" s="757">
        <v>1</v>
      </c>
      <c r="I194" s="757"/>
      <c r="J194" s="757">
        <v>1</v>
      </c>
      <c r="K194" s="757"/>
      <c r="L194" s="92">
        <v>2019.01</v>
      </c>
      <c r="M194" s="92">
        <v>2019.12</v>
      </c>
      <c r="N194" s="760">
        <v>20</v>
      </c>
      <c r="O194" s="759"/>
      <c r="P194" s="760">
        <v>20</v>
      </c>
      <c r="Q194" s="759"/>
      <c r="R194" s="759"/>
      <c r="S194" s="760">
        <v>20</v>
      </c>
      <c r="T194" s="759"/>
      <c r="U194" s="759"/>
      <c r="V194" s="757"/>
      <c r="W194" s="757"/>
      <c r="X194" s="757"/>
      <c r="Y194" s="766">
        <v>50</v>
      </c>
      <c r="Z194" s="766">
        <v>200</v>
      </c>
      <c r="AA194" s="757">
        <v>1</v>
      </c>
      <c r="AB194" s="757"/>
      <c r="AC194" s="757"/>
      <c r="AD194" s="146" t="s">
        <v>65</v>
      </c>
      <c r="AE194" s="146" t="s">
        <v>66</v>
      </c>
      <c r="AF194" s="438" t="s">
        <v>43</v>
      </c>
      <c r="AG194" s="757"/>
    </row>
    <row r="195" ht="24.95" customHeight="1" spans="1:33">
      <c r="A195" s="705"/>
      <c r="B195" s="767" t="s">
        <v>75</v>
      </c>
      <c r="C195" s="146" t="s">
        <v>52</v>
      </c>
      <c r="D195" s="705" t="s">
        <v>150</v>
      </c>
      <c r="E195" s="757">
        <v>1</v>
      </c>
      <c r="F195" s="757" t="s">
        <v>654</v>
      </c>
      <c r="G195" s="757"/>
      <c r="H195" s="757">
        <v>1</v>
      </c>
      <c r="I195" s="757"/>
      <c r="J195" s="757">
        <v>1</v>
      </c>
      <c r="K195" s="757"/>
      <c r="L195" s="92">
        <v>2019.01</v>
      </c>
      <c r="M195" s="92">
        <v>2019.12</v>
      </c>
      <c r="N195" s="760">
        <v>20</v>
      </c>
      <c r="O195" s="759"/>
      <c r="P195" s="760">
        <v>20</v>
      </c>
      <c r="Q195" s="759"/>
      <c r="R195" s="759"/>
      <c r="S195" s="760">
        <v>20</v>
      </c>
      <c r="T195" s="759"/>
      <c r="U195" s="759"/>
      <c r="V195" s="757"/>
      <c r="W195" s="757"/>
      <c r="X195" s="757"/>
      <c r="Y195" s="766">
        <v>50</v>
      </c>
      <c r="Z195" s="766">
        <v>200</v>
      </c>
      <c r="AA195" s="757">
        <v>1</v>
      </c>
      <c r="AB195" s="757"/>
      <c r="AC195" s="757"/>
      <c r="AD195" s="146" t="s">
        <v>76</v>
      </c>
      <c r="AE195" s="146" t="s">
        <v>77</v>
      </c>
      <c r="AF195" s="438" t="s">
        <v>43</v>
      </c>
      <c r="AG195" s="757"/>
    </row>
    <row r="196" ht="24.95" customHeight="1" spans="1:33">
      <c r="A196" s="705"/>
      <c r="B196" s="767" t="s">
        <v>91</v>
      </c>
      <c r="C196" s="146" t="s">
        <v>52</v>
      </c>
      <c r="D196" s="705" t="s">
        <v>150</v>
      </c>
      <c r="E196" s="757">
        <v>1</v>
      </c>
      <c r="F196" s="757" t="s">
        <v>655</v>
      </c>
      <c r="G196" s="757"/>
      <c r="H196" s="757">
        <v>1</v>
      </c>
      <c r="I196" s="757"/>
      <c r="J196" s="757">
        <v>1</v>
      </c>
      <c r="K196" s="757"/>
      <c r="L196" s="92">
        <v>2019.01</v>
      </c>
      <c r="M196" s="92">
        <v>2019.12</v>
      </c>
      <c r="N196" s="760">
        <v>20</v>
      </c>
      <c r="O196" s="759"/>
      <c r="P196" s="760">
        <v>20</v>
      </c>
      <c r="Q196" s="759"/>
      <c r="R196" s="759"/>
      <c r="S196" s="760">
        <v>20</v>
      </c>
      <c r="T196" s="759"/>
      <c r="U196" s="759"/>
      <c r="V196" s="757"/>
      <c r="W196" s="757"/>
      <c r="X196" s="757"/>
      <c r="Y196" s="766">
        <v>50</v>
      </c>
      <c r="Z196" s="766">
        <v>200</v>
      </c>
      <c r="AA196" s="757">
        <v>1</v>
      </c>
      <c r="AB196" s="757"/>
      <c r="AC196" s="757"/>
      <c r="AD196" s="146" t="s">
        <v>82</v>
      </c>
      <c r="AE196" s="146" t="s">
        <v>83</v>
      </c>
      <c r="AF196" s="438" t="s">
        <v>43</v>
      </c>
      <c r="AG196" s="757"/>
    </row>
    <row r="197" ht="34" customHeight="1" spans="1:33">
      <c r="A197" s="705"/>
      <c r="B197" s="768" t="s">
        <v>230</v>
      </c>
      <c r="C197" s="146" t="s">
        <v>52</v>
      </c>
      <c r="D197" s="705" t="s">
        <v>150</v>
      </c>
      <c r="E197" s="757">
        <f t="shared" ref="E197:K197" si="31">SUM(E198:E199)</f>
        <v>3</v>
      </c>
      <c r="F197" s="757"/>
      <c r="G197" s="757" t="s">
        <v>656</v>
      </c>
      <c r="H197" s="757">
        <f t="shared" si="31"/>
        <v>3</v>
      </c>
      <c r="I197" s="757">
        <f t="shared" si="31"/>
        <v>0</v>
      </c>
      <c r="J197" s="757">
        <f t="shared" si="31"/>
        <v>3</v>
      </c>
      <c r="K197" s="757">
        <f t="shared" si="31"/>
        <v>0</v>
      </c>
      <c r="L197" s="757"/>
      <c r="M197" s="757"/>
      <c r="N197" s="760">
        <f>SUM(N198:N199)</f>
        <v>30</v>
      </c>
      <c r="O197" s="760">
        <f t="shared" ref="O197:W197" si="32">SUM(O198:O199)</f>
        <v>0</v>
      </c>
      <c r="P197" s="760">
        <f t="shared" si="32"/>
        <v>30</v>
      </c>
      <c r="Q197" s="760">
        <f t="shared" si="32"/>
        <v>0</v>
      </c>
      <c r="R197" s="760">
        <f t="shared" si="32"/>
        <v>0</v>
      </c>
      <c r="S197" s="760">
        <f t="shared" si="32"/>
        <v>30</v>
      </c>
      <c r="T197" s="760">
        <f t="shared" si="32"/>
        <v>0</v>
      </c>
      <c r="U197" s="760">
        <f t="shared" si="32"/>
        <v>0</v>
      </c>
      <c r="V197" s="760">
        <f t="shared" si="32"/>
        <v>0</v>
      </c>
      <c r="W197" s="760"/>
      <c r="X197" s="766" t="s">
        <v>657</v>
      </c>
      <c r="Y197" s="766">
        <f t="shared" ref="Y197:AA197" si="33">SUM(Y198:Y199)</f>
        <v>476</v>
      </c>
      <c r="Z197" s="766">
        <f t="shared" si="33"/>
        <v>1984</v>
      </c>
      <c r="AA197" s="757">
        <f t="shared" si="33"/>
        <v>3</v>
      </c>
      <c r="AB197" s="757"/>
      <c r="AC197" s="757"/>
      <c r="AD197" s="146"/>
      <c r="AE197" s="146"/>
      <c r="AF197" s="146"/>
      <c r="AG197" s="757"/>
    </row>
    <row r="198" ht="24.95" customHeight="1" spans="1:33">
      <c r="A198" s="705"/>
      <c r="B198" s="758" t="s">
        <v>75</v>
      </c>
      <c r="C198" s="146" t="s">
        <v>52</v>
      </c>
      <c r="D198" s="705" t="s">
        <v>150</v>
      </c>
      <c r="E198" s="757">
        <v>2</v>
      </c>
      <c r="F198" s="757" t="s">
        <v>658</v>
      </c>
      <c r="G198" s="757"/>
      <c r="H198" s="757">
        <v>2</v>
      </c>
      <c r="I198" s="757"/>
      <c r="J198" s="757">
        <v>2</v>
      </c>
      <c r="K198" s="757"/>
      <c r="L198" s="92">
        <v>2019.01</v>
      </c>
      <c r="M198" s="92">
        <v>2019.12</v>
      </c>
      <c r="N198" s="760">
        <v>20</v>
      </c>
      <c r="O198" s="759"/>
      <c r="P198" s="760">
        <v>20</v>
      </c>
      <c r="Q198" s="759"/>
      <c r="R198" s="759"/>
      <c r="S198" s="760">
        <v>20</v>
      </c>
      <c r="T198" s="759"/>
      <c r="U198" s="759"/>
      <c r="V198" s="757"/>
      <c r="W198" s="757"/>
      <c r="X198" s="92"/>
      <c r="Y198" s="766">
        <v>308</v>
      </c>
      <c r="Z198" s="766">
        <v>1291</v>
      </c>
      <c r="AA198" s="757">
        <v>2</v>
      </c>
      <c r="AB198" s="757"/>
      <c r="AC198" s="757"/>
      <c r="AD198" s="146" t="s">
        <v>76</v>
      </c>
      <c r="AE198" s="146" t="s">
        <v>77</v>
      </c>
      <c r="AF198" s="438" t="s">
        <v>43</v>
      </c>
      <c r="AG198" s="757"/>
    </row>
    <row r="199" ht="24.95" customHeight="1" spans="1:33">
      <c r="A199" s="705"/>
      <c r="B199" s="758" t="s">
        <v>64</v>
      </c>
      <c r="C199" s="146" t="s">
        <v>52</v>
      </c>
      <c r="D199" s="705" t="s">
        <v>150</v>
      </c>
      <c r="E199" s="757">
        <v>1</v>
      </c>
      <c r="F199" s="757" t="s">
        <v>659</v>
      </c>
      <c r="G199" s="757"/>
      <c r="H199" s="757">
        <v>1</v>
      </c>
      <c r="I199" s="757"/>
      <c r="J199" s="757">
        <v>1</v>
      </c>
      <c r="K199" s="757"/>
      <c r="L199" s="92">
        <v>2019.01</v>
      </c>
      <c r="M199" s="92">
        <v>2019.12</v>
      </c>
      <c r="N199" s="760">
        <v>10</v>
      </c>
      <c r="O199" s="759"/>
      <c r="P199" s="760">
        <v>10</v>
      </c>
      <c r="Q199" s="759"/>
      <c r="R199" s="759"/>
      <c r="S199" s="760">
        <v>10</v>
      </c>
      <c r="T199" s="759"/>
      <c r="U199" s="759"/>
      <c r="V199" s="757"/>
      <c r="W199" s="757"/>
      <c r="X199" s="92"/>
      <c r="Y199" s="766">
        <v>168</v>
      </c>
      <c r="Z199" s="766">
        <v>693</v>
      </c>
      <c r="AA199" s="757">
        <v>1</v>
      </c>
      <c r="AB199" s="757"/>
      <c r="AC199" s="757"/>
      <c r="AD199" s="146" t="s">
        <v>65</v>
      </c>
      <c r="AE199" s="146" t="s">
        <v>66</v>
      </c>
      <c r="AF199" s="438" t="s">
        <v>43</v>
      </c>
      <c r="AG199" s="757"/>
    </row>
    <row r="200" ht="24.95" customHeight="1" spans="1:33">
      <c r="A200" s="705"/>
      <c r="B200" s="758" t="s">
        <v>231</v>
      </c>
      <c r="C200" s="146" t="s">
        <v>52</v>
      </c>
      <c r="D200" s="705" t="s">
        <v>150</v>
      </c>
      <c r="E200" s="757">
        <f t="shared" ref="E200:K200" si="34">SUM(E201:E203)</f>
        <v>9</v>
      </c>
      <c r="F200" s="757"/>
      <c r="G200" s="769" t="s">
        <v>660</v>
      </c>
      <c r="H200" s="757">
        <f t="shared" si="34"/>
        <v>9</v>
      </c>
      <c r="I200" s="757">
        <f t="shared" si="34"/>
        <v>0</v>
      </c>
      <c r="J200" s="757">
        <f t="shared" si="34"/>
        <v>9</v>
      </c>
      <c r="K200" s="757">
        <f t="shared" si="34"/>
        <v>0</v>
      </c>
      <c r="L200" s="757"/>
      <c r="M200" s="757"/>
      <c r="N200" s="760">
        <f>SUM(N201:N203)</f>
        <v>49</v>
      </c>
      <c r="O200" s="760">
        <f t="shared" ref="O200:W200" si="35">SUM(O201:O203)</f>
        <v>0</v>
      </c>
      <c r="P200" s="760">
        <f t="shared" si="35"/>
        <v>49</v>
      </c>
      <c r="Q200" s="760">
        <f t="shared" si="35"/>
        <v>0</v>
      </c>
      <c r="R200" s="760">
        <f t="shared" si="35"/>
        <v>0</v>
      </c>
      <c r="S200" s="760">
        <f t="shared" si="35"/>
        <v>49</v>
      </c>
      <c r="T200" s="760">
        <f t="shared" si="35"/>
        <v>0</v>
      </c>
      <c r="U200" s="760">
        <f t="shared" si="35"/>
        <v>0</v>
      </c>
      <c r="V200" s="760">
        <f t="shared" si="35"/>
        <v>0</v>
      </c>
      <c r="W200" s="760"/>
      <c r="X200" s="757" t="s">
        <v>661</v>
      </c>
      <c r="Y200" s="766">
        <f t="shared" ref="Y200:AA200" si="36">SUM(Y201:Y203)</f>
        <v>1061</v>
      </c>
      <c r="Z200" s="766">
        <f t="shared" si="36"/>
        <v>4204</v>
      </c>
      <c r="AA200" s="757">
        <f t="shared" si="36"/>
        <v>9</v>
      </c>
      <c r="AB200" s="757"/>
      <c r="AC200" s="757"/>
      <c r="AD200" s="146"/>
      <c r="AE200" s="146"/>
      <c r="AF200" s="146"/>
      <c r="AG200" s="757"/>
    </row>
    <row r="201" ht="48" customHeight="1" spans="1:33">
      <c r="A201" s="705"/>
      <c r="B201" s="769" t="s">
        <v>91</v>
      </c>
      <c r="C201" s="146" t="s">
        <v>52</v>
      </c>
      <c r="D201" s="705" t="s">
        <v>150</v>
      </c>
      <c r="E201" s="757">
        <v>6</v>
      </c>
      <c r="F201" s="757" t="s">
        <v>662</v>
      </c>
      <c r="G201" s="757"/>
      <c r="H201" s="757">
        <v>6</v>
      </c>
      <c r="I201" s="757"/>
      <c r="J201" s="757">
        <v>6</v>
      </c>
      <c r="K201" s="757"/>
      <c r="L201" s="92">
        <v>2019.01</v>
      </c>
      <c r="M201" s="92">
        <v>2019.12</v>
      </c>
      <c r="N201" s="760">
        <v>27</v>
      </c>
      <c r="O201" s="759"/>
      <c r="P201" s="760">
        <v>27</v>
      </c>
      <c r="Q201" s="759"/>
      <c r="R201" s="759"/>
      <c r="S201" s="760">
        <v>27</v>
      </c>
      <c r="T201" s="759"/>
      <c r="U201" s="759"/>
      <c r="V201" s="757"/>
      <c r="W201" s="757"/>
      <c r="X201" s="757"/>
      <c r="Y201" s="766">
        <v>750</v>
      </c>
      <c r="Z201" s="766">
        <v>2850</v>
      </c>
      <c r="AA201" s="757">
        <v>6</v>
      </c>
      <c r="AB201" s="757"/>
      <c r="AC201" s="757"/>
      <c r="AD201" s="146" t="s">
        <v>82</v>
      </c>
      <c r="AE201" s="146" t="s">
        <v>83</v>
      </c>
      <c r="AF201" s="438" t="s">
        <v>43</v>
      </c>
      <c r="AG201" s="757"/>
    </row>
    <row r="202" ht="24.95" customHeight="1" spans="1:33">
      <c r="A202" s="705"/>
      <c r="B202" s="758" t="s">
        <v>64</v>
      </c>
      <c r="C202" s="146" t="s">
        <v>52</v>
      </c>
      <c r="D202" s="705" t="s">
        <v>150</v>
      </c>
      <c r="E202" s="757">
        <v>2</v>
      </c>
      <c r="F202" s="757" t="s">
        <v>663</v>
      </c>
      <c r="G202" s="757"/>
      <c r="H202" s="757">
        <v>2</v>
      </c>
      <c r="I202" s="757"/>
      <c r="J202" s="757">
        <v>2</v>
      </c>
      <c r="K202" s="757"/>
      <c r="L202" s="92">
        <v>2019.01</v>
      </c>
      <c r="M202" s="92">
        <v>2019.12</v>
      </c>
      <c r="N202" s="760">
        <v>12</v>
      </c>
      <c r="O202" s="759"/>
      <c r="P202" s="760">
        <v>12</v>
      </c>
      <c r="Q202" s="759"/>
      <c r="R202" s="759"/>
      <c r="S202" s="760">
        <v>12</v>
      </c>
      <c r="T202" s="759"/>
      <c r="U202" s="759"/>
      <c r="V202" s="757"/>
      <c r="W202" s="757"/>
      <c r="X202" s="757"/>
      <c r="Y202" s="766">
        <v>242</v>
      </c>
      <c r="Z202" s="766">
        <v>1087</v>
      </c>
      <c r="AA202" s="757">
        <v>2</v>
      </c>
      <c r="AB202" s="757"/>
      <c r="AC202" s="757"/>
      <c r="AD202" s="146" t="s">
        <v>65</v>
      </c>
      <c r="AE202" s="146" t="s">
        <v>66</v>
      </c>
      <c r="AF202" s="438" t="s">
        <v>43</v>
      </c>
      <c r="AG202" s="757"/>
    </row>
    <row r="203" ht="24.95" customHeight="1" spans="1:33">
      <c r="A203" s="705"/>
      <c r="B203" s="758" t="s">
        <v>55</v>
      </c>
      <c r="C203" s="146" t="s">
        <v>52</v>
      </c>
      <c r="D203" s="705" t="s">
        <v>150</v>
      </c>
      <c r="E203" s="757">
        <v>1</v>
      </c>
      <c r="F203" s="757" t="s">
        <v>664</v>
      </c>
      <c r="G203" s="757"/>
      <c r="H203" s="757">
        <v>1</v>
      </c>
      <c r="I203" s="757"/>
      <c r="J203" s="757">
        <v>1</v>
      </c>
      <c r="K203" s="757"/>
      <c r="L203" s="92">
        <v>2019.01</v>
      </c>
      <c r="M203" s="92">
        <v>2019.12</v>
      </c>
      <c r="N203" s="760">
        <v>10</v>
      </c>
      <c r="O203" s="759"/>
      <c r="P203" s="760">
        <v>10</v>
      </c>
      <c r="Q203" s="759"/>
      <c r="R203" s="759"/>
      <c r="S203" s="760">
        <v>10</v>
      </c>
      <c r="T203" s="759"/>
      <c r="U203" s="759"/>
      <c r="V203" s="757"/>
      <c r="W203" s="757"/>
      <c r="X203" s="757"/>
      <c r="Y203" s="766">
        <v>69</v>
      </c>
      <c r="Z203" s="766">
        <v>267</v>
      </c>
      <c r="AA203" s="757">
        <v>1</v>
      </c>
      <c r="AB203" s="757"/>
      <c r="AC203" s="757"/>
      <c r="AD203" s="141" t="s">
        <v>56</v>
      </c>
      <c r="AE203" s="146" t="s">
        <v>57</v>
      </c>
      <c r="AF203" s="438" t="s">
        <v>43</v>
      </c>
      <c r="AG203" s="757"/>
    </row>
    <row r="204" ht="24.95" customHeight="1" spans="1:33">
      <c r="A204" s="705"/>
      <c r="B204" s="758" t="s">
        <v>232</v>
      </c>
      <c r="C204" s="146" t="s">
        <v>52</v>
      </c>
      <c r="D204" s="705" t="s">
        <v>150</v>
      </c>
      <c r="E204" s="757">
        <f>SUM(E205:E215)</f>
        <v>14</v>
      </c>
      <c r="F204" s="757"/>
      <c r="G204" s="757"/>
      <c r="H204" s="757">
        <f t="shared" ref="F204:W204" si="37">SUM(H205:H215)</f>
        <v>14</v>
      </c>
      <c r="I204" s="757">
        <f t="shared" si="37"/>
        <v>0</v>
      </c>
      <c r="J204" s="757">
        <f t="shared" si="37"/>
        <v>14</v>
      </c>
      <c r="K204" s="757">
        <f t="shared" si="37"/>
        <v>0</v>
      </c>
      <c r="L204" s="757"/>
      <c r="M204" s="757"/>
      <c r="N204" s="759">
        <f t="shared" si="37"/>
        <v>200</v>
      </c>
      <c r="O204" s="759">
        <f t="shared" si="37"/>
        <v>0</v>
      </c>
      <c r="P204" s="759">
        <f t="shared" si="37"/>
        <v>200</v>
      </c>
      <c r="Q204" s="759">
        <f t="shared" si="37"/>
        <v>0</v>
      </c>
      <c r="R204" s="759">
        <f t="shared" si="37"/>
        <v>0</v>
      </c>
      <c r="S204" s="759">
        <f t="shared" si="37"/>
        <v>200</v>
      </c>
      <c r="T204" s="759">
        <f t="shared" si="37"/>
        <v>0</v>
      </c>
      <c r="U204" s="759">
        <f t="shared" si="37"/>
        <v>0</v>
      </c>
      <c r="V204" s="759">
        <f t="shared" si="37"/>
        <v>0</v>
      </c>
      <c r="W204" s="759"/>
      <c r="X204" s="757" t="s">
        <v>665</v>
      </c>
      <c r="Y204" s="766">
        <f t="shared" ref="Y204:AA204" si="38">SUM(Y205:Y215)</f>
        <v>130</v>
      </c>
      <c r="Z204" s="766">
        <f t="shared" si="38"/>
        <v>520</v>
      </c>
      <c r="AA204" s="757">
        <f t="shared" si="38"/>
        <v>14</v>
      </c>
      <c r="AB204" s="757"/>
      <c r="AC204" s="757"/>
      <c r="AD204" s="146"/>
      <c r="AE204" s="146"/>
      <c r="AF204" s="146"/>
      <c r="AG204" s="757"/>
    </row>
    <row r="205" ht="24.95" customHeight="1" spans="1:33">
      <c r="A205" s="705"/>
      <c r="B205" s="758" t="s">
        <v>69</v>
      </c>
      <c r="C205" s="146" t="s">
        <v>52</v>
      </c>
      <c r="D205" s="705" t="s">
        <v>150</v>
      </c>
      <c r="E205" s="757">
        <v>3</v>
      </c>
      <c r="F205" s="757" t="s">
        <v>666</v>
      </c>
      <c r="G205" s="757" t="s">
        <v>667</v>
      </c>
      <c r="H205" s="757">
        <v>3</v>
      </c>
      <c r="I205" s="757"/>
      <c r="J205" s="757">
        <v>3</v>
      </c>
      <c r="K205" s="757"/>
      <c r="L205" s="92">
        <v>2019.01</v>
      </c>
      <c r="M205" s="92">
        <v>2019.12</v>
      </c>
      <c r="N205" s="760">
        <v>67.1</v>
      </c>
      <c r="O205" s="759"/>
      <c r="P205" s="760">
        <v>67.1</v>
      </c>
      <c r="Q205" s="759"/>
      <c r="R205" s="759"/>
      <c r="S205" s="760">
        <v>67.1</v>
      </c>
      <c r="T205" s="759"/>
      <c r="U205" s="759"/>
      <c r="V205" s="757"/>
      <c r="W205" s="757"/>
      <c r="X205" s="757"/>
      <c r="Y205" s="766">
        <v>15</v>
      </c>
      <c r="Z205" s="766">
        <v>60</v>
      </c>
      <c r="AA205" s="757">
        <v>3</v>
      </c>
      <c r="AB205" s="757"/>
      <c r="AC205" s="757"/>
      <c r="AD205" s="141" t="s">
        <v>68</v>
      </c>
      <c r="AE205" s="146" t="s">
        <v>50</v>
      </c>
      <c r="AF205" s="438" t="s">
        <v>43</v>
      </c>
      <c r="AG205" s="757"/>
    </row>
    <row r="206" ht="24.95" customHeight="1" spans="1:33">
      <c r="A206" s="705"/>
      <c r="B206" s="767" t="s">
        <v>51</v>
      </c>
      <c r="C206" s="146" t="s">
        <v>52</v>
      </c>
      <c r="D206" s="705" t="s">
        <v>150</v>
      </c>
      <c r="E206" s="757">
        <v>1</v>
      </c>
      <c r="F206" s="757" t="s">
        <v>668</v>
      </c>
      <c r="G206" s="769" t="s">
        <v>669</v>
      </c>
      <c r="H206" s="757">
        <v>1</v>
      </c>
      <c r="I206" s="757"/>
      <c r="J206" s="757">
        <v>1</v>
      </c>
      <c r="K206" s="757"/>
      <c r="L206" s="92">
        <v>2019.01</v>
      </c>
      <c r="M206" s="92">
        <v>2019.12</v>
      </c>
      <c r="N206" s="760">
        <v>22.8</v>
      </c>
      <c r="O206" s="759"/>
      <c r="P206" s="760">
        <v>22.8</v>
      </c>
      <c r="Q206" s="759"/>
      <c r="R206" s="759"/>
      <c r="S206" s="760">
        <v>22.8</v>
      </c>
      <c r="T206" s="759"/>
      <c r="U206" s="759"/>
      <c r="V206" s="757"/>
      <c r="W206" s="757"/>
      <c r="X206" s="757"/>
      <c r="Y206" s="766">
        <v>20</v>
      </c>
      <c r="Z206" s="766">
        <v>80</v>
      </c>
      <c r="AA206" s="757">
        <v>1</v>
      </c>
      <c r="AB206" s="757"/>
      <c r="AC206" s="757"/>
      <c r="AD206" s="743" t="s">
        <v>53</v>
      </c>
      <c r="AE206" s="146" t="s">
        <v>54</v>
      </c>
      <c r="AF206" s="438" t="s">
        <v>43</v>
      </c>
      <c r="AG206" s="757"/>
    </row>
    <row r="207" ht="25" customHeight="1" spans="1:33">
      <c r="A207" s="705"/>
      <c r="B207" s="767" t="s">
        <v>72</v>
      </c>
      <c r="C207" s="146" t="s">
        <v>52</v>
      </c>
      <c r="D207" s="705" t="s">
        <v>150</v>
      </c>
      <c r="E207" s="757">
        <v>1</v>
      </c>
      <c r="F207" s="757" t="s">
        <v>670</v>
      </c>
      <c r="G207" s="769" t="s">
        <v>671</v>
      </c>
      <c r="H207" s="757">
        <v>1</v>
      </c>
      <c r="I207" s="757"/>
      <c r="J207" s="757">
        <v>1</v>
      </c>
      <c r="K207" s="757"/>
      <c r="L207" s="92">
        <v>2019.01</v>
      </c>
      <c r="M207" s="92">
        <v>2019.12</v>
      </c>
      <c r="N207" s="760">
        <v>11.4</v>
      </c>
      <c r="O207" s="759"/>
      <c r="P207" s="760">
        <v>11.4</v>
      </c>
      <c r="Q207" s="759"/>
      <c r="R207" s="759"/>
      <c r="S207" s="760">
        <v>11.4</v>
      </c>
      <c r="T207" s="759"/>
      <c r="U207" s="759"/>
      <c r="V207" s="757"/>
      <c r="W207" s="757"/>
      <c r="X207" s="757"/>
      <c r="Y207" s="766">
        <v>10</v>
      </c>
      <c r="Z207" s="766">
        <v>40</v>
      </c>
      <c r="AA207" s="757">
        <v>1</v>
      </c>
      <c r="AB207" s="757"/>
      <c r="AC207" s="757"/>
      <c r="AD207" s="146" t="s">
        <v>73</v>
      </c>
      <c r="AE207" s="438" t="s">
        <v>74</v>
      </c>
      <c r="AF207" s="438" t="s">
        <v>43</v>
      </c>
      <c r="AG207" s="757"/>
    </row>
    <row r="208" ht="24.95" customHeight="1" spans="1:33">
      <c r="A208" s="705"/>
      <c r="B208" s="767" t="s">
        <v>91</v>
      </c>
      <c r="C208" s="146" t="s">
        <v>52</v>
      </c>
      <c r="D208" s="705" t="s">
        <v>150</v>
      </c>
      <c r="E208" s="757">
        <v>1</v>
      </c>
      <c r="F208" s="757" t="s">
        <v>672</v>
      </c>
      <c r="G208" s="769" t="s">
        <v>671</v>
      </c>
      <c r="H208" s="757">
        <v>1</v>
      </c>
      <c r="I208" s="757"/>
      <c r="J208" s="757">
        <v>1</v>
      </c>
      <c r="K208" s="757"/>
      <c r="L208" s="92">
        <v>2019.01</v>
      </c>
      <c r="M208" s="92">
        <v>2019.12</v>
      </c>
      <c r="N208" s="760">
        <v>11.4</v>
      </c>
      <c r="O208" s="759"/>
      <c r="P208" s="760">
        <v>11.4</v>
      </c>
      <c r="Q208" s="759"/>
      <c r="R208" s="759"/>
      <c r="S208" s="760">
        <v>11.4</v>
      </c>
      <c r="T208" s="759"/>
      <c r="U208" s="759"/>
      <c r="V208" s="757"/>
      <c r="W208" s="757"/>
      <c r="X208" s="757"/>
      <c r="Y208" s="766">
        <v>10</v>
      </c>
      <c r="Z208" s="766">
        <v>40</v>
      </c>
      <c r="AA208" s="757">
        <v>1</v>
      </c>
      <c r="AB208" s="757"/>
      <c r="AC208" s="757"/>
      <c r="AD208" s="146" t="s">
        <v>82</v>
      </c>
      <c r="AE208" s="146" t="s">
        <v>83</v>
      </c>
      <c r="AF208" s="438" t="s">
        <v>43</v>
      </c>
      <c r="AG208" s="757"/>
    </row>
    <row r="209" ht="24.95" customHeight="1" spans="1:33">
      <c r="A209" s="705"/>
      <c r="B209" s="767" t="s">
        <v>55</v>
      </c>
      <c r="C209" s="146" t="s">
        <v>52</v>
      </c>
      <c r="D209" s="705" t="s">
        <v>150</v>
      </c>
      <c r="E209" s="757">
        <v>1</v>
      </c>
      <c r="F209" s="757" t="s">
        <v>673</v>
      </c>
      <c r="G209" s="769" t="s">
        <v>671</v>
      </c>
      <c r="H209" s="757">
        <v>1</v>
      </c>
      <c r="I209" s="757"/>
      <c r="J209" s="757">
        <v>1</v>
      </c>
      <c r="K209" s="757"/>
      <c r="L209" s="92">
        <v>2019.01</v>
      </c>
      <c r="M209" s="92">
        <v>2019.12</v>
      </c>
      <c r="N209" s="760">
        <v>11.4</v>
      </c>
      <c r="O209" s="759"/>
      <c r="P209" s="760">
        <v>11.4</v>
      </c>
      <c r="Q209" s="759"/>
      <c r="R209" s="759"/>
      <c r="S209" s="760">
        <v>11.4</v>
      </c>
      <c r="T209" s="759"/>
      <c r="U209" s="759"/>
      <c r="V209" s="757"/>
      <c r="W209" s="757"/>
      <c r="X209" s="757"/>
      <c r="Y209" s="766">
        <v>10</v>
      </c>
      <c r="Z209" s="766">
        <v>40</v>
      </c>
      <c r="AA209" s="757">
        <v>1</v>
      </c>
      <c r="AB209" s="757"/>
      <c r="AC209" s="757"/>
      <c r="AD209" s="141" t="s">
        <v>56</v>
      </c>
      <c r="AE209" s="146" t="s">
        <v>57</v>
      </c>
      <c r="AF209" s="438" t="s">
        <v>43</v>
      </c>
      <c r="AG209" s="757"/>
    </row>
    <row r="210" ht="24.95" customHeight="1" spans="1:33">
      <c r="A210" s="705"/>
      <c r="B210" s="767" t="s">
        <v>75</v>
      </c>
      <c r="C210" s="146" t="s">
        <v>52</v>
      </c>
      <c r="D210" s="705" t="s">
        <v>150</v>
      </c>
      <c r="E210" s="757">
        <v>1</v>
      </c>
      <c r="F210" s="757" t="s">
        <v>674</v>
      </c>
      <c r="G210" s="769" t="s">
        <v>671</v>
      </c>
      <c r="H210" s="757">
        <v>1</v>
      </c>
      <c r="I210" s="757"/>
      <c r="J210" s="757">
        <v>1</v>
      </c>
      <c r="K210" s="757"/>
      <c r="L210" s="92">
        <v>2019.01</v>
      </c>
      <c r="M210" s="92">
        <v>2019.12</v>
      </c>
      <c r="N210" s="760">
        <v>11.4</v>
      </c>
      <c r="O210" s="759"/>
      <c r="P210" s="760">
        <v>11.4</v>
      </c>
      <c r="Q210" s="759"/>
      <c r="R210" s="759"/>
      <c r="S210" s="760">
        <v>11.4</v>
      </c>
      <c r="T210" s="759"/>
      <c r="U210" s="759"/>
      <c r="V210" s="757"/>
      <c r="W210" s="757"/>
      <c r="X210" s="757"/>
      <c r="Y210" s="766">
        <v>10</v>
      </c>
      <c r="Z210" s="766">
        <v>40</v>
      </c>
      <c r="AA210" s="757">
        <v>1</v>
      </c>
      <c r="AB210" s="757"/>
      <c r="AC210" s="757"/>
      <c r="AD210" s="146" t="s">
        <v>76</v>
      </c>
      <c r="AE210" s="146" t="s">
        <v>77</v>
      </c>
      <c r="AF210" s="438" t="s">
        <v>43</v>
      </c>
      <c r="AG210" s="757"/>
    </row>
    <row r="211" ht="37" customHeight="1" spans="1:33">
      <c r="A211" s="705"/>
      <c r="B211" s="767" t="s">
        <v>58</v>
      </c>
      <c r="C211" s="146" t="s">
        <v>52</v>
      </c>
      <c r="D211" s="705" t="s">
        <v>150</v>
      </c>
      <c r="E211" s="757">
        <v>2</v>
      </c>
      <c r="F211" s="757" t="s">
        <v>675</v>
      </c>
      <c r="G211" s="757" t="s">
        <v>676</v>
      </c>
      <c r="H211" s="757">
        <v>2</v>
      </c>
      <c r="I211" s="757"/>
      <c r="J211" s="757">
        <v>2</v>
      </c>
      <c r="K211" s="757"/>
      <c r="L211" s="92">
        <v>2019.01</v>
      </c>
      <c r="M211" s="92">
        <v>2019.12</v>
      </c>
      <c r="N211" s="760">
        <v>23.4</v>
      </c>
      <c r="O211" s="759"/>
      <c r="P211" s="760">
        <v>23.4</v>
      </c>
      <c r="Q211" s="759"/>
      <c r="R211" s="759"/>
      <c r="S211" s="760">
        <v>23.4</v>
      </c>
      <c r="T211" s="759"/>
      <c r="U211" s="759"/>
      <c r="V211" s="757"/>
      <c r="W211" s="757"/>
      <c r="Y211" s="766">
        <v>20</v>
      </c>
      <c r="Z211" s="766">
        <v>80</v>
      </c>
      <c r="AA211" s="757">
        <v>2</v>
      </c>
      <c r="AB211" s="757"/>
      <c r="AC211" s="757"/>
      <c r="AD211" s="744" t="s">
        <v>59</v>
      </c>
      <c r="AE211" s="744" t="s">
        <v>60</v>
      </c>
      <c r="AF211" s="438" t="s">
        <v>43</v>
      </c>
      <c r="AG211" s="757"/>
    </row>
    <row r="212" ht="24.95" customHeight="1" spans="1:33">
      <c r="A212" s="705"/>
      <c r="B212" s="767" t="s">
        <v>61</v>
      </c>
      <c r="C212" s="146" t="s">
        <v>52</v>
      </c>
      <c r="D212" s="705" t="s">
        <v>150</v>
      </c>
      <c r="E212" s="757">
        <v>1</v>
      </c>
      <c r="F212" s="757" t="s">
        <v>677</v>
      </c>
      <c r="G212" s="757" t="s">
        <v>678</v>
      </c>
      <c r="H212" s="757">
        <v>1</v>
      </c>
      <c r="I212" s="757"/>
      <c r="J212" s="757">
        <v>1</v>
      </c>
      <c r="K212" s="757"/>
      <c r="L212" s="92">
        <v>2019.01</v>
      </c>
      <c r="M212" s="92">
        <v>2019.12</v>
      </c>
      <c r="N212" s="759">
        <v>12</v>
      </c>
      <c r="O212" s="759"/>
      <c r="P212" s="759">
        <v>12</v>
      </c>
      <c r="Q212" s="759"/>
      <c r="R212" s="759"/>
      <c r="S212" s="759">
        <v>12</v>
      </c>
      <c r="T212" s="759"/>
      <c r="U212" s="759"/>
      <c r="V212" s="757"/>
      <c r="W212" s="757"/>
      <c r="X212" s="757"/>
      <c r="Y212" s="766">
        <v>10</v>
      </c>
      <c r="Z212" s="766">
        <v>40</v>
      </c>
      <c r="AA212" s="757">
        <v>1</v>
      </c>
      <c r="AB212" s="757"/>
      <c r="AC212" s="757"/>
      <c r="AD212" s="146" t="s">
        <v>62</v>
      </c>
      <c r="AE212" s="146" t="s">
        <v>63</v>
      </c>
      <c r="AF212" s="438" t="s">
        <v>43</v>
      </c>
      <c r="AG212" s="757"/>
    </row>
    <row r="213" ht="24.95" customHeight="1" spans="1:33">
      <c r="A213" s="705"/>
      <c r="B213" s="767" t="s">
        <v>78</v>
      </c>
      <c r="C213" s="146" t="s">
        <v>52</v>
      </c>
      <c r="D213" s="705" t="s">
        <v>150</v>
      </c>
      <c r="E213" s="757">
        <v>1</v>
      </c>
      <c r="F213" s="757" t="s">
        <v>679</v>
      </c>
      <c r="G213" s="769" t="s">
        <v>671</v>
      </c>
      <c r="H213" s="757">
        <v>1</v>
      </c>
      <c r="I213" s="757"/>
      <c r="J213" s="757">
        <v>1</v>
      </c>
      <c r="K213" s="757"/>
      <c r="L213" s="92">
        <v>2019.01</v>
      </c>
      <c r="M213" s="92">
        <v>2019.12</v>
      </c>
      <c r="N213" s="760">
        <v>11.4</v>
      </c>
      <c r="O213" s="759"/>
      <c r="P213" s="760">
        <v>11.4</v>
      </c>
      <c r="Q213" s="759"/>
      <c r="R213" s="759"/>
      <c r="S213" s="760">
        <v>11.4</v>
      </c>
      <c r="T213" s="759"/>
      <c r="U213" s="759"/>
      <c r="V213" s="757"/>
      <c r="W213" s="757"/>
      <c r="X213" s="757"/>
      <c r="Y213" s="766">
        <v>10</v>
      </c>
      <c r="Z213" s="766">
        <v>40</v>
      </c>
      <c r="AA213" s="757">
        <v>1</v>
      </c>
      <c r="AB213" s="757"/>
      <c r="AC213" s="757"/>
      <c r="AD213" s="146" t="s">
        <v>79</v>
      </c>
      <c r="AE213" s="146" t="s">
        <v>80</v>
      </c>
      <c r="AF213" s="438" t="s">
        <v>43</v>
      </c>
      <c r="AG213" s="757"/>
    </row>
    <row r="214" ht="24.95" customHeight="1" spans="1:33">
      <c r="A214" s="705"/>
      <c r="B214" s="767" t="s">
        <v>64</v>
      </c>
      <c r="C214" s="146" t="s">
        <v>52</v>
      </c>
      <c r="D214" s="705" t="s">
        <v>150</v>
      </c>
      <c r="E214" s="757">
        <v>1</v>
      </c>
      <c r="F214" s="757" t="s">
        <v>680</v>
      </c>
      <c r="G214" s="769" t="s">
        <v>681</v>
      </c>
      <c r="H214" s="757">
        <v>1</v>
      </c>
      <c r="I214" s="757"/>
      <c r="J214" s="757">
        <v>1</v>
      </c>
      <c r="K214" s="757"/>
      <c r="L214" s="92">
        <v>2019.01</v>
      </c>
      <c r="M214" s="92">
        <v>2019.12</v>
      </c>
      <c r="N214" s="760">
        <v>5.7</v>
      </c>
      <c r="O214" s="759"/>
      <c r="P214" s="760">
        <v>5.7</v>
      </c>
      <c r="Q214" s="759"/>
      <c r="R214" s="759"/>
      <c r="S214" s="760">
        <v>5.7</v>
      </c>
      <c r="T214" s="759"/>
      <c r="U214" s="759"/>
      <c r="V214" s="757"/>
      <c r="W214" s="757"/>
      <c r="X214" s="757"/>
      <c r="Y214" s="766">
        <v>5</v>
      </c>
      <c r="Z214" s="766">
        <v>20</v>
      </c>
      <c r="AA214" s="757">
        <v>1</v>
      </c>
      <c r="AB214" s="757"/>
      <c r="AC214" s="757"/>
      <c r="AD214" s="146" t="s">
        <v>65</v>
      </c>
      <c r="AE214" s="146" t="s">
        <v>66</v>
      </c>
      <c r="AF214" s="438" t="s">
        <v>43</v>
      </c>
      <c r="AG214" s="757"/>
    </row>
    <row r="215" ht="24.95" customHeight="1" spans="1:33">
      <c r="A215" s="705"/>
      <c r="B215" s="767" t="s">
        <v>92</v>
      </c>
      <c r="C215" s="146" t="s">
        <v>52</v>
      </c>
      <c r="D215" s="705" t="s">
        <v>150</v>
      </c>
      <c r="E215" s="757">
        <v>1</v>
      </c>
      <c r="F215" s="757" t="s">
        <v>682</v>
      </c>
      <c r="G215" s="757" t="s">
        <v>678</v>
      </c>
      <c r="H215" s="757">
        <v>1</v>
      </c>
      <c r="I215" s="757"/>
      <c r="J215" s="757">
        <v>1</v>
      </c>
      <c r="K215" s="757"/>
      <c r="L215" s="92">
        <v>2019.01</v>
      </c>
      <c r="M215" s="92">
        <v>2019.12</v>
      </c>
      <c r="N215" s="759">
        <v>12</v>
      </c>
      <c r="O215" s="759"/>
      <c r="P215" s="759">
        <v>12</v>
      </c>
      <c r="Q215" s="759"/>
      <c r="R215" s="759"/>
      <c r="S215" s="759">
        <v>12</v>
      </c>
      <c r="T215" s="759"/>
      <c r="U215" s="759"/>
      <c r="V215" s="757"/>
      <c r="W215" s="757"/>
      <c r="X215" s="757"/>
      <c r="Y215" s="766">
        <v>10</v>
      </c>
      <c r="Z215" s="766">
        <v>40</v>
      </c>
      <c r="AA215" s="757">
        <v>1</v>
      </c>
      <c r="AB215" s="757"/>
      <c r="AC215" s="757"/>
      <c r="AD215" s="146" t="s">
        <v>93</v>
      </c>
      <c r="AE215" s="146" t="s">
        <v>94</v>
      </c>
      <c r="AF215" s="748" t="s">
        <v>104</v>
      </c>
      <c r="AG215" s="757"/>
    </row>
    <row r="216" ht="24.95" customHeight="1" spans="1:33">
      <c r="A216" s="705"/>
      <c r="B216" s="767" t="s">
        <v>233</v>
      </c>
      <c r="C216" s="146" t="s">
        <v>52</v>
      </c>
      <c r="D216" s="705" t="s">
        <v>150</v>
      </c>
      <c r="E216" s="757">
        <v>1</v>
      </c>
      <c r="F216" s="758" t="s">
        <v>683</v>
      </c>
      <c r="G216" s="769" t="s">
        <v>684</v>
      </c>
      <c r="H216" s="757">
        <v>1</v>
      </c>
      <c r="I216" s="757"/>
      <c r="J216" s="757">
        <v>1</v>
      </c>
      <c r="K216" s="757"/>
      <c r="L216" s="92">
        <v>2019.01</v>
      </c>
      <c r="M216" s="92">
        <v>2019.12</v>
      </c>
      <c r="N216" s="760">
        <v>60</v>
      </c>
      <c r="O216" s="759"/>
      <c r="P216" s="760">
        <v>60</v>
      </c>
      <c r="Q216" s="759"/>
      <c r="R216" s="759"/>
      <c r="S216" s="760">
        <v>60</v>
      </c>
      <c r="T216" s="759"/>
      <c r="U216" s="759"/>
      <c r="V216" s="757"/>
      <c r="W216" s="757"/>
      <c r="X216" s="769" t="s">
        <v>685</v>
      </c>
      <c r="Y216" s="766">
        <v>106</v>
      </c>
      <c r="Z216" s="766">
        <v>476</v>
      </c>
      <c r="AA216" s="757">
        <v>1</v>
      </c>
      <c r="AB216" s="757"/>
      <c r="AC216" s="757"/>
      <c r="AD216" s="146" t="s">
        <v>73</v>
      </c>
      <c r="AE216" s="438" t="s">
        <v>74</v>
      </c>
      <c r="AF216" s="438" t="s">
        <v>43</v>
      </c>
      <c r="AG216" s="757"/>
    </row>
    <row r="217" ht="24.95" customHeight="1" spans="1:33">
      <c r="A217" s="705"/>
      <c r="B217" s="767" t="s">
        <v>234</v>
      </c>
      <c r="C217" s="146" t="s">
        <v>52</v>
      </c>
      <c r="D217" s="705" t="s">
        <v>150</v>
      </c>
      <c r="E217" s="757">
        <v>1</v>
      </c>
      <c r="F217" s="758" t="s">
        <v>686</v>
      </c>
      <c r="G217" s="757" t="s">
        <v>687</v>
      </c>
      <c r="H217" s="757">
        <v>1</v>
      </c>
      <c r="I217" s="757"/>
      <c r="J217" s="757">
        <v>1</v>
      </c>
      <c r="K217" s="757"/>
      <c r="L217" s="92">
        <v>2019.01</v>
      </c>
      <c r="M217" s="92">
        <v>2019.12</v>
      </c>
      <c r="N217" s="759">
        <v>40</v>
      </c>
      <c r="O217" s="759"/>
      <c r="P217" s="759">
        <v>40</v>
      </c>
      <c r="Q217" s="759"/>
      <c r="R217" s="759"/>
      <c r="S217" s="759">
        <v>40</v>
      </c>
      <c r="T217" s="759"/>
      <c r="U217" s="759"/>
      <c r="V217" s="757"/>
      <c r="W217" s="757"/>
      <c r="X217" s="757"/>
      <c r="Y217" s="766">
        <v>433</v>
      </c>
      <c r="Z217" s="766">
        <v>1798</v>
      </c>
      <c r="AA217" s="757">
        <v>1</v>
      </c>
      <c r="AB217" s="757"/>
      <c r="AC217" s="757"/>
      <c r="AD217" s="146" t="s">
        <v>70</v>
      </c>
      <c r="AE217" s="146" t="s">
        <v>71</v>
      </c>
      <c r="AF217" s="438" t="s">
        <v>43</v>
      </c>
      <c r="AG217" s="757"/>
    </row>
    <row r="218" ht="40" customHeight="1" spans="1:33">
      <c r="A218" s="705"/>
      <c r="B218" s="768" t="s">
        <v>235</v>
      </c>
      <c r="C218" s="146" t="s">
        <v>52</v>
      </c>
      <c r="D218" s="705" t="s">
        <v>150</v>
      </c>
      <c r="E218" s="757">
        <f>SUM(E219:E223)</f>
        <v>22</v>
      </c>
      <c r="F218" s="757"/>
      <c r="G218" s="757"/>
      <c r="H218" s="757">
        <f t="shared" ref="F218:W218" si="39">SUM(H219:H223)</f>
        <v>22</v>
      </c>
      <c r="I218" s="757">
        <f t="shared" si="39"/>
        <v>0</v>
      </c>
      <c r="J218" s="757">
        <f t="shared" si="39"/>
        <v>22</v>
      </c>
      <c r="K218" s="757">
        <f t="shared" si="39"/>
        <v>0</v>
      </c>
      <c r="L218" s="757"/>
      <c r="M218" s="757"/>
      <c r="N218" s="759">
        <f t="shared" si="39"/>
        <v>231</v>
      </c>
      <c r="O218" s="759">
        <f t="shared" si="39"/>
        <v>0</v>
      </c>
      <c r="P218" s="759">
        <f t="shared" si="39"/>
        <v>231</v>
      </c>
      <c r="Q218" s="759">
        <f t="shared" si="39"/>
        <v>0</v>
      </c>
      <c r="R218" s="759">
        <f t="shared" si="39"/>
        <v>0</v>
      </c>
      <c r="S218" s="759">
        <f t="shared" si="39"/>
        <v>231</v>
      </c>
      <c r="T218" s="759">
        <f t="shared" si="39"/>
        <v>0</v>
      </c>
      <c r="U218" s="759">
        <f t="shared" si="39"/>
        <v>0</v>
      </c>
      <c r="V218" s="759">
        <f t="shared" si="39"/>
        <v>0</v>
      </c>
      <c r="W218" s="759"/>
      <c r="X218" s="757"/>
      <c r="Y218" s="757">
        <f t="shared" ref="Y218:AA218" si="40">SUM(Y219:Y223)</f>
        <v>1520</v>
      </c>
      <c r="Z218" s="757">
        <f t="shared" si="40"/>
        <v>5770</v>
      </c>
      <c r="AA218" s="757">
        <f t="shared" si="40"/>
        <v>22</v>
      </c>
      <c r="AB218" s="757"/>
      <c r="AC218" s="757"/>
      <c r="AD218" s="757"/>
      <c r="AE218" s="757"/>
      <c r="AF218" s="757"/>
      <c r="AG218" s="757"/>
    </row>
    <row r="219" ht="24.95" customHeight="1" spans="1:33">
      <c r="A219" s="705"/>
      <c r="B219" s="758" t="s">
        <v>91</v>
      </c>
      <c r="C219" s="146" t="s">
        <v>52</v>
      </c>
      <c r="D219" s="705" t="s">
        <v>202</v>
      </c>
      <c r="E219" s="757">
        <v>3</v>
      </c>
      <c r="F219" s="757" t="s">
        <v>688</v>
      </c>
      <c r="G219" s="769" t="s">
        <v>689</v>
      </c>
      <c r="H219" s="757">
        <v>3</v>
      </c>
      <c r="I219" s="757"/>
      <c r="J219" s="757">
        <v>3</v>
      </c>
      <c r="K219" s="757"/>
      <c r="L219" s="92">
        <v>2019.01</v>
      </c>
      <c r="M219" s="92">
        <v>2019.12</v>
      </c>
      <c r="N219" s="760">
        <v>31.5</v>
      </c>
      <c r="O219" s="759"/>
      <c r="P219" s="760">
        <v>31.5</v>
      </c>
      <c r="Q219" s="759"/>
      <c r="R219" s="759"/>
      <c r="S219" s="760">
        <v>31.5</v>
      </c>
      <c r="T219" s="759"/>
      <c r="U219" s="759"/>
      <c r="V219" s="757"/>
      <c r="W219" s="757"/>
      <c r="X219" s="769" t="s">
        <v>690</v>
      </c>
      <c r="Y219" s="766">
        <v>350</v>
      </c>
      <c r="Z219" s="766">
        <v>1200</v>
      </c>
      <c r="AA219" s="757">
        <v>3</v>
      </c>
      <c r="AB219" s="757"/>
      <c r="AC219" s="757"/>
      <c r="AD219" s="146" t="s">
        <v>82</v>
      </c>
      <c r="AE219" s="146" t="s">
        <v>83</v>
      </c>
      <c r="AF219" s="438" t="s">
        <v>43</v>
      </c>
      <c r="AG219" s="757"/>
    </row>
    <row r="220" ht="24.95" customHeight="1" spans="1:33">
      <c r="A220" s="705"/>
      <c r="B220" s="758" t="s">
        <v>51</v>
      </c>
      <c r="C220" s="146" t="s">
        <v>52</v>
      </c>
      <c r="D220" s="705" t="s">
        <v>202</v>
      </c>
      <c r="E220" s="757">
        <v>6</v>
      </c>
      <c r="F220" s="757" t="s">
        <v>691</v>
      </c>
      <c r="G220" s="769" t="s">
        <v>692</v>
      </c>
      <c r="H220" s="757">
        <v>6</v>
      </c>
      <c r="I220" s="757"/>
      <c r="J220" s="757">
        <v>6</v>
      </c>
      <c r="K220" s="757"/>
      <c r="L220" s="92">
        <v>2019.01</v>
      </c>
      <c r="M220" s="92">
        <v>2019.12</v>
      </c>
      <c r="N220" s="760">
        <v>63</v>
      </c>
      <c r="O220" s="759"/>
      <c r="P220" s="760">
        <v>63</v>
      </c>
      <c r="Q220" s="759"/>
      <c r="R220" s="759"/>
      <c r="S220" s="760">
        <v>63</v>
      </c>
      <c r="T220" s="759"/>
      <c r="U220" s="759"/>
      <c r="V220" s="757"/>
      <c r="W220" s="757"/>
      <c r="X220" s="769" t="s">
        <v>693</v>
      </c>
      <c r="Y220" s="766">
        <v>400</v>
      </c>
      <c r="Z220" s="766">
        <v>1500</v>
      </c>
      <c r="AA220" s="757">
        <v>6</v>
      </c>
      <c r="AB220" s="757"/>
      <c r="AC220" s="757"/>
      <c r="AD220" s="743" t="s">
        <v>53</v>
      </c>
      <c r="AE220" s="146" t="s">
        <v>54</v>
      </c>
      <c r="AF220" s="438" t="s">
        <v>43</v>
      </c>
      <c r="AG220" s="757"/>
    </row>
    <row r="221" ht="24.95" customHeight="1" spans="1:33">
      <c r="A221" s="705"/>
      <c r="B221" s="758" t="s">
        <v>75</v>
      </c>
      <c r="C221" s="146" t="s">
        <v>52</v>
      </c>
      <c r="D221" s="705" t="s">
        <v>202</v>
      </c>
      <c r="E221" s="757">
        <v>2</v>
      </c>
      <c r="F221" s="757" t="s">
        <v>694</v>
      </c>
      <c r="G221" s="769" t="s">
        <v>695</v>
      </c>
      <c r="H221" s="757">
        <v>2</v>
      </c>
      <c r="I221" s="757"/>
      <c r="J221" s="757">
        <v>2</v>
      </c>
      <c r="K221" s="757"/>
      <c r="L221" s="92">
        <v>2019.01</v>
      </c>
      <c r="M221" s="92">
        <v>2019.12</v>
      </c>
      <c r="N221" s="760">
        <v>21</v>
      </c>
      <c r="O221" s="759"/>
      <c r="P221" s="760">
        <v>21</v>
      </c>
      <c r="Q221" s="759"/>
      <c r="R221" s="759"/>
      <c r="S221" s="760">
        <v>21</v>
      </c>
      <c r="T221" s="759"/>
      <c r="U221" s="759"/>
      <c r="V221" s="757"/>
      <c r="W221" s="757"/>
      <c r="X221" s="769" t="s">
        <v>696</v>
      </c>
      <c r="Y221" s="766">
        <v>100</v>
      </c>
      <c r="Z221" s="766">
        <v>350</v>
      </c>
      <c r="AA221" s="757">
        <v>2</v>
      </c>
      <c r="AB221" s="757"/>
      <c r="AC221" s="757"/>
      <c r="AD221" s="146" t="s">
        <v>76</v>
      </c>
      <c r="AE221" s="146" t="s">
        <v>77</v>
      </c>
      <c r="AF221" s="438" t="s">
        <v>43</v>
      </c>
      <c r="AG221" s="757"/>
    </row>
    <row r="222" ht="24.95" customHeight="1" spans="1:33">
      <c r="A222" s="705"/>
      <c r="B222" s="758" t="s">
        <v>55</v>
      </c>
      <c r="C222" s="146" t="s">
        <v>52</v>
      </c>
      <c r="D222" s="705" t="s">
        <v>202</v>
      </c>
      <c r="E222" s="757">
        <v>9</v>
      </c>
      <c r="F222" s="757" t="s">
        <v>697</v>
      </c>
      <c r="G222" s="769" t="s">
        <v>698</v>
      </c>
      <c r="H222" s="757">
        <v>9</v>
      </c>
      <c r="I222" s="757"/>
      <c r="J222" s="757">
        <v>9</v>
      </c>
      <c r="K222" s="757"/>
      <c r="L222" s="92">
        <v>2019.01</v>
      </c>
      <c r="M222" s="92">
        <v>2019.12</v>
      </c>
      <c r="N222" s="760">
        <v>94.5</v>
      </c>
      <c r="O222" s="759"/>
      <c r="P222" s="760">
        <v>94.5</v>
      </c>
      <c r="Q222" s="759"/>
      <c r="R222" s="759"/>
      <c r="S222" s="760">
        <v>94.5</v>
      </c>
      <c r="T222" s="759"/>
      <c r="U222" s="759"/>
      <c r="V222" s="757"/>
      <c r="W222" s="757"/>
      <c r="X222" s="769" t="s">
        <v>699</v>
      </c>
      <c r="Y222" s="766">
        <v>520</v>
      </c>
      <c r="Z222" s="766">
        <v>2200</v>
      </c>
      <c r="AA222" s="757">
        <v>9</v>
      </c>
      <c r="AB222" s="757"/>
      <c r="AC222" s="757"/>
      <c r="AD222" s="141" t="s">
        <v>56</v>
      </c>
      <c r="AE222" s="146" t="s">
        <v>57</v>
      </c>
      <c r="AF222" s="438" t="s">
        <v>43</v>
      </c>
      <c r="AG222" s="757"/>
    </row>
    <row r="223" ht="24.95" customHeight="1" spans="1:33">
      <c r="A223" s="705"/>
      <c r="B223" s="758" t="s">
        <v>69</v>
      </c>
      <c r="C223" s="146" t="s">
        <v>52</v>
      </c>
      <c r="D223" s="705" t="s">
        <v>202</v>
      </c>
      <c r="E223" s="757">
        <v>2</v>
      </c>
      <c r="F223" s="757" t="s">
        <v>700</v>
      </c>
      <c r="G223" s="769" t="s">
        <v>695</v>
      </c>
      <c r="H223" s="757">
        <v>2</v>
      </c>
      <c r="I223" s="757"/>
      <c r="J223" s="757">
        <v>2</v>
      </c>
      <c r="K223" s="757"/>
      <c r="L223" s="92">
        <v>2019.01</v>
      </c>
      <c r="M223" s="92">
        <v>2019.12</v>
      </c>
      <c r="N223" s="760">
        <v>21</v>
      </c>
      <c r="O223" s="759"/>
      <c r="P223" s="760">
        <v>21</v>
      </c>
      <c r="Q223" s="759"/>
      <c r="R223" s="759"/>
      <c r="S223" s="760">
        <v>21</v>
      </c>
      <c r="T223" s="759"/>
      <c r="U223" s="759"/>
      <c r="V223" s="757"/>
      <c r="W223" s="757"/>
      <c r="X223" s="769" t="s">
        <v>696</v>
      </c>
      <c r="Y223" s="766">
        <v>150</v>
      </c>
      <c r="Z223" s="766">
        <v>520</v>
      </c>
      <c r="AA223" s="757">
        <v>2</v>
      </c>
      <c r="AB223" s="757"/>
      <c r="AC223" s="757"/>
      <c r="AD223" s="146" t="s">
        <v>70</v>
      </c>
      <c r="AE223" s="146" t="s">
        <v>71</v>
      </c>
      <c r="AF223" s="438" t="s">
        <v>43</v>
      </c>
      <c r="AG223" s="757"/>
    </row>
    <row r="224" ht="30" customHeight="1" spans="1:33">
      <c r="A224" s="705"/>
      <c r="B224" s="768" t="s">
        <v>236</v>
      </c>
      <c r="C224" s="146" t="s">
        <v>52</v>
      </c>
      <c r="D224" s="705"/>
      <c r="E224" s="757">
        <f>SUM(E225:E231)</f>
        <v>14</v>
      </c>
      <c r="F224" s="757"/>
      <c r="G224" s="757"/>
      <c r="H224" s="757">
        <f t="shared" ref="F224:W224" si="41">SUM(H225:H231)</f>
        <v>5540</v>
      </c>
      <c r="I224" s="757">
        <f t="shared" si="41"/>
        <v>0</v>
      </c>
      <c r="J224" s="757">
        <f t="shared" si="41"/>
        <v>5540</v>
      </c>
      <c r="K224" s="757">
        <f t="shared" si="41"/>
        <v>0</v>
      </c>
      <c r="L224" s="757"/>
      <c r="M224" s="757"/>
      <c r="N224" s="759">
        <f t="shared" si="41"/>
        <v>100</v>
      </c>
      <c r="O224" s="759">
        <f t="shared" si="41"/>
        <v>0</v>
      </c>
      <c r="P224" s="759">
        <f t="shared" si="41"/>
        <v>100</v>
      </c>
      <c r="Q224" s="759">
        <f t="shared" si="41"/>
        <v>0</v>
      </c>
      <c r="R224" s="759">
        <f t="shared" si="41"/>
        <v>0</v>
      </c>
      <c r="S224" s="759">
        <f t="shared" si="41"/>
        <v>100</v>
      </c>
      <c r="T224" s="759">
        <f t="shared" si="41"/>
        <v>0</v>
      </c>
      <c r="U224" s="759">
        <f t="shared" si="41"/>
        <v>0</v>
      </c>
      <c r="V224" s="759">
        <f t="shared" si="41"/>
        <v>0</v>
      </c>
      <c r="W224" s="759"/>
      <c r="X224" s="570" t="s">
        <v>701</v>
      </c>
      <c r="Y224" s="757">
        <f t="shared" ref="Y224:AA224" si="42">SUM(Y225:Y231)</f>
        <v>60</v>
      </c>
      <c r="Z224" s="757">
        <f t="shared" si="42"/>
        <v>229</v>
      </c>
      <c r="AA224" s="757">
        <f t="shared" si="42"/>
        <v>14</v>
      </c>
      <c r="AB224" s="757"/>
      <c r="AC224" s="757"/>
      <c r="AD224" s="757"/>
      <c r="AE224" s="757"/>
      <c r="AF224" s="757"/>
      <c r="AG224" s="757"/>
    </row>
    <row r="225" ht="24.95" customHeight="1" spans="1:33">
      <c r="A225" s="705"/>
      <c r="B225" s="758" t="s">
        <v>69</v>
      </c>
      <c r="C225" s="146" t="s">
        <v>52</v>
      </c>
      <c r="D225" s="705" t="s">
        <v>45</v>
      </c>
      <c r="E225" s="757">
        <v>1</v>
      </c>
      <c r="F225" s="757" t="s">
        <v>702</v>
      </c>
      <c r="G225" s="769" t="s">
        <v>703</v>
      </c>
      <c r="H225" s="757">
        <v>330</v>
      </c>
      <c r="I225" s="757"/>
      <c r="J225" s="757">
        <v>330</v>
      </c>
      <c r="K225" s="757"/>
      <c r="L225" s="92">
        <v>2019.01</v>
      </c>
      <c r="M225" s="92">
        <v>2019.12</v>
      </c>
      <c r="N225" s="760">
        <v>6</v>
      </c>
      <c r="O225" s="759"/>
      <c r="P225" s="760">
        <v>6</v>
      </c>
      <c r="Q225" s="759"/>
      <c r="R225" s="759"/>
      <c r="S225" s="760">
        <v>6</v>
      </c>
      <c r="T225" s="759"/>
      <c r="U225" s="759"/>
      <c r="V225" s="757"/>
      <c r="W225" s="757"/>
      <c r="X225" s="757"/>
      <c r="Y225" s="766">
        <v>5</v>
      </c>
      <c r="Z225" s="766">
        <v>23</v>
      </c>
      <c r="AA225" s="757">
        <v>1</v>
      </c>
      <c r="AB225" s="757"/>
      <c r="AC225" s="757"/>
      <c r="AD225" s="146" t="s">
        <v>70</v>
      </c>
      <c r="AE225" s="146" t="s">
        <v>138</v>
      </c>
      <c r="AF225" s="146" t="s">
        <v>43</v>
      </c>
      <c r="AG225" s="757"/>
    </row>
    <row r="226" ht="24.95" customHeight="1" spans="1:33">
      <c r="A226" s="705"/>
      <c r="B226" s="758" t="s">
        <v>51</v>
      </c>
      <c r="C226" s="146" t="s">
        <v>52</v>
      </c>
      <c r="D226" s="705" t="s">
        <v>45</v>
      </c>
      <c r="E226" s="757">
        <v>3</v>
      </c>
      <c r="F226" s="757" t="s">
        <v>704</v>
      </c>
      <c r="G226" s="769" t="s">
        <v>705</v>
      </c>
      <c r="H226" s="757">
        <v>1650</v>
      </c>
      <c r="I226" s="757"/>
      <c r="J226" s="757">
        <v>1650</v>
      </c>
      <c r="K226" s="757"/>
      <c r="L226" s="92">
        <v>2019.01</v>
      </c>
      <c r="M226" s="92">
        <v>2019.12</v>
      </c>
      <c r="N226" s="760">
        <v>30</v>
      </c>
      <c r="O226" s="759"/>
      <c r="P226" s="760">
        <v>30</v>
      </c>
      <c r="Q226" s="759"/>
      <c r="R226" s="759"/>
      <c r="S226" s="760">
        <v>30</v>
      </c>
      <c r="T226" s="759"/>
      <c r="U226" s="759"/>
      <c r="V226" s="757"/>
      <c r="W226" s="757"/>
      <c r="X226" s="757"/>
      <c r="Y226" s="766">
        <v>23</v>
      </c>
      <c r="Z226" s="766">
        <v>78</v>
      </c>
      <c r="AA226" s="757">
        <v>3</v>
      </c>
      <c r="AB226" s="757"/>
      <c r="AC226" s="757"/>
      <c r="AD226" s="743" t="s">
        <v>152</v>
      </c>
      <c r="AE226" s="146" t="s">
        <v>153</v>
      </c>
      <c r="AF226" s="146" t="s">
        <v>43</v>
      </c>
      <c r="AG226" s="757"/>
    </row>
    <row r="227" ht="24.95" customHeight="1" spans="1:33">
      <c r="A227" s="705"/>
      <c r="B227" s="758" t="s">
        <v>91</v>
      </c>
      <c r="C227" s="146" t="s">
        <v>52</v>
      </c>
      <c r="D227" s="705" t="s">
        <v>45</v>
      </c>
      <c r="E227" s="757">
        <v>5</v>
      </c>
      <c r="F227" s="757" t="s">
        <v>706</v>
      </c>
      <c r="G227" s="769" t="s">
        <v>707</v>
      </c>
      <c r="H227" s="757">
        <v>1320</v>
      </c>
      <c r="I227" s="757"/>
      <c r="J227" s="757">
        <v>1320</v>
      </c>
      <c r="K227" s="757"/>
      <c r="L227" s="92">
        <v>2019.01</v>
      </c>
      <c r="M227" s="92">
        <v>2019.12</v>
      </c>
      <c r="N227" s="760">
        <v>25.6</v>
      </c>
      <c r="O227" s="759"/>
      <c r="P227" s="760">
        <v>25.6</v>
      </c>
      <c r="Q227" s="759"/>
      <c r="R227" s="759"/>
      <c r="S227" s="760">
        <v>25.6</v>
      </c>
      <c r="T227" s="759"/>
      <c r="U227" s="759"/>
      <c r="V227" s="757"/>
      <c r="W227" s="757"/>
      <c r="X227" s="757"/>
      <c r="Y227" s="766">
        <v>8</v>
      </c>
      <c r="Z227" s="766">
        <v>33</v>
      </c>
      <c r="AA227" s="757">
        <v>5</v>
      </c>
      <c r="AB227" s="757"/>
      <c r="AC227" s="757"/>
      <c r="AD227" s="146" t="s">
        <v>82</v>
      </c>
      <c r="AE227" s="146" t="s">
        <v>135</v>
      </c>
      <c r="AF227" s="146" t="s">
        <v>43</v>
      </c>
      <c r="AG227" s="757"/>
    </row>
    <row r="228" ht="24.95" customHeight="1" spans="1:33">
      <c r="A228" s="705"/>
      <c r="B228" s="758" t="s">
        <v>75</v>
      </c>
      <c r="C228" s="146" t="s">
        <v>52</v>
      </c>
      <c r="D228" s="705" t="s">
        <v>45</v>
      </c>
      <c r="E228" s="757">
        <v>2</v>
      </c>
      <c r="F228" s="757" t="s">
        <v>708</v>
      </c>
      <c r="G228" s="769" t="s">
        <v>709</v>
      </c>
      <c r="H228" s="757">
        <v>600</v>
      </c>
      <c r="I228" s="757"/>
      <c r="J228" s="757">
        <v>600</v>
      </c>
      <c r="K228" s="757"/>
      <c r="L228" s="92">
        <v>2019.01</v>
      </c>
      <c r="M228" s="92">
        <v>2019.12</v>
      </c>
      <c r="N228" s="760">
        <v>10.8</v>
      </c>
      <c r="O228" s="759"/>
      <c r="P228" s="760">
        <v>10.8</v>
      </c>
      <c r="Q228" s="759"/>
      <c r="R228" s="759"/>
      <c r="S228" s="760">
        <v>10.8</v>
      </c>
      <c r="T228" s="759"/>
      <c r="U228" s="759"/>
      <c r="V228" s="757"/>
      <c r="W228" s="757"/>
      <c r="X228" s="757"/>
      <c r="Y228" s="766">
        <v>6</v>
      </c>
      <c r="Z228" s="766">
        <v>24</v>
      </c>
      <c r="AA228" s="757">
        <v>2</v>
      </c>
      <c r="AB228" s="757"/>
      <c r="AC228" s="757"/>
      <c r="AD228" s="146" t="s">
        <v>76</v>
      </c>
      <c r="AE228" s="753" t="s">
        <v>136</v>
      </c>
      <c r="AF228" s="146" t="s">
        <v>43</v>
      </c>
      <c r="AG228" s="757"/>
    </row>
    <row r="229" ht="24.95" customHeight="1" spans="1:33">
      <c r="A229" s="705"/>
      <c r="B229" s="758" t="s">
        <v>58</v>
      </c>
      <c r="C229" s="146" t="s">
        <v>52</v>
      </c>
      <c r="D229" s="705" t="s">
        <v>45</v>
      </c>
      <c r="E229" s="757">
        <v>1</v>
      </c>
      <c r="F229" s="757" t="s">
        <v>710</v>
      </c>
      <c r="G229" s="769" t="s">
        <v>711</v>
      </c>
      <c r="H229" s="757">
        <v>1100</v>
      </c>
      <c r="I229" s="757"/>
      <c r="J229" s="757">
        <v>1100</v>
      </c>
      <c r="K229" s="757"/>
      <c r="L229" s="92">
        <v>2019.01</v>
      </c>
      <c r="M229" s="92">
        <v>2019.12</v>
      </c>
      <c r="N229" s="760">
        <v>18</v>
      </c>
      <c r="O229" s="759"/>
      <c r="P229" s="760">
        <v>18</v>
      </c>
      <c r="Q229" s="759"/>
      <c r="R229" s="759"/>
      <c r="S229" s="760">
        <v>18</v>
      </c>
      <c r="T229" s="759"/>
      <c r="U229" s="759"/>
      <c r="V229" s="757"/>
      <c r="W229" s="757"/>
      <c r="X229" s="757"/>
      <c r="Y229" s="766">
        <v>15</v>
      </c>
      <c r="Z229" s="766">
        <v>58</v>
      </c>
      <c r="AA229" s="757">
        <v>1</v>
      </c>
      <c r="AB229" s="757"/>
      <c r="AC229" s="757"/>
      <c r="AD229" s="146" t="s">
        <v>59</v>
      </c>
      <c r="AE229" s="146" t="s">
        <v>156</v>
      </c>
      <c r="AF229" s="146" t="s">
        <v>43</v>
      </c>
      <c r="AG229" s="757"/>
    </row>
    <row r="230" ht="24.95" customHeight="1" spans="1:33">
      <c r="A230" s="705"/>
      <c r="B230" s="758" t="s">
        <v>114</v>
      </c>
      <c r="C230" s="146" t="s">
        <v>52</v>
      </c>
      <c r="D230" s="705" t="s">
        <v>45</v>
      </c>
      <c r="E230" s="757">
        <v>1</v>
      </c>
      <c r="F230" s="757" t="s">
        <v>712</v>
      </c>
      <c r="G230" s="769" t="s">
        <v>713</v>
      </c>
      <c r="H230" s="757">
        <v>270</v>
      </c>
      <c r="I230" s="757"/>
      <c r="J230" s="757">
        <v>270</v>
      </c>
      <c r="K230" s="757"/>
      <c r="L230" s="92">
        <v>2019.01</v>
      </c>
      <c r="M230" s="92">
        <v>2019.12</v>
      </c>
      <c r="N230" s="760">
        <v>4.8</v>
      </c>
      <c r="O230" s="759"/>
      <c r="P230" s="760">
        <v>4.8</v>
      </c>
      <c r="Q230" s="759"/>
      <c r="R230" s="759"/>
      <c r="S230" s="760">
        <v>4.8</v>
      </c>
      <c r="T230" s="759"/>
      <c r="U230" s="759"/>
      <c r="V230" s="757"/>
      <c r="W230" s="757"/>
      <c r="X230" s="757"/>
      <c r="Y230" s="766">
        <v>2</v>
      </c>
      <c r="Z230" s="766">
        <v>9</v>
      </c>
      <c r="AA230" s="757">
        <v>1</v>
      </c>
      <c r="AB230" s="757"/>
      <c r="AC230" s="757"/>
      <c r="AD230" s="146" t="s">
        <v>237</v>
      </c>
      <c r="AE230" s="146" t="s">
        <v>116</v>
      </c>
      <c r="AF230" s="146" t="s">
        <v>43</v>
      </c>
      <c r="AG230" s="757"/>
    </row>
    <row r="231" ht="24.95" customHeight="1" spans="1:33">
      <c r="A231" s="705"/>
      <c r="B231" s="758" t="s">
        <v>78</v>
      </c>
      <c r="C231" s="146" t="s">
        <v>52</v>
      </c>
      <c r="D231" s="705" t="s">
        <v>45</v>
      </c>
      <c r="E231" s="757">
        <v>1</v>
      </c>
      <c r="F231" s="757" t="s">
        <v>714</v>
      </c>
      <c r="G231" s="769" t="s">
        <v>715</v>
      </c>
      <c r="H231" s="757">
        <v>270</v>
      </c>
      <c r="I231" s="757"/>
      <c r="J231" s="757">
        <v>270</v>
      </c>
      <c r="K231" s="757"/>
      <c r="L231" s="92">
        <v>2019.01</v>
      </c>
      <c r="M231" s="92">
        <v>2019.12</v>
      </c>
      <c r="N231" s="760">
        <v>4.8</v>
      </c>
      <c r="O231" s="759"/>
      <c r="P231" s="760">
        <v>4.8</v>
      </c>
      <c r="Q231" s="759"/>
      <c r="R231" s="759"/>
      <c r="S231" s="760">
        <v>4.8</v>
      </c>
      <c r="T231" s="759"/>
      <c r="U231" s="759"/>
      <c r="V231" s="757"/>
      <c r="W231" s="757"/>
      <c r="X231" s="757"/>
      <c r="Y231" s="766">
        <v>1</v>
      </c>
      <c r="Z231" s="766">
        <v>4</v>
      </c>
      <c r="AA231" s="757">
        <v>1</v>
      </c>
      <c r="AB231" s="757"/>
      <c r="AC231" s="757"/>
      <c r="AD231" s="146" t="s">
        <v>79</v>
      </c>
      <c r="AE231" s="146" t="s">
        <v>157</v>
      </c>
      <c r="AF231" s="146" t="s">
        <v>43</v>
      </c>
      <c r="AG231" s="757"/>
    </row>
    <row r="232" ht="32.1" customHeight="1" spans="1:33">
      <c r="A232" s="705">
        <v>26</v>
      </c>
      <c r="B232" s="706" t="s">
        <v>238</v>
      </c>
      <c r="C232" s="706"/>
      <c r="D232" s="707" t="s">
        <v>147</v>
      </c>
      <c r="E232" s="706">
        <f>E233+E275+E288+E339</f>
        <v>101</v>
      </c>
      <c r="F232" s="706">
        <f t="shared" ref="F232:AA232" si="43">F233+F275+F288+F339</f>
        <v>0</v>
      </c>
      <c r="G232" s="706">
        <f t="shared" si="43"/>
        <v>0</v>
      </c>
      <c r="H232" s="706">
        <f t="shared" si="43"/>
        <v>63617</v>
      </c>
      <c r="I232" s="706">
        <f t="shared" si="43"/>
        <v>0</v>
      </c>
      <c r="J232" s="706">
        <f t="shared" si="43"/>
        <v>63617</v>
      </c>
      <c r="K232" s="706">
        <f t="shared" si="43"/>
        <v>0</v>
      </c>
      <c r="L232" s="706"/>
      <c r="M232" s="706"/>
      <c r="N232" s="706">
        <f t="shared" si="43"/>
        <v>3790.02</v>
      </c>
      <c r="O232" s="706">
        <f t="shared" si="43"/>
        <v>60</v>
      </c>
      <c r="P232" s="706">
        <f t="shared" si="43"/>
        <v>3730.02</v>
      </c>
      <c r="Q232" s="706">
        <f t="shared" si="43"/>
        <v>0</v>
      </c>
      <c r="R232" s="706">
        <f t="shared" si="43"/>
        <v>2328.5</v>
      </c>
      <c r="S232" s="706">
        <f t="shared" si="43"/>
        <v>801.52</v>
      </c>
      <c r="T232" s="706">
        <f t="shared" si="43"/>
        <v>0</v>
      </c>
      <c r="U232" s="706">
        <f t="shared" si="43"/>
        <v>660</v>
      </c>
      <c r="V232" s="706">
        <f t="shared" si="43"/>
        <v>0</v>
      </c>
      <c r="W232" s="706" t="e">
        <f t="shared" si="43"/>
        <v>#VALUE!</v>
      </c>
      <c r="X232" s="706" t="e">
        <f t="shared" si="43"/>
        <v>#VALUE!</v>
      </c>
      <c r="Y232" s="739">
        <f t="shared" si="43"/>
        <v>41559</v>
      </c>
      <c r="Z232" s="739">
        <f t="shared" si="43"/>
        <v>125948.7</v>
      </c>
      <c r="AA232" s="706">
        <f t="shared" si="43"/>
        <v>101</v>
      </c>
      <c r="AB232" s="706"/>
      <c r="AC232" s="706"/>
      <c r="AD232" s="706"/>
      <c r="AE232" s="706"/>
      <c r="AF232" s="706"/>
      <c r="AG232" s="706" t="s">
        <v>41</v>
      </c>
    </row>
    <row r="233" ht="24.95" customHeight="1" spans="1:33">
      <c r="A233" s="705">
        <v>27</v>
      </c>
      <c r="B233" s="708" t="s">
        <v>239</v>
      </c>
      <c r="C233" s="708"/>
      <c r="D233" s="709" t="s">
        <v>147</v>
      </c>
      <c r="E233" s="708">
        <f>E234+E260+E247</f>
        <v>36</v>
      </c>
      <c r="F233" s="708">
        <f t="shared" ref="F233:AA233" si="44">F234+F260+F247</f>
        <v>0</v>
      </c>
      <c r="G233" s="708">
        <f t="shared" si="44"/>
        <v>0</v>
      </c>
      <c r="H233" s="708">
        <f t="shared" si="44"/>
        <v>41968</v>
      </c>
      <c r="I233" s="708">
        <f t="shared" si="44"/>
        <v>0</v>
      </c>
      <c r="J233" s="708">
        <f t="shared" si="44"/>
        <v>41968</v>
      </c>
      <c r="K233" s="708">
        <f t="shared" si="44"/>
        <v>0</v>
      </c>
      <c r="L233" s="708"/>
      <c r="M233" s="708"/>
      <c r="N233" s="708">
        <f t="shared" si="44"/>
        <v>801.52</v>
      </c>
      <c r="O233" s="708">
        <f t="shared" si="44"/>
        <v>0</v>
      </c>
      <c r="P233" s="708">
        <f t="shared" si="44"/>
        <v>801.52</v>
      </c>
      <c r="Q233" s="708">
        <f t="shared" si="44"/>
        <v>0</v>
      </c>
      <c r="R233" s="708">
        <f t="shared" si="44"/>
        <v>0</v>
      </c>
      <c r="S233" s="708">
        <f t="shared" si="44"/>
        <v>801.52</v>
      </c>
      <c r="T233" s="708">
        <f t="shared" si="44"/>
        <v>0</v>
      </c>
      <c r="U233" s="708">
        <f t="shared" si="44"/>
        <v>0</v>
      </c>
      <c r="V233" s="708">
        <f t="shared" si="44"/>
        <v>0</v>
      </c>
      <c r="W233" s="708">
        <f t="shared" si="44"/>
        <v>0</v>
      </c>
      <c r="X233" s="708">
        <f t="shared" si="44"/>
        <v>0</v>
      </c>
      <c r="Y233" s="708">
        <f t="shared" si="44"/>
        <v>28879</v>
      </c>
      <c r="Z233" s="708">
        <f t="shared" si="44"/>
        <v>80236</v>
      </c>
      <c r="AA233" s="708">
        <f t="shared" si="44"/>
        <v>36</v>
      </c>
      <c r="AB233" s="708"/>
      <c r="AC233" s="708"/>
      <c r="AD233" s="708"/>
      <c r="AE233" s="708"/>
      <c r="AF233" s="708"/>
      <c r="AG233" s="708" t="s">
        <v>41</v>
      </c>
    </row>
    <row r="234" ht="24.95" customHeight="1" spans="1:33">
      <c r="A234" s="705">
        <v>28</v>
      </c>
      <c r="B234" s="770" t="s">
        <v>241</v>
      </c>
      <c r="C234" s="770" t="s">
        <v>52</v>
      </c>
      <c r="D234" s="771" t="s">
        <v>147</v>
      </c>
      <c r="E234" s="770">
        <f>SUM(E235:E246)</f>
        <v>12</v>
      </c>
      <c r="F234" s="770">
        <f t="shared" ref="F234:AA234" si="45">SUM(F235:F246)</f>
        <v>0</v>
      </c>
      <c r="G234" s="770">
        <f t="shared" si="45"/>
        <v>0</v>
      </c>
      <c r="H234" s="770">
        <f t="shared" si="45"/>
        <v>17641</v>
      </c>
      <c r="I234" s="770">
        <f t="shared" si="45"/>
        <v>0</v>
      </c>
      <c r="J234" s="770">
        <f t="shared" si="45"/>
        <v>17641</v>
      </c>
      <c r="K234" s="770">
        <f t="shared" si="45"/>
        <v>0</v>
      </c>
      <c r="L234" s="770"/>
      <c r="M234" s="770"/>
      <c r="N234" s="770">
        <f t="shared" si="45"/>
        <v>176.41</v>
      </c>
      <c r="O234" s="770">
        <f t="shared" si="45"/>
        <v>0</v>
      </c>
      <c r="P234" s="770">
        <f t="shared" si="45"/>
        <v>176.41</v>
      </c>
      <c r="Q234" s="770">
        <f t="shared" si="45"/>
        <v>0</v>
      </c>
      <c r="R234" s="770">
        <f t="shared" si="45"/>
        <v>0</v>
      </c>
      <c r="S234" s="770">
        <f t="shared" si="45"/>
        <v>176.41</v>
      </c>
      <c r="T234" s="770">
        <f t="shared" si="45"/>
        <v>0</v>
      </c>
      <c r="U234" s="770">
        <f t="shared" si="45"/>
        <v>0</v>
      </c>
      <c r="V234" s="770">
        <f t="shared" si="45"/>
        <v>0</v>
      </c>
      <c r="W234" s="770">
        <f t="shared" si="45"/>
        <v>0</v>
      </c>
      <c r="X234" s="770">
        <f t="shared" si="45"/>
        <v>0</v>
      </c>
      <c r="Y234" s="770">
        <f t="shared" si="45"/>
        <v>11581</v>
      </c>
      <c r="Z234" s="770">
        <f t="shared" si="45"/>
        <v>29610</v>
      </c>
      <c r="AA234" s="770">
        <f t="shared" si="45"/>
        <v>12</v>
      </c>
      <c r="AB234" s="770"/>
      <c r="AC234" s="770"/>
      <c r="AD234" s="772" t="s">
        <v>242</v>
      </c>
      <c r="AE234" s="772" t="s">
        <v>243</v>
      </c>
      <c r="AF234" s="773" t="s">
        <v>195</v>
      </c>
      <c r="AG234" s="92" t="s">
        <v>41</v>
      </c>
    </row>
    <row r="235" ht="24.95" customHeight="1" spans="1:33">
      <c r="A235" s="705"/>
      <c r="B235" s="92" t="s">
        <v>101</v>
      </c>
      <c r="C235" s="92" t="s">
        <v>52</v>
      </c>
      <c r="D235" s="76" t="s">
        <v>147</v>
      </c>
      <c r="E235" s="92">
        <v>1</v>
      </c>
      <c r="F235" s="92" t="s">
        <v>101</v>
      </c>
      <c r="G235" s="92"/>
      <c r="H235" s="92">
        <f>N235/0.01</f>
        <v>1500</v>
      </c>
      <c r="I235" s="92">
        <f>O235/0.01</f>
        <v>0</v>
      </c>
      <c r="J235" s="92">
        <f>P235/0.01</f>
        <v>1500</v>
      </c>
      <c r="K235" s="92"/>
      <c r="L235" s="92">
        <v>2019.01</v>
      </c>
      <c r="M235" s="92">
        <v>2019.12</v>
      </c>
      <c r="N235" s="724">
        <v>15</v>
      </c>
      <c r="O235" s="724"/>
      <c r="P235" s="724">
        <v>15</v>
      </c>
      <c r="Q235" s="724"/>
      <c r="R235" s="724"/>
      <c r="S235" s="724">
        <v>15</v>
      </c>
      <c r="T235" s="724"/>
      <c r="U235" s="724"/>
      <c r="V235" s="724"/>
      <c r="W235" s="724"/>
      <c r="X235" s="724"/>
      <c r="Y235" s="738">
        <v>1361</v>
      </c>
      <c r="Z235" s="738">
        <v>5190</v>
      </c>
      <c r="AA235" s="92">
        <v>1</v>
      </c>
      <c r="AB235" s="92"/>
      <c r="AC235" s="92"/>
      <c r="AD235" s="146" t="s">
        <v>244</v>
      </c>
      <c r="AE235" s="193" t="s">
        <v>245</v>
      </c>
      <c r="AF235" s="146" t="s">
        <v>195</v>
      </c>
      <c r="AG235" s="92"/>
    </row>
    <row r="236" ht="24.95" customHeight="1" spans="1:33">
      <c r="A236" s="705"/>
      <c r="B236" s="92" t="s">
        <v>151</v>
      </c>
      <c r="C236" s="92" t="s">
        <v>52</v>
      </c>
      <c r="D236" s="76" t="s">
        <v>147</v>
      </c>
      <c r="E236" s="92">
        <v>1</v>
      </c>
      <c r="F236" s="92" t="s">
        <v>151</v>
      </c>
      <c r="G236" s="92"/>
      <c r="H236" s="92">
        <f t="shared" ref="H236:H246" si="46">N236/0.01</f>
        <v>2740</v>
      </c>
      <c r="I236" s="92">
        <f t="shared" ref="I236:I246" si="47">O236/0.01</f>
        <v>0</v>
      </c>
      <c r="J236" s="92">
        <f t="shared" ref="J236:J246" si="48">P236/0.01</f>
        <v>2740</v>
      </c>
      <c r="K236" s="92"/>
      <c r="L236" s="92">
        <v>2019.01</v>
      </c>
      <c r="M236" s="92">
        <v>2019.12</v>
      </c>
      <c r="N236" s="724">
        <v>27.4</v>
      </c>
      <c r="O236" s="724"/>
      <c r="P236" s="724">
        <v>27.4</v>
      </c>
      <c r="Q236" s="724"/>
      <c r="R236" s="724"/>
      <c r="S236" s="724">
        <v>27.4</v>
      </c>
      <c r="T236" s="724"/>
      <c r="U236" s="724"/>
      <c r="V236" s="724"/>
      <c r="W236" s="724"/>
      <c r="X236" s="724"/>
      <c r="Y236" s="738">
        <v>2740</v>
      </c>
      <c r="Z236" s="738">
        <v>2740</v>
      </c>
      <c r="AA236" s="92">
        <v>1</v>
      </c>
      <c r="AB236" s="92"/>
      <c r="AC236" s="92"/>
      <c r="AD236" s="146" t="s">
        <v>169</v>
      </c>
      <c r="AE236" s="146" t="s">
        <v>246</v>
      </c>
      <c r="AF236" s="146" t="s">
        <v>195</v>
      </c>
      <c r="AG236" s="92"/>
    </row>
    <row r="237" ht="24.95" customHeight="1" spans="1:33">
      <c r="A237" s="705"/>
      <c r="B237" s="92" t="s">
        <v>154</v>
      </c>
      <c r="C237" s="92" t="s">
        <v>52</v>
      </c>
      <c r="D237" s="76" t="s">
        <v>147</v>
      </c>
      <c r="E237" s="92">
        <v>1</v>
      </c>
      <c r="F237" s="92" t="s">
        <v>154</v>
      </c>
      <c r="G237" s="92"/>
      <c r="H237" s="92">
        <f t="shared" si="46"/>
        <v>1600</v>
      </c>
      <c r="I237" s="92">
        <f t="shared" si="47"/>
        <v>0</v>
      </c>
      <c r="J237" s="92">
        <f t="shared" si="48"/>
        <v>1600</v>
      </c>
      <c r="K237" s="92"/>
      <c r="L237" s="92">
        <v>2019.01</v>
      </c>
      <c r="M237" s="92">
        <v>2019.12</v>
      </c>
      <c r="N237" s="724">
        <v>16</v>
      </c>
      <c r="O237" s="724"/>
      <c r="P237" s="724">
        <v>16</v>
      </c>
      <c r="Q237" s="724"/>
      <c r="R237" s="724"/>
      <c r="S237" s="724">
        <v>16</v>
      </c>
      <c r="T237" s="724"/>
      <c r="U237" s="724"/>
      <c r="V237" s="724"/>
      <c r="W237" s="724"/>
      <c r="X237" s="724"/>
      <c r="Y237" s="738">
        <v>780</v>
      </c>
      <c r="Z237" s="738">
        <v>3300</v>
      </c>
      <c r="AA237" s="92">
        <v>1</v>
      </c>
      <c r="AB237" s="92"/>
      <c r="AC237" s="92"/>
      <c r="AD237" s="146" t="s">
        <v>247</v>
      </c>
      <c r="AE237" s="146" t="s">
        <v>248</v>
      </c>
      <c r="AF237" s="146" t="s">
        <v>195</v>
      </c>
      <c r="AG237" s="92"/>
    </row>
    <row r="238" ht="24.95" customHeight="1" spans="1:33">
      <c r="A238" s="705"/>
      <c r="B238" s="92" t="s">
        <v>81</v>
      </c>
      <c r="C238" s="92" t="s">
        <v>52</v>
      </c>
      <c r="D238" s="76" t="s">
        <v>147</v>
      </c>
      <c r="E238" s="92">
        <v>1</v>
      </c>
      <c r="F238" s="92" t="s">
        <v>81</v>
      </c>
      <c r="G238" s="92"/>
      <c r="H238" s="92">
        <f t="shared" si="46"/>
        <v>1600</v>
      </c>
      <c r="I238" s="92">
        <f t="shared" si="47"/>
        <v>0</v>
      </c>
      <c r="J238" s="92">
        <f t="shared" si="48"/>
        <v>1600</v>
      </c>
      <c r="K238" s="92"/>
      <c r="L238" s="92">
        <v>2019.01</v>
      </c>
      <c r="M238" s="92">
        <v>2019.12</v>
      </c>
      <c r="N238" s="724">
        <v>16</v>
      </c>
      <c r="O238" s="724"/>
      <c r="P238" s="724">
        <v>16</v>
      </c>
      <c r="Q238" s="724"/>
      <c r="R238" s="724"/>
      <c r="S238" s="724">
        <v>16</v>
      </c>
      <c r="T238" s="724"/>
      <c r="U238" s="724"/>
      <c r="V238" s="724"/>
      <c r="W238" s="724"/>
      <c r="X238" s="724"/>
      <c r="Y238" s="738">
        <v>762</v>
      </c>
      <c r="Z238" s="738">
        <v>3350</v>
      </c>
      <c r="AA238" s="92">
        <v>1</v>
      </c>
      <c r="AB238" s="92"/>
      <c r="AC238" s="92"/>
      <c r="AD238" s="146" t="s">
        <v>249</v>
      </c>
      <c r="AE238" s="146" t="s">
        <v>250</v>
      </c>
      <c r="AF238" s="146" t="s">
        <v>195</v>
      </c>
      <c r="AG238" s="92"/>
    </row>
    <row r="239" ht="24.95" customHeight="1" spans="1:33">
      <c r="A239" s="705"/>
      <c r="B239" s="92" t="s">
        <v>98</v>
      </c>
      <c r="C239" s="92" t="s">
        <v>52</v>
      </c>
      <c r="D239" s="76" t="s">
        <v>147</v>
      </c>
      <c r="E239" s="92">
        <v>1</v>
      </c>
      <c r="F239" s="92" t="s">
        <v>98</v>
      </c>
      <c r="G239" s="92"/>
      <c r="H239" s="92">
        <f t="shared" si="46"/>
        <v>1900</v>
      </c>
      <c r="I239" s="92">
        <f t="shared" si="47"/>
        <v>0</v>
      </c>
      <c r="J239" s="92">
        <f t="shared" si="48"/>
        <v>1900</v>
      </c>
      <c r="K239" s="92"/>
      <c r="L239" s="92">
        <v>2019.01</v>
      </c>
      <c r="M239" s="92">
        <v>2019.12</v>
      </c>
      <c r="N239" s="724">
        <v>19</v>
      </c>
      <c r="O239" s="724"/>
      <c r="P239" s="724">
        <v>19</v>
      </c>
      <c r="Q239" s="724"/>
      <c r="R239" s="724"/>
      <c r="S239" s="724">
        <v>19</v>
      </c>
      <c r="T239" s="724"/>
      <c r="U239" s="724"/>
      <c r="V239" s="724"/>
      <c r="W239" s="724"/>
      <c r="X239" s="724"/>
      <c r="Y239" s="738">
        <v>1330</v>
      </c>
      <c r="Z239" s="738">
        <v>5935</v>
      </c>
      <c r="AA239" s="92">
        <v>1</v>
      </c>
      <c r="AB239" s="92"/>
      <c r="AC239" s="92"/>
      <c r="AD239" s="774" t="s">
        <v>209</v>
      </c>
      <c r="AE239" s="774" t="s">
        <v>251</v>
      </c>
      <c r="AF239" s="146" t="s">
        <v>195</v>
      </c>
      <c r="AG239" s="92"/>
    </row>
    <row r="240" ht="24.95" customHeight="1" spans="1:33">
      <c r="A240" s="705"/>
      <c r="B240" s="92" t="s">
        <v>211</v>
      </c>
      <c r="C240" s="92" t="s">
        <v>52</v>
      </c>
      <c r="D240" s="76" t="s">
        <v>147</v>
      </c>
      <c r="E240" s="92">
        <v>1</v>
      </c>
      <c r="F240" s="92" t="s">
        <v>211</v>
      </c>
      <c r="G240" s="92"/>
      <c r="H240" s="92">
        <f t="shared" si="46"/>
        <v>1800</v>
      </c>
      <c r="I240" s="92">
        <f t="shared" si="47"/>
        <v>0</v>
      </c>
      <c r="J240" s="92">
        <f t="shared" si="48"/>
        <v>1800</v>
      </c>
      <c r="K240" s="92"/>
      <c r="L240" s="92">
        <v>2019.01</v>
      </c>
      <c r="M240" s="92">
        <v>2019.12</v>
      </c>
      <c r="N240" s="724">
        <v>18</v>
      </c>
      <c r="O240" s="724"/>
      <c r="P240" s="724">
        <v>18</v>
      </c>
      <c r="Q240" s="724"/>
      <c r="R240" s="724"/>
      <c r="S240" s="724">
        <v>18</v>
      </c>
      <c r="T240" s="724"/>
      <c r="U240" s="724"/>
      <c r="V240" s="724"/>
      <c r="W240" s="724"/>
      <c r="X240" s="724"/>
      <c r="Y240" s="738">
        <v>640</v>
      </c>
      <c r="Z240" s="738">
        <v>3850</v>
      </c>
      <c r="AA240" s="92">
        <v>1</v>
      </c>
      <c r="AB240" s="92"/>
      <c r="AC240" s="92"/>
      <c r="AD240" s="146" t="s">
        <v>76</v>
      </c>
      <c r="AE240" s="146" t="s">
        <v>252</v>
      </c>
      <c r="AF240" s="146" t="s">
        <v>195</v>
      </c>
      <c r="AG240" s="92"/>
    </row>
    <row r="241" ht="24.95" customHeight="1" spans="1:33">
      <c r="A241" s="705"/>
      <c r="B241" s="92" t="s">
        <v>155</v>
      </c>
      <c r="C241" s="92" t="s">
        <v>52</v>
      </c>
      <c r="D241" s="76" t="s">
        <v>147</v>
      </c>
      <c r="E241" s="92">
        <v>1</v>
      </c>
      <c r="F241" s="92" t="s">
        <v>155</v>
      </c>
      <c r="G241" s="92"/>
      <c r="H241" s="92">
        <f t="shared" si="46"/>
        <v>1100</v>
      </c>
      <c r="I241" s="92">
        <f t="shared" si="47"/>
        <v>0</v>
      </c>
      <c r="J241" s="92">
        <f t="shared" si="48"/>
        <v>1100</v>
      </c>
      <c r="K241" s="92"/>
      <c r="L241" s="92">
        <v>2019.01</v>
      </c>
      <c r="M241" s="92">
        <v>2019.12</v>
      </c>
      <c r="N241" s="724">
        <v>11</v>
      </c>
      <c r="O241" s="724"/>
      <c r="P241" s="724">
        <v>11</v>
      </c>
      <c r="Q241" s="724"/>
      <c r="R241" s="724"/>
      <c r="S241" s="724">
        <v>11</v>
      </c>
      <c r="T241" s="724"/>
      <c r="U241" s="724"/>
      <c r="V241" s="724"/>
      <c r="W241" s="724"/>
      <c r="X241" s="724"/>
      <c r="Y241" s="738">
        <v>310</v>
      </c>
      <c r="Z241" s="738">
        <v>450</v>
      </c>
      <c r="AA241" s="92">
        <v>1</v>
      </c>
      <c r="AB241" s="92"/>
      <c r="AC241" s="92"/>
      <c r="AD241" s="146" t="s">
        <v>253</v>
      </c>
      <c r="AE241" s="146" t="s">
        <v>254</v>
      </c>
      <c r="AF241" s="146" t="s">
        <v>195</v>
      </c>
      <c r="AG241" s="92"/>
    </row>
    <row r="242" ht="24.95" customHeight="1" spans="1:33">
      <c r="A242" s="705"/>
      <c r="B242" s="92" t="s">
        <v>102</v>
      </c>
      <c r="C242" s="92" t="s">
        <v>52</v>
      </c>
      <c r="D242" s="76" t="s">
        <v>147</v>
      </c>
      <c r="E242" s="92">
        <v>1</v>
      </c>
      <c r="F242" s="92" t="s">
        <v>102</v>
      </c>
      <c r="G242" s="92"/>
      <c r="H242" s="92">
        <f t="shared" si="46"/>
        <v>2200</v>
      </c>
      <c r="I242" s="92">
        <f t="shared" si="47"/>
        <v>0</v>
      </c>
      <c r="J242" s="92">
        <f t="shared" si="48"/>
        <v>2200</v>
      </c>
      <c r="K242" s="92"/>
      <c r="L242" s="92">
        <v>2019.01</v>
      </c>
      <c r="M242" s="92">
        <v>2019.12</v>
      </c>
      <c r="N242" s="724">
        <v>22</v>
      </c>
      <c r="O242" s="724"/>
      <c r="P242" s="724">
        <v>22</v>
      </c>
      <c r="Q242" s="724"/>
      <c r="R242" s="724"/>
      <c r="S242" s="724">
        <v>22</v>
      </c>
      <c r="T242" s="724"/>
      <c r="U242" s="724"/>
      <c r="V242" s="724"/>
      <c r="W242" s="724"/>
      <c r="X242" s="724"/>
      <c r="Y242" s="738">
        <v>2200</v>
      </c>
      <c r="Z242" s="738">
        <v>2200</v>
      </c>
      <c r="AA242" s="92">
        <v>1</v>
      </c>
      <c r="AB242" s="92"/>
      <c r="AC242" s="92"/>
      <c r="AD242" s="146" t="s">
        <v>255</v>
      </c>
      <c r="AE242" s="146" t="s">
        <v>256</v>
      </c>
      <c r="AF242" s="146" t="s">
        <v>195</v>
      </c>
      <c r="AG242" s="92"/>
    </row>
    <row r="243" ht="24.95" customHeight="1" spans="1:33">
      <c r="A243" s="705"/>
      <c r="B243" s="92" t="s">
        <v>100</v>
      </c>
      <c r="C243" s="92" t="s">
        <v>52</v>
      </c>
      <c r="D243" s="76" t="s">
        <v>147</v>
      </c>
      <c r="E243" s="92">
        <v>1</v>
      </c>
      <c r="F243" s="92" t="s">
        <v>100</v>
      </c>
      <c r="G243" s="92"/>
      <c r="H243" s="92">
        <f t="shared" si="46"/>
        <v>422</v>
      </c>
      <c r="I243" s="92">
        <f t="shared" si="47"/>
        <v>0</v>
      </c>
      <c r="J243" s="92">
        <f t="shared" si="48"/>
        <v>422</v>
      </c>
      <c r="K243" s="92"/>
      <c r="L243" s="92">
        <v>2019.01</v>
      </c>
      <c r="M243" s="92">
        <v>2019.12</v>
      </c>
      <c r="N243" s="724">
        <v>4.22</v>
      </c>
      <c r="O243" s="724"/>
      <c r="P243" s="724">
        <v>4.22</v>
      </c>
      <c r="Q243" s="724"/>
      <c r="R243" s="724"/>
      <c r="S243" s="724">
        <v>4.22</v>
      </c>
      <c r="T243" s="724"/>
      <c r="U243" s="724"/>
      <c r="V243" s="724"/>
      <c r="W243" s="724"/>
      <c r="X243" s="724"/>
      <c r="Y243" s="738">
        <v>369</v>
      </c>
      <c r="Z243" s="738">
        <v>422</v>
      </c>
      <c r="AA243" s="92">
        <v>1</v>
      </c>
      <c r="AB243" s="92"/>
      <c r="AC243" s="92"/>
      <c r="AD243" s="146" t="s">
        <v>79</v>
      </c>
      <c r="AE243" s="146" t="s">
        <v>257</v>
      </c>
      <c r="AF243" s="146" t="s">
        <v>195</v>
      </c>
      <c r="AG243" s="92"/>
    </row>
    <row r="244" ht="24.95" customHeight="1" spans="1:33">
      <c r="A244" s="705"/>
      <c r="B244" s="92" t="s">
        <v>84</v>
      </c>
      <c r="C244" s="92" t="s">
        <v>52</v>
      </c>
      <c r="D244" s="76" t="s">
        <v>147</v>
      </c>
      <c r="E244" s="92">
        <v>1</v>
      </c>
      <c r="F244" s="92" t="s">
        <v>84</v>
      </c>
      <c r="G244" s="92"/>
      <c r="H244" s="92">
        <f t="shared" si="46"/>
        <v>1600</v>
      </c>
      <c r="I244" s="92">
        <f t="shared" si="47"/>
        <v>0</v>
      </c>
      <c r="J244" s="92">
        <f t="shared" si="48"/>
        <v>1600</v>
      </c>
      <c r="K244" s="92"/>
      <c r="L244" s="92">
        <v>2019.01</v>
      </c>
      <c r="M244" s="92">
        <v>2019.12</v>
      </c>
      <c r="N244" s="724">
        <v>16</v>
      </c>
      <c r="O244" s="724"/>
      <c r="P244" s="724">
        <v>16</v>
      </c>
      <c r="Q244" s="724"/>
      <c r="R244" s="724"/>
      <c r="S244" s="724">
        <v>16</v>
      </c>
      <c r="T244" s="724"/>
      <c r="U244" s="724"/>
      <c r="V244" s="724"/>
      <c r="W244" s="724"/>
      <c r="X244" s="724"/>
      <c r="Y244" s="738">
        <v>556</v>
      </c>
      <c r="Z244" s="738">
        <v>714</v>
      </c>
      <c r="AA244" s="92">
        <v>1</v>
      </c>
      <c r="AB244" s="92"/>
      <c r="AC244" s="92"/>
      <c r="AD244" s="146" t="s">
        <v>185</v>
      </c>
      <c r="AE244" s="146" t="s">
        <v>258</v>
      </c>
      <c r="AF244" s="146" t="s">
        <v>195</v>
      </c>
      <c r="AG244" s="92"/>
    </row>
    <row r="245" ht="24.95" customHeight="1" spans="1:33">
      <c r="A245" s="705"/>
      <c r="B245" s="92" t="s">
        <v>259</v>
      </c>
      <c r="C245" s="92" t="s">
        <v>52</v>
      </c>
      <c r="D245" s="76" t="s">
        <v>147</v>
      </c>
      <c r="E245" s="92">
        <v>1</v>
      </c>
      <c r="F245" s="92" t="s">
        <v>259</v>
      </c>
      <c r="G245" s="92"/>
      <c r="H245" s="92">
        <f t="shared" si="46"/>
        <v>29</v>
      </c>
      <c r="I245" s="92">
        <f t="shared" si="47"/>
        <v>0</v>
      </c>
      <c r="J245" s="92">
        <f t="shared" si="48"/>
        <v>29</v>
      </c>
      <c r="K245" s="92"/>
      <c r="L245" s="92">
        <v>2019.01</v>
      </c>
      <c r="M245" s="92">
        <v>2019.12</v>
      </c>
      <c r="N245" s="724">
        <v>0.29</v>
      </c>
      <c r="O245" s="724"/>
      <c r="P245" s="724">
        <v>0.29</v>
      </c>
      <c r="Q245" s="724"/>
      <c r="R245" s="724"/>
      <c r="S245" s="724">
        <v>0.29</v>
      </c>
      <c r="T245" s="724"/>
      <c r="U245" s="724"/>
      <c r="V245" s="724"/>
      <c r="W245" s="724"/>
      <c r="X245" s="724"/>
      <c r="Y245" s="738">
        <v>23</v>
      </c>
      <c r="Z245" s="738">
        <v>29</v>
      </c>
      <c r="AA245" s="92">
        <v>1</v>
      </c>
      <c r="AB245" s="92"/>
      <c r="AC245" s="92"/>
      <c r="AD245" s="146" t="s">
        <v>260</v>
      </c>
      <c r="AE245" s="146" t="s">
        <v>261</v>
      </c>
      <c r="AF245" s="146" t="s">
        <v>195</v>
      </c>
      <c r="AG245" s="92"/>
    </row>
    <row r="246" ht="24.95" customHeight="1" spans="1:33">
      <c r="A246" s="705"/>
      <c r="B246" s="92" t="s">
        <v>143</v>
      </c>
      <c r="C246" s="92" t="s">
        <v>52</v>
      </c>
      <c r="D246" s="76" t="s">
        <v>147</v>
      </c>
      <c r="E246" s="92">
        <v>1</v>
      </c>
      <c r="F246" s="92" t="s">
        <v>143</v>
      </c>
      <c r="G246" s="92"/>
      <c r="H246" s="92">
        <f t="shared" si="46"/>
        <v>1150</v>
      </c>
      <c r="I246" s="92">
        <f t="shared" si="47"/>
        <v>0</v>
      </c>
      <c r="J246" s="92">
        <f t="shared" si="48"/>
        <v>1150</v>
      </c>
      <c r="K246" s="92"/>
      <c r="L246" s="92">
        <v>2019.01</v>
      </c>
      <c r="M246" s="92">
        <v>2019.12</v>
      </c>
      <c r="N246" s="724">
        <v>11.5</v>
      </c>
      <c r="O246" s="724"/>
      <c r="P246" s="724">
        <v>11.5</v>
      </c>
      <c r="Q246" s="724"/>
      <c r="R246" s="724"/>
      <c r="S246" s="724">
        <v>11.5</v>
      </c>
      <c r="T246" s="724"/>
      <c r="U246" s="724"/>
      <c r="V246" s="724"/>
      <c r="W246" s="724"/>
      <c r="X246" s="724"/>
      <c r="Y246" s="738">
        <v>510</v>
      </c>
      <c r="Z246" s="738">
        <v>1430</v>
      </c>
      <c r="AA246" s="92">
        <v>1</v>
      </c>
      <c r="AB246" s="92"/>
      <c r="AC246" s="92"/>
      <c r="AD246" s="775" t="s">
        <v>262</v>
      </c>
      <c r="AE246" s="775" t="s">
        <v>263</v>
      </c>
      <c r="AF246" s="146" t="s">
        <v>195</v>
      </c>
      <c r="AG246" s="92"/>
    </row>
    <row r="247" ht="24.95" customHeight="1" spans="1:33">
      <c r="A247" s="705" t="s">
        <v>48</v>
      </c>
      <c r="B247" s="770" t="s">
        <v>264</v>
      </c>
      <c r="C247" s="770"/>
      <c r="D247" s="771" t="s">
        <v>147</v>
      </c>
      <c r="E247" s="770">
        <f>SUM(E248:E259)</f>
        <v>12</v>
      </c>
      <c r="F247" s="770">
        <f t="shared" ref="F247:AA247" si="49">SUM(F248:F259)</f>
        <v>0</v>
      </c>
      <c r="G247" s="770">
        <f t="shared" si="49"/>
        <v>0</v>
      </c>
      <c r="H247" s="770">
        <f t="shared" si="49"/>
        <v>10470</v>
      </c>
      <c r="I247" s="770">
        <f t="shared" si="49"/>
        <v>0</v>
      </c>
      <c r="J247" s="770">
        <f t="shared" si="49"/>
        <v>10470</v>
      </c>
      <c r="K247" s="770">
        <f t="shared" si="49"/>
        <v>0</v>
      </c>
      <c r="L247" s="770"/>
      <c r="M247" s="770"/>
      <c r="N247" s="770">
        <f t="shared" si="49"/>
        <v>209.4</v>
      </c>
      <c r="O247" s="770">
        <f t="shared" si="49"/>
        <v>0</v>
      </c>
      <c r="P247" s="770">
        <f t="shared" si="49"/>
        <v>209.4</v>
      </c>
      <c r="Q247" s="770">
        <f t="shared" si="49"/>
        <v>0</v>
      </c>
      <c r="R247" s="770">
        <f t="shared" si="49"/>
        <v>0</v>
      </c>
      <c r="S247" s="770">
        <f t="shared" si="49"/>
        <v>209.4</v>
      </c>
      <c r="T247" s="770">
        <f t="shared" si="49"/>
        <v>0</v>
      </c>
      <c r="U247" s="770">
        <f t="shared" si="49"/>
        <v>0</v>
      </c>
      <c r="V247" s="770">
        <f t="shared" si="49"/>
        <v>0</v>
      </c>
      <c r="W247" s="770">
        <f t="shared" si="49"/>
        <v>0</v>
      </c>
      <c r="X247" s="770">
        <f t="shared" si="49"/>
        <v>0</v>
      </c>
      <c r="Y247" s="770">
        <f t="shared" si="49"/>
        <v>7467</v>
      </c>
      <c r="Z247" s="770">
        <f t="shared" si="49"/>
        <v>20895</v>
      </c>
      <c r="AA247" s="770">
        <f t="shared" si="49"/>
        <v>12</v>
      </c>
      <c r="AB247" s="770"/>
      <c r="AC247" s="770"/>
      <c r="AD247" s="772" t="s">
        <v>242</v>
      </c>
      <c r="AE247" s="772" t="s">
        <v>243</v>
      </c>
      <c r="AF247" s="773" t="s">
        <v>195</v>
      </c>
      <c r="AG247" s="92"/>
    </row>
    <row r="248" ht="24.95" customHeight="1" spans="1:33">
      <c r="A248" s="705">
        <v>29</v>
      </c>
      <c r="B248" s="92" t="s">
        <v>101</v>
      </c>
      <c r="C248" s="92" t="s">
        <v>52</v>
      </c>
      <c r="D248" s="76" t="s">
        <v>147</v>
      </c>
      <c r="E248" s="92">
        <v>1</v>
      </c>
      <c r="F248" s="92" t="s">
        <v>101</v>
      </c>
      <c r="G248" s="92"/>
      <c r="H248" s="152">
        <f>N248/0.02</f>
        <v>1100</v>
      </c>
      <c r="I248" s="152">
        <f>O248/0.02</f>
        <v>0</v>
      </c>
      <c r="J248" s="152">
        <f>P248/0.02</f>
        <v>1100</v>
      </c>
      <c r="K248" s="92"/>
      <c r="L248" s="92">
        <v>2019.01</v>
      </c>
      <c r="M248" s="92">
        <v>2019.12</v>
      </c>
      <c r="N248" s="724">
        <v>22</v>
      </c>
      <c r="O248" s="724"/>
      <c r="P248" s="724">
        <v>22</v>
      </c>
      <c r="Q248" s="724"/>
      <c r="R248" s="724"/>
      <c r="S248" s="724">
        <v>22</v>
      </c>
      <c r="T248" s="724"/>
      <c r="U248" s="724"/>
      <c r="V248" s="724"/>
      <c r="W248" s="724"/>
      <c r="X248" s="724"/>
      <c r="Y248" s="738">
        <v>864</v>
      </c>
      <c r="Z248" s="738">
        <v>3275</v>
      </c>
      <c r="AA248" s="92">
        <v>1</v>
      </c>
      <c r="AB248" s="92"/>
      <c r="AC248" s="92"/>
      <c r="AD248" s="146" t="s">
        <v>244</v>
      </c>
      <c r="AE248" s="193" t="s">
        <v>245</v>
      </c>
      <c r="AF248" s="146" t="s">
        <v>195</v>
      </c>
      <c r="AG248" s="92" t="s">
        <v>41</v>
      </c>
    </row>
    <row r="249" ht="24.95" customHeight="1" spans="1:33">
      <c r="A249" s="705"/>
      <c r="B249" s="92" t="s">
        <v>151</v>
      </c>
      <c r="C249" s="92" t="s">
        <v>52</v>
      </c>
      <c r="D249" s="76" t="s">
        <v>147</v>
      </c>
      <c r="E249" s="92">
        <v>1</v>
      </c>
      <c r="F249" s="92" t="s">
        <v>151</v>
      </c>
      <c r="G249" s="92"/>
      <c r="H249" s="152">
        <f t="shared" ref="H249:H259" si="50">N249/0.02</f>
        <v>770</v>
      </c>
      <c r="I249" s="152">
        <f t="shared" ref="I249:I259" si="51">O249/0.02</f>
        <v>0</v>
      </c>
      <c r="J249" s="152">
        <f t="shared" ref="J249:J259" si="52">P249/0.02</f>
        <v>770</v>
      </c>
      <c r="K249" s="92"/>
      <c r="L249" s="92">
        <v>2019.01</v>
      </c>
      <c r="M249" s="92">
        <v>2019.12</v>
      </c>
      <c r="N249" s="724">
        <v>15.4</v>
      </c>
      <c r="O249" s="724"/>
      <c r="P249" s="724">
        <v>15.4</v>
      </c>
      <c r="Q249" s="724"/>
      <c r="R249" s="724"/>
      <c r="S249" s="724">
        <v>15.4</v>
      </c>
      <c r="T249" s="724"/>
      <c r="U249" s="724"/>
      <c r="V249" s="724"/>
      <c r="W249" s="724"/>
      <c r="X249" s="724"/>
      <c r="Y249" s="738">
        <v>770</v>
      </c>
      <c r="Z249" s="738">
        <v>770</v>
      </c>
      <c r="AA249" s="92">
        <v>1</v>
      </c>
      <c r="AB249" s="92"/>
      <c r="AC249" s="92"/>
      <c r="AD249" s="146" t="s">
        <v>169</v>
      </c>
      <c r="AE249" s="146" t="s">
        <v>246</v>
      </c>
      <c r="AF249" s="146" t="s">
        <v>195</v>
      </c>
      <c r="AG249" s="92"/>
    </row>
    <row r="250" ht="24.95" customHeight="1" spans="1:33">
      <c r="A250" s="705"/>
      <c r="B250" s="92" t="s">
        <v>154</v>
      </c>
      <c r="C250" s="92" t="s">
        <v>52</v>
      </c>
      <c r="D250" s="76" t="s">
        <v>147</v>
      </c>
      <c r="E250" s="92">
        <v>1</v>
      </c>
      <c r="F250" s="92" t="s">
        <v>154</v>
      </c>
      <c r="G250" s="92"/>
      <c r="H250" s="152">
        <f t="shared" si="50"/>
        <v>1000</v>
      </c>
      <c r="I250" s="152">
        <f t="shared" si="51"/>
        <v>0</v>
      </c>
      <c r="J250" s="152">
        <f t="shared" si="52"/>
        <v>1000</v>
      </c>
      <c r="K250" s="92"/>
      <c r="L250" s="92">
        <v>2019.01</v>
      </c>
      <c r="M250" s="92">
        <v>2019.12</v>
      </c>
      <c r="N250" s="724">
        <v>20</v>
      </c>
      <c r="O250" s="724"/>
      <c r="P250" s="724">
        <v>20</v>
      </c>
      <c r="Q250" s="724"/>
      <c r="R250" s="724"/>
      <c r="S250" s="724">
        <v>20</v>
      </c>
      <c r="T250" s="724"/>
      <c r="U250" s="724"/>
      <c r="V250" s="724"/>
      <c r="W250" s="724"/>
      <c r="X250" s="724"/>
      <c r="Y250" s="738">
        <v>755</v>
      </c>
      <c r="Z250" s="738">
        <v>3000</v>
      </c>
      <c r="AA250" s="92">
        <v>1</v>
      </c>
      <c r="AB250" s="92"/>
      <c r="AC250" s="92"/>
      <c r="AD250" s="146" t="s">
        <v>247</v>
      </c>
      <c r="AE250" s="146" t="s">
        <v>248</v>
      </c>
      <c r="AF250" s="146" t="s">
        <v>195</v>
      </c>
      <c r="AG250" s="92"/>
    </row>
    <row r="251" ht="24.95" customHeight="1" spans="1:33">
      <c r="A251" s="705"/>
      <c r="B251" s="92" t="s">
        <v>81</v>
      </c>
      <c r="C251" s="92" t="s">
        <v>52</v>
      </c>
      <c r="D251" s="76" t="s">
        <v>147</v>
      </c>
      <c r="E251" s="92">
        <v>1</v>
      </c>
      <c r="F251" s="92" t="s">
        <v>81</v>
      </c>
      <c r="G251" s="92"/>
      <c r="H251" s="152">
        <f t="shared" si="50"/>
        <v>850</v>
      </c>
      <c r="I251" s="152">
        <f t="shared" si="51"/>
        <v>0</v>
      </c>
      <c r="J251" s="152">
        <f t="shared" si="52"/>
        <v>850</v>
      </c>
      <c r="K251" s="92"/>
      <c r="L251" s="92">
        <v>2019.01</v>
      </c>
      <c r="M251" s="92">
        <v>2019.12</v>
      </c>
      <c r="N251" s="724">
        <v>17</v>
      </c>
      <c r="O251" s="724"/>
      <c r="P251" s="724">
        <v>17</v>
      </c>
      <c r="Q251" s="724"/>
      <c r="R251" s="724"/>
      <c r="S251" s="724">
        <v>17</v>
      </c>
      <c r="T251" s="724"/>
      <c r="U251" s="724"/>
      <c r="V251" s="724"/>
      <c r="W251" s="724"/>
      <c r="X251" s="724"/>
      <c r="Y251" s="738">
        <v>462</v>
      </c>
      <c r="Z251" s="738">
        <v>2500</v>
      </c>
      <c r="AA251" s="92">
        <v>1</v>
      </c>
      <c r="AB251" s="92"/>
      <c r="AC251" s="92"/>
      <c r="AD251" s="146" t="s">
        <v>249</v>
      </c>
      <c r="AE251" s="146" t="s">
        <v>250</v>
      </c>
      <c r="AF251" s="146" t="s">
        <v>195</v>
      </c>
      <c r="AG251" s="92"/>
    </row>
    <row r="252" ht="24.95" customHeight="1" spans="1:33">
      <c r="A252" s="705"/>
      <c r="B252" s="92" t="s">
        <v>98</v>
      </c>
      <c r="C252" s="92" t="s">
        <v>52</v>
      </c>
      <c r="D252" s="76" t="s">
        <v>147</v>
      </c>
      <c r="E252" s="92">
        <v>1</v>
      </c>
      <c r="F252" s="92" t="s">
        <v>98</v>
      </c>
      <c r="G252" s="92"/>
      <c r="H252" s="152">
        <f t="shared" si="50"/>
        <v>1600</v>
      </c>
      <c r="I252" s="152">
        <f t="shared" si="51"/>
        <v>0</v>
      </c>
      <c r="J252" s="152">
        <f t="shared" si="52"/>
        <v>1600</v>
      </c>
      <c r="K252" s="92"/>
      <c r="L252" s="92">
        <v>2019.01</v>
      </c>
      <c r="M252" s="92">
        <v>2019.12</v>
      </c>
      <c r="N252" s="724">
        <v>32</v>
      </c>
      <c r="O252" s="724"/>
      <c r="P252" s="724">
        <v>32</v>
      </c>
      <c r="Q252" s="724"/>
      <c r="R252" s="724"/>
      <c r="S252" s="724">
        <v>32</v>
      </c>
      <c r="T252" s="724"/>
      <c r="U252" s="724"/>
      <c r="V252" s="724"/>
      <c r="W252" s="724"/>
      <c r="X252" s="724"/>
      <c r="Y252" s="738">
        <v>1096</v>
      </c>
      <c r="Z252" s="738">
        <v>4763</v>
      </c>
      <c r="AA252" s="92">
        <v>1</v>
      </c>
      <c r="AB252" s="92"/>
      <c r="AC252" s="92"/>
      <c r="AD252" s="774" t="s">
        <v>209</v>
      </c>
      <c r="AE252" s="774" t="s">
        <v>251</v>
      </c>
      <c r="AF252" s="146" t="s">
        <v>195</v>
      </c>
      <c r="AG252" s="92"/>
    </row>
    <row r="253" ht="24.95" customHeight="1" spans="1:33">
      <c r="A253" s="705"/>
      <c r="B253" s="92" t="s">
        <v>211</v>
      </c>
      <c r="C253" s="92" t="s">
        <v>52</v>
      </c>
      <c r="D253" s="76" t="s">
        <v>147</v>
      </c>
      <c r="E253" s="92">
        <v>1</v>
      </c>
      <c r="F253" s="92" t="s">
        <v>211</v>
      </c>
      <c r="G253" s="92"/>
      <c r="H253" s="152">
        <f t="shared" si="50"/>
        <v>950</v>
      </c>
      <c r="I253" s="152">
        <f t="shared" si="51"/>
        <v>0</v>
      </c>
      <c r="J253" s="152">
        <f t="shared" si="52"/>
        <v>950</v>
      </c>
      <c r="K253" s="92"/>
      <c r="L253" s="92">
        <v>2019.01</v>
      </c>
      <c r="M253" s="92">
        <v>2019.12</v>
      </c>
      <c r="N253" s="724">
        <v>19</v>
      </c>
      <c r="O253" s="724"/>
      <c r="P253" s="724">
        <v>19</v>
      </c>
      <c r="Q253" s="724"/>
      <c r="R253" s="724"/>
      <c r="S253" s="724">
        <v>19</v>
      </c>
      <c r="T253" s="724"/>
      <c r="U253" s="724"/>
      <c r="V253" s="724"/>
      <c r="W253" s="724"/>
      <c r="X253" s="724"/>
      <c r="Y253" s="738">
        <v>682</v>
      </c>
      <c r="Z253" s="738">
        <v>2850</v>
      </c>
      <c r="AA253" s="92">
        <v>1</v>
      </c>
      <c r="AB253" s="92"/>
      <c r="AC253" s="92"/>
      <c r="AD253" s="146" t="s">
        <v>76</v>
      </c>
      <c r="AE253" s="146" t="s">
        <v>252</v>
      </c>
      <c r="AF253" s="146" t="s">
        <v>195</v>
      </c>
      <c r="AG253" s="92"/>
    </row>
    <row r="254" ht="24.95" customHeight="1" spans="1:33">
      <c r="A254" s="705"/>
      <c r="B254" s="92" t="s">
        <v>155</v>
      </c>
      <c r="C254" s="92" t="s">
        <v>52</v>
      </c>
      <c r="D254" s="76" t="s">
        <v>147</v>
      </c>
      <c r="E254" s="92">
        <v>1</v>
      </c>
      <c r="F254" s="92" t="s">
        <v>155</v>
      </c>
      <c r="G254" s="92"/>
      <c r="H254" s="152">
        <f t="shared" si="50"/>
        <v>650</v>
      </c>
      <c r="I254" s="152">
        <f t="shared" si="51"/>
        <v>0</v>
      </c>
      <c r="J254" s="152">
        <f t="shared" si="52"/>
        <v>650</v>
      </c>
      <c r="K254" s="92"/>
      <c r="L254" s="92">
        <v>2019.01</v>
      </c>
      <c r="M254" s="92">
        <v>2019.12</v>
      </c>
      <c r="N254" s="724">
        <v>13</v>
      </c>
      <c r="O254" s="724"/>
      <c r="P254" s="724">
        <v>13</v>
      </c>
      <c r="Q254" s="724"/>
      <c r="R254" s="724"/>
      <c r="S254" s="724">
        <v>13</v>
      </c>
      <c r="T254" s="724"/>
      <c r="U254" s="724"/>
      <c r="V254" s="724"/>
      <c r="W254" s="724"/>
      <c r="X254" s="724"/>
      <c r="Y254" s="738">
        <v>171</v>
      </c>
      <c r="Z254" s="738">
        <v>254</v>
      </c>
      <c r="AA254" s="92">
        <v>1</v>
      </c>
      <c r="AB254" s="92"/>
      <c r="AC254" s="92"/>
      <c r="AD254" s="146" t="s">
        <v>253</v>
      </c>
      <c r="AE254" s="146" t="s">
        <v>254</v>
      </c>
      <c r="AF254" s="146" t="s">
        <v>195</v>
      </c>
      <c r="AG254" s="92"/>
    </row>
    <row r="255" ht="24.95" customHeight="1" spans="1:33">
      <c r="A255" s="705"/>
      <c r="B255" s="92" t="s">
        <v>102</v>
      </c>
      <c r="C255" s="92" t="s">
        <v>52</v>
      </c>
      <c r="D255" s="76" t="s">
        <v>147</v>
      </c>
      <c r="E255" s="92">
        <v>1</v>
      </c>
      <c r="F255" s="92" t="s">
        <v>102</v>
      </c>
      <c r="G255" s="92"/>
      <c r="H255" s="152">
        <f t="shared" si="50"/>
        <v>1800</v>
      </c>
      <c r="I255" s="152">
        <f t="shared" si="51"/>
        <v>0</v>
      </c>
      <c r="J255" s="152">
        <f t="shared" si="52"/>
        <v>1800</v>
      </c>
      <c r="K255" s="92"/>
      <c r="L255" s="92">
        <v>2019.01</v>
      </c>
      <c r="M255" s="92">
        <v>2019.12</v>
      </c>
      <c r="N255" s="724">
        <v>36</v>
      </c>
      <c r="O255" s="724"/>
      <c r="P255" s="724">
        <v>36</v>
      </c>
      <c r="Q255" s="724"/>
      <c r="R255" s="724"/>
      <c r="S255" s="724">
        <v>36</v>
      </c>
      <c r="T255" s="724"/>
      <c r="U255" s="724"/>
      <c r="V255" s="724"/>
      <c r="W255" s="724"/>
      <c r="X255" s="724"/>
      <c r="Y255" s="738">
        <v>1800</v>
      </c>
      <c r="Z255" s="738">
        <v>1800</v>
      </c>
      <c r="AA255" s="92">
        <v>1</v>
      </c>
      <c r="AB255" s="92"/>
      <c r="AC255" s="92"/>
      <c r="AD255" s="146" t="s">
        <v>255</v>
      </c>
      <c r="AE255" s="146" t="s">
        <v>256</v>
      </c>
      <c r="AF255" s="146" t="s">
        <v>195</v>
      </c>
      <c r="AG255" s="92"/>
    </row>
    <row r="256" ht="24.95" customHeight="1" spans="1:33">
      <c r="A256" s="705"/>
      <c r="B256" s="92" t="s">
        <v>100</v>
      </c>
      <c r="C256" s="92" t="s">
        <v>52</v>
      </c>
      <c r="D256" s="76" t="s">
        <v>147</v>
      </c>
      <c r="E256" s="92">
        <v>1</v>
      </c>
      <c r="F256" s="92" t="s">
        <v>100</v>
      </c>
      <c r="G256" s="92"/>
      <c r="H256" s="152">
        <f t="shared" si="50"/>
        <v>347</v>
      </c>
      <c r="I256" s="152">
        <f t="shared" si="51"/>
        <v>0</v>
      </c>
      <c r="J256" s="152">
        <f t="shared" si="52"/>
        <v>347</v>
      </c>
      <c r="K256" s="92"/>
      <c r="L256" s="92">
        <v>2019.01</v>
      </c>
      <c r="M256" s="92">
        <v>2019.12</v>
      </c>
      <c r="N256" s="724">
        <v>6.94</v>
      </c>
      <c r="O256" s="724"/>
      <c r="P256" s="724">
        <v>6.94</v>
      </c>
      <c r="Q256" s="724"/>
      <c r="R256" s="724"/>
      <c r="S256" s="724">
        <v>6.94</v>
      </c>
      <c r="T256" s="724"/>
      <c r="U256" s="724"/>
      <c r="V256" s="724"/>
      <c r="W256" s="724"/>
      <c r="X256" s="724"/>
      <c r="Y256" s="738">
        <v>301</v>
      </c>
      <c r="Z256" s="738">
        <v>347</v>
      </c>
      <c r="AA256" s="92">
        <v>1</v>
      </c>
      <c r="AB256" s="92"/>
      <c r="AC256" s="92"/>
      <c r="AD256" s="146" t="s">
        <v>79</v>
      </c>
      <c r="AE256" s="146" t="s">
        <v>257</v>
      </c>
      <c r="AF256" s="146" t="s">
        <v>195</v>
      </c>
      <c r="AG256" s="92"/>
    </row>
    <row r="257" ht="24.95" customHeight="1" spans="1:33">
      <c r="A257" s="705"/>
      <c r="B257" s="92" t="s">
        <v>84</v>
      </c>
      <c r="C257" s="92" t="s">
        <v>52</v>
      </c>
      <c r="D257" s="76" t="s">
        <v>147</v>
      </c>
      <c r="E257" s="92">
        <v>1</v>
      </c>
      <c r="F257" s="92" t="s">
        <v>84</v>
      </c>
      <c r="G257" s="92"/>
      <c r="H257" s="152">
        <f t="shared" si="50"/>
        <v>650</v>
      </c>
      <c r="I257" s="152">
        <f t="shared" si="51"/>
        <v>0</v>
      </c>
      <c r="J257" s="152">
        <f t="shared" si="52"/>
        <v>650</v>
      </c>
      <c r="K257" s="92"/>
      <c r="L257" s="92">
        <v>2019.01</v>
      </c>
      <c r="M257" s="92">
        <v>2019.12</v>
      </c>
      <c r="N257" s="724">
        <v>13</v>
      </c>
      <c r="O257" s="724"/>
      <c r="P257" s="724">
        <v>13</v>
      </c>
      <c r="Q257" s="724"/>
      <c r="R257" s="724"/>
      <c r="S257" s="724">
        <v>13</v>
      </c>
      <c r="T257" s="724"/>
      <c r="U257" s="724"/>
      <c r="V257" s="724"/>
      <c r="W257" s="724"/>
      <c r="X257" s="724"/>
      <c r="Y257" s="738">
        <v>324</v>
      </c>
      <c r="Z257" s="738">
        <v>431</v>
      </c>
      <c r="AA257" s="92">
        <v>1</v>
      </c>
      <c r="AB257" s="92"/>
      <c r="AC257" s="92"/>
      <c r="AD257" s="146" t="s">
        <v>185</v>
      </c>
      <c r="AE257" s="146" t="s">
        <v>258</v>
      </c>
      <c r="AF257" s="146" t="s">
        <v>195</v>
      </c>
      <c r="AG257" s="92"/>
    </row>
    <row r="258" ht="24.95" customHeight="1" spans="1:33">
      <c r="A258" s="705"/>
      <c r="B258" s="92" t="s">
        <v>259</v>
      </c>
      <c r="C258" s="92" t="s">
        <v>52</v>
      </c>
      <c r="D258" s="76" t="s">
        <v>147</v>
      </c>
      <c r="E258" s="92">
        <v>1</v>
      </c>
      <c r="F258" s="92" t="s">
        <v>259</v>
      </c>
      <c r="G258" s="92"/>
      <c r="H258" s="152">
        <f t="shared" si="50"/>
        <v>53</v>
      </c>
      <c r="I258" s="152">
        <f t="shared" si="51"/>
        <v>0</v>
      </c>
      <c r="J258" s="152">
        <f t="shared" si="52"/>
        <v>53</v>
      </c>
      <c r="K258" s="92"/>
      <c r="L258" s="92">
        <v>2019.01</v>
      </c>
      <c r="M258" s="92">
        <v>2019.12</v>
      </c>
      <c r="N258" s="724">
        <v>1.06</v>
      </c>
      <c r="O258" s="724"/>
      <c r="P258" s="724">
        <v>1.06</v>
      </c>
      <c r="Q258" s="724"/>
      <c r="R258" s="724"/>
      <c r="S258" s="724">
        <v>1.06</v>
      </c>
      <c r="T258" s="724"/>
      <c r="U258" s="724"/>
      <c r="V258" s="724"/>
      <c r="W258" s="724"/>
      <c r="X258" s="724"/>
      <c r="Y258" s="738">
        <v>38</v>
      </c>
      <c r="Z258" s="738">
        <v>53</v>
      </c>
      <c r="AA258" s="92">
        <v>1</v>
      </c>
      <c r="AB258" s="92"/>
      <c r="AC258" s="92"/>
      <c r="AD258" s="146" t="s">
        <v>260</v>
      </c>
      <c r="AE258" s="146" t="s">
        <v>261</v>
      </c>
      <c r="AF258" s="146" t="s">
        <v>195</v>
      </c>
      <c r="AG258" s="92"/>
    </row>
    <row r="259" ht="24.95" customHeight="1" spans="1:33">
      <c r="A259" s="705"/>
      <c r="B259" s="92" t="s">
        <v>143</v>
      </c>
      <c r="C259" s="92" t="s">
        <v>52</v>
      </c>
      <c r="D259" s="76" t="s">
        <v>147</v>
      </c>
      <c r="E259" s="92">
        <v>1</v>
      </c>
      <c r="F259" s="92" t="s">
        <v>143</v>
      </c>
      <c r="G259" s="92"/>
      <c r="H259" s="152">
        <f t="shared" si="50"/>
        <v>700</v>
      </c>
      <c r="I259" s="152">
        <f t="shared" si="51"/>
        <v>0</v>
      </c>
      <c r="J259" s="152">
        <f t="shared" si="52"/>
        <v>700</v>
      </c>
      <c r="K259" s="92"/>
      <c r="L259" s="92">
        <v>2019.01</v>
      </c>
      <c r="M259" s="92">
        <v>2019.12</v>
      </c>
      <c r="N259" s="724">
        <v>14</v>
      </c>
      <c r="O259" s="724"/>
      <c r="P259" s="724">
        <v>14</v>
      </c>
      <c r="Q259" s="724"/>
      <c r="R259" s="724"/>
      <c r="S259" s="724">
        <v>14</v>
      </c>
      <c r="T259" s="724"/>
      <c r="U259" s="724"/>
      <c r="V259" s="724"/>
      <c r="W259" s="724"/>
      <c r="X259" s="724"/>
      <c r="Y259" s="738">
        <v>204</v>
      </c>
      <c r="Z259" s="738">
        <v>852</v>
      </c>
      <c r="AA259" s="92">
        <v>1</v>
      </c>
      <c r="AB259" s="92"/>
      <c r="AC259" s="92"/>
      <c r="AD259" s="775" t="s">
        <v>262</v>
      </c>
      <c r="AE259" s="775" t="s">
        <v>263</v>
      </c>
      <c r="AF259" s="146" t="s">
        <v>195</v>
      </c>
      <c r="AG259" s="92"/>
    </row>
    <row r="260" ht="24.95" customHeight="1" spans="1:33">
      <c r="A260" s="705"/>
      <c r="B260" s="770" t="s">
        <v>265</v>
      </c>
      <c r="C260" s="770"/>
      <c r="D260" s="771" t="s">
        <v>147</v>
      </c>
      <c r="E260" s="770">
        <f>SUM(E261:E272)</f>
        <v>12</v>
      </c>
      <c r="F260" s="770">
        <f t="shared" ref="F260:AA260" si="53">SUM(F261:F272)</f>
        <v>0</v>
      </c>
      <c r="G260" s="770">
        <f t="shared" si="53"/>
        <v>0</v>
      </c>
      <c r="H260" s="770">
        <f t="shared" si="53"/>
        <v>13857</v>
      </c>
      <c r="I260" s="770">
        <f t="shared" si="53"/>
        <v>0</v>
      </c>
      <c r="J260" s="770">
        <f t="shared" si="53"/>
        <v>13857</v>
      </c>
      <c r="K260" s="770">
        <f t="shared" si="53"/>
        <v>0</v>
      </c>
      <c r="L260" s="770"/>
      <c r="M260" s="770"/>
      <c r="N260" s="770">
        <f t="shared" si="53"/>
        <v>415.71</v>
      </c>
      <c r="O260" s="770">
        <f t="shared" si="53"/>
        <v>0</v>
      </c>
      <c r="P260" s="770">
        <f t="shared" si="53"/>
        <v>415.71</v>
      </c>
      <c r="Q260" s="770">
        <f t="shared" si="53"/>
        <v>0</v>
      </c>
      <c r="R260" s="770">
        <f t="shared" si="53"/>
        <v>0</v>
      </c>
      <c r="S260" s="770">
        <f t="shared" si="53"/>
        <v>415.71</v>
      </c>
      <c r="T260" s="770">
        <f t="shared" si="53"/>
        <v>0</v>
      </c>
      <c r="U260" s="770">
        <f t="shared" si="53"/>
        <v>0</v>
      </c>
      <c r="V260" s="770">
        <f t="shared" si="53"/>
        <v>0</v>
      </c>
      <c r="W260" s="770">
        <f t="shared" si="53"/>
        <v>0</v>
      </c>
      <c r="X260" s="770">
        <f t="shared" si="53"/>
        <v>0</v>
      </c>
      <c r="Y260" s="770">
        <f t="shared" si="53"/>
        <v>9831</v>
      </c>
      <c r="Z260" s="770">
        <f t="shared" si="53"/>
        <v>29731</v>
      </c>
      <c r="AA260" s="770">
        <f t="shared" si="53"/>
        <v>12</v>
      </c>
      <c r="AB260" s="770"/>
      <c r="AC260" s="770"/>
      <c r="AD260" s="772" t="s">
        <v>242</v>
      </c>
      <c r="AE260" s="772" t="s">
        <v>243</v>
      </c>
      <c r="AF260" s="773" t="s">
        <v>195</v>
      </c>
      <c r="AG260" s="92"/>
    </row>
    <row r="261" ht="24.95" customHeight="1" spans="1:33">
      <c r="A261" s="705" t="s">
        <v>48</v>
      </c>
      <c r="B261" s="92" t="s">
        <v>101</v>
      </c>
      <c r="C261" s="92" t="s">
        <v>52</v>
      </c>
      <c r="D261" s="76" t="s">
        <v>147</v>
      </c>
      <c r="E261" s="92">
        <v>1</v>
      </c>
      <c r="F261" s="92" t="s">
        <v>101</v>
      </c>
      <c r="G261" s="92"/>
      <c r="H261" s="92">
        <f>N261/0.03</f>
        <v>1000</v>
      </c>
      <c r="I261" s="92">
        <f>O261/0.03</f>
        <v>0</v>
      </c>
      <c r="J261" s="92">
        <f>P261/0.03</f>
        <v>1000</v>
      </c>
      <c r="K261" s="92"/>
      <c r="L261" s="92">
        <v>2019.01</v>
      </c>
      <c r="M261" s="92">
        <v>2019.12</v>
      </c>
      <c r="N261" s="92">
        <v>30</v>
      </c>
      <c r="O261" s="92"/>
      <c r="P261" s="92">
        <v>30</v>
      </c>
      <c r="Q261" s="92"/>
      <c r="R261" s="92"/>
      <c r="S261" s="92">
        <v>30</v>
      </c>
      <c r="T261" s="92"/>
      <c r="U261" s="92"/>
      <c r="V261" s="92"/>
      <c r="W261" s="92"/>
      <c r="X261" s="92"/>
      <c r="Y261" s="738">
        <v>741</v>
      </c>
      <c r="Z261" s="738">
        <v>2828</v>
      </c>
      <c r="AA261" s="92">
        <v>1</v>
      </c>
      <c r="AB261" s="92"/>
      <c r="AC261" s="92"/>
      <c r="AD261" s="146" t="s">
        <v>244</v>
      </c>
      <c r="AE261" s="193" t="s">
        <v>245</v>
      </c>
      <c r="AF261" s="146" t="s">
        <v>195</v>
      </c>
      <c r="AG261" s="92"/>
    </row>
    <row r="262" ht="24.95" customHeight="1" spans="1:33">
      <c r="A262" s="705">
        <v>30</v>
      </c>
      <c r="B262" s="92" t="s">
        <v>151</v>
      </c>
      <c r="C262" s="92" t="s">
        <v>52</v>
      </c>
      <c r="D262" s="76" t="s">
        <v>147</v>
      </c>
      <c r="E262" s="92">
        <v>1</v>
      </c>
      <c r="F262" s="92" t="s">
        <v>151</v>
      </c>
      <c r="G262" s="92"/>
      <c r="H262" s="92">
        <f t="shared" ref="H262:H272" si="54">N262/0.03</f>
        <v>480</v>
      </c>
      <c r="I262" s="92">
        <f t="shared" ref="I262:I272" si="55">O262/0.03</f>
        <v>0</v>
      </c>
      <c r="J262" s="92">
        <f t="shared" ref="J262:J272" si="56">P262/0.03</f>
        <v>480</v>
      </c>
      <c r="K262" s="92"/>
      <c r="L262" s="92">
        <v>2019.01</v>
      </c>
      <c r="M262" s="92">
        <v>2019.12</v>
      </c>
      <c r="N262" s="776">
        <v>14.4</v>
      </c>
      <c r="O262" s="776"/>
      <c r="P262" s="776">
        <v>14.4</v>
      </c>
      <c r="Q262" s="738"/>
      <c r="R262" s="738"/>
      <c r="S262" s="776">
        <v>14.4</v>
      </c>
      <c r="T262" s="738"/>
      <c r="U262" s="738"/>
      <c r="V262" s="738"/>
      <c r="W262" s="738"/>
      <c r="X262" s="738"/>
      <c r="Y262" s="738">
        <v>480</v>
      </c>
      <c r="Z262" s="738">
        <v>2160</v>
      </c>
      <c r="AA262" s="92">
        <v>1</v>
      </c>
      <c r="AB262" s="92"/>
      <c r="AC262" s="92"/>
      <c r="AD262" s="146" t="s">
        <v>169</v>
      </c>
      <c r="AE262" s="146" t="s">
        <v>246</v>
      </c>
      <c r="AF262" s="146" t="s">
        <v>195</v>
      </c>
      <c r="AG262" s="92" t="s">
        <v>41</v>
      </c>
    </row>
    <row r="263" ht="24.95" customHeight="1" spans="1:33">
      <c r="A263" s="705"/>
      <c r="B263" s="92" t="s">
        <v>154</v>
      </c>
      <c r="C263" s="92" t="s">
        <v>52</v>
      </c>
      <c r="D263" s="76" t="s">
        <v>147</v>
      </c>
      <c r="E263" s="92">
        <v>1</v>
      </c>
      <c r="F263" s="92" t="s">
        <v>154</v>
      </c>
      <c r="G263" s="92"/>
      <c r="H263" s="92">
        <f t="shared" si="54"/>
        <v>1000</v>
      </c>
      <c r="I263" s="92">
        <f t="shared" si="55"/>
        <v>0</v>
      </c>
      <c r="J263" s="92">
        <f t="shared" si="56"/>
        <v>1000</v>
      </c>
      <c r="K263" s="92"/>
      <c r="L263" s="92">
        <v>2019.01</v>
      </c>
      <c r="M263" s="92">
        <v>2019.12</v>
      </c>
      <c r="N263" s="776">
        <v>30</v>
      </c>
      <c r="O263" s="776"/>
      <c r="P263" s="776">
        <v>30</v>
      </c>
      <c r="Q263" s="738"/>
      <c r="R263" s="738"/>
      <c r="S263" s="776">
        <v>30</v>
      </c>
      <c r="T263" s="738"/>
      <c r="U263" s="738"/>
      <c r="V263" s="738"/>
      <c r="W263" s="738"/>
      <c r="X263" s="738"/>
      <c r="Y263" s="738">
        <v>860</v>
      </c>
      <c r="Z263" s="738">
        <v>3000</v>
      </c>
      <c r="AA263" s="92">
        <v>1</v>
      </c>
      <c r="AB263" s="92"/>
      <c r="AC263" s="92"/>
      <c r="AD263" s="146" t="s">
        <v>247</v>
      </c>
      <c r="AE263" s="146" t="s">
        <v>248</v>
      </c>
      <c r="AF263" s="146" t="s">
        <v>195</v>
      </c>
      <c r="AG263" s="92"/>
    </row>
    <row r="264" ht="24.95" customHeight="1" spans="1:33">
      <c r="A264" s="705"/>
      <c r="B264" s="92" t="s">
        <v>81</v>
      </c>
      <c r="C264" s="92" t="s">
        <v>52</v>
      </c>
      <c r="D264" s="76" t="s">
        <v>147</v>
      </c>
      <c r="E264" s="92">
        <v>1</v>
      </c>
      <c r="F264" s="92" t="s">
        <v>81</v>
      </c>
      <c r="G264" s="92"/>
      <c r="H264" s="92">
        <f t="shared" si="54"/>
        <v>1000</v>
      </c>
      <c r="I264" s="92">
        <f t="shared" si="55"/>
        <v>0</v>
      </c>
      <c r="J264" s="92">
        <f t="shared" si="56"/>
        <v>1000</v>
      </c>
      <c r="K264" s="92"/>
      <c r="L264" s="92">
        <v>2019.01</v>
      </c>
      <c r="M264" s="92">
        <v>2019.12</v>
      </c>
      <c r="N264" s="776">
        <v>30</v>
      </c>
      <c r="O264" s="776"/>
      <c r="P264" s="776">
        <v>30</v>
      </c>
      <c r="Q264" s="738"/>
      <c r="R264" s="738"/>
      <c r="S264" s="776">
        <v>30</v>
      </c>
      <c r="T264" s="738"/>
      <c r="U264" s="738"/>
      <c r="V264" s="738"/>
      <c r="W264" s="738"/>
      <c r="X264" s="738"/>
      <c r="Y264" s="738">
        <v>700</v>
      </c>
      <c r="Z264" s="738">
        <v>3250</v>
      </c>
      <c r="AA264" s="92">
        <v>1</v>
      </c>
      <c r="AB264" s="92"/>
      <c r="AC264" s="92"/>
      <c r="AD264" s="146" t="s">
        <v>249</v>
      </c>
      <c r="AE264" s="146" t="s">
        <v>250</v>
      </c>
      <c r="AF264" s="146" t="s">
        <v>195</v>
      </c>
      <c r="AG264" s="92"/>
    </row>
    <row r="265" ht="24.95" customHeight="1" spans="1:33">
      <c r="A265" s="705"/>
      <c r="B265" s="92" t="s">
        <v>98</v>
      </c>
      <c r="C265" s="92" t="s">
        <v>52</v>
      </c>
      <c r="D265" s="76" t="s">
        <v>147</v>
      </c>
      <c r="E265" s="92">
        <v>1</v>
      </c>
      <c r="F265" s="92" t="s">
        <v>98</v>
      </c>
      <c r="G265" s="92"/>
      <c r="H265" s="92">
        <f t="shared" si="54"/>
        <v>1600</v>
      </c>
      <c r="I265" s="92">
        <f t="shared" si="55"/>
        <v>0</v>
      </c>
      <c r="J265" s="92">
        <f t="shared" si="56"/>
        <v>1600</v>
      </c>
      <c r="K265" s="92"/>
      <c r="L265" s="92">
        <v>2019.01</v>
      </c>
      <c r="M265" s="92">
        <v>2019.12</v>
      </c>
      <c r="N265" s="776">
        <v>48</v>
      </c>
      <c r="O265" s="776"/>
      <c r="P265" s="776">
        <v>48</v>
      </c>
      <c r="Q265" s="738"/>
      <c r="R265" s="738"/>
      <c r="S265" s="776">
        <v>48</v>
      </c>
      <c r="T265" s="738"/>
      <c r="U265" s="738"/>
      <c r="V265" s="738"/>
      <c r="W265" s="738"/>
      <c r="X265" s="738"/>
      <c r="Y265" s="738">
        <v>1153</v>
      </c>
      <c r="Z265" s="738">
        <v>5104</v>
      </c>
      <c r="AA265" s="92">
        <v>1</v>
      </c>
      <c r="AB265" s="92"/>
      <c r="AC265" s="92"/>
      <c r="AD265" s="774" t="s">
        <v>209</v>
      </c>
      <c r="AE265" s="774" t="s">
        <v>251</v>
      </c>
      <c r="AF265" s="146" t="s">
        <v>195</v>
      </c>
      <c r="AG265" s="92"/>
    </row>
    <row r="266" ht="24.95" customHeight="1" spans="1:33">
      <c r="A266" s="705"/>
      <c r="B266" s="92" t="s">
        <v>211</v>
      </c>
      <c r="C266" s="92" t="s">
        <v>52</v>
      </c>
      <c r="D266" s="76" t="s">
        <v>147</v>
      </c>
      <c r="E266" s="92">
        <v>1</v>
      </c>
      <c r="F266" s="92" t="s">
        <v>211</v>
      </c>
      <c r="G266" s="92"/>
      <c r="H266" s="92">
        <f t="shared" si="54"/>
        <v>1000</v>
      </c>
      <c r="I266" s="92">
        <f t="shared" si="55"/>
        <v>0</v>
      </c>
      <c r="J266" s="92">
        <f t="shared" si="56"/>
        <v>1000</v>
      </c>
      <c r="K266" s="92"/>
      <c r="L266" s="92">
        <v>2019.01</v>
      </c>
      <c r="M266" s="92">
        <v>2019.12</v>
      </c>
      <c r="N266" s="776">
        <v>30</v>
      </c>
      <c r="O266" s="776"/>
      <c r="P266" s="776">
        <v>30</v>
      </c>
      <c r="Q266" s="738"/>
      <c r="R266" s="738"/>
      <c r="S266" s="776">
        <v>30</v>
      </c>
      <c r="T266" s="738"/>
      <c r="U266" s="738"/>
      <c r="V266" s="738"/>
      <c r="W266" s="738"/>
      <c r="X266" s="738"/>
      <c r="Y266" s="738">
        <v>853</v>
      </c>
      <c r="Z266" s="738">
        <v>3350</v>
      </c>
      <c r="AA266" s="92">
        <v>1</v>
      </c>
      <c r="AB266" s="92"/>
      <c r="AC266" s="92"/>
      <c r="AD266" s="146" t="s">
        <v>76</v>
      </c>
      <c r="AE266" s="146" t="s">
        <v>252</v>
      </c>
      <c r="AF266" s="146" t="s">
        <v>195</v>
      </c>
      <c r="AG266" s="92"/>
    </row>
    <row r="267" ht="24.95" customHeight="1" spans="1:33">
      <c r="A267" s="705"/>
      <c r="B267" s="92" t="s">
        <v>155</v>
      </c>
      <c r="C267" s="92" t="s">
        <v>52</v>
      </c>
      <c r="D267" s="76" t="s">
        <v>147</v>
      </c>
      <c r="E267" s="92">
        <v>1</v>
      </c>
      <c r="F267" s="92" t="s">
        <v>155</v>
      </c>
      <c r="G267" s="92"/>
      <c r="H267" s="92">
        <f t="shared" si="54"/>
        <v>600</v>
      </c>
      <c r="I267" s="92">
        <f t="shared" si="55"/>
        <v>0</v>
      </c>
      <c r="J267" s="92">
        <f t="shared" si="56"/>
        <v>600</v>
      </c>
      <c r="K267" s="92"/>
      <c r="L267" s="92">
        <v>2019.01</v>
      </c>
      <c r="M267" s="92">
        <v>2019.12</v>
      </c>
      <c r="N267" s="776">
        <v>18</v>
      </c>
      <c r="O267" s="776"/>
      <c r="P267" s="776">
        <v>18</v>
      </c>
      <c r="Q267" s="738"/>
      <c r="R267" s="738"/>
      <c r="S267" s="776">
        <v>18</v>
      </c>
      <c r="T267" s="738"/>
      <c r="U267" s="738"/>
      <c r="V267" s="738"/>
      <c r="W267" s="738"/>
      <c r="X267" s="738"/>
      <c r="Y267" s="738">
        <v>319</v>
      </c>
      <c r="Z267" s="738">
        <v>562</v>
      </c>
      <c r="AA267" s="92">
        <v>1</v>
      </c>
      <c r="AB267" s="92"/>
      <c r="AC267" s="92"/>
      <c r="AD267" s="146" t="s">
        <v>253</v>
      </c>
      <c r="AE267" s="146" t="s">
        <v>254</v>
      </c>
      <c r="AF267" s="146" t="s">
        <v>195</v>
      </c>
      <c r="AG267" s="92"/>
    </row>
    <row r="268" ht="24.95" customHeight="1" spans="1:33">
      <c r="A268" s="705"/>
      <c r="B268" s="92" t="s">
        <v>102</v>
      </c>
      <c r="C268" s="92" t="s">
        <v>52</v>
      </c>
      <c r="D268" s="76" t="s">
        <v>147</v>
      </c>
      <c r="E268" s="92">
        <v>1</v>
      </c>
      <c r="F268" s="92" t="s">
        <v>102</v>
      </c>
      <c r="G268" s="92"/>
      <c r="H268" s="92">
        <f t="shared" si="54"/>
        <v>1800</v>
      </c>
      <c r="I268" s="92">
        <f t="shared" si="55"/>
        <v>0</v>
      </c>
      <c r="J268" s="92">
        <f t="shared" si="56"/>
        <v>1800</v>
      </c>
      <c r="K268" s="92"/>
      <c r="L268" s="92">
        <v>2019.01</v>
      </c>
      <c r="M268" s="92">
        <v>2019.12</v>
      </c>
      <c r="N268" s="776">
        <v>54</v>
      </c>
      <c r="O268" s="776"/>
      <c r="P268" s="776">
        <v>54</v>
      </c>
      <c r="Q268" s="738"/>
      <c r="R268" s="738"/>
      <c r="S268" s="776">
        <v>54</v>
      </c>
      <c r="T268" s="738"/>
      <c r="U268" s="738"/>
      <c r="V268" s="738"/>
      <c r="W268" s="738"/>
      <c r="X268" s="738"/>
      <c r="Y268" s="738">
        <v>1800</v>
      </c>
      <c r="Z268" s="738">
        <v>1800</v>
      </c>
      <c r="AA268" s="92">
        <v>1</v>
      </c>
      <c r="AB268" s="92"/>
      <c r="AC268" s="92"/>
      <c r="AD268" s="146" t="s">
        <v>255</v>
      </c>
      <c r="AE268" s="146" t="s">
        <v>256</v>
      </c>
      <c r="AF268" s="146" t="s">
        <v>195</v>
      </c>
      <c r="AG268" s="92"/>
    </row>
    <row r="269" ht="24.95" customHeight="1" spans="1:33">
      <c r="A269" s="705"/>
      <c r="B269" s="92" t="s">
        <v>100</v>
      </c>
      <c r="C269" s="92" t="s">
        <v>52</v>
      </c>
      <c r="D269" s="76" t="s">
        <v>147</v>
      </c>
      <c r="E269" s="92">
        <v>1</v>
      </c>
      <c r="F269" s="92" t="s">
        <v>100</v>
      </c>
      <c r="G269" s="92"/>
      <c r="H269" s="92">
        <f t="shared" si="54"/>
        <v>2584</v>
      </c>
      <c r="I269" s="92">
        <f t="shared" si="55"/>
        <v>0</v>
      </c>
      <c r="J269" s="92">
        <f t="shared" si="56"/>
        <v>2584</v>
      </c>
      <c r="K269" s="92"/>
      <c r="L269" s="92">
        <v>2019.01</v>
      </c>
      <c r="M269" s="92">
        <v>2019.12</v>
      </c>
      <c r="N269" s="776">
        <v>77.52</v>
      </c>
      <c r="O269" s="776"/>
      <c r="P269" s="776">
        <v>77.52</v>
      </c>
      <c r="Q269" s="738"/>
      <c r="R269" s="738"/>
      <c r="S269" s="776">
        <v>77.52</v>
      </c>
      <c r="T269" s="738"/>
      <c r="U269" s="738"/>
      <c r="V269" s="738"/>
      <c r="W269" s="738"/>
      <c r="X269" s="738"/>
      <c r="Y269" s="738">
        <v>1195</v>
      </c>
      <c r="Z269" s="738">
        <v>2584</v>
      </c>
      <c r="AA269" s="92">
        <v>1</v>
      </c>
      <c r="AB269" s="92"/>
      <c r="AC269" s="92"/>
      <c r="AD269" s="146" t="s">
        <v>79</v>
      </c>
      <c r="AE269" s="146" t="s">
        <v>257</v>
      </c>
      <c r="AF269" s="146" t="s">
        <v>195</v>
      </c>
      <c r="AG269" s="92"/>
    </row>
    <row r="270" ht="24.95" customHeight="1" spans="1:33">
      <c r="A270" s="705"/>
      <c r="B270" s="92" t="s">
        <v>84</v>
      </c>
      <c r="C270" s="92" t="s">
        <v>52</v>
      </c>
      <c r="D270" s="76" t="s">
        <v>147</v>
      </c>
      <c r="E270" s="92">
        <v>1</v>
      </c>
      <c r="F270" s="92" t="s">
        <v>84</v>
      </c>
      <c r="G270" s="92"/>
      <c r="H270" s="92">
        <f t="shared" si="54"/>
        <v>1714</v>
      </c>
      <c r="I270" s="92">
        <f t="shared" si="55"/>
        <v>0</v>
      </c>
      <c r="J270" s="92">
        <f t="shared" si="56"/>
        <v>1714</v>
      </c>
      <c r="K270" s="92"/>
      <c r="L270" s="92">
        <v>2019.01</v>
      </c>
      <c r="M270" s="92">
        <v>2019.12</v>
      </c>
      <c r="N270" s="776">
        <v>51.42</v>
      </c>
      <c r="O270" s="776"/>
      <c r="P270" s="776">
        <v>51.42</v>
      </c>
      <c r="Q270" s="738"/>
      <c r="R270" s="738"/>
      <c r="S270" s="776">
        <v>51.42</v>
      </c>
      <c r="T270" s="738"/>
      <c r="U270" s="738"/>
      <c r="V270" s="738"/>
      <c r="W270" s="738"/>
      <c r="X270" s="738"/>
      <c r="Y270" s="738">
        <v>1064</v>
      </c>
      <c r="Z270" s="738">
        <v>1714</v>
      </c>
      <c r="AA270" s="92">
        <v>1</v>
      </c>
      <c r="AB270" s="92"/>
      <c r="AC270" s="92"/>
      <c r="AD270" s="146" t="s">
        <v>185</v>
      </c>
      <c r="AE270" s="146" t="s">
        <v>258</v>
      </c>
      <c r="AF270" s="146" t="s">
        <v>195</v>
      </c>
      <c r="AG270" s="92"/>
    </row>
    <row r="271" ht="24.95" customHeight="1" spans="1:33">
      <c r="A271" s="705"/>
      <c r="B271" s="92" t="s">
        <v>259</v>
      </c>
      <c r="C271" s="92" t="s">
        <v>52</v>
      </c>
      <c r="D271" s="76" t="s">
        <v>147</v>
      </c>
      <c r="E271" s="92">
        <v>1</v>
      </c>
      <c r="F271" s="92" t="s">
        <v>259</v>
      </c>
      <c r="G271" s="92"/>
      <c r="H271" s="92">
        <f t="shared" si="54"/>
        <v>479</v>
      </c>
      <c r="I271" s="92">
        <f t="shared" si="55"/>
        <v>0</v>
      </c>
      <c r="J271" s="92">
        <f t="shared" si="56"/>
        <v>479</v>
      </c>
      <c r="K271" s="92"/>
      <c r="L271" s="92">
        <v>2019.01</v>
      </c>
      <c r="M271" s="92">
        <v>2019.12</v>
      </c>
      <c r="N271" s="776">
        <v>14.37</v>
      </c>
      <c r="O271" s="776"/>
      <c r="P271" s="776">
        <v>14.37</v>
      </c>
      <c r="Q271" s="738"/>
      <c r="R271" s="738"/>
      <c r="S271" s="776">
        <v>14.37</v>
      </c>
      <c r="T271" s="738"/>
      <c r="U271" s="738"/>
      <c r="V271" s="738"/>
      <c r="W271" s="738"/>
      <c r="X271" s="738"/>
      <c r="Y271" s="738">
        <v>278</v>
      </c>
      <c r="Z271" s="738">
        <v>479</v>
      </c>
      <c r="AA271" s="92">
        <v>1</v>
      </c>
      <c r="AB271" s="92"/>
      <c r="AC271" s="92"/>
      <c r="AD271" s="146" t="s">
        <v>260</v>
      </c>
      <c r="AE271" s="146" t="s">
        <v>261</v>
      </c>
      <c r="AF271" s="146" t="s">
        <v>195</v>
      </c>
      <c r="AG271" s="92"/>
    </row>
    <row r="272" ht="24.95" customHeight="1" spans="1:33">
      <c r="A272" s="705"/>
      <c r="B272" s="92" t="s">
        <v>143</v>
      </c>
      <c r="C272" s="92" t="s">
        <v>52</v>
      </c>
      <c r="D272" s="76" t="s">
        <v>147</v>
      </c>
      <c r="E272" s="92">
        <v>1</v>
      </c>
      <c r="F272" s="92" t="s">
        <v>143</v>
      </c>
      <c r="G272" s="92"/>
      <c r="H272" s="92">
        <f t="shared" si="54"/>
        <v>600</v>
      </c>
      <c r="I272" s="92">
        <f t="shared" si="55"/>
        <v>0</v>
      </c>
      <c r="J272" s="92">
        <f t="shared" si="56"/>
        <v>600</v>
      </c>
      <c r="K272" s="92"/>
      <c r="L272" s="92">
        <v>2019.01</v>
      </c>
      <c r="M272" s="92">
        <v>2019.12</v>
      </c>
      <c r="N272" s="776">
        <v>18</v>
      </c>
      <c r="O272" s="776"/>
      <c r="P272" s="776">
        <v>18</v>
      </c>
      <c r="Q272" s="738"/>
      <c r="R272" s="738"/>
      <c r="S272" s="776">
        <v>18</v>
      </c>
      <c r="T272" s="738"/>
      <c r="U272" s="738"/>
      <c r="V272" s="738"/>
      <c r="W272" s="738"/>
      <c r="X272" s="738"/>
      <c r="Y272" s="738">
        <v>388</v>
      </c>
      <c r="Z272" s="738">
        <v>2900</v>
      </c>
      <c r="AA272" s="92">
        <v>1</v>
      </c>
      <c r="AB272" s="92"/>
      <c r="AC272" s="92"/>
      <c r="AD272" s="775" t="s">
        <v>262</v>
      </c>
      <c r="AE272" s="775" t="s">
        <v>263</v>
      </c>
      <c r="AF272" s="146" t="s">
        <v>195</v>
      </c>
      <c r="AG272" s="92"/>
    </row>
    <row r="273" ht="24.95" customHeight="1" spans="1:33">
      <c r="A273" s="705">
        <v>31</v>
      </c>
      <c r="B273" s="92" t="s">
        <v>266</v>
      </c>
      <c r="C273" s="92"/>
      <c r="D273" s="76" t="s">
        <v>147</v>
      </c>
      <c r="E273" s="92"/>
      <c r="F273" s="92"/>
      <c r="G273" s="92"/>
      <c r="H273" s="92"/>
      <c r="I273" s="92"/>
      <c r="J273" s="92"/>
      <c r="K273" s="92"/>
      <c r="L273" s="92"/>
      <c r="M273" s="92"/>
      <c r="N273" s="724"/>
      <c r="O273" s="724"/>
      <c r="P273" s="724"/>
      <c r="Q273" s="724"/>
      <c r="R273" s="724"/>
      <c r="S273" s="724"/>
      <c r="T273" s="724"/>
      <c r="U273" s="724"/>
      <c r="V273" s="724"/>
      <c r="W273" s="724"/>
      <c r="X273" s="724"/>
      <c r="Y273" s="724"/>
      <c r="Z273" s="724"/>
      <c r="AA273" s="92"/>
      <c r="AB273" s="92"/>
      <c r="AC273" s="92"/>
      <c r="AD273" s="92"/>
      <c r="AE273" s="92"/>
      <c r="AF273" s="92" t="s">
        <v>195</v>
      </c>
      <c r="AG273" s="92" t="s">
        <v>41</v>
      </c>
    </row>
    <row r="274" ht="24.95" customHeight="1" spans="1:33">
      <c r="A274" s="705" t="s">
        <v>48</v>
      </c>
      <c r="B274" s="92" t="s">
        <v>148</v>
      </c>
      <c r="C274" s="92"/>
      <c r="D274" s="76"/>
      <c r="E274" s="92"/>
      <c r="F274" s="92"/>
      <c r="G274" s="92"/>
      <c r="H274" s="92"/>
      <c r="I274" s="92"/>
      <c r="J274" s="92"/>
      <c r="K274" s="92"/>
      <c r="L274" s="92"/>
      <c r="M274" s="92"/>
      <c r="N274" s="724"/>
      <c r="O274" s="724"/>
      <c r="P274" s="724"/>
      <c r="Q274" s="724"/>
      <c r="R274" s="724"/>
      <c r="S274" s="724"/>
      <c r="T274" s="724"/>
      <c r="U274" s="724"/>
      <c r="V274" s="724"/>
      <c r="W274" s="724"/>
      <c r="X274" s="724"/>
      <c r="Y274" s="724"/>
      <c r="Z274" s="724"/>
      <c r="AA274" s="92"/>
      <c r="AB274" s="92"/>
      <c r="AC274" s="92"/>
      <c r="AD274" s="92"/>
      <c r="AE274" s="92"/>
      <c r="AF274" s="92"/>
      <c r="AG274" s="92"/>
    </row>
    <row r="275" ht="24.95" customHeight="1" spans="1:33">
      <c r="A275" s="705">
        <v>32</v>
      </c>
      <c r="B275" s="708" t="s">
        <v>267</v>
      </c>
      <c r="C275" s="708"/>
      <c r="D275" s="709" t="s">
        <v>194</v>
      </c>
      <c r="E275" s="708">
        <f>SUM(E276:E287)</f>
        <v>12</v>
      </c>
      <c r="F275" s="708">
        <f t="shared" ref="F275:AA275" si="57">SUM(F276:F287)</f>
        <v>0</v>
      </c>
      <c r="G275" s="708">
        <f t="shared" si="57"/>
        <v>0</v>
      </c>
      <c r="H275" s="708">
        <f t="shared" si="57"/>
        <v>1500</v>
      </c>
      <c r="I275" s="708">
        <f t="shared" si="57"/>
        <v>0</v>
      </c>
      <c r="J275" s="708">
        <f t="shared" si="57"/>
        <v>1500</v>
      </c>
      <c r="K275" s="708">
        <f t="shared" si="57"/>
        <v>0</v>
      </c>
      <c r="L275" s="708"/>
      <c r="M275" s="708"/>
      <c r="N275" s="726">
        <f t="shared" si="57"/>
        <v>60</v>
      </c>
      <c r="O275" s="726">
        <f t="shared" si="57"/>
        <v>60</v>
      </c>
      <c r="P275" s="726">
        <f t="shared" si="57"/>
        <v>0</v>
      </c>
      <c r="Q275" s="726">
        <f t="shared" si="57"/>
        <v>0</v>
      </c>
      <c r="R275" s="726">
        <f t="shared" si="57"/>
        <v>0</v>
      </c>
      <c r="S275" s="726">
        <f t="shared" si="57"/>
        <v>0</v>
      </c>
      <c r="T275" s="726">
        <f t="shared" si="57"/>
        <v>0</v>
      </c>
      <c r="U275" s="726">
        <f t="shared" si="57"/>
        <v>60</v>
      </c>
      <c r="V275" s="726">
        <f t="shared" si="57"/>
        <v>0</v>
      </c>
      <c r="W275" s="726">
        <f t="shared" si="57"/>
        <v>0</v>
      </c>
      <c r="X275" s="726">
        <f t="shared" si="57"/>
        <v>0</v>
      </c>
      <c r="Y275" s="708">
        <f t="shared" si="57"/>
        <v>1500</v>
      </c>
      <c r="Z275" s="708">
        <f t="shared" si="57"/>
        <v>3518</v>
      </c>
      <c r="AA275" s="708">
        <f t="shared" si="57"/>
        <v>12</v>
      </c>
      <c r="AB275" s="708"/>
      <c r="AC275" s="708"/>
      <c r="AD275" s="193" t="s">
        <v>242</v>
      </c>
      <c r="AE275" s="193" t="s">
        <v>243</v>
      </c>
      <c r="AF275" s="146" t="s">
        <v>195</v>
      </c>
      <c r="AG275" s="708" t="s">
        <v>41</v>
      </c>
    </row>
    <row r="276" ht="24.95" customHeight="1" spans="1:33">
      <c r="A276" s="705"/>
      <c r="B276" s="708" t="s">
        <v>101</v>
      </c>
      <c r="C276" s="708" t="s">
        <v>52</v>
      </c>
      <c r="D276" s="709" t="s">
        <v>147</v>
      </c>
      <c r="E276" s="92">
        <v>1</v>
      </c>
      <c r="F276" s="708" t="s">
        <v>101</v>
      </c>
      <c r="G276" s="708"/>
      <c r="H276" s="708">
        <v>160</v>
      </c>
      <c r="I276" s="92"/>
      <c r="J276" s="92">
        <v>160</v>
      </c>
      <c r="K276" s="708"/>
      <c r="L276" s="92">
        <v>2019.01</v>
      </c>
      <c r="M276" s="92">
        <v>2019.12</v>
      </c>
      <c r="N276" s="726">
        <v>6.4</v>
      </c>
      <c r="O276" s="726">
        <v>6.4</v>
      </c>
      <c r="P276" s="726"/>
      <c r="Q276" s="726"/>
      <c r="R276" s="726"/>
      <c r="S276" s="726"/>
      <c r="T276" s="726"/>
      <c r="U276" s="726">
        <v>6.4</v>
      </c>
      <c r="V276" s="726"/>
      <c r="W276" s="726" t="s">
        <v>240</v>
      </c>
      <c r="X276" s="726" t="s">
        <v>47</v>
      </c>
      <c r="Y276" s="763">
        <v>160</v>
      </c>
      <c r="Z276" s="763">
        <v>160</v>
      </c>
      <c r="AA276" s="92">
        <v>1</v>
      </c>
      <c r="AB276" s="708"/>
      <c r="AC276" s="708"/>
      <c r="AD276" s="438" t="s">
        <v>244</v>
      </c>
      <c r="AE276" s="146" t="s">
        <v>245</v>
      </c>
      <c r="AF276" s="146" t="s">
        <v>195</v>
      </c>
      <c r="AG276" s="708"/>
    </row>
    <row r="277" ht="24.95" customHeight="1" spans="1:33">
      <c r="A277" s="705"/>
      <c r="B277" s="708" t="s">
        <v>151</v>
      </c>
      <c r="C277" s="708" t="s">
        <v>52</v>
      </c>
      <c r="D277" s="709" t="s">
        <v>147</v>
      </c>
      <c r="E277" s="92">
        <v>1</v>
      </c>
      <c r="F277" s="708" t="s">
        <v>151</v>
      </c>
      <c r="G277" s="708"/>
      <c r="H277" s="708">
        <v>160</v>
      </c>
      <c r="I277" s="92"/>
      <c r="J277" s="92">
        <v>160</v>
      </c>
      <c r="K277" s="708"/>
      <c r="L277" s="92">
        <v>2019.01</v>
      </c>
      <c r="M277" s="92">
        <v>2019.12</v>
      </c>
      <c r="N277" s="726">
        <v>6.4</v>
      </c>
      <c r="O277" s="726">
        <v>6.4</v>
      </c>
      <c r="P277" s="726"/>
      <c r="Q277" s="726"/>
      <c r="R277" s="726"/>
      <c r="S277" s="726"/>
      <c r="T277" s="726"/>
      <c r="U277" s="726">
        <v>6.4</v>
      </c>
      <c r="V277" s="726"/>
      <c r="W277" s="726" t="s">
        <v>240</v>
      </c>
      <c r="X277" s="726" t="s">
        <v>47</v>
      </c>
      <c r="Y277" s="763">
        <v>160</v>
      </c>
      <c r="Z277" s="763">
        <v>150</v>
      </c>
      <c r="AA277" s="92">
        <v>1</v>
      </c>
      <c r="AB277" s="708"/>
      <c r="AC277" s="708"/>
      <c r="AD277" s="438" t="s">
        <v>169</v>
      </c>
      <c r="AE277" s="146" t="s">
        <v>246</v>
      </c>
      <c r="AF277" s="146" t="s">
        <v>195</v>
      </c>
      <c r="AG277" s="708"/>
    </row>
    <row r="278" ht="24.95" customHeight="1" spans="1:33">
      <c r="A278" s="705"/>
      <c r="B278" s="708" t="s">
        <v>154</v>
      </c>
      <c r="C278" s="708" t="s">
        <v>52</v>
      </c>
      <c r="D278" s="709" t="s">
        <v>147</v>
      </c>
      <c r="E278" s="92">
        <v>1</v>
      </c>
      <c r="F278" s="708" t="s">
        <v>154</v>
      </c>
      <c r="G278" s="708"/>
      <c r="H278" s="708">
        <v>150</v>
      </c>
      <c r="I278" s="92"/>
      <c r="J278" s="92">
        <v>150</v>
      </c>
      <c r="K278" s="708"/>
      <c r="L278" s="92">
        <v>2019.01</v>
      </c>
      <c r="M278" s="92">
        <v>2019.12</v>
      </c>
      <c r="N278" s="726">
        <v>6</v>
      </c>
      <c r="O278" s="726">
        <v>6</v>
      </c>
      <c r="P278" s="726"/>
      <c r="Q278" s="726"/>
      <c r="R278" s="726"/>
      <c r="S278" s="726"/>
      <c r="T278" s="726"/>
      <c r="U278" s="726">
        <v>6</v>
      </c>
      <c r="V278" s="726"/>
      <c r="W278" s="726" t="s">
        <v>240</v>
      </c>
      <c r="X278" s="726" t="s">
        <v>47</v>
      </c>
      <c r="Y278" s="763">
        <v>150</v>
      </c>
      <c r="Z278" s="763">
        <v>150</v>
      </c>
      <c r="AA278" s="92">
        <v>1</v>
      </c>
      <c r="AB278" s="708"/>
      <c r="AC278" s="708"/>
      <c r="AD278" s="438" t="s">
        <v>247</v>
      </c>
      <c r="AE278" s="146" t="s">
        <v>248</v>
      </c>
      <c r="AF278" s="146" t="s">
        <v>195</v>
      </c>
      <c r="AG278" s="708"/>
    </row>
    <row r="279" ht="24.95" customHeight="1" spans="1:33">
      <c r="A279" s="705"/>
      <c r="B279" s="708" t="s">
        <v>81</v>
      </c>
      <c r="C279" s="708" t="s">
        <v>52</v>
      </c>
      <c r="D279" s="709" t="s">
        <v>147</v>
      </c>
      <c r="E279" s="92">
        <v>1</v>
      </c>
      <c r="F279" s="708" t="s">
        <v>81</v>
      </c>
      <c r="G279" s="708"/>
      <c r="H279" s="708">
        <v>150</v>
      </c>
      <c r="I279" s="92"/>
      <c r="J279" s="92">
        <v>150</v>
      </c>
      <c r="K279" s="708"/>
      <c r="L279" s="92">
        <v>2019.01</v>
      </c>
      <c r="M279" s="92">
        <v>2019.12</v>
      </c>
      <c r="N279" s="726">
        <v>6</v>
      </c>
      <c r="O279" s="726">
        <v>6</v>
      </c>
      <c r="P279" s="726"/>
      <c r="Q279" s="726"/>
      <c r="R279" s="726"/>
      <c r="S279" s="726"/>
      <c r="T279" s="726"/>
      <c r="U279" s="726">
        <v>6</v>
      </c>
      <c r="V279" s="726"/>
      <c r="W279" s="726" t="s">
        <v>240</v>
      </c>
      <c r="X279" s="726" t="s">
        <v>47</v>
      </c>
      <c r="Y279" s="763">
        <v>150</v>
      </c>
      <c r="Z279" s="763">
        <v>470</v>
      </c>
      <c r="AA279" s="92">
        <v>1</v>
      </c>
      <c r="AB279" s="708"/>
      <c r="AC279" s="708"/>
      <c r="AD279" s="438" t="s">
        <v>249</v>
      </c>
      <c r="AE279" s="146" t="s">
        <v>250</v>
      </c>
      <c r="AF279" s="146" t="s">
        <v>195</v>
      </c>
      <c r="AG279" s="708"/>
    </row>
    <row r="280" ht="24.95" customHeight="1" spans="1:33">
      <c r="A280" s="705"/>
      <c r="B280" s="708" t="s">
        <v>98</v>
      </c>
      <c r="C280" s="708" t="s">
        <v>52</v>
      </c>
      <c r="D280" s="709" t="s">
        <v>147</v>
      </c>
      <c r="E280" s="92">
        <v>1</v>
      </c>
      <c r="F280" s="708" t="s">
        <v>98</v>
      </c>
      <c r="G280" s="708"/>
      <c r="H280" s="708">
        <v>160</v>
      </c>
      <c r="I280" s="92"/>
      <c r="J280" s="92">
        <v>160</v>
      </c>
      <c r="K280" s="708"/>
      <c r="L280" s="92">
        <v>2019.01</v>
      </c>
      <c r="M280" s="92">
        <v>2019.12</v>
      </c>
      <c r="N280" s="726">
        <v>6.4</v>
      </c>
      <c r="O280" s="726">
        <v>6.4</v>
      </c>
      <c r="P280" s="726"/>
      <c r="Q280" s="726"/>
      <c r="R280" s="726"/>
      <c r="S280" s="726"/>
      <c r="T280" s="726"/>
      <c r="U280" s="726">
        <v>6.4</v>
      </c>
      <c r="V280" s="726"/>
      <c r="W280" s="726" t="s">
        <v>240</v>
      </c>
      <c r="X280" s="726" t="s">
        <v>47</v>
      </c>
      <c r="Y280" s="763">
        <v>160</v>
      </c>
      <c r="Z280" s="763">
        <v>491</v>
      </c>
      <c r="AA280" s="92">
        <v>1</v>
      </c>
      <c r="AB280" s="708"/>
      <c r="AC280" s="708"/>
      <c r="AD280" s="438" t="s">
        <v>209</v>
      </c>
      <c r="AE280" s="146" t="s">
        <v>251</v>
      </c>
      <c r="AF280" s="146" t="s">
        <v>195</v>
      </c>
      <c r="AG280" s="708"/>
    </row>
    <row r="281" ht="24.95" customHeight="1" spans="1:33">
      <c r="A281" s="705"/>
      <c r="B281" s="708" t="s">
        <v>211</v>
      </c>
      <c r="C281" s="708" t="s">
        <v>52</v>
      </c>
      <c r="D281" s="709" t="s">
        <v>147</v>
      </c>
      <c r="E281" s="92">
        <v>1</v>
      </c>
      <c r="F281" s="708" t="s">
        <v>211</v>
      </c>
      <c r="G281" s="708"/>
      <c r="H281" s="708">
        <v>150</v>
      </c>
      <c r="I281" s="92"/>
      <c r="J281" s="92">
        <v>150</v>
      </c>
      <c r="K281" s="708"/>
      <c r="L281" s="92">
        <v>2019.01</v>
      </c>
      <c r="M281" s="92">
        <v>2019.12</v>
      </c>
      <c r="N281" s="726">
        <v>6</v>
      </c>
      <c r="O281" s="726">
        <v>6</v>
      </c>
      <c r="P281" s="726"/>
      <c r="Q281" s="726"/>
      <c r="R281" s="726"/>
      <c r="S281" s="726"/>
      <c r="T281" s="726"/>
      <c r="U281" s="726">
        <v>6</v>
      </c>
      <c r="V281" s="726"/>
      <c r="W281" s="726" t="s">
        <v>240</v>
      </c>
      <c r="X281" s="726" t="s">
        <v>47</v>
      </c>
      <c r="Y281" s="763">
        <v>150</v>
      </c>
      <c r="Z281" s="763">
        <v>1565</v>
      </c>
      <c r="AA281" s="92">
        <v>1</v>
      </c>
      <c r="AB281" s="708"/>
      <c r="AC281" s="708"/>
      <c r="AD281" s="438" t="s">
        <v>76</v>
      </c>
      <c r="AE281" s="146" t="s">
        <v>252</v>
      </c>
      <c r="AF281" s="146" t="s">
        <v>195</v>
      </c>
      <c r="AG281" s="708"/>
    </row>
    <row r="282" ht="24.95" customHeight="1" spans="1:33">
      <c r="A282" s="705"/>
      <c r="B282" s="708" t="s">
        <v>155</v>
      </c>
      <c r="C282" s="708" t="s">
        <v>52</v>
      </c>
      <c r="D282" s="709" t="s">
        <v>147</v>
      </c>
      <c r="E282" s="92">
        <v>1</v>
      </c>
      <c r="F282" s="708" t="s">
        <v>155</v>
      </c>
      <c r="G282" s="708"/>
      <c r="H282" s="708">
        <v>100</v>
      </c>
      <c r="I282" s="92"/>
      <c r="J282" s="92">
        <v>100</v>
      </c>
      <c r="K282" s="708"/>
      <c r="L282" s="92">
        <v>2019.01</v>
      </c>
      <c r="M282" s="92">
        <v>2019.12</v>
      </c>
      <c r="N282" s="726">
        <v>4</v>
      </c>
      <c r="O282" s="726">
        <v>4</v>
      </c>
      <c r="P282" s="726"/>
      <c r="Q282" s="726"/>
      <c r="R282" s="726"/>
      <c r="S282" s="726"/>
      <c r="T282" s="726"/>
      <c r="U282" s="726">
        <v>4</v>
      </c>
      <c r="V282" s="726"/>
      <c r="W282" s="726" t="s">
        <v>240</v>
      </c>
      <c r="X282" s="726" t="s">
        <v>47</v>
      </c>
      <c r="Y282" s="763">
        <v>100</v>
      </c>
      <c r="Z282" s="763">
        <v>62</v>
      </c>
      <c r="AA282" s="92">
        <v>1</v>
      </c>
      <c r="AB282" s="708"/>
      <c r="AC282" s="708"/>
      <c r="AD282" s="438" t="s">
        <v>253</v>
      </c>
      <c r="AE282" s="146" t="s">
        <v>254</v>
      </c>
      <c r="AF282" s="146" t="s">
        <v>195</v>
      </c>
      <c r="AG282" s="708"/>
    </row>
    <row r="283" ht="24.95" customHeight="1" spans="1:33">
      <c r="A283" s="705"/>
      <c r="B283" s="708" t="s">
        <v>102</v>
      </c>
      <c r="C283" s="708" t="s">
        <v>52</v>
      </c>
      <c r="D283" s="709" t="s">
        <v>147</v>
      </c>
      <c r="E283" s="92">
        <v>1</v>
      </c>
      <c r="F283" s="708" t="s">
        <v>102</v>
      </c>
      <c r="G283" s="708"/>
      <c r="H283" s="708">
        <v>150</v>
      </c>
      <c r="I283" s="92"/>
      <c r="J283" s="92">
        <v>150</v>
      </c>
      <c r="K283" s="708"/>
      <c r="L283" s="92">
        <v>2019.01</v>
      </c>
      <c r="M283" s="92">
        <v>2019.12</v>
      </c>
      <c r="N283" s="726">
        <v>6</v>
      </c>
      <c r="O283" s="726">
        <v>6</v>
      </c>
      <c r="P283" s="726"/>
      <c r="Q283" s="726"/>
      <c r="R283" s="726"/>
      <c r="S283" s="726"/>
      <c r="T283" s="726"/>
      <c r="U283" s="726">
        <v>6</v>
      </c>
      <c r="V283" s="726"/>
      <c r="W283" s="726" t="s">
        <v>240</v>
      </c>
      <c r="X283" s="726" t="s">
        <v>47</v>
      </c>
      <c r="Y283" s="763">
        <v>150</v>
      </c>
      <c r="Z283" s="763">
        <v>150</v>
      </c>
      <c r="AA283" s="92">
        <v>1</v>
      </c>
      <c r="AB283" s="708"/>
      <c r="AC283" s="708"/>
      <c r="AD283" s="146" t="s">
        <v>255</v>
      </c>
      <c r="AE283" s="146" t="s">
        <v>256</v>
      </c>
      <c r="AF283" s="146" t="s">
        <v>195</v>
      </c>
      <c r="AG283" s="708"/>
    </row>
    <row r="284" ht="24.95" customHeight="1" spans="1:33">
      <c r="A284" s="705"/>
      <c r="B284" s="708" t="s">
        <v>100</v>
      </c>
      <c r="C284" s="708" t="s">
        <v>52</v>
      </c>
      <c r="D284" s="709" t="s">
        <v>147</v>
      </c>
      <c r="E284" s="92">
        <v>1</v>
      </c>
      <c r="F284" s="708" t="s">
        <v>100</v>
      </c>
      <c r="G284" s="708"/>
      <c r="H284" s="708">
        <v>80</v>
      </c>
      <c r="I284" s="92"/>
      <c r="J284" s="92">
        <v>80</v>
      </c>
      <c r="K284" s="708"/>
      <c r="L284" s="92">
        <v>2019.01</v>
      </c>
      <c r="M284" s="92">
        <v>2019.12</v>
      </c>
      <c r="N284" s="726">
        <v>3.2</v>
      </c>
      <c r="O284" s="726">
        <v>3.2</v>
      </c>
      <c r="P284" s="726"/>
      <c r="Q284" s="726"/>
      <c r="R284" s="726"/>
      <c r="S284" s="726"/>
      <c r="T284" s="726"/>
      <c r="U284" s="726">
        <v>3.2</v>
      </c>
      <c r="V284" s="726"/>
      <c r="W284" s="726" t="s">
        <v>240</v>
      </c>
      <c r="X284" s="726" t="s">
        <v>47</v>
      </c>
      <c r="Y284" s="763">
        <v>80</v>
      </c>
      <c r="Z284" s="763">
        <v>80</v>
      </c>
      <c r="AA284" s="92">
        <v>1</v>
      </c>
      <c r="AB284" s="708"/>
      <c r="AC284" s="708"/>
      <c r="AD284" s="438" t="s">
        <v>79</v>
      </c>
      <c r="AE284" s="146" t="s">
        <v>257</v>
      </c>
      <c r="AF284" s="146" t="s">
        <v>195</v>
      </c>
      <c r="AG284" s="708"/>
    </row>
    <row r="285" ht="24.95" customHeight="1" spans="1:33">
      <c r="A285" s="705"/>
      <c r="B285" s="708" t="s">
        <v>84</v>
      </c>
      <c r="C285" s="708" t="s">
        <v>52</v>
      </c>
      <c r="D285" s="709" t="s">
        <v>147</v>
      </c>
      <c r="E285" s="92">
        <v>1</v>
      </c>
      <c r="F285" s="708" t="s">
        <v>84</v>
      </c>
      <c r="G285" s="708"/>
      <c r="H285" s="708">
        <v>100</v>
      </c>
      <c r="I285" s="92"/>
      <c r="J285" s="92">
        <v>100</v>
      </c>
      <c r="K285" s="708"/>
      <c r="L285" s="92">
        <v>2019.01</v>
      </c>
      <c r="M285" s="92">
        <v>2019.12</v>
      </c>
      <c r="N285" s="726">
        <v>4</v>
      </c>
      <c r="O285" s="726">
        <v>4</v>
      </c>
      <c r="P285" s="726"/>
      <c r="Q285" s="726"/>
      <c r="R285" s="726"/>
      <c r="S285" s="726"/>
      <c r="T285" s="726"/>
      <c r="U285" s="726">
        <v>4</v>
      </c>
      <c r="V285" s="726"/>
      <c r="W285" s="726" t="s">
        <v>240</v>
      </c>
      <c r="X285" s="726" t="s">
        <v>47</v>
      </c>
      <c r="Y285" s="763">
        <v>100</v>
      </c>
      <c r="Z285" s="763">
        <v>100</v>
      </c>
      <c r="AA285" s="92">
        <v>1</v>
      </c>
      <c r="AB285" s="708"/>
      <c r="AC285" s="708"/>
      <c r="AD285" s="438" t="s">
        <v>185</v>
      </c>
      <c r="AE285" s="146" t="s">
        <v>258</v>
      </c>
      <c r="AF285" s="146" t="s">
        <v>195</v>
      </c>
      <c r="AG285" s="708"/>
    </row>
    <row r="286" ht="24.95" customHeight="1" spans="1:33">
      <c r="A286" s="705"/>
      <c r="B286" s="708" t="s">
        <v>259</v>
      </c>
      <c r="C286" s="708" t="s">
        <v>52</v>
      </c>
      <c r="D286" s="709" t="s">
        <v>147</v>
      </c>
      <c r="E286" s="92">
        <v>1</v>
      </c>
      <c r="F286" s="708" t="s">
        <v>259</v>
      </c>
      <c r="G286" s="708"/>
      <c r="H286" s="708">
        <v>40</v>
      </c>
      <c r="I286" s="92"/>
      <c r="J286" s="92">
        <v>40</v>
      </c>
      <c r="K286" s="708"/>
      <c r="L286" s="92">
        <v>2019.01</v>
      </c>
      <c r="M286" s="92">
        <v>2019.12</v>
      </c>
      <c r="N286" s="726">
        <v>1.6</v>
      </c>
      <c r="O286" s="726">
        <v>1.6</v>
      </c>
      <c r="P286" s="726"/>
      <c r="Q286" s="726"/>
      <c r="R286" s="726"/>
      <c r="S286" s="726"/>
      <c r="T286" s="726"/>
      <c r="U286" s="726">
        <v>1.6</v>
      </c>
      <c r="V286" s="726"/>
      <c r="W286" s="726" t="s">
        <v>240</v>
      </c>
      <c r="X286" s="726" t="s">
        <v>47</v>
      </c>
      <c r="Y286" s="763">
        <v>40</v>
      </c>
      <c r="Z286" s="763">
        <v>40</v>
      </c>
      <c r="AA286" s="92">
        <v>1</v>
      </c>
      <c r="AB286" s="708"/>
      <c r="AC286" s="708"/>
      <c r="AD286" s="438" t="s">
        <v>260</v>
      </c>
      <c r="AE286" s="146" t="s">
        <v>261</v>
      </c>
      <c r="AF286" s="146" t="s">
        <v>195</v>
      </c>
      <c r="AG286" s="708"/>
    </row>
    <row r="287" ht="24.95" customHeight="1" spans="1:33">
      <c r="A287" s="705"/>
      <c r="B287" s="708" t="s">
        <v>143</v>
      </c>
      <c r="C287" s="708" t="s">
        <v>52</v>
      </c>
      <c r="D287" s="709" t="s">
        <v>147</v>
      </c>
      <c r="E287" s="92">
        <v>1</v>
      </c>
      <c r="F287" s="708" t="s">
        <v>143</v>
      </c>
      <c r="G287" s="708"/>
      <c r="H287" s="708">
        <v>100</v>
      </c>
      <c r="I287" s="92"/>
      <c r="J287" s="92">
        <v>100</v>
      </c>
      <c r="K287" s="708"/>
      <c r="L287" s="92">
        <v>2019.01</v>
      </c>
      <c r="M287" s="92">
        <v>2019.12</v>
      </c>
      <c r="N287" s="726">
        <v>4</v>
      </c>
      <c r="O287" s="726">
        <v>4</v>
      </c>
      <c r="P287" s="726"/>
      <c r="Q287" s="726"/>
      <c r="R287" s="726"/>
      <c r="S287" s="726"/>
      <c r="T287" s="726"/>
      <c r="U287" s="726">
        <v>4</v>
      </c>
      <c r="V287" s="726"/>
      <c r="W287" s="726" t="s">
        <v>240</v>
      </c>
      <c r="X287" s="726" t="s">
        <v>47</v>
      </c>
      <c r="Y287" s="763">
        <v>100</v>
      </c>
      <c r="Z287" s="763">
        <v>100</v>
      </c>
      <c r="AA287" s="92">
        <v>1</v>
      </c>
      <c r="AB287" s="708"/>
      <c r="AC287" s="708"/>
      <c r="AD287" s="777" t="s">
        <v>262</v>
      </c>
      <c r="AE287" s="777" t="s">
        <v>263</v>
      </c>
      <c r="AF287" s="146" t="s">
        <v>195</v>
      </c>
      <c r="AG287" s="708"/>
    </row>
    <row r="288" ht="24.95" customHeight="1" spans="1:33">
      <c r="A288" s="705">
        <v>33</v>
      </c>
      <c r="B288" s="708" t="s">
        <v>268</v>
      </c>
      <c r="C288" s="708"/>
      <c r="D288" s="709" t="s">
        <v>147</v>
      </c>
      <c r="E288" s="708">
        <f>E313+E326</f>
        <v>24</v>
      </c>
      <c r="F288" s="708">
        <f t="shared" ref="F288:AA288" si="58">F313+F326</f>
        <v>0</v>
      </c>
      <c r="G288" s="708">
        <f t="shared" si="58"/>
        <v>0</v>
      </c>
      <c r="H288" s="708">
        <f t="shared" si="58"/>
        <v>3765</v>
      </c>
      <c r="I288" s="708">
        <f t="shared" si="58"/>
        <v>0</v>
      </c>
      <c r="J288" s="708">
        <f t="shared" si="58"/>
        <v>3765</v>
      </c>
      <c r="K288" s="708">
        <f t="shared" si="58"/>
        <v>0</v>
      </c>
      <c r="L288" s="708">
        <f t="shared" si="58"/>
        <v>0</v>
      </c>
      <c r="M288" s="708">
        <f t="shared" si="58"/>
        <v>0</v>
      </c>
      <c r="N288" s="708">
        <f t="shared" si="58"/>
        <v>1134.6</v>
      </c>
      <c r="O288" s="708">
        <f t="shared" si="58"/>
        <v>0</v>
      </c>
      <c r="P288" s="708">
        <f t="shared" si="58"/>
        <v>1134.6</v>
      </c>
      <c r="Q288" s="708">
        <f t="shared" si="58"/>
        <v>0</v>
      </c>
      <c r="R288" s="708">
        <f t="shared" si="58"/>
        <v>534.6</v>
      </c>
      <c r="S288" s="708">
        <f t="shared" si="58"/>
        <v>0</v>
      </c>
      <c r="T288" s="708">
        <f t="shared" si="58"/>
        <v>0</v>
      </c>
      <c r="U288" s="708">
        <f t="shared" si="58"/>
        <v>600</v>
      </c>
      <c r="V288" s="708">
        <f t="shared" si="58"/>
        <v>0</v>
      </c>
      <c r="W288" s="726" t="s">
        <v>240</v>
      </c>
      <c r="X288" s="726" t="s">
        <v>47</v>
      </c>
      <c r="Y288" s="708">
        <f t="shared" si="58"/>
        <v>3330</v>
      </c>
      <c r="Z288" s="708">
        <f t="shared" si="58"/>
        <v>13917</v>
      </c>
      <c r="AA288" s="708">
        <f t="shared" si="58"/>
        <v>24</v>
      </c>
      <c r="AB288" s="708"/>
      <c r="AC288" s="708"/>
      <c r="AD288" s="708"/>
      <c r="AE288" s="708"/>
      <c r="AF288" s="708"/>
      <c r="AG288" s="708" t="s">
        <v>41</v>
      </c>
    </row>
    <row r="289" ht="24.95" customHeight="1" spans="1:33">
      <c r="A289" s="705">
        <v>34</v>
      </c>
      <c r="B289" s="92" t="s">
        <v>269</v>
      </c>
      <c r="C289" s="92"/>
      <c r="D289" s="76" t="s">
        <v>147</v>
      </c>
      <c r="E289" s="92"/>
      <c r="F289" s="92"/>
      <c r="G289" s="92"/>
      <c r="H289" s="92"/>
      <c r="I289" s="92"/>
      <c r="J289" s="92"/>
      <c r="K289" s="92"/>
      <c r="L289" s="92"/>
      <c r="M289" s="92"/>
      <c r="N289" s="724"/>
      <c r="O289" s="724"/>
      <c r="P289" s="724"/>
      <c r="Q289" s="724"/>
      <c r="R289" s="724"/>
      <c r="S289" s="724"/>
      <c r="T289" s="724"/>
      <c r="U289" s="724"/>
      <c r="V289" s="724"/>
      <c r="W289" s="724"/>
      <c r="X289" s="724"/>
      <c r="Y289" s="724"/>
      <c r="Z289" s="724"/>
      <c r="AA289" s="92"/>
      <c r="AB289" s="92"/>
      <c r="AC289" s="92"/>
      <c r="AD289" s="92"/>
      <c r="AE289" s="92"/>
      <c r="AF289" s="92" t="s">
        <v>201</v>
      </c>
      <c r="AG289" s="92" t="s">
        <v>41</v>
      </c>
    </row>
    <row r="290" ht="24.95" customHeight="1" spans="1:33">
      <c r="A290" s="705" t="s">
        <v>48</v>
      </c>
      <c r="B290" s="92" t="s">
        <v>148</v>
      </c>
      <c r="C290" s="92"/>
      <c r="D290" s="76"/>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row>
    <row r="291" ht="24.95" customHeight="1" spans="1:33">
      <c r="A291" s="705">
        <v>35</v>
      </c>
      <c r="B291" s="92" t="s">
        <v>270</v>
      </c>
      <c r="C291" s="92"/>
      <c r="D291" s="76" t="s">
        <v>147</v>
      </c>
      <c r="E291" s="92"/>
      <c r="F291" s="92"/>
      <c r="G291" s="92"/>
      <c r="H291" s="92"/>
      <c r="I291" s="92"/>
      <c r="J291" s="92"/>
      <c r="K291" s="92"/>
      <c r="L291" s="92"/>
      <c r="M291" s="92"/>
      <c r="N291" s="724"/>
      <c r="O291" s="724"/>
      <c r="P291" s="724"/>
      <c r="Q291" s="724"/>
      <c r="R291" s="724"/>
      <c r="S291" s="724"/>
      <c r="T291" s="724"/>
      <c r="U291" s="724"/>
      <c r="V291" s="724"/>
      <c r="W291" s="724"/>
      <c r="X291" s="724"/>
      <c r="Y291" s="724"/>
      <c r="Z291" s="724"/>
      <c r="AA291" s="92"/>
      <c r="AB291" s="92"/>
      <c r="AC291" s="92"/>
      <c r="AD291" s="92"/>
      <c r="AE291" s="92"/>
      <c r="AF291" s="92" t="s">
        <v>271</v>
      </c>
      <c r="AG291" s="92" t="s">
        <v>41</v>
      </c>
    </row>
    <row r="292" ht="24.95" customHeight="1" spans="1:33">
      <c r="A292" s="705" t="s">
        <v>48</v>
      </c>
      <c r="B292" s="92" t="s">
        <v>148</v>
      </c>
      <c r="C292" s="92"/>
      <c r="D292" s="76"/>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row>
    <row r="293" ht="24.95" customHeight="1" spans="1:33">
      <c r="A293" s="705">
        <v>36</v>
      </c>
      <c r="B293" s="92" t="s">
        <v>272</v>
      </c>
      <c r="C293" s="92"/>
      <c r="D293" s="76" t="s">
        <v>147</v>
      </c>
      <c r="E293" s="92"/>
      <c r="F293" s="92"/>
      <c r="G293" s="92"/>
      <c r="H293" s="92"/>
      <c r="I293" s="92"/>
      <c r="J293" s="92"/>
      <c r="K293" s="92"/>
      <c r="L293" s="92"/>
      <c r="M293" s="92"/>
      <c r="N293" s="724"/>
      <c r="O293" s="724"/>
      <c r="P293" s="724"/>
      <c r="Q293" s="724"/>
      <c r="R293" s="724"/>
      <c r="S293" s="724"/>
      <c r="T293" s="724"/>
      <c r="U293" s="724"/>
      <c r="V293" s="724"/>
      <c r="W293" s="724"/>
      <c r="X293" s="724"/>
      <c r="Y293" s="724"/>
      <c r="Z293" s="724"/>
      <c r="AA293" s="92"/>
      <c r="AB293" s="92"/>
      <c r="AC293" s="92"/>
      <c r="AD293" s="92"/>
      <c r="AE293" s="92"/>
      <c r="AF293" s="92" t="s">
        <v>273</v>
      </c>
      <c r="AG293" s="92" t="s">
        <v>41</v>
      </c>
    </row>
    <row r="294" ht="24.95" customHeight="1" spans="1:33">
      <c r="A294" s="705" t="s">
        <v>48</v>
      </c>
      <c r="B294" s="92" t="s">
        <v>148</v>
      </c>
      <c r="C294" s="92"/>
      <c r="D294" s="76"/>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row>
    <row r="295" ht="24.95" customHeight="1" spans="1:33">
      <c r="A295" s="705">
        <v>37</v>
      </c>
      <c r="B295" s="92" t="s">
        <v>274</v>
      </c>
      <c r="C295" s="92"/>
      <c r="D295" s="76" t="s">
        <v>147</v>
      </c>
      <c r="E295" s="92"/>
      <c r="F295" s="92"/>
      <c r="G295" s="92"/>
      <c r="H295" s="92"/>
      <c r="I295" s="92"/>
      <c r="J295" s="92"/>
      <c r="K295" s="92"/>
      <c r="L295" s="92"/>
      <c r="M295" s="92"/>
      <c r="N295" s="724"/>
      <c r="O295" s="724"/>
      <c r="P295" s="724"/>
      <c r="Q295" s="724"/>
      <c r="R295" s="724"/>
      <c r="S295" s="724"/>
      <c r="T295" s="724"/>
      <c r="U295" s="724"/>
      <c r="V295" s="724"/>
      <c r="W295" s="724"/>
      <c r="X295" s="724"/>
      <c r="Y295" s="724"/>
      <c r="Z295" s="724"/>
      <c r="AA295" s="92"/>
      <c r="AB295" s="92"/>
      <c r="AC295" s="92"/>
      <c r="AD295" s="92"/>
      <c r="AE295" s="92"/>
      <c r="AF295" s="92" t="s">
        <v>275</v>
      </c>
      <c r="AG295" s="92" t="s">
        <v>41</v>
      </c>
    </row>
    <row r="296" ht="24.95" customHeight="1" spans="1:33">
      <c r="A296" s="705" t="s">
        <v>48</v>
      </c>
      <c r="B296" s="92" t="s">
        <v>148</v>
      </c>
      <c r="C296" s="92"/>
      <c r="D296" s="76"/>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row>
    <row r="297" ht="24.95" customHeight="1" spans="1:33">
      <c r="A297" s="705">
        <v>38</v>
      </c>
      <c r="B297" s="92" t="s">
        <v>276</v>
      </c>
      <c r="C297" s="92"/>
      <c r="D297" s="76" t="s">
        <v>147</v>
      </c>
      <c r="E297" s="92"/>
      <c r="F297" s="92"/>
      <c r="G297" s="92"/>
      <c r="H297" s="92"/>
      <c r="I297" s="92"/>
      <c r="J297" s="92"/>
      <c r="K297" s="92"/>
      <c r="L297" s="92"/>
      <c r="M297" s="92"/>
      <c r="N297" s="724"/>
      <c r="O297" s="724"/>
      <c r="P297" s="724"/>
      <c r="Q297" s="724"/>
      <c r="R297" s="724"/>
      <c r="S297" s="724"/>
      <c r="T297" s="724"/>
      <c r="U297" s="724"/>
      <c r="V297" s="724"/>
      <c r="W297" s="724"/>
      <c r="X297" s="724"/>
      <c r="Y297" s="724"/>
      <c r="Z297" s="724"/>
      <c r="AA297" s="92"/>
      <c r="AB297" s="92"/>
      <c r="AC297" s="92"/>
      <c r="AD297" s="92"/>
      <c r="AE297" s="92"/>
      <c r="AF297" s="92" t="s">
        <v>277</v>
      </c>
      <c r="AG297" s="92" t="s">
        <v>41</v>
      </c>
    </row>
    <row r="298" ht="24.95" customHeight="1" spans="1:33">
      <c r="A298" s="705" t="s">
        <v>48</v>
      </c>
      <c r="B298" s="92" t="s">
        <v>148</v>
      </c>
      <c r="C298" s="92"/>
      <c r="D298" s="76"/>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row>
    <row r="299" ht="24.95" customHeight="1" spans="1:33">
      <c r="A299" s="705">
        <v>39</v>
      </c>
      <c r="B299" s="92" t="s">
        <v>278</v>
      </c>
      <c r="C299" s="92"/>
      <c r="D299" s="76" t="s">
        <v>147</v>
      </c>
      <c r="E299" s="92"/>
      <c r="F299" s="92"/>
      <c r="G299" s="92"/>
      <c r="H299" s="92"/>
      <c r="I299" s="92"/>
      <c r="J299" s="92"/>
      <c r="K299" s="92"/>
      <c r="L299" s="92"/>
      <c r="M299" s="92"/>
      <c r="N299" s="724"/>
      <c r="O299" s="724"/>
      <c r="P299" s="724"/>
      <c r="Q299" s="724"/>
      <c r="R299" s="724"/>
      <c r="S299" s="724"/>
      <c r="T299" s="724"/>
      <c r="U299" s="724"/>
      <c r="V299" s="724"/>
      <c r="W299" s="724"/>
      <c r="X299" s="724"/>
      <c r="Y299" s="724"/>
      <c r="Z299" s="724"/>
      <c r="AA299" s="92"/>
      <c r="AB299" s="92"/>
      <c r="AC299" s="92"/>
      <c r="AD299" s="92"/>
      <c r="AE299" s="92"/>
      <c r="AF299" s="92" t="s">
        <v>195</v>
      </c>
      <c r="AG299" s="92"/>
    </row>
    <row r="300" ht="24.95" customHeight="1" spans="1:33">
      <c r="A300" s="705" t="s">
        <v>48</v>
      </c>
      <c r="B300" s="92" t="s">
        <v>148</v>
      </c>
      <c r="C300" s="92"/>
      <c r="D300" s="76"/>
      <c r="E300" s="92"/>
      <c r="F300" s="92"/>
      <c r="G300" s="92"/>
      <c r="H300" s="92"/>
      <c r="I300" s="92"/>
      <c r="J300" s="92"/>
      <c r="K300" s="92"/>
      <c r="L300" s="92"/>
      <c r="M300" s="92"/>
      <c r="N300" s="724"/>
      <c r="O300" s="724"/>
      <c r="P300" s="724"/>
      <c r="Q300" s="724"/>
      <c r="R300" s="724"/>
      <c r="S300" s="724"/>
      <c r="T300" s="724"/>
      <c r="U300" s="724"/>
      <c r="V300" s="92"/>
      <c r="W300" s="92"/>
      <c r="X300" s="92"/>
      <c r="Y300" s="92"/>
      <c r="Z300" s="92"/>
      <c r="AA300" s="92"/>
      <c r="AB300" s="92"/>
      <c r="AC300" s="92"/>
      <c r="AD300" s="92"/>
      <c r="AE300" s="92"/>
      <c r="AF300" s="92"/>
      <c r="AG300" s="92"/>
    </row>
    <row r="301" ht="44.25" customHeight="1" spans="1:33">
      <c r="A301" s="705">
        <v>40</v>
      </c>
      <c r="B301" s="92" t="s">
        <v>279</v>
      </c>
      <c r="C301" s="92"/>
      <c r="D301" s="76" t="s">
        <v>147</v>
      </c>
      <c r="E301" s="92"/>
      <c r="F301" s="92"/>
      <c r="G301" s="92"/>
      <c r="H301" s="92"/>
      <c r="I301" s="92"/>
      <c r="J301" s="92"/>
      <c r="K301" s="92"/>
      <c r="L301" s="92"/>
      <c r="M301" s="92"/>
      <c r="N301" s="724"/>
      <c r="O301" s="724"/>
      <c r="P301" s="724"/>
      <c r="Q301" s="724"/>
      <c r="R301" s="724"/>
      <c r="S301" s="724"/>
      <c r="T301" s="724"/>
      <c r="U301" s="724"/>
      <c r="V301" s="724"/>
      <c r="W301" s="724"/>
      <c r="X301" s="724"/>
      <c r="Y301" s="724"/>
      <c r="Z301" s="724"/>
      <c r="AA301" s="92"/>
      <c r="AB301" s="92"/>
      <c r="AC301" s="92"/>
      <c r="AD301" s="92"/>
      <c r="AE301" s="92"/>
      <c r="AF301" s="92" t="s">
        <v>195</v>
      </c>
      <c r="AG301" s="92"/>
    </row>
    <row r="302" ht="24.95" customHeight="1" spans="1:33">
      <c r="A302" s="705" t="s">
        <v>48</v>
      </c>
      <c r="B302" s="92" t="s">
        <v>148</v>
      </c>
      <c r="C302" s="92"/>
      <c r="D302" s="76"/>
      <c r="E302" s="92"/>
      <c r="F302" s="92"/>
      <c r="G302" s="92"/>
      <c r="H302" s="92"/>
      <c r="I302" s="92"/>
      <c r="J302" s="92"/>
      <c r="K302" s="92"/>
      <c r="L302" s="92"/>
      <c r="M302" s="92"/>
      <c r="N302" s="724"/>
      <c r="O302" s="724"/>
      <c r="P302" s="724"/>
      <c r="Q302" s="724"/>
      <c r="R302" s="724"/>
      <c r="S302" s="724"/>
      <c r="T302" s="724"/>
      <c r="U302" s="724"/>
      <c r="V302" s="92"/>
      <c r="W302" s="92"/>
      <c r="X302" s="92"/>
      <c r="Y302" s="92"/>
      <c r="Z302" s="92"/>
      <c r="AA302" s="92"/>
      <c r="AB302" s="92"/>
      <c r="AC302" s="92"/>
      <c r="AD302" s="92"/>
      <c r="AE302" s="92"/>
      <c r="AF302" s="92"/>
      <c r="AG302" s="92"/>
    </row>
    <row r="303" ht="24.95" customHeight="1" spans="1:33">
      <c r="A303" s="705">
        <v>41</v>
      </c>
      <c r="B303" s="92" t="s">
        <v>280</v>
      </c>
      <c r="C303" s="92"/>
      <c r="D303" s="76" t="s">
        <v>147</v>
      </c>
      <c r="E303" s="92"/>
      <c r="F303" s="92"/>
      <c r="G303" s="92"/>
      <c r="H303" s="92"/>
      <c r="I303" s="92"/>
      <c r="J303" s="92"/>
      <c r="K303" s="92"/>
      <c r="L303" s="92"/>
      <c r="M303" s="92"/>
      <c r="N303" s="724"/>
      <c r="O303" s="724"/>
      <c r="P303" s="724"/>
      <c r="Q303" s="724"/>
      <c r="R303" s="724"/>
      <c r="S303" s="724"/>
      <c r="T303" s="724"/>
      <c r="U303" s="724"/>
      <c r="V303" s="724"/>
      <c r="W303" s="724"/>
      <c r="X303" s="724"/>
      <c r="Y303" s="724"/>
      <c r="Z303" s="724"/>
      <c r="AA303" s="92"/>
      <c r="AB303" s="92"/>
      <c r="AC303" s="92"/>
      <c r="AD303" s="92"/>
      <c r="AE303" s="92"/>
      <c r="AF303" s="92" t="s">
        <v>195</v>
      </c>
      <c r="AG303" s="92"/>
    </row>
    <row r="304" ht="24.95" customHeight="1" spans="1:33">
      <c r="A304" s="705" t="s">
        <v>48</v>
      </c>
      <c r="B304" s="92" t="s">
        <v>148</v>
      </c>
      <c r="C304" s="92"/>
      <c r="D304" s="76"/>
      <c r="E304" s="92"/>
      <c r="F304" s="92"/>
      <c r="G304" s="92"/>
      <c r="H304" s="92"/>
      <c r="I304" s="92"/>
      <c r="J304" s="92"/>
      <c r="K304" s="92"/>
      <c r="L304" s="92"/>
      <c r="M304" s="92"/>
      <c r="N304" s="724"/>
      <c r="O304" s="724"/>
      <c r="P304" s="724"/>
      <c r="Q304" s="724"/>
      <c r="R304" s="724"/>
      <c r="S304" s="724"/>
      <c r="T304" s="724"/>
      <c r="U304" s="724"/>
      <c r="V304" s="92"/>
      <c r="W304" s="92"/>
      <c r="X304" s="92"/>
      <c r="Y304" s="92"/>
      <c r="Z304" s="92"/>
      <c r="AA304" s="92"/>
      <c r="AB304" s="92"/>
      <c r="AC304" s="92"/>
      <c r="AD304" s="92"/>
      <c r="AE304" s="92"/>
      <c r="AF304" s="92"/>
      <c r="AG304" s="92"/>
    </row>
    <row r="305" ht="24.95" customHeight="1" spans="1:33">
      <c r="A305" s="705">
        <v>42</v>
      </c>
      <c r="B305" s="92" t="s">
        <v>281</v>
      </c>
      <c r="C305" s="92"/>
      <c r="D305" s="76" t="s">
        <v>147</v>
      </c>
      <c r="E305" s="92"/>
      <c r="F305" s="92"/>
      <c r="G305" s="92"/>
      <c r="H305" s="92"/>
      <c r="I305" s="92"/>
      <c r="J305" s="92"/>
      <c r="K305" s="92"/>
      <c r="L305" s="92"/>
      <c r="M305" s="92"/>
      <c r="N305" s="724"/>
      <c r="O305" s="724"/>
      <c r="P305" s="724"/>
      <c r="Q305" s="724"/>
      <c r="R305" s="724"/>
      <c r="S305" s="724"/>
      <c r="T305" s="724"/>
      <c r="U305" s="724"/>
      <c r="V305" s="724"/>
      <c r="W305" s="724"/>
      <c r="X305" s="724"/>
      <c r="Y305" s="724"/>
      <c r="Z305" s="724"/>
      <c r="AA305" s="92"/>
      <c r="AB305" s="92"/>
      <c r="AC305" s="92"/>
      <c r="AD305" s="92"/>
      <c r="AE305" s="92"/>
      <c r="AF305" s="92" t="s">
        <v>195</v>
      </c>
      <c r="AG305" s="92"/>
    </row>
    <row r="306" ht="24.95" customHeight="1" spans="1:33">
      <c r="A306" s="705" t="s">
        <v>48</v>
      </c>
      <c r="B306" s="92" t="s">
        <v>148</v>
      </c>
      <c r="C306" s="92"/>
      <c r="D306" s="76"/>
      <c r="E306" s="92"/>
      <c r="F306" s="92"/>
      <c r="G306" s="92"/>
      <c r="H306" s="92"/>
      <c r="I306" s="92"/>
      <c r="J306" s="92"/>
      <c r="K306" s="92"/>
      <c r="L306" s="92"/>
      <c r="M306" s="92"/>
      <c r="N306" s="724"/>
      <c r="O306" s="724"/>
      <c r="P306" s="724"/>
      <c r="Q306" s="724"/>
      <c r="R306" s="92"/>
      <c r="S306" s="92"/>
      <c r="T306" s="92"/>
      <c r="U306" s="92"/>
      <c r="V306" s="92"/>
      <c r="W306" s="92"/>
      <c r="X306" s="92"/>
      <c r="Y306" s="92"/>
      <c r="Z306" s="92"/>
      <c r="AA306" s="92"/>
      <c r="AB306" s="92"/>
      <c r="AC306" s="92"/>
      <c r="AD306" s="92"/>
      <c r="AE306" s="92"/>
      <c r="AF306" s="92"/>
      <c r="AG306" s="92"/>
    </row>
    <row r="307" ht="24.95" customHeight="1" spans="1:33">
      <c r="A307" s="705">
        <v>43</v>
      </c>
      <c r="B307" s="92" t="s">
        <v>282</v>
      </c>
      <c r="C307" s="92"/>
      <c r="D307" s="76" t="s">
        <v>147</v>
      </c>
      <c r="E307" s="92"/>
      <c r="F307" s="92"/>
      <c r="G307" s="92"/>
      <c r="H307" s="92"/>
      <c r="I307" s="92"/>
      <c r="J307" s="92"/>
      <c r="K307" s="92"/>
      <c r="L307" s="92"/>
      <c r="M307" s="92"/>
      <c r="N307" s="724"/>
      <c r="O307" s="724"/>
      <c r="P307" s="724"/>
      <c r="Q307" s="724"/>
      <c r="R307" s="724"/>
      <c r="S307" s="724"/>
      <c r="T307" s="724"/>
      <c r="U307" s="724"/>
      <c r="V307" s="724"/>
      <c r="W307" s="724"/>
      <c r="X307" s="724"/>
      <c r="Y307" s="724"/>
      <c r="Z307" s="724"/>
      <c r="AA307" s="92"/>
      <c r="AB307" s="92"/>
      <c r="AC307" s="92"/>
      <c r="AD307" s="92"/>
      <c r="AE307" s="92"/>
      <c r="AF307" s="92" t="s">
        <v>195</v>
      </c>
      <c r="AG307" s="92"/>
    </row>
    <row r="308" ht="24.95" customHeight="1" spans="1:33">
      <c r="A308" s="705" t="s">
        <v>48</v>
      </c>
      <c r="B308" s="92" t="s">
        <v>148</v>
      </c>
      <c r="C308" s="92"/>
      <c r="D308" s="76"/>
      <c r="E308" s="92"/>
      <c r="F308" s="92"/>
      <c r="G308" s="92"/>
      <c r="H308" s="92"/>
      <c r="I308" s="92"/>
      <c r="J308" s="92"/>
      <c r="K308" s="92"/>
      <c r="L308" s="92"/>
      <c r="M308" s="92"/>
      <c r="N308" s="724"/>
      <c r="O308" s="724"/>
      <c r="P308" s="724"/>
      <c r="Q308" s="724"/>
      <c r="R308" s="92"/>
      <c r="S308" s="92"/>
      <c r="T308" s="92"/>
      <c r="U308" s="92"/>
      <c r="V308" s="92"/>
      <c r="W308" s="92"/>
      <c r="X308" s="92"/>
      <c r="Y308" s="92"/>
      <c r="Z308" s="92"/>
      <c r="AA308" s="92"/>
      <c r="AB308" s="92"/>
      <c r="AC308" s="92"/>
      <c r="AD308" s="92"/>
      <c r="AE308" s="92"/>
      <c r="AF308" s="92"/>
      <c r="AG308" s="92"/>
    </row>
    <row r="309" ht="24.95" customHeight="1" spans="1:33">
      <c r="A309" s="705">
        <v>44</v>
      </c>
      <c r="B309" s="92" t="s">
        <v>283</v>
      </c>
      <c r="C309" s="92"/>
      <c r="D309" s="76"/>
      <c r="E309" s="92"/>
      <c r="F309" s="92"/>
      <c r="G309" s="92"/>
      <c r="H309" s="92"/>
      <c r="I309" s="92"/>
      <c r="J309" s="92"/>
      <c r="K309" s="92"/>
      <c r="L309" s="92"/>
      <c r="M309" s="92"/>
      <c r="N309" s="724"/>
      <c r="O309" s="724"/>
      <c r="P309" s="724"/>
      <c r="Q309" s="724"/>
      <c r="R309" s="724"/>
      <c r="S309" s="724"/>
      <c r="T309" s="724"/>
      <c r="U309" s="724"/>
      <c r="V309" s="724"/>
      <c r="W309" s="724"/>
      <c r="X309" s="724"/>
      <c r="Y309" s="724"/>
      <c r="Z309" s="724"/>
      <c r="AA309" s="92"/>
      <c r="AB309" s="92"/>
      <c r="AC309" s="92"/>
      <c r="AD309" s="92"/>
      <c r="AE309" s="92"/>
      <c r="AF309" s="92" t="s">
        <v>195</v>
      </c>
      <c r="AG309" s="92"/>
    </row>
    <row r="310" ht="24.95" customHeight="1" spans="1:33">
      <c r="A310" s="705" t="s">
        <v>48</v>
      </c>
      <c r="B310" s="92" t="s">
        <v>148</v>
      </c>
      <c r="C310" s="73"/>
      <c r="D310" s="71"/>
      <c r="E310" s="73"/>
      <c r="F310" s="73"/>
      <c r="G310" s="73"/>
      <c r="H310" s="73"/>
      <c r="I310" s="73"/>
      <c r="J310" s="73"/>
      <c r="K310" s="73"/>
      <c r="L310" s="73"/>
      <c r="M310" s="73"/>
      <c r="N310" s="724"/>
      <c r="O310" s="724"/>
      <c r="P310" s="724"/>
      <c r="Q310" s="724"/>
      <c r="R310" s="73"/>
      <c r="S310" s="73"/>
      <c r="T310" s="73"/>
      <c r="U310" s="73"/>
      <c r="V310" s="73"/>
      <c r="W310" s="73"/>
      <c r="X310" s="73"/>
      <c r="Y310" s="73"/>
      <c r="Z310" s="73"/>
      <c r="AA310" s="92"/>
      <c r="AB310" s="73"/>
      <c r="AC310" s="73"/>
      <c r="AD310" s="92"/>
      <c r="AE310" s="92"/>
      <c r="AF310" s="92"/>
      <c r="AG310" s="92"/>
    </row>
    <row r="311" ht="53.25" customHeight="1" spans="1:33">
      <c r="A311" s="705">
        <v>45</v>
      </c>
      <c r="B311" s="92" t="s">
        <v>284</v>
      </c>
      <c r="C311" s="92"/>
      <c r="D311" s="76"/>
      <c r="E311" s="92"/>
      <c r="F311" s="92"/>
      <c r="G311" s="92"/>
      <c r="H311" s="92"/>
      <c r="I311" s="92"/>
      <c r="J311" s="92"/>
      <c r="K311" s="92"/>
      <c r="L311" s="92"/>
      <c r="M311" s="92"/>
      <c r="N311" s="724"/>
      <c r="O311" s="724"/>
      <c r="P311" s="724"/>
      <c r="Q311" s="724"/>
      <c r="R311" s="724"/>
      <c r="S311" s="724"/>
      <c r="T311" s="724"/>
      <c r="U311" s="724"/>
      <c r="V311" s="724"/>
      <c r="W311" s="724"/>
      <c r="X311" s="724"/>
      <c r="Y311" s="724"/>
      <c r="Z311" s="724"/>
      <c r="AA311" s="92"/>
      <c r="AB311" s="92"/>
      <c r="AC311" s="92"/>
      <c r="AD311" s="92"/>
      <c r="AE311" s="92"/>
      <c r="AF311" s="92" t="s">
        <v>195</v>
      </c>
      <c r="AG311" s="92"/>
    </row>
    <row r="312" ht="37.5" customHeight="1" spans="1:33">
      <c r="A312" s="705" t="s">
        <v>48</v>
      </c>
      <c r="B312" s="92" t="s">
        <v>148</v>
      </c>
      <c r="C312" s="73"/>
      <c r="D312" s="71"/>
      <c r="E312" s="73"/>
      <c r="F312" s="73"/>
      <c r="G312" s="73"/>
      <c r="H312" s="73"/>
      <c r="I312" s="73"/>
      <c r="J312" s="73"/>
      <c r="K312" s="73"/>
      <c r="L312" s="73"/>
      <c r="M312" s="73"/>
      <c r="N312" s="724"/>
      <c r="O312" s="724"/>
      <c r="P312" s="724"/>
      <c r="Q312" s="724"/>
      <c r="R312" s="73"/>
      <c r="S312" s="73"/>
      <c r="T312" s="73"/>
      <c r="U312" s="73"/>
      <c r="V312" s="73"/>
      <c r="W312" s="73"/>
      <c r="X312" s="73"/>
      <c r="Y312" s="73"/>
      <c r="Z312" s="73"/>
      <c r="AA312" s="92"/>
      <c r="AB312" s="73"/>
      <c r="AC312" s="73"/>
      <c r="AD312" s="92"/>
      <c r="AE312" s="92"/>
      <c r="AF312" s="92"/>
      <c r="AG312" s="92"/>
    </row>
    <row r="313" ht="24.95" customHeight="1" spans="1:33">
      <c r="A313" s="705"/>
      <c r="B313" s="750" t="s">
        <v>285</v>
      </c>
      <c r="C313" s="146" t="s">
        <v>52</v>
      </c>
      <c r="D313" s="152" t="s">
        <v>147</v>
      </c>
      <c r="E313" s="708">
        <f>SUM(E314:E325)</f>
        <v>12</v>
      </c>
      <c r="F313" s="708">
        <f t="shared" ref="F313:AA313" si="59">SUM(F314:F325)</f>
        <v>0</v>
      </c>
      <c r="G313" s="708">
        <f t="shared" si="59"/>
        <v>0</v>
      </c>
      <c r="H313" s="708">
        <f t="shared" si="59"/>
        <v>3000</v>
      </c>
      <c r="I313" s="708">
        <f t="shared" si="59"/>
        <v>0</v>
      </c>
      <c r="J313" s="708">
        <f t="shared" si="59"/>
        <v>3000</v>
      </c>
      <c r="K313" s="708">
        <f t="shared" si="59"/>
        <v>0</v>
      </c>
      <c r="L313" s="708"/>
      <c r="M313" s="708"/>
      <c r="N313" s="726">
        <f t="shared" si="59"/>
        <v>600</v>
      </c>
      <c r="O313" s="726">
        <f t="shared" si="59"/>
        <v>0</v>
      </c>
      <c r="P313" s="726">
        <f t="shared" si="59"/>
        <v>600</v>
      </c>
      <c r="Q313" s="726">
        <f t="shared" si="59"/>
        <v>0</v>
      </c>
      <c r="R313" s="726">
        <f t="shared" si="59"/>
        <v>0</v>
      </c>
      <c r="S313" s="726">
        <f t="shared" si="59"/>
        <v>0</v>
      </c>
      <c r="T313" s="726">
        <f t="shared" si="59"/>
        <v>0</v>
      </c>
      <c r="U313" s="726">
        <f t="shared" si="59"/>
        <v>600</v>
      </c>
      <c r="V313" s="726">
        <f t="shared" si="59"/>
        <v>0</v>
      </c>
      <c r="W313" s="708">
        <f t="shared" si="59"/>
        <v>0</v>
      </c>
      <c r="X313" s="708">
        <f t="shared" si="59"/>
        <v>0</v>
      </c>
      <c r="Y313" s="708">
        <f t="shared" si="59"/>
        <v>3000</v>
      </c>
      <c r="Z313" s="708">
        <f t="shared" si="59"/>
        <v>12900</v>
      </c>
      <c r="AA313" s="708">
        <f t="shared" si="59"/>
        <v>12</v>
      </c>
      <c r="AB313" s="708"/>
      <c r="AC313" s="708"/>
      <c r="AD313" s="193" t="s">
        <v>242</v>
      </c>
      <c r="AE313" s="193" t="s">
        <v>243</v>
      </c>
      <c r="AF313" s="146" t="s">
        <v>195</v>
      </c>
      <c r="AG313" s="708"/>
    </row>
    <row r="314" ht="24.95" customHeight="1" spans="1:33">
      <c r="A314" s="705"/>
      <c r="B314" s="714" t="s">
        <v>101</v>
      </c>
      <c r="C314" s="146" t="s">
        <v>52</v>
      </c>
      <c r="D314" s="152" t="s">
        <v>147</v>
      </c>
      <c r="E314" s="708">
        <v>1</v>
      </c>
      <c r="F314" s="714" t="s">
        <v>101</v>
      </c>
      <c r="G314" s="708"/>
      <c r="H314" s="708">
        <v>177</v>
      </c>
      <c r="I314" s="708"/>
      <c r="J314" s="708">
        <v>177</v>
      </c>
      <c r="K314" s="708"/>
      <c r="L314" s="92">
        <v>2019.01</v>
      </c>
      <c r="M314" s="92">
        <v>2019.12</v>
      </c>
      <c r="N314" s="726">
        <v>35.4</v>
      </c>
      <c r="O314" s="726"/>
      <c r="P314" s="726">
        <v>35.4</v>
      </c>
      <c r="Q314" s="726"/>
      <c r="R314" s="726"/>
      <c r="S314" s="708"/>
      <c r="T314" s="708"/>
      <c r="U314" s="726">
        <v>35.4</v>
      </c>
      <c r="V314" s="708"/>
      <c r="W314" s="708"/>
      <c r="X314" s="708"/>
      <c r="Y314" s="763">
        <v>177</v>
      </c>
      <c r="Z314" s="763">
        <v>761.1</v>
      </c>
      <c r="AA314" s="708">
        <v>1</v>
      </c>
      <c r="AB314" s="708"/>
      <c r="AC314" s="708"/>
      <c r="AD314" s="438" t="s">
        <v>244</v>
      </c>
      <c r="AE314" s="146" t="s">
        <v>245</v>
      </c>
      <c r="AF314" s="146" t="s">
        <v>195</v>
      </c>
      <c r="AG314" s="708"/>
    </row>
    <row r="315" ht="24.95" customHeight="1" spans="1:33">
      <c r="A315" s="705"/>
      <c r="B315" s="714" t="s">
        <v>151</v>
      </c>
      <c r="C315" s="146" t="s">
        <v>52</v>
      </c>
      <c r="D315" s="152" t="s">
        <v>147</v>
      </c>
      <c r="E315" s="708">
        <v>1</v>
      </c>
      <c r="F315" s="714" t="s">
        <v>151</v>
      </c>
      <c r="G315" s="708"/>
      <c r="H315" s="708">
        <v>105</v>
      </c>
      <c r="I315" s="708"/>
      <c r="J315" s="708">
        <v>105</v>
      </c>
      <c r="K315" s="708"/>
      <c r="L315" s="92">
        <v>2019.01</v>
      </c>
      <c r="M315" s="92">
        <v>2019.12</v>
      </c>
      <c r="N315" s="726">
        <v>21</v>
      </c>
      <c r="O315" s="726"/>
      <c r="P315" s="726">
        <v>21</v>
      </c>
      <c r="Q315" s="726"/>
      <c r="R315" s="726"/>
      <c r="S315" s="708"/>
      <c r="T315" s="708"/>
      <c r="U315" s="726">
        <v>21</v>
      </c>
      <c r="V315" s="708"/>
      <c r="W315" s="708"/>
      <c r="X315" s="708"/>
      <c r="Y315" s="763">
        <v>105</v>
      </c>
      <c r="Z315" s="763">
        <v>451.5</v>
      </c>
      <c r="AA315" s="708">
        <v>1</v>
      </c>
      <c r="AB315" s="708"/>
      <c r="AC315" s="708"/>
      <c r="AD315" s="438" t="s">
        <v>169</v>
      </c>
      <c r="AE315" s="146" t="s">
        <v>246</v>
      </c>
      <c r="AF315" s="146" t="s">
        <v>195</v>
      </c>
      <c r="AG315" s="708"/>
    </row>
    <row r="316" ht="24.95" customHeight="1" spans="1:33">
      <c r="A316" s="705"/>
      <c r="B316" s="714" t="s">
        <v>154</v>
      </c>
      <c r="C316" s="146" t="s">
        <v>52</v>
      </c>
      <c r="D316" s="152" t="s">
        <v>147</v>
      </c>
      <c r="E316" s="708">
        <v>1</v>
      </c>
      <c r="F316" s="714" t="s">
        <v>154</v>
      </c>
      <c r="G316" s="708"/>
      <c r="H316" s="708">
        <v>258</v>
      </c>
      <c r="I316" s="708"/>
      <c r="J316" s="708">
        <v>258</v>
      </c>
      <c r="K316" s="708"/>
      <c r="L316" s="92">
        <v>2019.01</v>
      </c>
      <c r="M316" s="92">
        <v>2019.12</v>
      </c>
      <c r="N316" s="726">
        <v>51.6</v>
      </c>
      <c r="O316" s="726"/>
      <c r="P316" s="726">
        <v>51.6</v>
      </c>
      <c r="Q316" s="726"/>
      <c r="R316" s="726"/>
      <c r="S316" s="708"/>
      <c r="T316" s="708"/>
      <c r="U316" s="726">
        <v>51.6</v>
      </c>
      <c r="V316" s="708"/>
      <c r="W316" s="708"/>
      <c r="X316" s="708"/>
      <c r="Y316" s="763">
        <v>258</v>
      </c>
      <c r="Z316" s="763">
        <v>1109.4</v>
      </c>
      <c r="AA316" s="708">
        <v>1</v>
      </c>
      <c r="AB316" s="708"/>
      <c r="AC316" s="708"/>
      <c r="AD316" s="438" t="s">
        <v>247</v>
      </c>
      <c r="AE316" s="146" t="s">
        <v>248</v>
      </c>
      <c r="AF316" s="146" t="s">
        <v>195</v>
      </c>
      <c r="AG316" s="708"/>
    </row>
    <row r="317" ht="24.95" customHeight="1" spans="1:33">
      <c r="A317" s="705"/>
      <c r="B317" s="714" t="s">
        <v>81</v>
      </c>
      <c r="C317" s="146" t="s">
        <v>52</v>
      </c>
      <c r="D317" s="152" t="s">
        <v>147</v>
      </c>
      <c r="E317" s="708">
        <v>1</v>
      </c>
      <c r="F317" s="714" t="s">
        <v>81</v>
      </c>
      <c r="G317" s="708"/>
      <c r="H317" s="708">
        <v>255</v>
      </c>
      <c r="I317" s="708"/>
      <c r="J317" s="708">
        <v>255</v>
      </c>
      <c r="K317" s="708"/>
      <c r="L317" s="92">
        <v>2019.01</v>
      </c>
      <c r="M317" s="92">
        <v>2019.12</v>
      </c>
      <c r="N317" s="726">
        <v>51</v>
      </c>
      <c r="O317" s="726"/>
      <c r="P317" s="726">
        <v>51</v>
      </c>
      <c r="Q317" s="726"/>
      <c r="R317" s="726"/>
      <c r="S317" s="708"/>
      <c r="T317" s="708"/>
      <c r="U317" s="726">
        <v>51</v>
      </c>
      <c r="V317" s="708"/>
      <c r="W317" s="708"/>
      <c r="X317" s="708"/>
      <c r="Y317" s="763">
        <v>255</v>
      </c>
      <c r="Z317" s="763">
        <v>1096.5</v>
      </c>
      <c r="AA317" s="708">
        <v>1</v>
      </c>
      <c r="AB317" s="708"/>
      <c r="AC317" s="708"/>
      <c r="AD317" s="438" t="s">
        <v>249</v>
      </c>
      <c r="AE317" s="146" t="s">
        <v>250</v>
      </c>
      <c r="AF317" s="146" t="s">
        <v>195</v>
      </c>
      <c r="AG317" s="708"/>
    </row>
    <row r="318" ht="24.95" customHeight="1" spans="1:33">
      <c r="A318" s="705"/>
      <c r="B318" s="714" t="s">
        <v>98</v>
      </c>
      <c r="C318" s="146" t="s">
        <v>52</v>
      </c>
      <c r="D318" s="152" t="s">
        <v>147</v>
      </c>
      <c r="E318" s="708">
        <v>1</v>
      </c>
      <c r="F318" s="714" t="s">
        <v>98</v>
      </c>
      <c r="G318" s="708"/>
      <c r="H318" s="763">
        <v>384</v>
      </c>
      <c r="I318" s="708"/>
      <c r="J318" s="763">
        <v>384</v>
      </c>
      <c r="K318" s="708"/>
      <c r="L318" s="92">
        <v>2019.01</v>
      </c>
      <c r="M318" s="92">
        <v>2019.12</v>
      </c>
      <c r="N318" s="726">
        <v>76.8</v>
      </c>
      <c r="O318" s="726"/>
      <c r="P318" s="726">
        <v>76.8</v>
      </c>
      <c r="Q318" s="726"/>
      <c r="R318" s="726"/>
      <c r="S318" s="708"/>
      <c r="T318" s="708"/>
      <c r="U318" s="726">
        <v>76.8</v>
      </c>
      <c r="V318" s="708"/>
      <c r="W318" s="708"/>
      <c r="X318" s="708"/>
      <c r="Y318" s="763">
        <v>384</v>
      </c>
      <c r="Z318" s="763">
        <v>1651.2</v>
      </c>
      <c r="AA318" s="708">
        <v>1</v>
      </c>
      <c r="AB318" s="708"/>
      <c r="AC318" s="708"/>
      <c r="AD318" s="438" t="s">
        <v>209</v>
      </c>
      <c r="AE318" s="146" t="s">
        <v>251</v>
      </c>
      <c r="AF318" s="146" t="s">
        <v>195</v>
      </c>
      <c r="AG318" s="708"/>
    </row>
    <row r="319" ht="24.95" customHeight="1" spans="1:33">
      <c r="A319" s="705"/>
      <c r="B319" s="714" t="s">
        <v>211</v>
      </c>
      <c r="C319" s="146" t="s">
        <v>52</v>
      </c>
      <c r="D319" s="152" t="s">
        <v>147</v>
      </c>
      <c r="E319" s="708">
        <v>1</v>
      </c>
      <c r="F319" s="714" t="s">
        <v>211</v>
      </c>
      <c r="G319" s="708"/>
      <c r="H319" s="708">
        <v>291</v>
      </c>
      <c r="I319" s="708"/>
      <c r="J319" s="708">
        <v>291</v>
      </c>
      <c r="K319" s="708"/>
      <c r="L319" s="92">
        <v>2019.01</v>
      </c>
      <c r="M319" s="92">
        <v>2019.12</v>
      </c>
      <c r="N319" s="726">
        <v>58.2</v>
      </c>
      <c r="O319" s="726"/>
      <c r="P319" s="726">
        <v>58.2</v>
      </c>
      <c r="Q319" s="726"/>
      <c r="R319" s="726"/>
      <c r="S319" s="708"/>
      <c r="T319" s="708"/>
      <c r="U319" s="726">
        <v>58.2</v>
      </c>
      <c r="V319" s="708"/>
      <c r="W319" s="708"/>
      <c r="X319" s="708"/>
      <c r="Y319" s="763">
        <v>291</v>
      </c>
      <c r="Z319" s="763">
        <v>1251.3</v>
      </c>
      <c r="AA319" s="708">
        <v>1</v>
      </c>
      <c r="AB319" s="708"/>
      <c r="AC319" s="708"/>
      <c r="AD319" s="438" t="s">
        <v>76</v>
      </c>
      <c r="AE319" s="146" t="s">
        <v>252</v>
      </c>
      <c r="AF319" s="146" t="s">
        <v>195</v>
      </c>
      <c r="AG319" s="708"/>
    </row>
    <row r="320" ht="24.95" customHeight="1" spans="1:33">
      <c r="A320" s="705"/>
      <c r="B320" s="714" t="s">
        <v>155</v>
      </c>
      <c r="C320" s="146" t="s">
        <v>52</v>
      </c>
      <c r="D320" s="152" t="s">
        <v>147</v>
      </c>
      <c r="E320" s="708">
        <v>1</v>
      </c>
      <c r="F320" s="714" t="s">
        <v>155</v>
      </c>
      <c r="G320" s="708"/>
      <c r="H320" s="708">
        <v>201</v>
      </c>
      <c r="I320" s="708"/>
      <c r="J320" s="708">
        <v>201</v>
      </c>
      <c r="K320" s="708"/>
      <c r="L320" s="92">
        <v>2019.01</v>
      </c>
      <c r="M320" s="92">
        <v>2019.12</v>
      </c>
      <c r="N320" s="726">
        <v>40.2</v>
      </c>
      <c r="O320" s="726"/>
      <c r="P320" s="726">
        <v>40.2</v>
      </c>
      <c r="Q320" s="726"/>
      <c r="R320" s="726"/>
      <c r="S320" s="708"/>
      <c r="T320" s="708"/>
      <c r="U320" s="726">
        <v>40.2</v>
      </c>
      <c r="V320" s="708"/>
      <c r="W320" s="708"/>
      <c r="X320" s="708"/>
      <c r="Y320" s="763">
        <v>201</v>
      </c>
      <c r="Z320" s="763">
        <v>864.3</v>
      </c>
      <c r="AA320" s="708">
        <v>1</v>
      </c>
      <c r="AB320" s="708"/>
      <c r="AC320" s="708"/>
      <c r="AD320" s="438" t="s">
        <v>253</v>
      </c>
      <c r="AE320" s="146" t="s">
        <v>254</v>
      </c>
      <c r="AF320" s="146" t="s">
        <v>195</v>
      </c>
      <c r="AG320" s="708"/>
    </row>
    <row r="321" ht="24.95" customHeight="1" spans="1:33">
      <c r="A321" s="705"/>
      <c r="B321" s="714" t="s">
        <v>102</v>
      </c>
      <c r="C321" s="146" t="s">
        <v>52</v>
      </c>
      <c r="D321" s="152" t="s">
        <v>147</v>
      </c>
      <c r="E321" s="708">
        <v>1</v>
      </c>
      <c r="F321" s="714" t="s">
        <v>102</v>
      </c>
      <c r="G321" s="708"/>
      <c r="H321" s="708">
        <v>492</v>
      </c>
      <c r="I321" s="708"/>
      <c r="J321" s="708">
        <v>492</v>
      </c>
      <c r="K321" s="708"/>
      <c r="L321" s="92">
        <v>2019.01</v>
      </c>
      <c r="M321" s="92">
        <v>2019.12</v>
      </c>
      <c r="N321" s="726">
        <v>98.4</v>
      </c>
      <c r="O321" s="726"/>
      <c r="P321" s="726">
        <v>98.4</v>
      </c>
      <c r="Q321" s="726"/>
      <c r="R321" s="726"/>
      <c r="S321" s="708"/>
      <c r="T321" s="708"/>
      <c r="U321" s="726">
        <v>98.4</v>
      </c>
      <c r="V321" s="708"/>
      <c r="W321" s="708"/>
      <c r="X321" s="708"/>
      <c r="Y321" s="763">
        <v>492</v>
      </c>
      <c r="Z321" s="763">
        <v>2115.6</v>
      </c>
      <c r="AA321" s="708">
        <v>1</v>
      </c>
      <c r="AB321" s="708"/>
      <c r="AC321" s="708"/>
      <c r="AD321" s="146" t="s">
        <v>255</v>
      </c>
      <c r="AE321" s="146" t="s">
        <v>256</v>
      </c>
      <c r="AF321" s="146" t="s">
        <v>195</v>
      </c>
      <c r="AG321" s="708"/>
    </row>
    <row r="322" ht="24.95" customHeight="1" spans="1:33">
      <c r="A322" s="705"/>
      <c r="B322" s="714" t="s">
        <v>100</v>
      </c>
      <c r="C322" s="146" t="s">
        <v>52</v>
      </c>
      <c r="D322" s="152" t="s">
        <v>147</v>
      </c>
      <c r="E322" s="708">
        <v>1</v>
      </c>
      <c r="F322" s="714" t="s">
        <v>100</v>
      </c>
      <c r="G322" s="708"/>
      <c r="H322" s="708">
        <v>240</v>
      </c>
      <c r="I322" s="708"/>
      <c r="J322" s="708">
        <v>240</v>
      </c>
      <c r="K322" s="708"/>
      <c r="L322" s="92">
        <v>2019.01</v>
      </c>
      <c r="M322" s="92">
        <v>2019.12</v>
      </c>
      <c r="N322" s="726">
        <v>48</v>
      </c>
      <c r="O322" s="726"/>
      <c r="P322" s="726">
        <v>48</v>
      </c>
      <c r="Q322" s="726"/>
      <c r="R322" s="726"/>
      <c r="S322" s="708"/>
      <c r="T322" s="708"/>
      <c r="U322" s="726">
        <v>48</v>
      </c>
      <c r="V322" s="708"/>
      <c r="W322" s="708"/>
      <c r="X322" s="708"/>
      <c r="Y322" s="763">
        <v>240</v>
      </c>
      <c r="Z322" s="763">
        <v>1032</v>
      </c>
      <c r="AA322" s="708">
        <v>1</v>
      </c>
      <c r="AB322" s="708"/>
      <c r="AC322" s="708"/>
      <c r="AD322" s="438" t="s">
        <v>79</v>
      </c>
      <c r="AE322" s="146" t="s">
        <v>257</v>
      </c>
      <c r="AF322" s="146" t="s">
        <v>195</v>
      </c>
      <c r="AG322" s="708"/>
    </row>
    <row r="323" ht="24.95" customHeight="1" spans="1:33">
      <c r="A323" s="705"/>
      <c r="B323" s="714" t="s">
        <v>84</v>
      </c>
      <c r="C323" s="146" t="s">
        <v>52</v>
      </c>
      <c r="D323" s="152" t="s">
        <v>147</v>
      </c>
      <c r="E323" s="708">
        <v>1</v>
      </c>
      <c r="F323" s="714" t="s">
        <v>84</v>
      </c>
      <c r="G323" s="708"/>
      <c r="H323" s="708">
        <v>330</v>
      </c>
      <c r="I323" s="708"/>
      <c r="J323" s="708">
        <v>330</v>
      </c>
      <c r="K323" s="708"/>
      <c r="L323" s="92">
        <v>2019.01</v>
      </c>
      <c r="M323" s="92">
        <v>2019.12</v>
      </c>
      <c r="N323" s="726">
        <v>66</v>
      </c>
      <c r="O323" s="726"/>
      <c r="P323" s="726">
        <v>66</v>
      </c>
      <c r="Q323" s="726"/>
      <c r="R323" s="726"/>
      <c r="S323" s="708"/>
      <c r="T323" s="708"/>
      <c r="U323" s="726">
        <v>66</v>
      </c>
      <c r="V323" s="708"/>
      <c r="W323" s="708"/>
      <c r="X323" s="708"/>
      <c r="Y323" s="763">
        <v>330</v>
      </c>
      <c r="Z323" s="763">
        <v>1419</v>
      </c>
      <c r="AA323" s="708">
        <v>1</v>
      </c>
      <c r="AB323" s="708"/>
      <c r="AC323" s="708"/>
      <c r="AD323" s="438" t="s">
        <v>185</v>
      </c>
      <c r="AE323" s="146" t="s">
        <v>258</v>
      </c>
      <c r="AF323" s="146" t="s">
        <v>195</v>
      </c>
      <c r="AG323" s="708"/>
    </row>
    <row r="324" ht="24.95" customHeight="1" spans="1:33">
      <c r="A324" s="705"/>
      <c r="B324" s="714" t="s">
        <v>259</v>
      </c>
      <c r="C324" s="146" t="s">
        <v>52</v>
      </c>
      <c r="D324" s="152" t="s">
        <v>147</v>
      </c>
      <c r="E324" s="708">
        <v>1</v>
      </c>
      <c r="F324" s="714" t="s">
        <v>259</v>
      </c>
      <c r="G324" s="708"/>
      <c r="H324" s="708">
        <v>69</v>
      </c>
      <c r="I324" s="708"/>
      <c r="J324" s="708">
        <v>69</v>
      </c>
      <c r="K324" s="708"/>
      <c r="L324" s="92">
        <v>2019.01</v>
      </c>
      <c r="M324" s="92">
        <v>2019.12</v>
      </c>
      <c r="N324" s="726">
        <v>13.8</v>
      </c>
      <c r="O324" s="726"/>
      <c r="P324" s="726">
        <v>13.8</v>
      </c>
      <c r="Q324" s="726"/>
      <c r="R324" s="726"/>
      <c r="S324" s="708"/>
      <c r="T324" s="708"/>
      <c r="U324" s="726">
        <v>13.8</v>
      </c>
      <c r="V324" s="708"/>
      <c r="W324" s="708"/>
      <c r="X324" s="708"/>
      <c r="Y324" s="763">
        <v>69</v>
      </c>
      <c r="Z324" s="763">
        <v>296.7</v>
      </c>
      <c r="AA324" s="708">
        <v>1</v>
      </c>
      <c r="AB324" s="708"/>
      <c r="AC324" s="708"/>
      <c r="AD324" s="438" t="s">
        <v>260</v>
      </c>
      <c r="AE324" s="146" t="s">
        <v>261</v>
      </c>
      <c r="AF324" s="146" t="s">
        <v>195</v>
      </c>
      <c r="AG324" s="708"/>
    </row>
    <row r="325" ht="24.95" customHeight="1" spans="1:33">
      <c r="A325" s="705"/>
      <c r="B325" s="714" t="s">
        <v>143</v>
      </c>
      <c r="C325" s="146" t="s">
        <v>52</v>
      </c>
      <c r="D325" s="152" t="s">
        <v>147</v>
      </c>
      <c r="E325" s="708">
        <v>1</v>
      </c>
      <c r="F325" s="714" t="s">
        <v>143</v>
      </c>
      <c r="G325" s="708"/>
      <c r="H325" s="708">
        <v>198</v>
      </c>
      <c r="I325" s="708"/>
      <c r="J325" s="708">
        <v>198</v>
      </c>
      <c r="K325" s="708"/>
      <c r="L325" s="92">
        <v>2019.01</v>
      </c>
      <c r="M325" s="92">
        <v>2019.12</v>
      </c>
      <c r="N325" s="726">
        <v>39.6</v>
      </c>
      <c r="O325" s="726"/>
      <c r="P325" s="726">
        <v>39.6</v>
      </c>
      <c r="Q325" s="726"/>
      <c r="R325" s="726"/>
      <c r="S325" s="708"/>
      <c r="T325" s="708"/>
      <c r="U325" s="726">
        <v>39.6</v>
      </c>
      <c r="V325" s="708"/>
      <c r="W325" s="708"/>
      <c r="X325" s="708"/>
      <c r="Y325" s="763">
        <v>198</v>
      </c>
      <c r="Z325" s="763">
        <v>851.4</v>
      </c>
      <c r="AA325" s="708">
        <v>1</v>
      </c>
      <c r="AB325" s="708"/>
      <c r="AC325" s="708"/>
      <c r="AD325" s="777" t="s">
        <v>262</v>
      </c>
      <c r="AE325" s="777" t="s">
        <v>263</v>
      </c>
      <c r="AF325" s="146" t="s">
        <v>195</v>
      </c>
      <c r="AG325" s="708"/>
    </row>
    <row r="326" ht="24.95" customHeight="1" spans="1:33">
      <c r="A326" s="705"/>
      <c r="B326" s="750" t="s">
        <v>286</v>
      </c>
      <c r="C326" s="146" t="s">
        <v>52</v>
      </c>
      <c r="D326" s="152" t="s">
        <v>147</v>
      </c>
      <c r="E326" s="708">
        <f>SUM(E327:E338)</f>
        <v>12</v>
      </c>
      <c r="F326" s="708">
        <f t="shared" ref="F326:AA326" si="60">SUM(F327:F338)</f>
        <v>0</v>
      </c>
      <c r="G326" s="708">
        <f t="shared" si="60"/>
        <v>0</v>
      </c>
      <c r="H326" s="708">
        <f t="shared" si="60"/>
        <v>765</v>
      </c>
      <c r="I326" s="708">
        <f t="shared" si="60"/>
        <v>0</v>
      </c>
      <c r="J326" s="708">
        <f t="shared" si="60"/>
        <v>765</v>
      </c>
      <c r="K326" s="708">
        <f t="shared" si="60"/>
        <v>0</v>
      </c>
      <c r="L326" s="708"/>
      <c r="M326" s="708"/>
      <c r="N326" s="708">
        <f t="shared" si="60"/>
        <v>534.6</v>
      </c>
      <c r="O326" s="708">
        <f t="shared" si="60"/>
        <v>0</v>
      </c>
      <c r="P326" s="708">
        <f t="shared" si="60"/>
        <v>534.6</v>
      </c>
      <c r="Q326" s="708">
        <f t="shared" si="60"/>
        <v>0</v>
      </c>
      <c r="R326" s="708">
        <f t="shared" si="60"/>
        <v>534.6</v>
      </c>
      <c r="S326" s="708">
        <f t="shared" si="60"/>
        <v>0</v>
      </c>
      <c r="T326" s="708">
        <f t="shared" si="60"/>
        <v>0</v>
      </c>
      <c r="U326" s="708">
        <f t="shared" si="60"/>
        <v>0</v>
      </c>
      <c r="V326" s="708">
        <f t="shared" si="60"/>
        <v>0</v>
      </c>
      <c r="W326" s="708">
        <f t="shared" si="60"/>
        <v>0</v>
      </c>
      <c r="X326" s="708">
        <f t="shared" si="60"/>
        <v>0</v>
      </c>
      <c r="Y326" s="708">
        <f t="shared" si="60"/>
        <v>330</v>
      </c>
      <c r="Z326" s="708">
        <f t="shared" si="60"/>
        <v>1017</v>
      </c>
      <c r="AA326" s="708">
        <f t="shared" si="60"/>
        <v>12</v>
      </c>
      <c r="AB326" s="708"/>
      <c r="AC326" s="708"/>
      <c r="AD326" s="193" t="s">
        <v>242</v>
      </c>
      <c r="AE326" s="193" t="s">
        <v>243</v>
      </c>
      <c r="AF326" s="146" t="s">
        <v>195</v>
      </c>
      <c r="AG326" s="708"/>
    </row>
    <row r="327" ht="24.95" customHeight="1" spans="1:33">
      <c r="A327" s="705"/>
      <c r="B327" s="714" t="s">
        <v>101</v>
      </c>
      <c r="C327" s="146" t="s">
        <v>52</v>
      </c>
      <c r="D327" s="152" t="s">
        <v>147</v>
      </c>
      <c r="E327" s="708">
        <v>1</v>
      </c>
      <c r="F327" s="714" t="s">
        <v>101</v>
      </c>
      <c r="G327" s="708"/>
      <c r="H327" s="708">
        <v>150</v>
      </c>
      <c r="I327" s="708"/>
      <c r="J327" s="708">
        <v>150</v>
      </c>
      <c r="K327" s="708"/>
      <c r="L327" s="92">
        <v>2019.01</v>
      </c>
      <c r="M327" s="92">
        <v>2019.12</v>
      </c>
      <c r="N327" s="726">
        <v>81</v>
      </c>
      <c r="O327" s="726"/>
      <c r="P327" s="726">
        <v>81</v>
      </c>
      <c r="Q327" s="726"/>
      <c r="R327" s="726">
        <v>81</v>
      </c>
      <c r="S327" s="708"/>
      <c r="T327" s="708"/>
      <c r="U327" s="708"/>
      <c r="V327" s="708"/>
      <c r="W327" s="708"/>
      <c r="X327" s="708"/>
      <c r="Y327" s="708">
        <v>50</v>
      </c>
      <c r="Z327" s="708">
        <v>215</v>
      </c>
      <c r="AA327" s="708">
        <v>1</v>
      </c>
      <c r="AB327" s="708"/>
      <c r="AC327" s="708"/>
      <c r="AD327" s="146" t="s">
        <v>244</v>
      </c>
      <c r="AE327" s="146" t="s">
        <v>245</v>
      </c>
      <c r="AF327" s="146" t="s">
        <v>195</v>
      </c>
      <c r="AG327" s="708"/>
    </row>
    <row r="328" ht="24.95" customHeight="1" spans="1:33">
      <c r="A328" s="705"/>
      <c r="B328" s="714" t="s">
        <v>151</v>
      </c>
      <c r="C328" s="146" t="s">
        <v>52</v>
      </c>
      <c r="D328" s="152" t="s">
        <v>147</v>
      </c>
      <c r="E328" s="708">
        <v>1</v>
      </c>
      <c r="F328" s="714" t="s">
        <v>151</v>
      </c>
      <c r="G328" s="708"/>
      <c r="H328" s="708">
        <v>165</v>
      </c>
      <c r="I328" s="708"/>
      <c r="J328" s="708">
        <v>165</v>
      </c>
      <c r="K328" s="708"/>
      <c r="L328" s="92">
        <v>2019.01</v>
      </c>
      <c r="M328" s="92">
        <v>2019.12</v>
      </c>
      <c r="N328" s="726">
        <v>89.1</v>
      </c>
      <c r="O328" s="726"/>
      <c r="P328" s="726">
        <v>89.1</v>
      </c>
      <c r="Q328" s="726"/>
      <c r="R328" s="726">
        <v>89.1</v>
      </c>
      <c r="S328" s="708"/>
      <c r="T328" s="708"/>
      <c r="U328" s="708"/>
      <c r="V328" s="708"/>
      <c r="W328" s="708"/>
      <c r="X328" s="708"/>
      <c r="Y328" s="708">
        <v>55</v>
      </c>
      <c r="Z328" s="708">
        <v>55</v>
      </c>
      <c r="AA328" s="708">
        <v>1</v>
      </c>
      <c r="AB328" s="708"/>
      <c r="AC328" s="708"/>
      <c r="AD328" s="146" t="s">
        <v>169</v>
      </c>
      <c r="AE328" s="146" t="s">
        <v>246</v>
      </c>
      <c r="AF328" s="146" t="s">
        <v>195</v>
      </c>
      <c r="AG328" s="708"/>
    </row>
    <row r="329" ht="24.95" customHeight="1" spans="1:33">
      <c r="A329" s="705"/>
      <c r="B329" s="714" t="s">
        <v>154</v>
      </c>
      <c r="C329" s="146" t="s">
        <v>52</v>
      </c>
      <c r="D329" s="152" t="s">
        <v>147</v>
      </c>
      <c r="E329" s="708">
        <v>1</v>
      </c>
      <c r="F329" s="714" t="s">
        <v>154</v>
      </c>
      <c r="G329" s="708"/>
      <c r="H329" s="708">
        <v>50</v>
      </c>
      <c r="I329" s="708"/>
      <c r="J329" s="708">
        <v>50</v>
      </c>
      <c r="K329" s="708"/>
      <c r="L329" s="92">
        <v>2019.01</v>
      </c>
      <c r="M329" s="92">
        <v>2019.12</v>
      </c>
      <c r="N329" s="726">
        <v>40.5</v>
      </c>
      <c r="O329" s="726"/>
      <c r="P329" s="726">
        <v>40.5</v>
      </c>
      <c r="Q329" s="726"/>
      <c r="R329" s="726">
        <v>40.5</v>
      </c>
      <c r="S329" s="708"/>
      <c r="T329" s="708"/>
      <c r="U329" s="708"/>
      <c r="V329" s="708"/>
      <c r="W329" s="708"/>
      <c r="X329" s="708"/>
      <c r="Y329" s="708">
        <v>25</v>
      </c>
      <c r="Z329" s="708">
        <v>80</v>
      </c>
      <c r="AA329" s="708">
        <v>1</v>
      </c>
      <c r="AB329" s="708"/>
      <c r="AC329" s="708"/>
      <c r="AD329" s="146" t="s">
        <v>247</v>
      </c>
      <c r="AE329" s="146" t="s">
        <v>248</v>
      </c>
      <c r="AF329" s="146" t="s">
        <v>195</v>
      </c>
      <c r="AG329" s="708"/>
    </row>
    <row r="330" ht="24.95" customHeight="1" spans="1:33">
      <c r="A330" s="705"/>
      <c r="B330" s="714" t="s">
        <v>81</v>
      </c>
      <c r="C330" s="146" t="s">
        <v>52</v>
      </c>
      <c r="D330" s="152" t="s">
        <v>147</v>
      </c>
      <c r="E330" s="708">
        <v>1</v>
      </c>
      <c r="F330" s="714" t="s">
        <v>81</v>
      </c>
      <c r="G330" s="708"/>
      <c r="H330" s="708">
        <v>50</v>
      </c>
      <c r="I330" s="708"/>
      <c r="J330" s="708">
        <v>50</v>
      </c>
      <c r="K330" s="708"/>
      <c r="L330" s="92">
        <v>2019.01</v>
      </c>
      <c r="M330" s="92">
        <v>2019.12</v>
      </c>
      <c r="N330" s="726">
        <v>40.5</v>
      </c>
      <c r="O330" s="726"/>
      <c r="P330" s="726">
        <v>40.5</v>
      </c>
      <c r="Q330" s="726"/>
      <c r="R330" s="726">
        <v>40.5</v>
      </c>
      <c r="S330" s="708"/>
      <c r="T330" s="708"/>
      <c r="U330" s="708"/>
      <c r="V330" s="708"/>
      <c r="W330" s="708"/>
      <c r="X330" s="708"/>
      <c r="Y330" s="708">
        <v>25</v>
      </c>
      <c r="Z330" s="708">
        <v>80</v>
      </c>
      <c r="AA330" s="708">
        <v>1</v>
      </c>
      <c r="AB330" s="708"/>
      <c r="AC330" s="708"/>
      <c r="AD330" s="146" t="s">
        <v>249</v>
      </c>
      <c r="AE330" s="146" t="s">
        <v>250</v>
      </c>
      <c r="AF330" s="146" t="s">
        <v>195</v>
      </c>
      <c r="AG330" s="708"/>
    </row>
    <row r="331" ht="24.95" customHeight="1" spans="1:33">
      <c r="A331" s="705"/>
      <c r="B331" s="714" t="s">
        <v>98</v>
      </c>
      <c r="C331" s="146" t="s">
        <v>52</v>
      </c>
      <c r="D331" s="152" t="s">
        <v>147</v>
      </c>
      <c r="E331" s="708">
        <v>1</v>
      </c>
      <c r="F331" s="714" t="s">
        <v>98</v>
      </c>
      <c r="G331" s="708"/>
      <c r="H331" s="708">
        <v>50</v>
      </c>
      <c r="I331" s="708"/>
      <c r="J331" s="708">
        <v>50</v>
      </c>
      <c r="K331" s="708"/>
      <c r="L331" s="92">
        <v>2019.01</v>
      </c>
      <c r="M331" s="92">
        <v>2019.12</v>
      </c>
      <c r="N331" s="726">
        <v>40.5</v>
      </c>
      <c r="O331" s="726"/>
      <c r="P331" s="726">
        <v>40.5</v>
      </c>
      <c r="Q331" s="726"/>
      <c r="R331" s="726">
        <v>40.5</v>
      </c>
      <c r="S331" s="708"/>
      <c r="T331" s="708"/>
      <c r="U331" s="708"/>
      <c r="V331" s="708"/>
      <c r="W331" s="708"/>
      <c r="X331" s="708"/>
      <c r="Y331" s="708">
        <v>25</v>
      </c>
      <c r="Z331" s="708">
        <v>75</v>
      </c>
      <c r="AA331" s="708">
        <v>1</v>
      </c>
      <c r="AB331" s="708"/>
      <c r="AC331" s="708"/>
      <c r="AD331" s="146" t="s">
        <v>209</v>
      </c>
      <c r="AE331" s="146" t="s">
        <v>251</v>
      </c>
      <c r="AF331" s="146" t="s">
        <v>195</v>
      </c>
      <c r="AG331" s="708"/>
    </row>
    <row r="332" ht="24.95" customHeight="1" spans="1:33">
      <c r="A332" s="705"/>
      <c r="B332" s="714" t="s">
        <v>211</v>
      </c>
      <c r="C332" s="146" t="s">
        <v>52</v>
      </c>
      <c r="D332" s="152" t="s">
        <v>147</v>
      </c>
      <c r="E332" s="708">
        <v>1</v>
      </c>
      <c r="F332" s="714" t="s">
        <v>211</v>
      </c>
      <c r="G332" s="708"/>
      <c r="H332" s="708">
        <v>50</v>
      </c>
      <c r="I332" s="708"/>
      <c r="J332" s="708">
        <v>50</v>
      </c>
      <c r="K332" s="708"/>
      <c r="L332" s="92">
        <v>2019.01</v>
      </c>
      <c r="M332" s="92">
        <v>2019.12</v>
      </c>
      <c r="N332" s="726">
        <v>40.5</v>
      </c>
      <c r="O332" s="726"/>
      <c r="P332" s="726">
        <v>40.5</v>
      </c>
      <c r="Q332" s="726"/>
      <c r="R332" s="726">
        <v>40.5</v>
      </c>
      <c r="S332" s="708"/>
      <c r="T332" s="708"/>
      <c r="U332" s="708"/>
      <c r="V332" s="708"/>
      <c r="W332" s="708"/>
      <c r="X332" s="708"/>
      <c r="Y332" s="708">
        <v>25</v>
      </c>
      <c r="Z332" s="708">
        <v>80</v>
      </c>
      <c r="AA332" s="708">
        <v>1</v>
      </c>
      <c r="AB332" s="708"/>
      <c r="AC332" s="708"/>
      <c r="AD332" s="146" t="s">
        <v>76</v>
      </c>
      <c r="AE332" s="146" t="s">
        <v>252</v>
      </c>
      <c r="AF332" s="146" t="s">
        <v>195</v>
      </c>
      <c r="AG332" s="708"/>
    </row>
    <row r="333" ht="24.95" customHeight="1" spans="1:33">
      <c r="A333" s="705"/>
      <c r="B333" s="714" t="s">
        <v>155</v>
      </c>
      <c r="C333" s="146" t="s">
        <v>52</v>
      </c>
      <c r="D333" s="152" t="s">
        <v>147</v>
      </c>
      <c r="E333" s="708">
        <v>1</v>
      </c>
      <c r="F333" s="714" t="s">
        <v>155</v>
      </c>
      <c r="G333" s="708"/>
      <c r="H333" s="708">
        <v>30</v>
      </c>
      <c r="I333" s="708"/>
      <c r="J333" s="708">
        <v>30</v>
      </c>
      <c r="K333" s="708"/>
      <c r="L333" s="92">
        <v>2019.01</v>
      </c>
      <c r="M333" s="92">
        <v>2019.12</v>
      </c>
      <c r="N333" s="726">
        <v>24.3</v>
      </c>
      <c r="O333" s="726"/>
      <c r="P333" s="726">
        <v>24.3</v>
      </c>
      <c r="Q333" s="726"/>
      <c r="R333" s="726">
        <v>24.3</v>
      </c>
      <c r="S333" s="708"/>
      <c r="T333" s="708"/>
      <c r="U333" s="708"/>
      <c r="V333" s="708"/>
      <c r="W333" s="708"/>
      <c r="X333" s="708"/>
      <c r="Y333" s="708">
        <v>15</v>
      </c>
      <c r="Z333" s="708">
        <v>40</v>
      </c>
      <c r="AA333" s="708">
        <v>1</v>
      </c>
      <c r="AB333" s="708"/>
      <c r="AC333" s="708"/>
      <c r="AD333" s="146" t="s">
        <v>253</v>
      </c>
      <c r="AE333" s="146" t="s">
        <v>254</v>
      </c>
      <c r="AF333" s="146" t="s">
        <v>195</v>
      </c>
      <c r="AG333" s="708"/>
    </row>
    <row r="334" ht="24.95" customHeight="1" spans="1:33">
      <c r="A334" s="705"/>
      <c r="B334" s="714" t="s">
        <v>102</v>
      </c>
      <c r="C334" s="146" t="s">
        <v>52</v>
      </c>
      <c r="D334" s="152" t="s">
        <v>147</v>
      </c>
      <c r="E334" s="708">
        <v>1</v>
      </c>
      <c r="F334" s="714" t="s">
        <v>102</v>
      </c>
      <c r="G334" s="708"/>
      <c r="H334" s="708">
        <v>60</v>
      </c>
      <c r="I334" s="708"/>
      <c r="J334" s="708">
        <v>60</v>
      </c>
      <c r="K334" s="708"/>
      <c r="L334" s="92">
        <v>2019.01</v>
      </c>
      <c r="M334" s="92">
        <v>2019.12</v>
      </c>
      <c r="N334" s="726">
        <v>48.6</v>
      </c>
      <c r="O334" s="726"/>
      <c r="P334" s="726">
        <v>48.6</v>
      </c>
      <c r="Q334" s="726"/>
      <c r="R334" s="726">
        <v>48.6</v>
      </c>
      <c r="S334" s="708"/>
      <c r="T334" s="708"/>
      <c r="U334" s="708"/>
      <c r="V334" s="708"/>
      <c r="W334" s="708"/>
      <c r="X334" s="708"/>
      <c r="Y334" s="708">
        <v>30</v>
      </c>
      <c r="Z334" s="708">
        <v>135</v>
      </c>
      <c r="AA334" s="708">
        <v>1</v>
      </c>
      <c r="AB334" s="708"/>
      <c r="AC334" s="708"/>
      <c r="AD334" s="146" t="s">
        <v>255</v>
      </c>
      <c r="AE334" s="146" t="s">
        <v>256</v>
      </c>
      <c r="AF334" s="146" t="s">
        <v>195</v>
      </c>
      <c r="AG334" s="708"/>
    </row>
    <row r="335" ht="24.95" customHeight="1" spans="1:33">
      <c r="A335" s="705"/>
      <c r="B335" s="714" t="s">
        <v>100</v>
      </c>
      <c r="C335" s="146" t="s">
        <v>52</v>
      </c>
      <c r="D335" s="152" t="s">
        <v>147</v>
      </c>
      <c r="E335" s="708">
        <v>1</v>
      </c>
      <c r="F335" s="714" t="s">
        <v>100</v>
      </c>
      <c r="G335" s="708"/>
      <c r="H335" s="708">
        <v>50</v>
      </c>
      <c r="I335" s="708"/>
      <c r="J335" s="708">
        <v>50</v>
      </c>
      <c r="K335" s="708"/>
      <c r="L335" s="92">
        <v>2019.01</v>
      </c>
      <c r="M335" s="92">
        <v>2019.12</v>
      </c>
      <c r="N335" s="726">
        <v>40.5</v>
      </c>
      <c r="O335" s="726"/>
      <c r="P335" s="726">
        <v>40.5</v>
      </c>
      <c r="Q335" s="726"/>
      <c r="R335" s="726">
        <v>40.5</v>
      </c>
      <c r="S335" s="708"/>
      <c r="T335" s="708"/>
      <c r="U335" s="708"/>
      <c r="V335" s="708"/>
      <c r="W335" s="708"/>
      <c r="X335" s="708"/>
      <c r="Y335" s="708">
        <v>25</v>
      </c>
      <c r="Z335" s="708">
        <v>40</v>
      </c>
      <c r="AA335" s="708">
        <v>1</v>
      </c>
      <c r="AB335" s="708"/>
      <c r="AC335" s="708"/>
      <c r="AD335" s="146" t="s">
        <v>79</v>
      </c>
      <c r="AE335" s="146" t="s">
        <v>257</v>
      </c>
      <c r="AF335" s="146" t="s">
        <v>195</v>
      </c>
      <c r="AG335" s="708"/>
    </row>
    <row r="336" ht="24.95" customHeight="1" spans="1:33">
      <c r="A336" s="705"/>
      <c r="B336" s="714" t="s">
        <v>84</v>
      </c>
      <c r="C336" s="146" t="s">
        <v>52</v>
      </c>
      <c r="D336" s="152" t="s">
        <v>147</v>
      </c>
      <c r="E336" s="708">
        <v>1</v>
      </c>
      <c r="F336" s="714" t="s">
        <v>84</v>
      </c>
      <c r="G336" s="708"/>
      <c r="H336" s="708">
        <v>50</v>
      </c>
      <c r="I336" s="708"/>
      <c r="J336" s="708">
        <v>50</v>
      </c>
      <c r="K336" s="708"/>
      <c r="L336" s="92">
        <v>2019.01</v>
      </c>
      <c r="M336" s="92">
        <v>2019.12</v>
      </c>
      <c r="N336" s="726">
        <v>40.5</v>
      </c>
      <c r="O336" s="726"/>
      <c r="P336" s="726">
        <v>40.5</v>
      </c>
      <c r="Q336" s="726"/>
      <c r="R336" s="726">
        <v>40.5</v>
      </c>
      <c r="S336" s="708"/>
      <c r="T336" s="708"/>
      <c r="U336" s="708"/>
      <c r="V336" s="708"/>
      <c r="W336" s="708"/>
      <c r="X336" s="708"/>
      <c r="Y336" s="708">
        <v>25</v>
      </c>
      <c r="Z336" s="708">
        <v>115</v>
      </c>
      <c r="AA336" s="708">
        <v>1</v>
      </c>
      <c r="AB336" s="708"/>
      <c r="AC336" s="708"/>
      <c r="AD336" s="146" t="s">
        <v>185</v>
      </c>
      <c r="AE336" s="146" t="s">
        <v>258</v>
      </c>
      <c r="AF336" s="146" t="s">
        <v>195</v>
      </c>
      <c r="AG336" s="708"/>
    </row>
    <row r="337" ht="24.95" customHeight="1" spans="1:33">
      <c r="A337" s="705"/>
      <c r="B337" s="714" t="s">
        <v>259</v>
      </c>
      <c r="C337" s="146" t="s">
        <v>52</v>
      </c>
      <c r="D337" s="152" t="s">
        <v>147</v>
      </c>
      <c r="E337" s="708">
        <v>1</v>
      </c>
      <c r="F337" s="714" t="s">
        <v>259</v>
      </c>
      <c r="G337" s="708"/>
      <c r="H337" s="708">
        <v>20</v>
      </c>
      <c r="I337" s="708"/>
      <c r="J337" s="708">
        <v>20</v>
      </c>
      <c r="K337" s="708"/>
      <c r="L337" s="92">
        <v>2019.01</v>
      </c>
      <c r="M337" s="92">
        <v>2019.12</v>
      </c>
      <c r="N337" s="726">
        <v>16.2</v>
      </c>
      <c r="O337" s="726"/>
      <c r="P337" s="726">
        <v>16.2</v>
      </c>
      <c r="Q337" s="726"/>
      <c r="R337" s="726">
        <v>16.2</v>
      </c>
      <c r="S337" s="708"/>
      <c r="T337" s="708"/>
      <c r="U337" s="708"/>
      <c r="V337" s="708"/>
      <c r="W337" s="708"/>
      <c r="X337" s="708"/>
      <c r="Y337" s="708">
        <v>10</v>
      </c>
      <c r="Z337" s="708">
        <v>20</v>
      </c>
      <c r="AA337" s="708">
        <v>1</v>
      </c>
      <c r="AB337" s="708"/>
      <c r="AC337" s="708"/>
      <c r="AD337" s="146" t="s">
        <v>260</v>
      </c>
      <c r="AE337" s="146" t="s">
        <v>261</v>
      </c>
      <c r="AF337" s="146" t="s">
        <v>195</v>
      </c>
      <c r="AG337" s="708"/>
    </row>
    <row r="338" ht="24.95" customHeight="1" spans="1:33">
      <c r="A338" s="705"/>
      <c r="B338" s="714" t="s">
        <v>143</v>
      </c>
      <c r="C338" s="146" t="s">
        <v>52</v>
      </c>
      <c r="D338" s="152" t="s">
        <v>147</v>
      </c>
      <c r="E338" s="708">
        <v>1</v>
      </c>
      <c r="F338" s="714" t="s">
        <v>143</v>
      </c>
      <c r="G338" s="708"/>
      <c r="H338" s="708">
        <v>40</v>
      </c>
      <c r="I338" s="708"/>
      <c r="J338" s="708">
        <v>40</v>
      </c>
      <c r="K338" s="708"/>
      <c r="L338" s="92">
        <v>2019.01</v>
      </c>
      <c r="M338" s="92">
        <v>2019.12</v>
      </c>
      <c r="N338" s="726">
        <v>32.4</v>
      </c>
      <c r="O338" s="726"/>
      <c r="P338" s="726">
        <v>32.4</v>
      </c>
      <c r="Q338" s="726"/>
      <c r="R338" s="726">
        <v>32.4</v>
      </c>
      <c r="S338" s="708"/>
      <c r="T338" s="708"/>
      <c r="U338" s="708"/>
      <c r="V338" s="708"/>
      <c r="W338" s="708"/>
      <c r="X338" s="708"/>
      <c r="Y338" s="708">
        <v>20</v>
      </c>
      <c r="Z338" s="708">
        <v>82</v>
      </c>
      <c r="AA338" s="708">
        <v>1</v>
      </c>
      <c r="AB338" s="708"/>
      <c r="AC338" s="708"/>
      <c r="AD338" s="775" t="s">
        <v>262</v>
      </c>
      <c r="AE338" s="775" t="s">
        <v>263</v>
      </c>
      <c r="AF338" s="146" t="s">
        <v>195</v>
      </c>
      <c r="AG338" s="708"/>
    </row>
    <row r="339" ht="24.95" customHeight="1" spans="1:33">
      <c r="A339" s="705"/>
      <c r="B339" s="711" t="s">
        <v>287</v>
      </c>
      <c r="C339" s="146" t="s">
        <v>52</v>
      </c>
      <c r="D339" s="152" t="s">
        <v>147</v>
      </c>
      <c r="E339" s="708">
        <f>E340+E351+E363</f>
        <v>29</v>
      </c>
      <c r="F339" s="708">
        <f t="shared" ref="F339:AA339" si="61">F340+F351+F363</f>
        <v>0</v>
      </c>
      <c r="G339" s="708">
        <f t="shared" si="61"/>
        <v>0</v>
      </c>
      <c r="H339" s="708">
        <f t="shared" si="61"/>
        <v>16384</v>
      </c>
      <c r="I339" s="708">
        <f t="shared" si="61"/>
        <v>0</v>
      </c>
      <c r="J339" s="708">
        <f t="shared" si="61"/>
        <v>16384</v>
      </c>
      <c r="K339" s="708">
        <f t="shared" si="61"/>
        <v>0</v>
      </c>
      <c r="L339" s="708"/>
      <c r="M339" s="708"/>
      <c r="N339" s="708">
        <f t="shared" si="61"/>
        <v>1793.9</v>
      </c>
      <c r="O339" s="708">
        <f t="shared" si="61"/>
        <v>0</v>
      </c>
      <c r="P339" s="708">
        <f t="shared" si="61"/>
        <v>1793.9</v>
      </c>
      <c r="Q339" s="708">
        <f t="shared" si="61"/>
        <v>0</v>
      </c>
      <c r="R339" s="708">
        <f t="shared" si="61"/>
        <v>1793.9</v>
      </c>
      <c r="S339" s="708">
        <f t="shared" si="61"/>
        <v>0</v>
      </c>
      <c r="T339" s="708">
        <f t="shared" si="61"/>
        <v>0</v>
      </c>
      <c r="U339" s="708">
        <f t="shared" si="61"/>
        <v>0</v>
      </c>
      <c r="V339" s="708">
        <f t="shared" si="61"/>
        <v>0</v>
      </c>
      <c r="W339" s="708">
        <f t="shared" si="61"/>
        <v>0</v>
      </c>
      <c r="X339" s="708">
        <f t="shared" si="61"/>
        <v>0</v>
      </c>
      <c r="Y339" s="763">
        <f t="shared" si="61"/>
        <v>7850</v>
      </c>
      <c r="Z339" s="763">
        <f t="shared" si="61"/>
        <v>28277.7</v>
      </c>
      <c r="AA339" s="763">
        <f t="shared" si="61"/>
        <v>29</v>
      </c>
      <c r="AB339" s="92"/>
      <c r="AC339" s="92"/>
      <c r="AD339" s="193" t="s">
        <v>242</v>
      </c>
      <c r="AE339" s="193" t="s">
        <v>243</v>
      </c>
      <c r="AF339" s="146" t="s">
        <v>195</v>
      </c>
      <c r="AG339" s="92"/>
    </row>
    <row r="340" ht="24.95" customHeight="1" spans="1:33">
      <c r="A340" s="705"/>
      <c r="B340" s="711" t="s">
        <v>288</v>
      </c>
      <c r="C340" s="146" t="s">
        <v>52</v>
      </c>
      <c r="D340" s="141"/>
      <c r="E340" s="708">
        <f>SUM(E341:E350)</f>
        <v>10</v>
      </c>
      <c r="F340" s="708">
        <f t="shared" ref="F340:AA340" si="62">SUM(F341:F350)</f>
        <v>0</v>
      </c>
      <c r="G340" s="708">
        <f t="shared" si="62"/>
        <v>0</v>
      </c>
      <c r="H340" s="708">
        <f t="shared" si="62"/>
        <v>5954</v>
      </c>
      <c r="I340" s="708">
        <f t="shared" si="62"/>
        <v>0</v>
      </c>
      <c r="J340" s="708">
        <f t="shared" si="62"/>
        <v>5954</v>
      </c>
      <c r="K340" s="708">
        <f t="shared" si="62"/>
        <v>0</v>
      </c>
      <c r="L340" s="708"/>
      <c r="M340" s="708"/>
      <c r="N340" s="726">
        <f t="shared" si="62"/>
        <v>389</v>
      </c>
      <c r="O340" s="726">
        <f t="shared" si="62"/>
        <v>0</v>
      </c>
      <c r="P340" s="726">
        <f t="shared" si="62"/>
        <v>389</v>
      </c>
      <c r="Q340" s="726">
        <f t="shared" si="62"/>
        <v>0</v>
      </c>
      <c r="R340" s="726">
        <f t="shared" si="62"/>
        <v>389</v>
      </c>
      <c r="S340" s="726">
        <f t="shared" si="62"/>
        <v>0</v>
      </c>
      <c r="T340" s="726">
        <f t="shared" si="62"/>
        <v>0</v>
      </c>
      <c r="U340" s="726">
        <f t="shared" si="62"/>
        <v>0</v>
      </c>
      <c r="V340" s="726">
        <f t="shared" si="62"/>
        <v>0</v>
      </c>
      <c r="W340" s="726">
        <f t="shared" si="62"/>
        <v>0</v>
      </c>
      <c r="X340" s="708">
        <f t="shared" si="62"/>
        <v>0</v>
      </c>
      <c r="Y340" s="763">
        <f t="shared" si="62"/>
        <v>2925</v>
      </c>
      <c r="Z340" s="763">
        <f t="shared" si="62"/>
        <v>12004.7</v>
      </c>
      <c r="AA340" s="763">
        <f t="shared" si="62"/>
        <v>10</v>
      </c>
      <c r="AB340" s="92"/>
      <c r="AC340" s="92"/>
      <c r="AD340" s="193" t="s">
        <v>242</v>
      </c>
      <c r="AE340" s="193" t="s">
        <v>243</v>
      </c>
      <c r="AF340" s="146" t="s">
        <v>195</v>
      </c>
      <c r="AG340" s="92"/>
    </row>
    <row r="341" ht="24.95" customHeight="1" spans="1:33">
      <c r="A341" s="705"/>
      <c r="B341" s="778" t="s">
        <v>51</v>
      </c>
      <c r="C341" s="146" t="s">
        <v>52</v>
      </c>
      <c r="D341" s="753" t="s">
        <v>147</v>
      </c>
      <c r="E341" s="708">
        <v>1</v>
      </c>
      <c r="F341" s="778" t="s">
        <v>51</v>
      </c>
      <c r="G341" s="92"/>
      <c r="H341" s="92">
        <v>438</v>
      </c>
      <c r="I341" s="92"/>
      <c r="J341" s="92">
        <v>438</v>
      </c>
      <c r="K341" s="92"/>
      <c r="L341" s="92">
        <v>2019.01</v>
      </c>
      <c r="M341" s="92">
        <v>2019.12</v>
      </c>
      <c r="N341" s="92">
        <v>27.9</v>
      </c>
      <c r="O341" s="92"/>
      <c r="P341" s="92">
        <v>27.9</v>
      </c>
      <c r="Q341" s="92"/>
      <c r="R341" s="92">
        <v>27.9</v>
      </c>
      <c r="S341" s="92"/>
      <c r="T341" s="92"/>
      <c r="U341" s="92"/>
      <c r="V341" s="92"/>
      <c r="W341" s="92"/>
      <c r="X341" s="92"/>
      <c r="Y341" s="92">
        <v>219</v>
      </c>
      <c r="Z341" s="92">
        <v>722.7</v>
      </c>
      <c r="AA341" s="708">
        <v>1</v>
      </c>
      <c r="AB341" s="92"/>
      <c r="AC341" s="92"/>
      <c r="AD341" s="712" t="s">
        <v>169</v>
      </c>
      <c r="AE341" s="56" t="s">
        <v>246</v>
      </c>
      <c r="AF341" s="146" t="s">
        <v>195</v>
      </c>
      <c r="AG341" s="92"/>
    </row>
    <row r="342" ht="24.95" customHeight="1" spans="1:33">
      <c r="A342" s="705"/>
      <c r="B342" s="778" t="s">
        <v>72</v>
      </c>
      <c r="C342" s="146" t="s">
        <v>52</v>
      </c>
      <c r="D342" s="753" t="s">
        <v>147</v>
      </c>
      <c r="E342" s="708">
        <v>1</v>
      </c>
      <c r="F342" s="778" t="s">
        <v>72</v>
      </c>
      <c r="G342" s="92"/>
      <c r="H342" s="92">
        <v>566</v>
      </c>
      <c r="I342" s="92"/>
      <c r="J342" s="92">
        <v>566</v>
      </c>
      <c r="K342" s="92"/>
      <c r="L342" s="92">
        <v>2019.01</v>
      </c>
      <c r="M342" s="92">
        <v>2019.12</v>
      </c>
      <c r="N342" s="92">
        <v>28.3</v>
      </c>
      <c r="O342" s="92"/>
      <c r="P342" s="92">
        <v>28.3</v>
      </c>
      <c r="Q342" s="92"/>
      <c r="R342" s="92">
        <v>28.3</v>
      </c>
      <c r="S342" s="92"/>
      <c r="T342" s="92"/>
      <c r="U342" s="92"/>
      <c r="V342" s="92"/>
      <c r="W342" s="92"/>
      <c r="X342" s="92"/>
      <c r="Y342" s="92">
        <v>258</v>
      </c>
      <c r="Z342" s="92">
        <v>1109</v>
      </c>
      <c r="AA342" s="708">
        <v>1</v>
      </c>
      <c r="AB342" s="92"/>
      <c r="AC342" s="92"/>
      <c r="AD342" s="712" t="s">
        <v>247</v>
      </c>
      <c r="AE342" s="56" t="s">
        <v>248</v>
      </c>
      <c r="AF342" s="146" t="s">
        <v>195</v>
      </c>
      <c r="AG342" s="92"/>
    </row>
    <row r="343" ht="24.95" customHeight="1" spans="1:33">
      <c r="A343" s="705"/>
      <c r="B343" s="778" t="s">
        <v>91</v>
      </c>
      <c r="C343" s="146" t="s">
        <v>52</v>
      </c>
      <c r="D343" s="753" t="s">
        <v>147</v>
      </c>
      <c r="E343" s="708">
        <v>1</v>
      </c>
      <c r="F343" s="778" t="s">
        <v>91</v>
      </c>
      <c r="G343" s="92"/>
      <c r="H343" s="92">
        <v>400</v>
      </c>
      <c r="I343" s="92"/>
      <c r="J343" s="92">
        <v>400</v>
      </c>
      <c r="K343" s="92"/>
      <c r="L343" s="92">
        <v>2019.01</v>
      </c>
      <c r="M343" s="92">
        <v>2019.12</v>
      </c>
      <c r="N343" s="92">
        <v>40</v>
      </c>
      <c r="O343" s="92"/>
      <c r="P343" s="92">
        <v>40</v>
      </c>
      <c r="Q343" s="92"/>
      <c r="R343" s="92">
        <v>40</v>
      </c>
      <c r="S343" s="92"/>
      <c r="T343" s="92"/>
      <c r="U343" s="92"/>
      <c r="V343" s="92"/>
      <c r="W343" s="92"/>
      <c r="X343" s="92"/>
      <c r="Y343" s="92">
        <v>200</v>
      </c>
      <c r="Z343" s="92">
        <v>760</v>
      </c>
      <c r="AA343" s="708">
        <v>1</v>
      </c>
      <c r="AB343" s="92"/>
      <c r="AC343" s="92"/>
      <c r="AD343" s="712" t="s">
        <v>249</v>
      </c>
      <c r="AE343" s="56" t="s">
        <v>250</v>
      </c>
      <c r="AF343" s="146" t="s">
        <v>195</v>
      </c>
      <c r="AG343" s="92"/>
    </row>
    <row r="344" ht="24.95" customHeight="1" spans="1:33">
      <c r="A344" s="705"/>
      <c r="B344" s="778" t="s">
        <v>55</v>
      </c>
      <c r="C344" s="146" t="s">
        <v>52</v>
      </c>
      <c r="D344" s="753" t="s">
        <v>147</v>
      </c>
      <c r="E344" s="708">
        <v>1</v>
      </c>
      <c r="F344" s="778" t="s">
        <v>55</v>
      </c>
      <c r="G344" s="92"/>
      <c r="H344" s="92">
        <v>980</v>
      </c>
      <c r="I344" s="92"/>
      <c r="J344" s="92">
        <v>980</v>
      </c>
      <c r="K344" s="92"/>
      <c r="L344" s="92">
        <v>2019.01</v>
      </c>
      <c r="M344" s="92">
        <v>2019.12</v>
      </c>
      <c r="N344" s="92">
        <v>89.7</v>
      </c>
      <c r="O344" s="92"/>
      <c r="P344" s="92">
        <v>89.7</v>
      </c>
      <c r="Q344" s="92"/>
      <c r="R344" s="92">
        <v>89.7</v>
      </c>
      <c r="S344" s="92"/>
      <c r="T344" s="92"/>
      <c r="U344" s="92"/>
      <c r="V344" s="92"/>
      <c r="W344" s="92"/>
      <c r="X344" s="92"/>
      <c r="Y344" s="92">
        <v>463</v>
      </c>
      <c r="Z344" s="92">
        <v>2027</v>
      </c>
      <c r="AA344" s="708">
        <v>1</v>
      </c>
      <c r="AB344" s="92"/>
      <c r="AC344" s="92"/>
      <c r="AD344" s="712" t="s">
        <v>209</v>
      </c>
      <c r="AE344" s="56" t="s">
        <v>251</v>
      </c>
      <c r="AF344" s="146" t="s">
        <v>195</v>
      </c>
      <c r="AG344" s="92"/>
    </row>
    <row r="345" ht="24.95" customHeight="1" spans="1:33">
      <c r="A345" s="705"/>
      <c r="B345" s="778" t="s">
        <v>75</v>
      </c>
      <c r="C345" s="146" t="s">
        <v>52</v>
      </c>
      <c r="D345" s="753" t="s">
        <v>147</v>
      </c>
      <c r="E345" s="708">
        <v>1</v>
      </c>
      <c r="F345" s="778" t="s">
        <v>75</v>
      </c>
      <c r="G345" s="92"/>
      <c r="H345" s="92">
        <v>640</v>
      </c>
      <c r="I345" s="92"/>
      <c r="J345" s="92">
        <v>640</v>
      </c>
      <c r="K345" s="92"/>
      <c r="L345" s="92">
        <v>2019.01</v>
      </c>
      <c r="M345" s="92">
        <v>2019.12</v>
      </c>
      <c r="N345" s="92">
        <v>32</v>
      </c>
      <c r="O345" s="92"/>
      <c r="P345" s="92">
        <v>32</v>
      </c>
      <c r="Q345" s="92"/>
      <c r="R345" s="92">
        <v>32</v>
      </c>
      <c r="S345" s="92"/>
      <c r="T345" s="92"/>
      <c r="U345" s="92"/>
      <c r="V345" s="92"/>
      <c r="W345" s="92"/>
      <c r="X345" s="92"/>
      <c r="Y345" s="92">
        <v>320</v>
      </c>
      <c r="Z345" s="92">
        <v>1346</v>
      </c>
      <c r="AA345" s="708">
        <v>1</v>
      </c>
      <c r="AB345" s="92"/>
      <c r="AC345" s="92"/>
      <c r="AD345" s="712" t="s">
        <v>76</v>
      </c>
      <c r="AE345" s="712" t="s">
        <v>252</v>
      </c>
      <c r="AF345" s="146" t="s">
        <v>195</v>
      </c>
      <c r="AG345" s="92"/>
    </row>
    <row r="346" ht="24.95" customHeight="1" spans="1:33">
      <c r="A346" s="705"/>
      <c r="B346" s="778" t="s">
        <v>58</v>
      </c>
      <c r="C346" s="146" t="s">
        <v>52</v>
      </c>
      <c r="D346" s="753" t="s">
        <v>147</v>
      </c>
      <c r="E346" s="708">
        <v>1</v>
      </c>
      <c r="F346" s="778" t="s">
        <v>58</v>
      </c>
      <c r="G346" s="92"/>
      <c r="H346" s="92">
        <v>258</v>
      </c>
      <c r="I346" s="92"/>
      <c r="J346" s="92">
        <v>258</v>
      </c>
      <c r="K346" s="92"/>
      <c r="L346" s="92">
        <v>2019.01</v>
      </c>
      <c r="M346" s="92">
        <v>2019.12</v>
      </c>
      <c r="N346" s="92">
        <v>25.8</v>
      </c>
      <c r="O346" s="92"/>
      <c r="P346" s="92">
        <v>25.8</v>
      </c>
      <c r="Q346" s="92"/>
      <c r="R346" s="92">
        <v>25.8</v>
      </c>
      <c r="S346" s="92"/>
      <c r="T346" s="92"/>
      <c r="U346" s="92"/>
      <c r="V346" s="92"/>
      <c r="W346" s="92"/>
      <c r="X346" s="92"/>
      <c r="Y346" s="92">
        <v>129</v>
      </c>
      <c r="Z346" s="92">
        <v>555</v>
      </c>
      <c r="AA346" s="708">
        <v>1</v>
      </c>
      <c r="AB346" s="92"/>
      <c r="AC346" s="92"/>
      <c r="AD346" s="712" t="s">
        <v>253</v>
      </c>
      <c r="AE346" s="56" t="s">
        <v>254</v>
      </c>
      <c r="AF346" s="146" t="s">
        <v>195</v>
      </c>
      <c r="AG346" s="92"/>
    </row>
    <row r="347" ht="24.95" customHeight="1" spans="1:33">
      <c r="A347" s="705"/>
      <c r="B347" s="778" t="s">
        <v>61</v>
      </c>
      <c r="C347" s="146" t="s">
        <v>52</v>
      </c>
      <c r="D347" s="753" t="s">
        <v>147</v>
      </c>
      <c r="E347" s="708">
        <v>1</v>
      </c>
      <c r="F347" s="778" t="s">
        <v>61</v>
      </c>
      <c r="G347" s="92"/>
      <c r="H347" s="92">
        <v>1826</v>
      </c>
      <c r="I347" s="92"/>
      <c r="J347" s="92">
        <v>1826</v>
      </c>
      <c r="K347" s="92"/>
      <c r="L347" s="92">
        <v>2019.01</v>
      </c>
      <c r="M347" s="92">
        <v>2019.12</v>
      </c>
      <c r="N347" s="92">
        <v>91.3</v>
      </c>
      <c r="O347" s="92"/>
      <c r="P347" s="92">
        <v>91.3</v>
      </c>
      <c r="Q347" s="92"/>
      <c r="R347" s="92">
        <v>91.3</v>
      </c>
      <c r="S347" s="92"/>
      <c r="T347" s="92"/>
      <c r="U347" s="92"/>
      <c r="V347" s="92"/>
      <c r="W347" s="92"/>
      <c r="X347" s="92"/>
      <c r="Y347" s="92">
        <v>913</v>
      </c>
      <c r="Z347" s="92">
        <v>3926</v>
      </c>
      <c r="AA347" s="708">
        <v>1</v>
      </c>
      <c r="AB347" s="92"/>
      <c r="AC347" s="92"/>
      <c r="AD347" s="712" t="s">
        <v>255</v>
      </c>
      <c r="AE347" s="56" t="s">
        <v>256</v>
      </c>
      <c r="AF347" s="146" t="s">
        <v>195</v>
      </c>
      <c r="AG347" s="92"/>
    </row>
    <row r="348" ht="24.95" customHeight="1" spans="1:33">
      <c r="A348" s="705"/>
      <c r="B348" s="778" t="s">
        <v>114</v>
      </c>
      <c r="C348" s="146" t="s">
        <v>52</v>
      </c>
      <c r="D348" s="753" t="s">
        <v>147</v>
      </c>
      <c r="E348" s="708">
        <v>1</v>
      </c>
      <c r="F348" s="778" t="s">
        <v>114</v>
      </c>
      <c r="G348" s="92"/>
      <c r="H348" s="92">
        <v>46</v>
      </c>
      <c r="I348" s="92"/>
      <c r="J348" s="92">
        <v>46</v>
      </c>
      <c r="K348" s="92"/>
      <c r="L348" s="92">
        <v>2019.01</v>
      </c>
      <c r="M348" s="92">
        <v>2019.12</v>
      </c>
      <c r="N348" s="92">
        <v>4.2</v>
      </c>
      <c r="O348" s="92"/>
      <c r="P348" s="92">
        <v>4.2</v>
      </c>
      <c r="Q348" s="92"/>
      <c r="R348" s="92">
        <v>4.2</v>
      </c>
      <c r="S348" s="92"/>
      <c r="T348" s="92"/>
      <c r="U348" s="92"/>
      <c r="V348" s="92"/>
      <c r="W348" s="92"/>
      <c r="X348" s="92"/>
      <c r="Y348" s="92">
        <v>23</v>
      </c>
      <c r="Z348" s="92">
        <v>99</v>
      </c>
      <c r="AA348" s="708">
        <v>1</v>
      </c>
      <c r="AB348" s="92"/>
      <c r="AC348" s="92"/>
      <c r="AD348" s="712" t="s">
        <v>260</v>
      </c>
      <c r="AE348" s="56" t="s">
        <v>261</v>
      </c>
      <c r="AF348" s="146" t="s">
        <v>195</v>
      </c>
      <c r="AG348" s="92"/>
    </row>
    <row r="349" ht="24.95" customHeight="1" spans="1:33">
      <c r="A349" s="705"/>
      <c r="B349" s="778" t="s">
        <v>64</v>
      </c>
      <c r="C349" s="146" t="s">
        <v>52</v>
      </c>
      <c r="D349" s="753" t="s">
        <v>147</v>
      </c>
      <c r="E349" s="708">
        <v>1</v>
      </c>
      <c r="F349" s="778" t="s">
        <v>64</v>
      </c>
      <c r="G349" s="92"/>
      <c r="H349" s="92">
        <v>440</v>
      </c>
      <c r="I349" s="92"/>
      <c r="J349" s="92">
        <v>440</v>
      </c>
      <c r="K349" s="92"/>
      <c r="L349" s="92">
        <v>2019.01</v>
      </c>
      <c r="M349" s="92">
        <v>2019.12</v>
      </c>
      <c r="N349" s="92">
        <v>44</v>
      </c>
      <c r="O349" s="92"/>
      <c r="P349" s="92">
        <v>44</v>
      </c>
      <c r="Q349" s="92"/>
      <c r="R349" s="92">
        <v>44</v>
      </c>
      <c r="S349" s="92"/>
      <c r="T349" s="92"/>
      <c r="U349" s="92"/>
      <c r="V349" s="92"/>
      <c r="W349" s="92"/>
      <c r="X349" s="92"/>
      <c r="Y349" s="92">
        <v>220</v>
      </c>
      <c r="Z349" s="92">
        <v>880</v>
      </c>
      <c r="AA349" s="708">
        <v>1</v>
      </c>
      <c r="AB349" s="92"/>
      <c r="AC349" s="92"/>
      <c r="AD349" s="712" t="s">
        <v>185</v>
      </c>
      <c r="AE349" s="56" t="s">
        <v>258</v>
      </c>
      <c r="AF349" s="146" t="s">
        <v>195</v>
      </c>
      <c r="AG349" s="92"/>
    </row>
    <row r="350" ht="24.95" customHeight="1" spans="1:33">
      <c r="A350" s="705"/>
      <c r="B350" s="778" t="s">
        <v>92</v>
      </c>
      <c r="C350" s="146" t="s">
        <v>52</v>
      </c>
      <c r="D350" s="753" t="s">
        <v>147</v>
      </c>
      <c r="E350" s="708">
        <v>1</v>
      </c>
      <c r="F350" s="778" t="s">
        <v>92</v>
      </c>
      <c r="G350" s="92"/>
      <c r="H350" s="92">
        <v>360</v>
      </c>
      <c r="I350" s="92"/>
      <c r="J350" s="92">
        <v>360</v>
      </c>
      <c r="K350" s="92"/>
      <c r="L350" s="92">
        <v>2019.01</v>
      </c>
      <c r="M350" s="92">
        <v>2019.12</v>
      </c>
      <c r="N350" s="92">
        <v>5.8</v>
      </c>
      <c r="O350" s="92"/>
      <c r="P350" s="92">
        <v>5.8</v>
      </c>
      <c r="Q350" s="92"/>
      <c r="R350" s="92">
        <v>5.8</v>
      </c>
      <c r="S350" s="92"/>
      <c r="T350" s="92"/>
      <c r="U350" s="92"/>
      <c r="V350" s="92"/>
      <c r="W350" s="92"/>
      <c r="X350" s="92"/>
      <c r="Y350" s="92">
        <v>180</v>
      </c>
      <c r="Z350" s="92">
        <v>580</v>
      </c>
      <c r="AA350" s="708">
        <v>1</v>
      </c>
      <c r="AB350" s="92"/>
      <c r="AC350" s="92"/>
      <c r="AD350" s="712" t="s">
        <v>262</v>
      </c>
      <c r="AE350" s="56" t="s">
        <v>263</v>
      </c>
      <c r="AF350" s="146" t="s">
        <v>195</v>
      </c>
      <c r="AG350" s="92"/>
    </row>
    <row r="351" ht="24.95" customHeight="1" spans="1:33">
      <c r="A351" s="705"/>
      <c r="B351" s="779" t="s">
        <v>289</v>
      </c>
      <c r="C351" s="146" t="s">
        <v>52</v>
      </c>
      <c r="D351" s="780" t="s">
        <v>147</v>
      </c>
      <c r="E351" s="708">
        <f>SUM(E352:E362)</f>
        <v>11</v>
      </c>
      <c r="F351" s="708">
        <f t="shared" ref="F351:AA351" si="63">SUM(F352:F362)</f>
        <v>0</v>
      </c>
      <c r="G351" s="708">
        <f t="shared" si="63"/>
        <v>0</v>
      </c>
      <c r="H351" s="708">
        <f t="shared" si="63"/>
        <v>6160</v>
      </c>
      <c r="I351" s="708">
        <f t="shared" si="63"/>
        <v>0</v>
      </c>
      <c r="J351" s="708">
        <f t="shared" si="63"/>
        <v>6160</v>
      </c>
      <c r="K351" s="708">
        <f t="shared" si="63"/>
        <v>0</v>
      </c>
      <c r="L351" s="708"/>
      <c r="M351" s="708"/>
      <c r="N351" s="708">
        <f t="shared" si="63"/>
        <v>995.6</v>
      </c>
      <c r="O351" s="708">
        <f t="shared" si="63"/>
        <v>0</v>
      </c>
      <c r="P351" s="708">
        <f t="shared" si="63"/>
        <v>995.6</v>
      </c>
      <c r="Q351" s="708">
        <f t="shared" si="63"/>
        <v>0</v>
      </c>
      <c r="R351" s="708">
        <f t="shared" si="63"/>
        <v>995.6</v>
      </c>
      <c r="S351" s="708">
        <f t="shared" si="63"/>
        <v>0</v>
      </c>
      <c r="T351" s="708">
        <f t="shared" si="63"/>
        <v>0</v>
      </c>
      <c r="U351" s="708">
        <f t="shared" si="63"/>
        <v>0</v>
      </c>
      <c r="V351" s="708">
        <f t="shared" si="63"/>
        <v>0</v>
      </c>
      <c r="W351" s="708">
        <f t="shared" si="63"/>
        <v>0</v>
      </c>
      <c r="X351" s="708">
        <f t="shared" si="63"/>
        <v>0</v>
      </c>
      <c r="Y351" s="708">
        <f t="shared" si="63"/>
        <v>2825</v>
      </c>
      <c r="Z351" s="708">
        <f t="shared" si="63"/>
        <v>8184</v>
      </c>
      <c r="AA351" s="708">
        <f t="shared" si="63"/>
        <v>11</v>
      </c>
      <c r="AB351" s="92"/>
      <c r="AC351" s="92"/>
      <c r="AD351" s="193" t="s">
        <v>242</v>
      </c>
      <c r="AE351" s="193" t="s">
        <v>243</v>
      </c>
      <c r="AF351" s="146" t="s">
        <v>195</v>
      </c>
      <c r="AG351" s="92"/>
    </row>
    <row r="352" ht="24.95" customHeight="1" spans="1:33">
      <c r="A352" s="705"/>
      <c r="B352" s="781" t="s">
        <v>101</v>
      </c>
      <c r="C352" s="146" t="s">
        <v>52</v>
      </c>
      <c r="D352" s="780" t="s">
        <v>147</v>
      </c>
      <c r="E352" s="708">
        <v>1</v>
      </c>
      <c r="F352" s="781" t="s">
        <v>101</v>
      </c>
      <c r="G352" s="92"/>
      <c r="H352" s="92">
        <v>140</v>
      </c>
      <c r="I352" s="92"/>
      <c r="J352" s="92">
        <v>140</v>
      </c>
      <c r="K352" s="92"/>
      <c r="L352" s="92">
        <v>2019.01</v>
      </c>
      <c r="M352" s="92">
        <v>2019.12</v>
      </c>
      <c r="N352" s="92">
        <v>404.5</v>
      </c>
      <c r="O352" s="92"/>
      <c r="P352" s="92">
        <v>404.5</v>
      </c>
      <c r="Q352" s="92"/>
      <c r="R352" s="92">
        <v>404.5</v>
      </c>
      <c r="S352" s="92"/>
      <c r="T352" s="92"/>
      <c r="U352" s="92"/>
      <c r="V352" s="92"/>
      <c r="W352" s="92"/>
      <c r="X352" s="92"/>
      <c r="Y352" s="92">
        <v>70</v>
      </c>
      <c r="Z352" s="92">
        <v>301</v>
      </c>
      <c r="AA352" s="708">
        <v>1</v>
      </c>
      <c r="AB352" s="92"/>
      <c r="AC352" s="92"/>
      <c r="AD352" s="193" t="s">
        <v>244</v>
      </c>
      <c r="AE352" s="193" t="s">
        <v>245</v>
      </c>
      <c r="AF352" s="146" t="s">
        <v>195</v>
      </c>
      <c r="AG352" s="92"/>
    </row>
    <row r="353" ht="24.95" customHeight="1" spans="1:33">
      <c r="A353" s="705"/>
      <c r="B353" s="778" t="s">
        <v>51</v>
      </c>
      <c r="C353" s="146" t="s">
        <v>52</v>
      </c>
      <c r="D353" s="780" t="s">
        <v>147</v>
      </c>
      <c r="E353" s="708">
        <v>1</v>
      </c>
      <c r="F353" s="778" t="s">
        <v>51</v>
      </c>
      <c r="G353" s="92"/>
      <c r="H353" s="92">
        <v>438</v>
      </c>
      <c r="I353" s="92"/>
      <c r="J353" s="92">
        <v>438</v>
      </c>
      <c r="K353" s="92"/>
      <c r="L353" s="92">
        <v>2019.01</v>
      </c>
      <c r="M353" s="92">
        <v>2019.12</v>
      </c>
      <c r="N353" s="92">
        <v>43.8</v>
      </c>
      <c r="O353" s="92"/>
      <c r="P353" s="92">
        <v>43.8</v>
      </c>
      <c r="Q353" s="92"/>
      <c r="R353" s="92">
        <v>43.8</v>
      </c>
      <c r="S353" s="92"/>
      <c r="T353" s="92"/>
      <c r="U353" s="92"/>
      <c r="V353" s="92"/>
      <c r="W353" s="92"/>
      <c r="X353" s="92"/>
      <c r="Y353" s="92">
        <v>219</v>
      </c>
      <c r="Z353" s="92">
        <v>895</v>
      </c>
      <c r="AA353" s="708">
        <v>1</v>
      </c>
      <c r="AB353" s="92"/>
      <c r="AC353" s="92"/>
      <c r="AD353" s="712" t="s">
        <v>169</v>
      </c>
      <c r="AE353" s="56" t="s">
        <v>246</v>
      </c>
      <c r="AF353" s="146" t="s">
        <v>195</v>
      </c>
      <c r="AG353" s="92"/>
    </row>
    <row r="354" ht="24.95" customHeight="1" spans="1:33">
      <c r="A354" s="705"/>
      <c r="B354" s="778" t="s">
        <v>72</v>
      </c>
      <c r="C354" s="146" t="s">
        <v>52</v>
      </c>
      <c r="D354" s="780" t="s">
        <v>147</v>
      </c>
      <c r="E354" s="708">
        <v>1</v>
      </c>
      <c r="F354" s="778" t="s">
        <v>72</v>
      </c>
      <c r="G354" s="92"/>
      <c r="H354" s="92">
        <v>566</v>
      </c>
      <c r="I354" s="92"/>
      <c r="J354" s="92">
        <v>566</v>
      </c>
      <c r="K354" s="92"/>
      <c r="L354" s="92">
        <v>2019.01</v>
      </c>
      <c r="M354" s="92">
        <v>2019.12</v>
      </c>
      <c r="N354" s="92">
        <v>56.6</v>
      </c>
      <c r="O354" s="92"/>
      <c r="P354" s="92">
        <v>56.6</v>
      </c>
      <c r="Q354" s="92"/>
      <c r="R354" s="92">
        <v>56.6</v>
      </c>
      <c r="S354" s="92"/>
      <c r="T354" s="92"/>
      <c r="U354" s="92"/>
      <c r="V354" s="92"/>
      <c r="W354" s="92"/>
      <c r="X354" s="92"/>
      <c r="Y354" s="92">
        <v>248</v>
      </c>
      <c r="Z354" s="92">
        <v>496</v>
      </c>
      <c r="AA354" s="708">
        <v>1</v>
      </c>
      <c r="AB354" s="92"/>
      <c r="AC354" s="92"/>
      <c r="AD354" s="712" t="s">
        <v>247</v>
      </c>
      <c r="AE354" s="56" t="s">
        <v>248</v>
      </c>
      <c r="AF354" s="146" t="s">
        <v>195</v>
      </c>
      <c r="AG354" s="92"/>
    </row>
    <row r="355" ht="24.95" customHeight="1" spans="1:33">
      <c r="A355" s="705"/>
      <c r="B355" s="778" t="s">
        <v>55</v>
      </c>
      <c r="C355" s="146" t="s">
        <v>52</v>
      </c>
      <c r="D355" s="780" t="s">
        <v>147</v>
      </c>
      <c r="E355" s="708">
        <v>1</v>
      </c>
      <c r="F355" s="778" t="s">
        <v>55</v>
      </c>
      <c r="G355" s="92"/>
      <c r="H355" s="92">
        <v>446</v>
      </c>
      <c r="I355" s="92"/>
      <c r="J355" s="92">
        <v>446</v>
      </c>
      <c r="K355" s="92"/>
      <c r="L355" s="92">
        <v>2019.01</v>
      </c>
      <c r="M355" s="92">
        <v>2019.12</v>
      </c>
      <c r="N355" s="92">
        <v>44.6</v>
      </c>
      <c r="O355" s="92"/>
      <c r="P355" s="92">
        <v>44.6</v>
      </c>
      <c r="Q355" s="92"/>
      <c r="R355" s="92">
        <v>44.6</v>
      </c>
      <c r="S355" s="92"/>
      <c r="T355" s="92"/>
      <c r="U355" s="92"/>
      <c r="V355" s="92"/>
      <c r="W355" s="92"/>
      <c r="X355" s="92"/>
      <c r="Y355" s="92">
        <v>223</v>
      </c>
      <c r="Z355" s="92">
        <v>978</v>
      </c>
      <c r="AA355" s="708">
        <v>1</v>
      </c>
      <c r="AB355" s="92"/>
      <c r="AC355" s="92"/>
      <c r="AD355" s="712" t="s">
        <v>209</v>
      </c>
      <c r="AE355" s="56" t="s">
        <v>251</v>
      </c>
      <c r="AF355" s="146" t="s">
        <v>195</v>
      </c>
      <c r="AG355" s="92"/>
    </row>
    <row r="356" ht="24.95" customHeight="1" spans="1:33">
      <c r="A356" s="705"/>
      <c r="B356" s="778" t="s">
        <v>75</v>
      </c>
      <c r="C356" s="146" t="s">
        <v>52</v>
      </c>
      <c r="D356" s="780" t="s">
        <v>147</v>
      </c>
      <c r="E356" s="708">
        <v>1</v>
      </c>
      <c r="F356" s="778" t="s">
        <v>75</v>
      </c>
      <c r="G356" s="92"/>
      <c r="H356" s="92">
        <v>640</v>
      </c>
      <c r="I356" s="92"/>
      <c r="J356" s="92">
        <v>640</v>
      </c>
      <c r="K356" s="92"/>
      <c r="L356" s="92">
        <v>2019.01</v>
      </c>
      <c r="M356" s="92">
        <v>2019.12</v>
      </c>
      <c r="N356" s="92">
        <v>64</v>
      </c>
      <c r="O356" s="92"/>
      <c r="P356" s="92">
        <v>64</v>
      </c>
      <c r="Q356" s="92"/>
      <c r="R356" s="92">
        <v>64</v>
      </c>
      <c r="S356" s="92"/>
      <c r="T356" s="92"/>
      <c r="U356" s="92"/>
      <c r="V356" s="92"/>
      <c r="W356" s="92"/>
      <c r="X356" s="92"/>
      <c r="Y356" s="92">
        <v>320</v>
      </c>
      <c r="Z356" s="92">
        <v>1346</v>
      </c>
      <c r="AA356" s="708">
        <v>1</v>
      </c>
      <c r="AB356" s="92"/>
      <c r="AC356" s="92"/>
      <c r="AD356" s="712" t="s">
        <v>76</v>
      </c>
      <c r="AE356" s="712" t="s">
        <v>252</v>
      </c>
      <c r="AF356" s="146" t="s">
        <v>195</v>
      </c>
      <c r="AG356" s="92"/>
    </row>
    <row r="357" ht="24.95" customHeight="1" spans="1:33">
      <c r="A357" s="705"/>
      <c r="B357" s="778" t="s">
        <v>58</v>
      </c>
      <c r="C357" s="146" t="s">
        <v>52</v>
      </c>
      <c r="D357" s="780" t="s">
        <v>147</v>
      </c>
      <c r="E357" s="708">
        <v>1</v>
      </c>
      <c r="F357" s="778" t="s">
        <v>58</v>
      </c>
      <c r="G357" s="92"/>
      <c r="H357" s="92">
        <v>258</v>
      </c>
      <c r="I357" s="92"/>
      <c r="J357" s="92">
        <v>258</v>
      </c>
      <c r="K357" s="92"/>
      <c r="L357" s="92">
        <v>2019.01</v>
      </c>
      <c r="M357" s="92">
        <v>2019.12</v>
      </c>
      <c r="N357" s="92">
        <v>12.9</v>
      </c>
      <c r="O357" s="92"/>
      <c r="P357" s="92">
        <v>12.9</v>
      </c>
      <c r="Q357" s="92"/>
      <c r="R357" s="92">
        <v>12.9</v>
      </c>
      <c r="S357" s="92"/>
      <c r="T357" s="92"/>
      <c r="U357" s="92"/>
      <c r="V357" s="92"/>
      <c r="W357" s="92"/>
      <c r="X357" s="92"/>
      <c r="Y357" s="92">
        <v>129</v>
      </c>
      <c r="Z357" s="92">
        <v>555</v>
      </c>
      <c r="AA357" s="708">
        <v>1</v>
      </c>
      <c r="AB357" s="92"/>
      <c r="AC357" s="92"/>
      <c r="AD357" s="712" t="s">
        <v>253</v>
      </c>
      <c r="AE357" s="56" t="s">
        <v>254</v>
      </c>
      <c r="AF357" s="146" t="s">
        <v>195</v>
      </c>
      <c r="AG357" s="92"/>
    </row>
    <row r="358" ht="24.95" customHeight="1" spans="1:33">
      <c r="A358" s="705"/>
      <c r="B358" s="778" t="s">
        <v>61</v>
      </c>
      <c r="C358" s="146" t="s">
        <v>52</v>
      </c>
      <c r="D358" s="780" t="s">
        <v>147</v>
      </c>
      <c r="E358" s="708">
        <v>1</v>
      </c>
      <c r="F358" s="778" t="s">
        <v>61</v>
      </c>
      <c r="G358" s="92"/>
      <c r="H358" s="92">
        <v>1826</v>
      </c>
      <c r="I358" s="92"/>
      <c r="J358" s="92">
        <v>1826</v>
      </c>
      <c r="K358" s="92"/>
      <c r="L358" s="92">
        <v>2019.01</v>
      </c>
      <c r="M358" s="92">
        <v>2019.12</v>
      </c>
      <c r="N358" s="92">
        <v>182.6</v>
      </c>
      <c r="O358" s="92"/>
      <c r="P358" s="92">
        <v>182.6</v>
      </c>
      <c r="Q358" s="92"/>
      <c r="R358" s="92">
        <v>182.6</v>
      </c>
      <c r="S358" s="92"/>
      <c r="T358" s="92"/>
      <c r="U358" s="92"/>
      <c r="V358" s="92"/>
      <c r="W358" s="92"/>
      <c r="X358" s="92"/>
      <c r="Y358" s="92">
        <v>913</v>
      </c>
      <c r="Z358" s="92">
        <v>913</v>
      </c>
      <c r="AA358" s="708">
        <v>1</v>
      </c>
      <c r="AB358" s="92"/>
      <c r="AC358" s="92"/>
      <c r="AD358" s="712" t="s">
        <v>255</v>
      </c>
      <c r="AE358" s="56" t="s">
        <v>256</v>
      </c>
      <c r="AF358" s="146" t="s">
        <v>195</v>
      </c>
      <c r="AG358" s="92"/>
    </row>
    <row r="359" ht="24.95" customHeight="1" spans="1:33">
      <c r="A359" s="705"/>
      <c r="B359" s="781" t="s">
        <v>100</v>
      </c>
      <c r="C359" s="146" t="s">
        <v>52</v>
      </c>
      <c r="D359" s="780" t="s">
        <v>147</v>
      </c>
      <c r="E359" s="708">
        <v>1</v>
      </c>
      <c r="F359" s="781" t="s">
        <v>100</v>
      </c>
      <c r="G359" s="92"/>
      <c r="H359" s="92">
        <v>1000</v>
      </c>
      <c r="I359" s="92"/>
      <c r="J359" s="92">
        <v>1000</v>
      </c>
      <c r="K359" s="92"/>
      <c r="L359" s="92">
        <v>2019.01</v>
      </c>
      <c r="M359" s="92">
        <v>2019.12</v>
      </c>
      <c r="N359" s="92">
        <v>100</v>
      </c>
      <c r="O359" s="92"/>
      <c r="P359" s="92">
        <v>100</v>
      </c>
      <c r="Q359" s="92"/>
      <c r="R359" s="92">
        <v>100</v>
      </c>
      <c r="S359" s="92"/>
      <c r="T359" s="92"/>
      <c r="U359" s="92"/>
      <c r="V359" s="92"/>
      <c r="W359" s="92"/>
      <c r="X359" s="92"/>
      <c r="Y359" s="92">
        <v>100</v>
      </c>
      <c r="Z359" s="92">
        <v>421</v>
      </c>
      <c r="AA359" s="708">
        <v>1</v>
      </c>
      <c r="AB359" s="92"/>
      <c r="AC359" s="92"/>
      <c r="AD359" s="743" t="s">
        <v>79</v>
      </c>
      <c r="AE359" s="743" t="s">
        <v>257</v>
      </c>
      <c r="AF359" s="146" t="s">
        <v>195</v>
      </c>
      <c r="AG359" s="92"/>
    </row>
    <row r="360" ht="24.95" customHeight="1" spans="1:33">
      <c r="A360" s="705"/>
      <c r="B360" s="778" t="s">
        <v>114</v>
      </c>
      <c r="C360" s="146" t="s">
        <v>52</v>
      </c>
      <c r="D360" s="780" t="s">
        <v>147</v>
      </c>
      <c r="E360" s="708">
        <v>1</v>
      </c>
      <c r="F360" s="778" t="s">
        <v>114</v>
      </c>
      <c r="G360" s="92"/>
      <c r="H360" s="92">
        <v>46</v>
      </c>
      <c r="I360" s="92"/>
      <c r="J360" s="92">
        <v>46</v>
      </c>
      <c r="K360" s="92"/>
      <c r="L360" s="92">
        <v>2019.01</v>
      </c>
      <c r="M360" s="92">
        <v>2019.12</v>
      </c>
      <c r="N360" s="92">
        <v>4.6</v>
      </c>
      <c r="O360" s="92"/>
      <c r="P360" s="92">
        <v>4.6</v>
      </c>
      <c r="Q360" s="92"/>
      <c r="R360" s="92">
        <v>4.6</v>
      </c>
      <c r="S360" s="92"/>
      <c r="T360" s="92"/>
      <c r="U360" s="92"/>
      <c r="V360" s="92"/>
      <c r="W360" s="92"/>
      <c r="X360" s="92"/>
      <c r="Y360" s="92">
        <v>23</v>
      </c>
      <c r="Z360" s="92">
        <v>99</v>
      </c>
      <c r="AA360" s="708">
        <v>1</v>
      </c>
      <c r="AB360" s="92"/>
      <c r="AC360" s="92"/>
      <c r="AD360" s="712" t="s">
        <v>260</v>
      </c>
      <c r="AE360" s="56" t="s">
        <v>261</v>
      </c>
      <c r="AF360" s="146" t="s">
        <v>195</v>
      </c>
      <c r="AG360" s="92"/>
    </row>
    <row r="361" ht="24.95" customHeight="1" spans="1:33">
      <c r="A361" s="705"/>
      <c r="B361" s="778" t="s">
        <v>64</v>
      </c>
      <c r="C361" s="146" t="s">
        <v>52</v>
      </c>
      <c r="D361" s="780" t="s">
        <v>147</v>
      </c>
      <c r="E361" s="708">
        <v>1</v>
      </c>
      <c r="F361" s="778" t="s">
        <v>64</v>
      </c>
      <c r="G361" s="92"/>
      <c r="H361" s="92">
        <v>440</v>
      </c>
      <c r="I361" s="92"/>
      <c r="J361" s="92">
        <v>440</v>
      </c>
      <c r="K361" s="92"/>
      <c r="L361" s="92">
        <v>2019.01</v>
      </c>
      <c r="M361" s="92">
        <v>2019.12</v>
      </c>
      <c r="N361" s="92">
        <v>44</v>
      </c>
      <c r="O361" s="92"/>
      <c r="P361" s="92">
        <v>44</v>
      </c>
      <c r="Q361" s="92"/>
      <c r="R361" s="92">
        <v>44</v>
      </c>
      <c r="S361" s="92"/>
      <c r="T361" s="92"/>
      <c r="U361" s="92"/>
      <c r="V361" s="92"/>
      <c r="W361" s="92"/>
      <c r="X361" s="92"/>
      <c r="Y361" s="92">
        <v>400</v>
      </c>
      <c r="Z361" s="92">
        <v>1600</v>
      </c>
      <c r="AA361" s="708">
        <v>1</v>
      </c>
      <c r="AB361" s="92"/>
      <c r="AC361" s="92"/>
      <c r="AD361" s="712" t="s">
        <v>185</v>
      </c>
      <c r="AE361" s="56" t="s">
        <v>258</v>
      </c>
      <c r="AF361" s="146" t="s">
        <v>195</v>
      </c>
      <c r="AG361" s="92"/>
    </row>
    <row r="362" ht="24.95" customHeight="1" spans="1:33">
      <c r="A362" s="705"/>
      <c r="B362" s="778" t="s">
        <v>92</v>
      </c>
      <c r="C362" s="146" t="s">
        <v>52</v>
      </c>
      <c r="D362" s="780" t="s">
        <v>147</v>
      </c>
      <c r="E362" s="708">
        <v>1</v>
      </c>
      <c r="F362" s="778" t="s">
        <v>92</v>
      </c>
      <c r="G362" s="92"/>
      <c r="H362" s="92">
        <v>360</v>
      </c>
      <c r="I362" s="92"/>
      <c r="J362" s="92">
        <v>360</v>
      </c>
      <c r="K362" s="92"/>
      <c r="L362" s="92">
        <v>2019.01</v>
      </c>
      <c r="M362" s="92">
        <v>2019.12</v>
      </c>
      <c r="N362" s="92">
        <v>38</v>
      </c>
      <c r="O362" s="92"/>
      <c r="P362" s="92">
        <v>38</v>
      </c>
      <c r="Q362" s="92"/>
      <c r="R362" s="92">
        <v>38</v>
      </c>
      <c r="S362" s="92"/>
      <c r="T362" s="92"/>
      <c r="U362" s="92"/>
      <c r="V362" s="92"/>
      <c r="W362" s="92"/>
      <c r="X362" s="92"/>
      <c r="Y362" s="92">
        <v>180</v>
      </c>
      <c r="Z362" s="92">
        <v>580</v>
      </c>
      <c r="AA362" s="708">
        <v>1</v>
      </c>
      <c r="AB362" s="92"/>
      <c r="AC362" s="92"/>
      <c r="AD362" s="712" t="s">
        <v>262</v>
      </c>
      <c r="AE362" s="56" t="s">
        <v>263</v>
      </c>
      <c r="AF362" s="146" t="s">
        <v>195</v>
      </c>
      <c r="AG362" s="92"/>
    </row>
    <row r="363" ht="24.95" customHeight="1" spans="1:33">
      <c r="A363" s="705"/>
      <c r="B363" s="711" t="s">
        <v>290</v>
      </c>
      <c r="C363" s="146" t="s">
        <v>52</v>
      </c>
      <c r="D363" s="780"/>
      <c r="E363" s="708">
        <f>SUM(E364:E371)</f>
        <v>8</v>
      </c>
      <c r="F363" s="708">
        <f t="shared" ref="F363:AA363" si="64">SUM(F364:F371)</f>
        <v>0</v>
      </c>
      <c r="G363" s="708">
        <f t="shared" si="64"/>
        <v>0</v>
      </c>
      <c r="H363" s="708">
        <f t="shared" si="64"/>
        <v>4270</v>
      </c>
      <c r="I363" s="708">
        <f t="shared" si="64"/>
        <v>0</v>
      </c>
      <c r="J363" s="708">
        <f t="shared" si="64"/>
        <v>4270</v>
      </c>
      <c r="K363" s="708">
        <f t="shared" si="64"/>
        <v>0</v>
      </c>
      <c r="L363" s="708"/>
      <c r="M363" s="708"/>
      <c r="N363" s="708">
        <f t="shared" si="64"/>
        <v>409.3</v>
      </c>
      <c r="O363" s="708">
        <f t="shared" si="64"/>
        <v>0</v>
      </c>
      <c r="P363" s="708">
        <f t="shared" si="64"/>
        <v>409.3</v>
      </c>
      <c r="Q363" s="708">
        <f t="shared" si="64"/>
        <v>0</v>
      </c>
      <c r="R363" s="708">
        <f t="shared" si="64"/>
        <v>409.3</v>
      </c>
      <c r="S363" s="708">
        <f t="shared" si="64"/>
        <v>0</v>
      </c>
      <c r="T363" s="708">
        <f t="shared" si="64"/>
        <v>0</v>
      </c>
      <c r="U363" s="708">
        <f t="shared" si="64"/>
        <v>0</v>
      </c>
      <c r="V363" s="708">
        <f t="shared" si="64"/>
        <v>0</v>
      </c>
      <c r="W363" s="708">
        <f t="shared" si="64"/>
        <v>0</v>
      </c>
      <c r="X363" s="708">
        <f t="shared" si="64"/>
        <v>0</v>
      </c>
      <c r="Y363" s="708">
        <f t="shared" si="64"/>
        <v>2100</v>
      </c>
      <c r="Z363" s="708">
        <f t="shared" si="64"/>
        <v>8089</v>
      </c>
      <c r="AA363" s="708">
        <f t="shared" si="64"/>
        <v>8</v>
      </c>
      <c r="AB363" s="92"/>
      <c r="AC363" s="92"/>
      <c r="AD363" s="193" t="s">
        <v>242</v>
      </c>
      <c r="AE363" s="193" t="s">
        <v>243</v>
      </c>
      <c r="AF363" s="146" t="s">
        <v>195</v>
      </c>
      <c r="AG363" s="92"/>
    </row>
    <row r="364" ht="24.95" customHeight="1" spans="1:33">
      <c r="A364" s="705"/>
      <c r="B364" s="782" t="s">
        <v>51</v>
      </c>
      <c r="C364" s="146" t="s">
        <v>52</v>
      </c>
      <c r="D364" s="753" t="s">
        <v>147</v>
      </c>
      <c r="E364" s="708">
        <v>1</v>
      </c>
      <c r="F364" s="782" t="s">
        <v>51</v>
      </c>
      <c r="G364" s="92"/>
      <c r="H364" s="92">
        <v>490</v>
      </c>
      <c r="I364" s="92"/>
      <c r="J364" s="92">
        <v>490</v>
      </c>
      <c r="K364" s="92"/>
      <c r="L364" s="92">
        <v>2019.01</v>
      </c>
      <c r="M364" s="92">
        <v>2019.12</v>
      </c>
      <c r="N364" s="92">
        <v>58.9</v>
      </c>
      <c r="O364" s="92"/>
      <c r="P364" s="92">
        <v>58.9</v>
      </c>
      <c r="Q364" s="92"/>
      <c r="R364" s="92">
        <v>58.9</v>
      </c>
      <c r="S364" s="92"/>
      <c r="T364" s="92"/>
      <c r="U364" s="92"/>
      <c r="V364" s="92"/>
      <c r="W364" s="92"/>
      <c r="X364" s="92"/>
      <c r="Y364" s="92">
        <v>245</v>
      </c>
      <c r="Z364" s="92">
        <v>831</v>
      </c>
      <c r="AA364" s="708">
        <v>1</v>
      </c>
      <c r="AB364" s="92"/>
      <c r="AC364" s="92"/>
      <c r="AD364" s="712" t="s">
        <v>169</v>
      </c>
      <c r="AE364" s="56" t="s">
        <v>246</v>
      </c>
      <c r="AF364" s="146" t="s">
        <v>195</v>
      </c>
      <c r="AG364" s="92"/>
    </row>
    <row r="365" ht="24.95" customHeight="1" spans="1:33">
      <c r="A365" s="705"/>
      <c r="B365" s="782" t="s">
        <v>72</v>
      </c>
      <c r="C365" s="146" t="s">
        <v>52</v>
      </c>
      <c r="D365" s="753" t="s">
        <v>147</v>
      </c>
      <c r="E365" s="708">
        <v>1</v>
      </c>
      <c r="F365" s="782" t="s">
        <v>72</v>
      </c>
      <c r="G365" s="92"/>
      <c r="H365" s="92">
        <v>566</v>
      </c>
      <c r="I365" s="92"/>
      <c r="J365" s="92">
        <v>566</v>
      </c>
      <c r="K365" s="92"/>
      <c r="L365" s="92">
        <v>2019.01</v>
      </c>
      <c r="M365" s="92">
        <v>2019.12</v>
      </c>
      <c r="N365" s="92">
        <v>28.3</v>
      </c>
      <c r="O365" s="92"/>
      <c r="P365" s="92">
        <v>28.3</v>
      </c>
      <c r="Q365" s="92"/>
      <c r="R365" s="92">
        <v>28.3</v>
      </c>
      <c r="S365" s="92"/>
      <c r="T365" s="92"/>
      <c r="U365" s="92"/>
      <c r="V365" s="92"/>
      <c r="W365" s="92"/>
      <c r="X365" s="92"/>
      <c r="Y365" s="92">
        <v>248</v>
      </c>
      <c r="Z365" s="92">
        <v>1066</v>
      </c>
      <c r="AA365" s="708">
        <v>1</v>
      </c>
      <c r="AB365" s="92"/>
      <c r="AC365" s="92"/>
      <c r="AD365" s="712" t="s">
        <v>247</v>
      </c>
      <c r="AE365" s="56" t="s">
        <v>248</v>
      </c>
      <c r="AF365" s="146" t="s">
        <v>195</v>
      </c>
      <c r="AG365" s="92"/>
    </row>
    <row r="366" ht="24.95" customHeight="1" spans="1:33">
      <c r="A366" s="705"/>
      <c r="B366" s="782" t="s">
        <v>55</v>
      </c>
      <c r="C366" s="146" t="s">
        <v>52</v>
      </c>
      <c r="D366" s="753" t="s">
        <v>147</v>
      </c>
      <c r="E366" s="708">
        <v>1</v>
      </c>
      <c r="F366" s="782" t="s">
        <v>55</v>
      </c>
      <c r="G366" s="92"/>
      <c r="H366" s="92">
        <v>894</v>
      </c>
      <c r="I366" s="92"/>
      <c r="J366" s="92">
        <v>894</v>
      </c>
      <c r="K366" s="92"/>
      <c r="L366" s="92">
        <v>2019.01</v>
      </c>
      <c r="M366" s="92">
        <v>2019.12</v>
      </c>
      <c r="N366" s="92">
        <v>134.1</v>
      </c>
      <c r="O366" s="92"/>
      <c r="P366" s="92">
        <v>134.1</v>
      </c>
      <c r="Q366" s="92"/>
      <c r="R366" s="92">
        <v>134.1</v>
      </c>
      <c r="S366" s="92"/>
      <c r="T366" s="92"/>
      <c r="U366" s="92"/>
      <c r="V366" s="92"/>
      <c r="W366" s="92"/>
      <c r="X366" s="92"/>
      <c r="Y366" s="92">
        <v>447</v>
      </c>
      <c r="Z366" s="92">
        <v>1936</v>
      </c>
      <c r="AA366" s="708">
        <v>1</v>
      </c>
      <c r="AB366" s="92"/>
      <c r="AC366" s="92"/>
      <c r="AD366" s="712" t="s">
        <v>209</v>
      </c>
      <c r="AE366" s="56" t="s">
        <v>251</v>
      </c>
      <c r="AF366" s="146" t="s">
        <v>195</v>
      </c>
      <c r="AG366" s="92"/>
    </row>
    <row r="367" ht="24.95" customHeight="1" spans="1:33">
      <c r="A367" s="705"/>
      <c r="B367" s="778" t="s">
        <v>75</v>
      </c>
      <c r="C367" s="146" t="s">
        <v>52</v>
      </c>
      <c r="D367" s="780" t="s">
        <v>147</v>
      </c>
      <c r="E367" s="708">
        <v>1</v>
      </c>
      <c r="F367" s="778" t="s">
        <v>75</v>
      </c>
      <c r="G367" s="92"/>
      <c r="H367" s="92">
        <v>1280</v>
      </c>
      <c r="I367" s="92"/>
      <c r="J367" s="92">
        <v>1280</v>
      </c>
      <c r="K367" s="92"/>
      <c r="L367" s="92">
        <v>2019.01</v>
      </c>
      <c r="M367" s="92">
        <v>2019.12</v>
      </c>
      <c r="N367" s="92">
        <v>128</v>
      </c>
      <c r="O367" s="92"/>
      <c r="P367" s="92">
        <v>128</v>
      </c>
      <c r="Q367" s="92"/>
      <c r="R367" s="92">
        <v>128</v>
      </c>
      <c r="S367" s="92"/>
      <c r="T367" s="92"/>
      <c r="U367" s="92"/>
      <c r="V367" s="92"/>
      <c r="W367" s="92"/>
      <c r="X367" s="92"/>
      <c r="Y367" s="92">
        <v>640</v>
      </c>
      <c r="Z367" s="92">
        <v>2129</v>
      </c>
      <c r="AA367" s="708">
        <v>1</v>
      </c>
      <c r="AB367" s="92"/>
      <c r="AC367" s="92"/>
      <c r="AD367" s="712" t="s">
        <v>76</v>
      </c>
      <c r="AE367" s="712" t="s">
        <v>252</v>
      </c>
      <c r="AF367" s="146" t="s">
        <v>195</v>
      </c>
      <c r="AG367" s="92"/>
    </row>
    <row r="368" ht="24.95" customHeight="1" spans="1:33">
      <c r="A368" s="705"/>
      <c r="B368" s="782" t="s">
        <v>61</v>
      </c>
      <c r="C368" s="146" t="s">
        <v>52</v>
      </c>
      <c r="D368" s="753" t="s">
        <v>147</v>
      </c>
      <c r="E368" s="708">
        <v>1</v>
      </c>
      <c r="F368" s="782" t="s">
        <v>61</v>
      </c>
      <c r="G368" s="92"/>
      <c r="H368" s="92">
        <v>160</v>
      </c>
      <c r="I368" s="92"/>
      <c r="J368" s="92">
        <v>160</v>
      </c>
      <c r="K368" s="92"/>
      <c r="L368" s="92">
        <v>2019.01</v>
      </c>
      <c r="M368" s="92">
        <v>2019.12</v>
      </c>
      <c r="N368" s="92">
        <v>16</v>
      </c>
      <c r="O368" s="92"/>
      <c r="P368" s="92">
        <v>16</v>
      </c>
      <c r="Q368" s="92"/>
      <c r="R368" s="92">
        <v>16</v>
      </c>
      <c r="S368" s="92"/>
      <c r="T368" s="92"/>
      <c r="U368" s="92"/>
      <c r="V368" s="92"/>
      <c r="W368" s="92"/>
      <c r="X368" s="92"/>
      <c r="Y368" s="92">
        <v>80</v>
      </c>
      <c r="Z368" s="92">
        <v>344</v>
      </c>
      <c r="AA368" s="708">
        <v>1</v>
      </c>
      <c r="AB368" s="92"/>
      <c r="AC368" s="92"/>
      <c r="AD368" s="712" t="s">
        <v>255</v>
      </c>
      <c r="AE368" s="56" t="s">
        <v>256</v>
      </c>
      <c r="AF368" s="146" t="s">
        <v>195</v>
      </c>
      <c r="AG368" s="92"/>
    </row>
    <row r="369" ht="24.95" customHeight="1" spans="1:33">
      <c r="A369" s="705"/>
      <c r="B369" s="781" t="s">
        <v>100</v>
      </c>
      <c r="C369" s="146" t="s">
        <v>52</v>
      </c>
      <c r="D369" s="780" t="s">
        <v>147</v>
      </c>
      <c r="E369" s="708">
        <v>1</v>
      </c>
      <c r="F369" s="781" t="s">
        <v>100</v>
      </c>
      <c r="G369" s="92"/>
      <c r="H369" s="92">
        <v>200</v>
      </c>
      <c r="I369" s="92"/>
      <c r="J369" s="92">
        <v>200</v>
      </c>
      <c r="K369" s="92"/>
      <c r="L369" s="92">
        <v>2019.01</v>
      </c>
      <c r="M369" s="92">
        <v>2019.12</v>
      </c>
      <c r="N369" s="92">
        <v>10</v>
      </c>
      <c r="O369" s="92"/>
      <c r="P369" s="92">
        <v>10</v>
      </c>
      <c r="Q369" s="92"/>
      <c r="R369" s="92">
        <v>10</v>
      </c>
      <c r="S369" s="92"/>
      <c r="T369" s="92"/>
      <c r="U369" s="92"/>
      <c r="V369" s="92"/>
      <c r="W369" s="92"/>
      <c r="X369" s="92"/>
      <c r="Y369" s="92">
        <v>100</v>
      </c>
      <c r="Z369" s="92">
        <v>421</v>
      </c>
      <c r="AA369" s="708">
        <v>1</v>
      </c>
      <c r="AB369" s="92"/>
      <c r="AC369" s="92"/>
      <c r="AD369" s="146" t="s">
        <v>79</v>
      </c>
      <c r="AE369" s="212" t="s">
        <v>257</v>
      </c>
      <c r="AF369" s="146" t="s">
        <v>195</v>
      </c>
      <c r="AG369" s="92"/>
    </row>
    <row r="370" ht="24.95" customHeight="1" spans="1:33">
      <c r="A370" s="705"/>
      <c r="B370" s="778" t="s">
        <v>291</v>
      </c>
      <c r="C370" s="146" t="s">
        <v>52</v>
      </c>
      <c r="D370" s="753" t="s">
        <v>147</v>
      </c>
      <c r="E370" s="708">
        <v>1</v>
      </c>
      <c r="F370" s="778" t="s">
        <v>291</v>
      </c>
      <c r="G370" s="92"/>
      <c r="H370" s="92">
        <v>320</v>
      </c>
      <c r="I370" s="92"/>
      <c r="J370" s="92">
        <v>320</v>
      </c>
      <c r="K370" s="92"/>
      <c r="L370" s="92">
        <v>2019.01</v>
      </c>
      <c r="M370" s="92">
        <v>2019.12</v>
      </c>
      <c r="N370" s="92">
        <v>16</v>
      </c>
      <c r="O370" s="92"/>
      <c r="P370" s="92">
        <v>16</v>
      </c>
      <c r="Q370" s="92"/>
      <c r="R370" s="92">
        <v>16</v>
      </c>
      <c r="S370" s="92"/>
      <c r="T370" s="92"/>
      <c r="U370" s="92"/>
      <c r="V370" s="92"/>
      <c r="W370" s="92"/>
      <c r="X370" s="92"/>
      <c r="Y370" s="92">
        <v>160</v>
      </c>
      <c r="Z370" s="92">
        <v>640</v>
      </c>
      <c r="AA370" s="708">
        <v>1</v>
      </c>
      <c r="AB370" s="92"/>
      <c r="AC370" s="92"/>
      <c r="AD370" s="712" t="s">
        <v>185</v>
      </c>
      <c r="AE370" s="56" t="s">
        <v>258</v>
      </c>
      <c r="AF370" s="146" t="s">
        <v>195</v>
      </c>
      <c r="AG370" s="92"/>
    </row>
    <row r="371" ht="24.95" customHeight="1" spans="1:33">
      <c r="A371" s="705"/>
      <c r="B371" s="782" t="s">
        <v>92</v>
      </c>
      <c r="C371" s="146" t="s">
        <v>52</v>
      </c>
      <c r="D371" s="56" t="s">
        <v>147</v>
      </c>
      <c r="E371" s="708">
        <v>1</v>
      </c>
      <c r="F371" s="782" t="s">
        <v>92</v>
      </c>
      <c r="G371" s="92"/>
      <c r="H371" s="92">
        <v>360</v>
      </c>
      <c r="I371" s="92"/>
      <c r="J371" s="92">
        <v>360</v>
      </c>
      <c r="K371" s="92"/>
      <c r="L371" s="92">
        <v>2019.01</v>
      </c>
      <c r="M371" s="92">
        <v>2019.12</v>
      </c>
      <c r="N371" s="92">
        <v>18</v>
      </c>
      <c r="O371" s="92"/>
      <c r="P371" s="92">
        <v>18</v>
      </c>
      <c r="Q371" s="92"/>
      <c r="R371" s="92">
        <v>18</v>
      </c>
      <c r="S371" s="92"/>
      <c r="T371" s="92"/>
      <c r="U371" s="92"/>
      <c r="V371" s="92"/>
      <c r="W371" s="92"/>
      <c r="X371" s="92"/>
      <c r="Y371" s="92">
        <v>180</v>
      </c>
      <c r="Z371" s="92">
        <v>722</v>
      </c>
      <c r="AA371" s="708">
        <v>1</v>
      </c>
      <c r="AB371" s="92"/>
      <c r="AC371" s="92"/>
      <c r="AD371" s="783" t="s">
        <v>262</v>
      </c>
      <c r="AE371" s="783" t="s">
        <v>263</v>
      </c>
      <c r="AF371" s="146" t="s">
        <v>195</v>
      </c>
      <c r="AG371" s="92"/>
    </row>
    <row r="372" ht="32.1" customHeight="1" spans="1:33">
      <c r="A372" s="705">
        <v>48</v>
      </c>
      <c r="B372" s="706" t="s">
        <v>292</v>
      </c>
      <c r="C372" s="706"/>
      <c r="D372" s="707" t="s">
        <v>147</v>
      </c>
      <c r="E372" s="706">
        <f>E373+E398+E411+E424+E437</f>
        <v>57</v>
      </c>
      <c r="F372" s="706">
        <f t="shared" ref="F372:AA372" si="65">F373+F398+F411+F424+F437</f>
        <v>0</v>
      </c>
      <c r="G372" s="706">
        <f t="shared" si="65"/>
        <v>0</v>
      </c>
      <c r="H372" s="706">
        <f t="shared" si="65"/>
        <v>70466</v>
      </c>
      <c r="I372" s="706">
        <f t="shared" si="65"/>
        <v>0</v>
      </c>
      <c r="J372" s="706">
        <f t="shared" si="65"/>
        <v>70466</v>
      </c>
      <c r="K372" s="706">
        <f t="shared" si="65"/>
        <v>0</v>
      </c>
      <c r="L372" s="706"/>
      <c r="M372" s="706"/>
      <c r="N372" s="706">
        <f t="shared" si="65"/>
        <v>0</v>
      </c>
      <c r="O372" s="706">
        <f t="shared" si="65"/>
        <v>0</v>
      </c>
      <c r="P372" s="706">
        <f t="shared" si="65"/>
        <v>0</v>
      </c>
      <c r="Q372" s="706">
        <f t="shared" si="65"/>
        <v>0</v>
      </c>
      <c r="R372" s="706">
        <f t="shared" si="65"/>
        <v>0</v>
      </c>
      <c r="S372" s="706">
        <f t="shared" si="65"/>
        <v>0</v>
      </c>
      <c r="T372" s="706">
        <f t="shared" si="65"/>
        <v>0</v>
      </c>
      <c r="U372" s="706">
        <f t="shared" si="65"/>
        <v>0</v>
      </c>
      <c r="V372" s="706">
        <f t="shared" si="65"/>
        <v>0</v>
      </c>
      <c r="W372" s="706">
        <f t="shared" si="65"/>
        <v>0</v>
      </c>
      <c r="X372" s="706">
        <f t="shared" si="65"/>
        <v>0</v>
      </c>
      <c r="Y372" s="706">
        <f t="shared" si="65"/>
        <v>32954</v>
      </c>
      <c r="Z372" s="706">
        <f t="shared" si="65"/>
        <v>85002</v>
      </c>
      <c r="AA372" s="706">
        <f t="shared" si="65"/>
        <v>57</v>
      </c>
      <c r="AB372" s="706"/>
      <c r="AC372" s="706"/>
      <c r="AD372" s="706"/>
      <c r="AE372" s="706"/>
      <c r="AF372" s="706" t="s">
        <v>294</v>
      </c>
      <c r="AG372" s="706" t="s">
        <v>41</v>
      </c>
    </row>
    <row r="373" ht="50.25" customHeight="1" spans="1:33">
      <c r="A373" s="705">
        <v>49</v>
      </c>
      <c r="B373" s="708" t="s">
        <v>295</v>
      </c>
      <c r="C373" s="146" t="s">
        <v>52</v>
      </c>
      <c r="D373" s="709" t="s">
        <v>147</v>
      </c>
      <c r="E373" s="708">
        <f>SUM(E374:E385)</f>
        <v>12</v>
      </c>
      <c r="F373" s="708">
        <f t="shared" ref="F373:AA373" si="66">SUM(F374:F385)</f>
        <v>0</v>
      </c>
      <c r="G373" s="708">
        <f t="shared" si="66"/>
        <v>0</v>
      </c>
      <c r="H373" s="708">
        <f t="shared" si="66"/>
        <v>16150</v>
      </c>
      <c r="I373" s="708">
        <f t="shared" si="66"/>
        <v>0</v>
      </c>
      <c r="J373" s="708">
        <f t="shared" si="66"/>
        <v>16150</v>
      </c>
      <c r="K373" s="708">
        <f t="shared" si="66"/>
        <v>0</v>
      </c>
      <c r="L373" s="708"/>
      <c r="M373" s="708"/>
      <c r="N373" s="708">
        <f t="shared" si="66"/>
        <v>0</v>
      </c>
      <c r="O373" s="708">
        <f t="shared" si="66"/>
        <v>0</v>
      </c>
      <c r="P373" s="708">
        <f t="shared" si="66"/>
        <v>0</v>
      </c>
      <c r="Q373" s="708">
        <f t="shared" si="66"/>
        <v>0</v>
      </c>
      <c r="R373" s="708">
        <f t="shared" si="66"/>
        <v>0</v>
      </c>
      <c r="S373" s="708">
        <f t="shared" si="66"/>
        <v>0</v>
      </c>
      <c r="T373" s="708">
        <f t="shared" si="66"/>
        <v>0</v>
      </c>
      <c r="U373" s="708">
        <f t="shared" si="66"/>
        <v>0</v>
      </c>
      <c r="V373" s="708">
        <f t="shared" si="66"/>
        <v>0</v>
      </c>
      <c r="W373" s="708">
        <f t="shared" si="66"/>
        <v>0</v>
      </c>
      <c r="X373" s="708">
        <f t="shared" si="66"/>
        <v>0</v>
      </c>
      <c r="Y373" s="708">
        <f t="shared" si="66"/>
        <v>10876</v>
      </c>
      <c r="Z373" s="708">
        <f t="shared" si="66"/>
        <v>23403</v>
      </c>
      <c r="AA373" s="708">
        <f t="shared" si="66"/>
        <v>12</v>
      </c>
      <c r="AB373" s="708"/>
      <c r="AC373" s="708"/>
      <c r="AD373" s="784" t="s">
        <v>296</v>
      </c>
      <c r="AE373" s="146" t="s">
        <v>297</v>
      </c>
      <c r="AF373" s="438" t="s">
        <v>294</v>
      </c>
      <c r="AG373" s="708" t="s">
        <v>41</v>
      </c>
    </row>
    <row r="374" ht="29" customHeight="1" spans="1:33">
      <c r="A374" s="705"/>
      <c r="B374" s="714" t="s">
        <v>101</v>
      </c>
      <c r="C374" s="146" t="s">
        <v>52</v>
      </c>
      <c r="D374" s="709" t="s">
        <v>147</v>
      </c>
      <c r="E374" s="708">
        <v>1</v>
      </c>
      <c r="F374" s="714" t="s">
        <v>101</v>
      </c>
      <c r="G374" s="708"/>
      <c r="H374" s="708">
        <v>1303</v>
      </c>
      <c r="I374" s="92"/>
      <c r="J374" s="708">
        <v>1303</v>
      </c>
      <c r="K374" s="708"/>
      <c r="L374" s="92">
        <v>2019.01</v>
      </c>
      <c r="M374" s="92">
        <v>2019.12</v>
      </c>
      <c r="N374" s="726"/>
      <c r="O374" s="726"/>
      <c r="P374" s="726"/>
      <c r="Q374" s="726"/>
      <c r="R374" s="726"/>
      <c r="S374" s="726"/>
      <c r="T374" s="726"/>
      <c r="U374" s="726"/>
      <c r="V374" s="726"/>
      <c r="W374" s="726"/>
      <c r="X374" s="726"/>
      <c r="Y374" s="763">
        <v>862</v>
      </c>
      <c r="Z374" s="763">
        <v>3974</v>
      </c>
      <c r="AA374" s="708">
        <v>1</v>
      </c>
      <c r="AB374" s="708"/>
      <c r="AC374" s="708"/>
      <c r="AD374" s="146" t="s">
        <v>298</v>
      </c>
      <c r="AE374" s="146" t="s">
        <v>299</v>
      </c>
      <c r="AF374" s="438" t="s">
        <v>294</v>
      </c>
      <c r="AG374" s="708"/>
    </row>
    <row r="375" ht="29" customHeight="1" spans="1:33">
      <c r="A375" s="705"/>
      <c r="B375" s="714" t="s">
        <v>151</v>
      </c>
      <c r="C375" s="146" t="s">
        <v>52</v>
      </c>
      <c r="D375" s="709" t="s">
        <v>147</v>
      </c>
      <c r="E375" s="708">
        <v>1</v>
      </c>
      <c r="F375" s="714" t="s">
        <v>151</v>
      </c>
      <c r="G375" s="708"/>
      <c r="H375" s="708">
        <v>446</v>
      </c>
      <c r="I375" s="92"/>
      <c r="J375" s="708">
        <v>446</v>
      </c>
      <c r="K375" s="708"/>
      <c r="L375" s="92">
        <v>2019.01</v>
      </c>
      <c r="M375" s="92">
        <v>2019.12</v>
      </c>
      <c r="N375" s="726"/>
      <c r="O375" s="726"/>
      <c r="P375" s="726"/>
      <c r="Q375" s="726"/>
      <c r="R375" s="726"/>
      <c r="S375" s="726"/>
      <c r="T375" s="726"/>
      <c r="U375" s="726"/>
      <c r="V375" s="726"/>
      <c r="W375" s="726"/>
      <c r="X375" s="726"/>
      <c r="Y375" s="763">
        <v>400</v>
      </c>
      <c r="Z375" s="763">
        <v>446</v>
      </c>
      <c r="AA375" s="708">
        <v>1</v>
      </c>
      <c r="AB375" s="708"/>
      <c r="AC375" s="708"/>
      <c r="AD375" s="146" t="s">
        <v>300</v>
      </c>
      <c r="AE375" s="146" t="s">
        <v>301</v>
      </c>
      <c r="AF375" s="438" t="s">
        <v>294</v>
      </c>
      <c r="AG375" s="708"/>
    </row>
    <row r="376" ht="29" customHeight="1" spans="1:33">
      <c r="A376" s="705"/>
      <c r="B376" s="714" t="s">
        <v>154</v>
      </c>
      <c r="C376" s="146" t="s">
        <v>52</v>
      </c>
      <c r="D376" s="709" t="s">
        <v>147</v>
      </c>
      <c r="E376" s="708">
        <v>1</v>
      </c>
      <c r="F376" s="714" t="s">
        <v>154</v>
      </c>
      <c r="G376" s="708"/>
      <c r="H376" s="708">
        <v>1810</v>
      </c>
      <c r="I376" s="92"/>
      <c r="J376" s="708">
        <v>1810</v>
      </c>
      <c r="K376" s="708"/>
      <c r="L376" s="92">
        <v>2019.01</v>
      </c>
      <c r="M376" s="92">
        <v>2019.12</v>
      </c>
      <c r="N376" s="726"/>
      <c r="O376" s="726"/>
      <c r="P376" s="726"/>
      <c r="Q376" s="726"/>
      <c r="R376" s="726"/>
      <c r="S376" s="726"/>
      <c r="T376" s="726"/>
      <c r="U376" s="726"/>
      <c r="V376" s="726"/>
      <c r="W376" s="726"/>
      <c r="X376" s="726"/>
      <c r="Y376" s="763">
        <v>990</v>
      </c>
      <c r="Z376" s="763">
        <v>1810</v>
      </c>
      <c r="AA376" s="708">
        <v>1</v>
      </c>
      <c r="AB376" s="708"/>
      <c r="AC376" s="708"/>
      <c r="AD376" s="146" t="s">
        <v>247</v>
      </c>
      <c r="AE376" s="146" t="s">
        <v>302</v>
      </c>
      <c r="AF376" s="438" t="s">
        <v>294</v>
      </c>
      <c r="AG376" s="708"/>
    </row>
    <row r="377" ht="29" customHeight="1" spans="1:33">
      <c r="A377" s="705"/>
      <c r="B377" s="714" t="s">
        <v>81</v>
      </c>
      <c r="C377" s="146" t="s">
        <v>52</v>
      </c>
      <c r="D377" s="709" t="s">
        <v>147</v>
      </c>
      <c r="E377" s="708">
        <v>1</v>
      </c>
      <c r="F377" s="714" t="s">
        <v>81</v>
      </c>
      <c r="G377" s="708"/>
      <c r="H377" s="708">
        <v>1071</v>
      </c>
      <c r="I377" s="92"/>
      <c r="J377" s="708">
        <v>1071</v>
      </c>
      <c r="K377" s="708"/>
      <c r="L377" s="92">
        <v>2019.01</v>
      </c>
      <c r="M377" s="92">
        <v>2019.12</v>
      </c>
      <c r="N377" s="726"/>
      <c r="O377" s="726"/>
      <c r="P377" s="726"/>
      <c r="Q377" s="726"/>
      <c r="R377" s="726"/>
      <c r="S377" s="726"/>
      <c r="T377" s="726"/>
      <c r="U377" s="726"/>
      <c r="V377" s="726"/>
      <c r="W377" s="726"/>
      <c r="X377" s="726"/>
      <c r="Y377" s="763">
        <v>718</v>
      </c>
      <c r="Z377" s="763">
        <v>1071</v>
      </c>
      <c r="AA377" s="708">
        <v>1</v>
      </c>
      <c r="AB377" s="708"/>
      <c r="AC377" s="708"/>
      <c r="AD377" s="146" t="s">
        <v>303</v>
      </c>
      <c r="AE377" s="146" t="s">
        <v>304</v>
      </c>
      <c r="AF377" s="438" t="s">
        <v>294</v>
      </c>
      <c r="AG377" s="708"/>
    </row>
    <row r="378" ht="29" customHeight="1" spans="1:33">
      <c r="A378" s="705"/>
      <c r="B378" s="714" t="s">
        <v>98</v>
      </c>
      <c r="C378" s="146" t="s">
        <v>52</v>
      </c>
      <c r="D378" s="709" t="s">
        <v>147</v>
      </c>
      <c r="E378" s="708">
        <v>1</v>
      </c>
      <c r="F378" s="714" t="s">
        <v>98</v>
      </c>
      <c r="G378" s="708"/>
      <c r="H378" s="708">
        <v>2195</v>
      </c>
      <c r="I378" s="92"/>
      <c r="J378" s="708">
        <v>2195</v>
      </c>
      <c r="K378" s="708"/>
      <c r="L378" s="92">
        <v>2019.01</v>
      </c>
      <c r="M378" s="92">
        <v>2019.12</v>
      </c>
      <c r="N378" s="726"/>
      <c r="O378" s="726"/>
      <c r="P378" s="726"/>
      <c r="Q378" s="726"/>
      <c r="R378" s="726"/>
      <c r="S378" s="726"/>
      <c r="T378" s="726"/>
      <c r="U378" s="726"/>
      <c r="V378" s="726"/>
      <c r="W378" s="726"/>
      <c r="X378" s="726"/>
      <c r="Y378" s="763">
        <v>1352</v>
      </c>
      <c r="Z378" s="763">
        <v>6593</v>
      </c>
      <c r="AA378" s="708">
        <v>1</v>
      </c>
      <c r="AB378" s="708"/>
      <c r="AC378" s="708"/>
      <c r="AD378" s="146" t="s">
        <v>305</v>
      </c>
      <c r="AE378" s="146" t="s">
        <v>306</v>
      </c>
      <c r="AF378" s="438" t="s">
        <v>294</v>
      </c>
      <c r="AG378" s="708"/>
    </row>
    <row r="379" ht="29" customHeight="1" spans="1:33">
      <c r="A379" s="705"/>
      <c r="B379" s="714" t="s">
        <v>211</v>
      </c>
      <c r="C379" s="146" t="s">
        <v>52</v>
      </c>
      <c r="D379" s="709" t="s">
        <v>147</v>
      </c>
      <c r="E379" s="708">
        <v>1</v>
      </c>
      <c r="F379" s="714" t="s">
        <v>211</v>
      </c>
      <c r="G379" s="708"/>
      <c r="H379" s="708">
        <v>1885</v>
      </c>
      <c r="I379" s="92"/>
      <c r="J379" s="708">
        <v>1885</v>
      </c>
      <c r="K379" s="708"/>
      <c r="L379" s="92">
        <v>2019.01</v>
      </c>
      <c r="M379" s="92">
        <v>2019.12</v>
      </c>
      <c r="N379" s="726"/>
      <c r="O379" s="726"/>
      <c r="P379" s="726"/>
      <c r="Q379" s="726"/>
      <c r="R379" s="726"/>
      <c r="S379" s="726"/>
      <c r="T379" s="726"/>
      <c r="U379" s="726"/>
      <c r="V379" s="726"/>
      <c r="W379" s="726"/>
      <c r="X379" s="726"/>
      <c r="Y379" s="763">
        <v>998</v>
      </c>
      <c r="Z379" s="763">
        <v>1885</v>
      </c>
      <c r="AA379" s="708">
        <v>1</v>
      </c>
      <c r="AB379" s="708"/>
      <c r="AC379" s="708"/>
      <c r="AD379" s="146" t="s">
        <v>307</v>
      </c>
      <c r="AE379" s="146" t="s">
        <v>308</v>
      </c>
      <c r="AF379" s="438" t="s">
        <v>294</v>
      </c>
      <c r="AG379" s="708"/>
    </row>
    <row r="380" ht="29" customHeight="1" spans="1:33">
      <c r="A380" s="705"/>
      <c r="B380" s="714" t="s">
        <v>155</v>
      </c>
      <c r="C380" s="146" t="s">
        <v>52</v>
      </c>
      <c r="D380" s="709" t="s">
        <v>147</v>
      </c>
      <c r="E380" s="708">
        <v>1</v>
      </c>
      <c r="F380" s="714" t="s">
        <v>155</v>
      </c>
      <c r="G380" s="708"/>
      <c r="H380" s="708">
        <v>792</v>
      </c>
      <c r="I380" s="92"/>
      <c r="J380" s="708">
        <v>792</v>
      </c>
      <c r="K380" s="708"/>
      <c r="L380" s="92">
        <v>2019.01</v>
      </c>
      <c r="M380" s="92">
        <v>2019.12</v>
      </c>
      <c r="N380" s="726"/>
      <c r="O380" s="726"/>
      <c r="P380" s="726"/>
      <c r="Q380" s="726"/>
      <c r="R380" s="726"/>
      <c r="S380" s="726"/>
      <c r="T380" s="726"/>
      <c r="U380" s="726"/>
      <c r="V380" s="726"/>
      <c r="W380" s="726"/>
      <c r="X380" s="726"/>
      <c r="Y380" s="763">
        <v>432</v>
      </c>
      <c r="Z380" s="763">
        <v>792</v>
      </c>
      <c r="AA380" s="708">
        <v>1</v>
      </c>
      <c r="AB380" s="708"/>
      <c r="AC380" s="708"/>
      <c r="AD380" s="146" t="s">
        <v>309</v>
      </c>
      <c r="AE380" s="146" t="s">
        <v>310</v>
      </c>
      <c r="AF380" s="438" t="s">
        <v>294</v>
      </c>
      <c r="AG380" s="708"/>
    </row>
    <row r="381" ht="29" customHeight="1" spans="1:33">
      <c r="A381" s="705"/>
      <c r="B381" s="714" t="s">
        <v>102</v>
      </c>
      <c r="C381" s="146" t="s">
        <v>52</v>
      </c>
      <c r="D381" s="709" t="s">
        <v>147</v>
      </c>
      <c r="E381" s="708">
        <v>1</v>
      </c>
      <c r="F381" s="714" t="s">
        <v>102</v>
      </c>
      <c r="G381" s="708"/>
      <c r="H381" s="92">
        <v>2320</v>
      </c>
      <c r="I381" s="92"/>
      <c r="J381" s="92">
        <v>2320</v>
      </c>
      <c r="K381" s="708"/>
      <c r="L381" s="92">
        <v>2019.01</v>
      </c>
      <c r="M381" s="92">
        <v>2019.12</v>
      </c>
      <c r="N381" s="726"/>
      <c r="O381" s="726"/>
      <c r="P381" s="726"/>
      <c r="Q381" s="726"/>
      <c r="R381" s="726"/>
      <c r="S381" s="726"/>
      <c r="T381" s="726"/>
      <c r="U381" s="726"/>
      <c r="V381" s="726"/>
      <c r="W381" s="726"/>
      <c r="X381" s="726"/>
      <c r="Y381" s="763">
        <v>2144</v>
      </c>
      <c r="Z381" s="763">
        <v>2323</v>
      </c>
      <c r="AA381" s="708">
        <v>1</v>
      </c>
      <c r="AB381" s="708"/>
      <c r="AC381" s="708"/>
      <c r="AD381" s="146" t="s">
        <v>215</v>
      </c>
      <c r="AE381" s="146" t="s">
        <v>311</v>
      </c>
      <c r="AF381" s="438" t="s">
        <v>294</v>
      </c>
      <c r="AG381" s="708"/>
    </row>
    <row r="382" ht="24.95" customHeight="1" spans="1:33">
      <c r="A382" s="705">
        <v>50</v>
      </c>
      <c r="B382" s="714" t="s">
        <v>100</v>
      </c>
      <c r="C382" s="146" t="s">
        <v>52</v>
      </c>
      <c r="D382" s="709" t="s">
        <v>147</v>
      </c>
      <c r="E382" s="708">
        <v>1</v>
      </c>
      <c r="F382" s="714" t="s">
        <v>100</v>
      </c>
      <c r="G382" s="92"/>
      <c r="H382" s="92">
        <v>2162</v>
      </c>
      <c r="I382" s="92"/>
      <c r="J382" s="92">
        <v>2162</v>
      </c>
      <c r="K382" s="92"/>
      <c r="L382" s="92">
        <v>2019.01</v>
      </c>
      <c r="M382" s="92">
        <v>2019.12</v>
      </c>
      <c r="N382" s="724"/>
      <c r="O382" s="724"/>
      <c r="P382" s="724"/>
      <c r="Q382" s="724"/>
      <c r="R382" s="724"/>
      <c r="S382" s="724"/>
      <c r="T382" s="724"/>
      <c r="U382" s="724"/>
      <c r="V382" s="724"/>
      <c r="W382" s="724"/>
      <c r="X382" s="724"/>
      <c r="Y382" s="738">
        <v>1232</v>
      </c>
      <c r="Z382" s="738">
        <v>2162</v>
      </c>
      <c r="AA382" s="708">
        <v>1</v>
      </c>
      <c r="AB382" s="92"/>
      <c r="AC382" s="92"/>
      <c r="AD382" s="146" t="s">
        <v>312</v>
      </c>
      <c r="AE382" s="146" t="s">
        <v>313</v>
      </c>
      <c r="AF382" s="438" t="s">
        <v>294</v>
      </c>
      <c r="AG382" s="92"/>
    </row>
    <row r="383" ht="24.95" customHeight="1" spans="1:33">
      <c r="A383" s="705" t="s">
        <v>48</v>
      </c>
      <c r="B383" s="714" t="s">
        <v>84</v>
      </c>
      <c r="C383" s="146" t="s">
        <v>52</v>
      </c>
      <c r="D383" s="709" t="s">
        <v>147</v>
      </c>
      <c r="E383" s="708">
        <v>1</v>
      </c>
      <c r="F383" s="714" t="s">
        <v>84</v>
      </c>
      <c r="G383" s="92"/>
      <c r="H383" s="92">
        <v>1111</v>
      </c>
      <c r="I383" s="92"/>
      <c r="J383" s="92">
        <v>1111</v>
      </c>
      <c r="K383" s="92"/>
      <c r="L383" s="92">
        <v>2019.01</v>
      </c>
      <c r="M383" s="92">
        <v>2019.12</v>
      </c>
      <c r="N383" s="92"/>
      <c r="O383" s="92"/>
      <c r="P383" s="92"/>
      <c r="Q383" s="92"/>
      <c r="R383" s="92"/>
      <c r="S383" s="92"/>
      <c r="T383" s="92"/>
      <c r="U383" s="92"/>
      <c r="V383" s="92"/>
      <c r="W383" s="92"/>
      <c r="X383" s="92"/>
      <c r="Y383" s="738">
        <v>703</v>
      </c>
      <c r="Z383" s="738">
        <v>1111</v>
      </c>
      <c r="AA383" s="708">
        <v>1</v>
      </c>
      <c r="AB383" s="92"/>
      <c r="AC383" s="92"/>
      <c r="AD383" s="146" t="s">
        <v>185</v>
      </c>
      <c r="AE383" s="146" t="s">
        <v>314</v>
      </c>
      <c r="AF383" s="438" t="s">
        <v>294</v>
      </c>
      <c r="AG383" s="92"/>
    </row>
    <row r="384" ht="24.95" customHeight="1" spans="1:33">
      <c r="A384" s="705">
        <v>51</v>
      </c>
      <c r="B384" s="714" t="s">
        <v>259</v>
      </c>
      <c r="C384" s="146" t="s">
        <v>52</v>
      </c>
      <c r="D384" s="709" t="s">
        <v>147</v>
      </c>
      <c r="E384" s="708">
        <v>1</v>
      </c>
      <c r="F384" s="714" t="s">
        <v>259</v>
      </c>
      <c r="G384" s="92"/>
      <c r="H384" s="92">
        <v>232</v>
      </c>
      <c r="I384" s="92"/>
      <c r="J384" s="92">
        <v>232</v>
      </c>
      <c r="K384" s="92"/>
      <c r="L384" s="92">
        <v>2019.01</v>
      </c>
      <c r="M384" s="92">
        <v>2019.12</v>
      </c>
      <c r="N384" s="724"/>
      <c r="O384" s="724"/>
      <c r="P384" s="724"/>
      <c r="Q384" s="724"/>
      <c r="R384" s="724"/>
      <c r="S384" s="724"/>
      <c r="T384" s="724"/>
      <c r="U384" s="724"/>
      <c r="V384" s="724"/>
      <c r="W384" s="724"/>
      <c r="X384" s="724"/>
      <c r="Y384" s="738">
        <v>150</v>
      </c>
      <c r="Z384" s="738">
        <v>232</v>
      </c>
      <c r="AA384" s="708">
        <v>1</v>
      </c>
      <c r="AB384" s="92"/>
      <c r="AC384" s="92"/>
      <c r="AD384" s="146" t="s">
        <v>315</v>
      </c>
      <c r="AE384" s="146" t="s">
        <v>316</v>
      </c>
      <c r="AF384" s="438" t="s">
        <v>294</v>
      </c>
      <c r="AG384" s="92"/>
    </row>
    <row r="385" ht="24.95" customHeight="1" spans="1:33">
      <c r="A385" s="705" t="s">
        <v>48</v>
      </c>
      <c r="B385" s="714" t="s">
        <v>143</v>
      </c>
      <c r="C385" s="146" t="s">
        <v>52</v>
      </c>
      <c r="D385" s="709" t="s">
        <v>147</v>
      </c>
      <c r="E385" s="708">
        <v>1</v>
      </c>
      <c r="F385" s="714" t="s">
        <v>143</v>
      </c>
      <c r="G385" s="92"/>
      <c r="H385" s="708">
        <v>823</v>
      </c>
      <c r="I385" s="92"/>
      <c r="J385" s="708">
        <v>823</v>
      </c>
      <c r="K385" s="92"/>
      <c r="L385" s="92">
        <v>2019.01</v>
      </c>
      <c r="M385" s="92">
        <v>2019.12</v>
      </c>
      <c r="N385" s="724"/>
      <c r="O385" s="724"/>
      <c r="P385" s="724"/>
      <c r="Q385" s="724"/>
      <c r="R385" s="724"/>
      <c r="S385" s="724"/>
      <c r="T385" s="724"/>
      <c r="U385" s="724"/>
      <c r="V385" s="724"/>
      <c r="W385" s="724"/>
      <c r="X385" s="724"/>
      <c r="Y385" s="738">
        <v>895</v>
      </c>
      <c r="Z385" s="738">
        <v>1004</v>
      </c>
      <c r="AA385" s="708">
        <v>1</v>
      </c>
      <c r="AB385" s="92"/>
      <c r="AC385" s="92"/>
      <c r="AD385" s="146" t="s">
        <v>317</v>
      </c>
      <c r="AE385" s="146" t="s">
        <v>318</v>
      </c>
      <c r="AF385" s="438" t="s">
        <v>294</v>
      </c>
      <c r="AG385" s="92"/>
    </row>
    <row r="386" ht="24.95" customHeight="1" spans="1:33">
      <c r="A386" s="705">
        <v>52</v>
      </c>
      <c r="B386" s="750" t="s">
        <v>319</v>
      </c>
      <c r="C386" s="146" t="s">
        <v>320</v>
      </c>
      <c r="D386" s="152" t="s">
        <v>147</v>
      </c>
      <c r="E386" s="708">
        <f>SUM(E387:E397)</f>
        <v>11</v>
      </c>
      <c r="F386" s="708">
        <f t="shared" ref="F386:AA386" si="67">SUM(F387:F397)</f>
        <v>0</v>
      </c>
      <c r="G386" s="708">
        <f t="shared" si="67"/>
        <v>0</v>
      </c>
      <c r="H386" s="708">
        <f t="shared" si="67"/>
        <v>3443</v>
      </c>
      <c r="I386" s="708">
        <f t="shared" si="67"/>
        <v>0</v>
      </c>
      <c r="J386" s="708">
        <f t="shared" si="67"/>
        <v>3443</v>
      </c>
      <c r="K386" s="708">
        <f t="shared" si="67"/>
        <v>0</v>
      </c>
      <c r="L386" s="708"/>
      <c r="M386" s="708"/>
      <c r="N386" s="708">
        <f t="shared" si="67"/>
        <v>0</v>
      </c>
      <c r="O386" s="708">
        <f t="shared" si="67"/>
        <v>0</v>
      </c>
      <c r="P386" s="708">
        <f t="shared" si="67"/>
        <v>0</v>
      </c>
      <c r="Q386" s="708">
        <f t="shared" si="67"/>
        <v>0</v>
      </c>
      <c r="R386" s="708">
        <f t="shared" si="67"/>
        <v>0</v>
      </c>
      <c r="S386" s="708">
        <f t="shared" si="67"/>
        <v>0</v>
      </c>
      <c r="T386" s="708">
        <f t="shared" si="67"/>
        <v>0</v>
      </c>
      <c r="U386" s="708">
        <f t="shared" si="67"/>
        <v>0</v>
      </c>
      <c r="V386" s="708">
        <f t="shared" si="67"/>
        <v>0</v>
      </c>
      <c r="W386" s="708">
        <f t="shared" si="67"/>
        <v>0</v>
      </c>
      <c r="X386" s="708">
        <f t="shared" si="67"/>
        <v>0</v>
      </c>
      <c r="Y386" s="708">
        <f t="shared" si="67"/>
        <v>2801</v>
      </c>
      <c r="Z386" s="708">
        <f t="shared" si="67"/>
        <v>7695</v>
      </c>
      <c r="AA386" s="708">
        <f t="shared" si="67"/>
        <v>11</v>
      </c>
      <c r="AB386" s="708"/>
      <c r="AC386" s="708"/>
      <c r="AD386" s="784" t="s">
        <v>296</v>
      </c>
      <c r="AE386" s="146" t="s">
        <v>297</v>
      </c>
      <c r="AF386" s="438" t="s">
        <v>294</v>
      </c>
      <c r="AG386" s="708" t="s">
        <v>41</v>
      </c>
    </row>
    <row r="387" ht="24.95" customHeight="1" spans="1:33">
      <c r="A387" s="705"/>
      <c r="B387" s="714" t="s">
        <v>101</v>
      </c>
      <c r="C387" s="146" t="s">
        <v>320</v>
      </c>
      <c r="D387" s="152" t="s">
        <v>147</v>
      </c>
      <c r="E387" s="708">
        <v>1</v>
      </c>
      <c r="F387" s="714" t="s">
        <v>101</v>
      </c>
      <c r="G387" s="708"/>
      <c r="H387" s="92">
        <v>263</v>
      </c>
      <c r="I387" s="92"/>
      <c r="J387" s="92">
        <v>263</v>
      </c>
      <c r="K387" s="708"/>
      <c r="L387" s="92">
        <v>2019.01</v>
      </c>
      <c r="M387" s="92">
        <v>2019.12</v>
      </c>
      <c r="N387" s="726"/>
      <c r="O387" s="726"/>
      <c r="P387" s="726"/>
      <c r="Q387" s="726"/>
      <c r="R387" s="726"/>
      <c r="S387" s="726"/>
      <c r="T387" s="726"/>
      <c r="U387" s="726"/>
      <c r="V387" s="726"/>
      <c r="W387" s="726"/>
      <c r="X387" s="726"/>
      <c r="Y387" s="763">
        <v>245</v>
      </c>
      <c r="Z387" s="763">
        <v>1045</v>
      </c>
      <c r="AA387" s="708">
        <v>1</v>
      </c>
      <c r="AB387" s="708"/>
      <c r="AC387" s="708"/>
      <c r="AD387" s="146" t="s">
        <v>298</v>
      </c>
      <c r="AE387" s="146" t="s">
        <v>299</v>
      </c>
      <c r="AF387" s="438" t="s">
        <v>294</v>
      </c>
      <c r="AG387" s="708"/>
    </row>
    <row r="388" ht="24.95" customHeight="1" spans="1:33">
      <c r="A388" s="705"/>
      <c r="B388" s="714" t="s">
        <v>151</v>
      </c>
      <c r="C388" s="146" t="s">
        <v>320</v>
      </c>
      <c r="D388" s="152" t="s">
        <v>147</v>
      </c>
      <c r="E388" s="708">
        <v>1</v>
      </c>
      <c r="F388" s="714" t="s">
        <v>151</v>
      </c>
      <c r="G388" s="708"/>
      <c r="H388" s="92">
        <v>33</v>
      </c>
      <c r="I388" s="92"/>
      <c r="J388" s="92">
        <v>33</v>
      </c>
      <c r="K388" s="708"/>
      <c r="L388" s="92">
        <v>2019.01</v>
      </c>
      <c r="M388" s="92">
        <v>2019.12</v>
      </c>
      <c r="N388" s="726"/>
      <c r="O388" s="726"/>
      <c r="P388" s="726"/>
      <c r="Q388" s="726"/>
      <c r="R388" s="726"/>
      <c r="S388" s="726"/>
      <c r="T388" s="726"/>
      <c r="U388" s="726"/>
      <c r="V388" s="726"/>
      <c r="W388" s="726"/>
      <c r="X388" s="726"/>
      <c r="Y388" s="763">
        <v>33</v>
      </c>
      <c r="Z388" s="763">
        <v>142</v>
      </c>
      <c r="AA388" s="708">
        <v>1</v>
      </c>
      <c r="AB388" s="708"/>
      <c r="AC388" s="708"/>
      <c r="AD388" s="146" t="s">
        <v>300</v>
      </c>
      <c r="AE388" s="146" t="s">
        <v>301</v>
      </c>
      <c r="AF388" s="438" t="s">
        <v>294</v>
      </c>
      <c r="AG388" s="708"/>
    </row>
    <row r="389" ht="24.95" customHeight="1" spans="1:33">
      <c r="A389" s="705"/>
      <c r="B389" s="714" t="s">
        <v>154</v>
      </c>
      <c r="C389" s="146" t="s">
        <v>320</v>
      </c>
      <c r="D389" s="152" t="s">
        <v>147</v>
      </c>
      <c r="E389" s="708">
        <v>1</v>
      </c>
      <c r="F389" s="714" t="s">
        <v>154</v>
      </c>
      <c r="G389" s="708"/>
      <c r="H389" s="92">
        <v>316</v>
      </c>
      <c r="I389" s="92"/>
      <c r="J389" s="92">
        <v>316</v>
      </c>
      <c r="K389" s="708"/>
      <c r="L389" s="92">
        <v>2019.01</v>
      </c>
      <c r="M389" s="92">
        <v>2019.12</v>
      </c>
      <c r="N389" s="726"/>
      <c r="O389" s="726"/>
      <c r="P389" s="726"/>
      <c r="Q389" s="726"/>
      <c r="R389" s="726"/>
      <c r="S389" s="726"/>
      <c r="T389" s="726"/>
      <c r="U389" s="726"/>
      <c r="V389" s="726"/>
      <c r="W389" s="726"/>
      <c r="X389" s="726"/>
      <c r="Y389" s="763">
        <v>258</v>
      </c>
      <c r="Z389" s="763">
        <v>316</v>
      </c>
      <c r="AA389" s="708">
        <v>1</v>
      </c>
      <c r="AB389" s="708"/>
      <c r="AC389" s="708"/>
      <c r="AD389" s="146" t="s">
        <v>247</v>
      </c>
      <c r="AE389" s="146" t="s">
        <v>302</v>
      </c>
      <c r="AF389" s="438" t="s">
        <v>294</v>
      </c>
      <c r="AG389" s="708"/>
    </row>
    <row r="390" ht="24.95" customHeight="1" spans="1:33">
      <c r="A390" s="705"/>
      <c r="B390" s="714" t="s">
        <v>81</v>
      </c>
      <c r="C390" s="146" t="s">
        <v>320</v>
      </c>
      <c r="D390" s="152" t="s">
        <v>147</v>
      </c>
      <c r="E390" s="708">
        <v>1</v>
      </c>
      <c r="F390" s="714" t="s">
        <v>81</v>
      </c>
      <c r="G390" s="708"/>
      <c r="H390" s="92">
        <v>368</v>
      </c>
      <c r="I390" s="92"/>
      <c r="J390" s="92">
        <v>368</v>
      </c>
      <c r="K390" s="708"/>
      <c r="L390" s="92">
        <v>2019.01</v>
      </c>
      <c r="M390" s="92">
        <v>2019.12</v>
      </c>
      <c r="N390" s="726"/>
      <c r="O390" s="726"/>
      <c r="P390" s="726"/>
      <c r="Q390" s="726"/>
      <c r="R390" s="726"/>
      <c r="S390" s="726"/>
      <c r="T390" s="726"/>
      <c r="U390" s="726"/>
      <c r="V390" s="726"/>
      <c r="W390" s="726"/>
      <c r="X390" s="726"/>
      <c r="Y390" s="763">
        <v>318</v>
      </c>
      <c r="Z390" s="763">
        <v>368</v>
      </c>
      <c r="AA390" s="708">
        <v>1</v>
      </c>
      <c r="AB390" s="708"/>
      <c r="AC390" s="708"/>
      <c r="AD390" s="146" t="s">
        <v>303</v>
      </c>
      <c r="AE390" s="146" t="s">
        <v>304</v>
      </c>
      <c r="AF390" s="438" t="s">
        <v>294</v>
      </c>
      <c r="AG390" s="708"/>
    </row>
    <row r="391" ht="24.95" customHeight="1" spans="1:33">
      <c r="A391" s="705"/>
      <c r="B391" s="714" t="s">
        <v>98</v>
      </c>
      <c r="C391" s="146" t="s">
        <v>320</v>
      </c>
      <c r="D391" s="152" t="s">
        <v>147</v>
      </c>
      <c r="E391" s="708">
        <v>1</v>
      </c>
      <c r="F391" s="714" t="s">
        <v>98</v>
      </c>
      <c r="G391" s="708"/>
      <c r="H391" s="92">
        <v>1153</v>
      </c>
      <c r="I391" s="92"/>
      <c r="J391" s="92">
        <v>1153</v>
      </c>
      <c r="K391" s="708"/>
      <c r="L391" s="92">
        <v>2019.01</v>
      </c>
      <c r="M391" s="92">
        <v>2019.12</v>
      </c>
      <c r="N391" s="726"/>
      <c r="O391" s="726"/>
      <c r="P391" s="726"/>
      <c r="Q391" s="726"/>
      <c r="R391" s="726"/>
      <c r="S391" s="726"/>
      <c r="T391" s="726"/>
      <c r="U391" s="726"/>
      <c r="V391" s="726"/>
      <c r="W391" s="726"/>
      <c r="X391" s="726"/>
      <c r="Y391" s="763">
        <v>1024</v>
      </c>
      <c r="Z391" s="763">
        <v>4758</v>
      </c>
      <c r="AA391" s="708">
        <v>1</v>
      </c>
      <c r="AB391" s="708"/>
      <c r="AC391" s="708"/>
      <c r="AD391" s="146" t="s">
        <v>305</v>
      </c>
      <c r="AE391" s="146" t="s">
        <v>306</v>
      </c>
      <c r="AF391" s="438" t="s">
        <v>294</v>
      </c>
      <c r="AG391" s="708"/>
    </row>
    <row r="392" ht="24.95" customHeight="1" spans="1:33">
      <c r="A392" s="705"/>
      <c r="B392" s="714" t="s">
        <v>211</v>
      </c>
      <c r="C392" s="146" t="s">
        <v>320</v>
      </c>
      <c r="D392" s="152" t="s">
        <v>147</v>
      </c>
      <c r="E392" s="708">
        <v>1</v>
      </c>
      <c r="F392" s="714" t="s">
        <v>211</v>
      </c>
      <c r="G392" s="708"/>
      <c r="H392" s="92">
        <v>427</v>
      </c>
      <c r="I392" s="92"/>
      <c r="J392" s="92">
        <v>427</v>
      </c>
      <c r="K392" s="708"/>
      <c r="L392" s="92">
        <v>2019.01</v>
      </c>
      <c r="M392" s="92">
        <v>2019.12</v>
      </c>
      <c r="N392" s="726"/>
      <c r="O392" s="726"/>
      <c r="P392" s="726"/>
      <c r="Q392" s="726"/>
      <c r="R392" s="726"/>
      <c r="S392" s="726"/>
      <c r="T392" s="726"/>
      <c r="U392" s="726"/>
      <c r="V392" s="726"/>
      <c r="W392" s="726"/>
      <c r="X392" s="726"/>
      <c r="Y392" s="763">
        <v>388</v>
      </c>
      <c r="Z392" s="763">
        <v>427</v>
      </c>
      <c r="AA392" s="708">
        <v>1</v>
      </c>
      <c r="AB392" s="708"/>
      <c r="AC392" s="708"/>
      <c r="AD392" s="146" t="s">
        <v>307</v>
      </c>
      <c r="AE392" s="146" t="s">
        <v>308</v>
      </c>
      <c r="AF392" s="438" t="s">
        <v>294</v>
      </c>
      <c r="AG392" s="708"/>
    </row>
    <row r="393" ht="24.95" customHeight="1" spans="1:33">
      <c r="A393" s="705"/>
      <c r="B393" s="714" t="s">
        <v>155</v>
      </c>
      <c r="C393" s="146" t="s">
        <v>320</v>
      </c>
      <c r="D393" s="152" t="s">
        <v>147</v>
      </c>
      <c r="E393" s="708">
        <v>1</v>
      </c>
      <c r="F393" s="714" t="s">
        <v>155</v>
      </c>
      <c r="G393" s="708"/>
      <c r="H393" s="92">
        <v>12</v>
      </c>
      <c r="I393" s="92"/>
      <c r="J393" s="92">
        <v>12</v>
      </c>
      <c r="K393" s="708"/>
      <c r="L393" s="92">
        <v>2019.01</v>
      </c>
      <c r="M393" s="92">
        <v>2019.12</v>
      </c>
      <c r="N393" s="726"/>
      <c r="O393" s="726"/>
      <c r="P393" s="726"/>
      <c r="Q393" s="726"/>
      <c r="R393" s="726"/>
      <c r="S393" s="726"/>
      <c r="T393" s="726"/>
      <c r="U393" s="726"/>
      <c r="V393" s="726"/>
      <c r="W393" s="726"/>
      <c r="X393" s="726"/>
      <c r="Y393" s="763">
        <v>12</v>
      </c>
      <c r="Z393" s="763">
        <v>52</v>
      </c>
      <c r="AA393" s="708">
        <v>1</v>
      </c>
      <c r="AB393" s="708"/>
      <c r="AC393" s="708"/>
      <c r="AD393" s="146" t="s">
        <v>309</v>
      </c>
      <c r="AE393" s="146" t="s">
        <v>310</v>
      </c>
      <c r="AF393" s="438" t="s">
        <v>294</v>
      </c>
      <c r="AG393" s="708"/>
    </row>
    <row r="394" ht="24.95" customHeight="1" spans="1:33">
      <c r="A394" s="705"/>
      <c r="B394" s="714" t="s">
        <v>102</v>
      </c>
      <c r="C394" s="146" t="s">
        <v>320</v>
      </c>
      <c r="D394" s="152" t="s">
        <v>147</v>
      </c>
      <c r="E394" s="708">
        <v>1</v>
      </c>
      <c r="F394" s="714" t="s">
        <v>102</v>
      </c>
      <c r="G394" s="708"/>
      <c r="H394" s="92">
        <v>182</v>
      </c>
      <c r="I394" s="92"/>
      <c r="J394" s="92">
        <v>182</v>
      </c>
      <c r="K394" s="708"/>
      <c r="L394" s="92">
        <v>2019.01</v>
      </c>
      <c r="M394" s="92">
        <v>2019.12</v>
      </c>
      <c r="N394" s="726"/>
      <c r="O394" s="726"/>
      <c r="P394" s="726"/>
      <c r="Q394" s="726"/>
      <c r="R394" s="726"/>
      <c r="S394" s="726"/>
      <c r="T394" s="726"/>
      <c r="U394" s="726"/>
      <c r="V394" s="726"/>
      <c r="W394" s="726"/>
      <c r="X394" s="726"/>
      <c r="Y394" s="763">
        <v>181</v>
      </c>
      <c r="Z394" s="763">
        <v>182</v>
      </c>
      <c r="AA394" s="708">
        <v>1</v>
      </c>
      <c r="AB394" s="708"/>
      <c r="AC394" s="708"/>
      <c r="AD394" s="146" t="s">
        <v>215</v>
      </c>
      <c r="AE394" s="146" t="s">
        <v>311</v>
      </c>
      <c r="AF394" s="438" t="s">
        <v>294</v>
      </c>
      <c r="AG394" s="708"/>
    </row>
    <row r="395" ht="24.95" customHeight="1" spans="1:33">
      <c r="A395" s="705"/>
      <c r="B395" s="714" t="s">
        <v>100</v>
      </c>
      <c r="C395" s="146" t="s">
        <v>320</v>
      </c>
      <c r="D395" s="152" t="s">
        <v>147</v>
      </c>
      <c r="E395" s="708">
        <v>1</v>
      </c>
      <c r="F395" s="714" t="s">
        <v>100</v>
      </c>
      <c r="G395" s="708"/>
      <c r="H395" s="92">
        <v>31</v>
      </c>
      <c r="I395" s="92"/>
      <c r="J395" s="92">
        <v>31</v>
      </c>
      <c r="K395" s="708"/>
      <c r="L395" s="92">
        <v>2019.01</v>
      </c>
      <c r="M395" s="92">
        <v>2019.12</v>
      </c>
      <c r="N395" s="726"/>
      <c r="O395" s="726"/>
      <c r="P395" s="726"/>
      <c r="Q395" s="726"/>
      <c r="R395" s="726"/>
      <c r="S395" s="726"/>
      <c r="T395" s="726"/>
      <c r="U395" s="726"/>
      <c r="V395" s="726"/>
      <c r="W395" s="726"/>
      <c r="X395" s="726"/>
      <c r="Y395" s="763">
        <v>29</v>
      </c>
      <c r="Z395" s="763">
        <v>31</v>
      </c>
      <c r="AA395" s="708">
        <v>1</v>
      </c>
      <c r="AB395" s="708"/>
      <c r="AC395" s="708"/>
      <c r="AD395" s="146" t="s">
        <v>312</v>
      </c>
      <c r="AE395" s="146" t="s">
        <v>313</v>
      </c>
      <c r="AF395" s="438" t="s">
        <v>294</v>
      </c>
      <c r="AG395" s="708"/>
    </row>
    <row r="396" ht="24.95" customHeight="1" spans="1:33">
      <c r="A396" s="705"/>
      <c r="B396" s="714" t="s">
        <v>84</v>
      </c>
      <c r="C396" s="146" t="s">
        <v>320</v>
      </c>
      <c r="D396" s="152" t="s">
        <v>147</v>
      </c>
      <c r="E396" s="708">
        <v>1</v>
      </c>
      <c r="F396" s="714" t="s">
        <v>84</v>
      </c>
      <c r="G396" s="708"/>
      <c r="H396" s="92">
        <v>330</v>
      </c>
      <c r="I396" s="92"/>
      <c r="J396" s="92">
        <v>330</v>
      </c>
      <c r="K396" s="708"/>
      <c r="L396" s="92">
        <v>2019.01</v>
      </c>
      <c r="M396" s="92">
        <v>2019.12</v>
      </c>
      <c r="N396" s="726"/>
      <c r="O396" s="726"/>
      <c r="P396" s="726"/>
      <c r="Q396" s="726"/>
      <c r="R396" s="726"/>
      <c r="S396" s="726"/>
      <c r="T396" s="726"/>
      <c r="U396" s="726"/>
      <c r="V396" s="726"/>
      <c r="W396" s="726"/>
      <c r="X396" s="726"/>
      <c r="Y396" s="763">
        <v>272</v>
      </c>
      <c r="Z396" s="763">
        <v>330</v>
      </c>
      <c r="AA396" s="708">
        <v>1</v>
      </c>
      <c r="AB396" s="708"/>
      <c r="AC396" s="708"/>
      <c r="AD396" s="146" t="s">
        <v>185</v>
      </c>
      <c r="AE396" s="146" t="s">
        <v>314</v>
      </c>
      <c r="AF396" s="438" t="s">
        <v>294</v>
      </c>
      <c r="AG396" s="708"/>
    </row>
    <row r="397" ht="24.95" customHeight="1" spans="1:33">
      <c r="A397" s="705"/>
      <c r="B397" s="714" t="s">
        <v>143</v>
      </c>
      <c r="C397" s="146" t="s">
        <v>320</v>
      </c>
      <c r="D397" s="152" t="s">
        <v>147</v>
      </c>
      <c r="E397" s="708">
        <v>1</v>
      </c>
      <c r="F397" s="714" t="s">
        <v>143</v>
      </c>
      <c r="G397" s="708"/>
      <c r="H397" s="92">
        <v>328</v>
      </c>
      <c r="I397" s="92"/>
      <c r="J397" s="92">
        <v>328</v>
      </c>
      <c r="K397" s="708"/>
      <c r="L397" s="92">
        <v>2019.01</v>
      </c>
      <c r="M397" s="92">
        <v>2019.12</v>
      </c>
      <c r="N397" s="726"/>
      <c r="O397" s="726"/>
      <c r="P397" s="726"/>
      <c r="Q397" s="726"/>
      <c r="R397" s="726"/>
      <c r="S397" s="726"/>
      <c r="T397" s="726"/>
      <c r="U397" s="726"/>
      <c r="V397" s="726"/>
      <c r="W397" s="726"/>
      <c r="X397" s="726"/>
      <c r="Y397" s="763">
        <v>41</v>
      </c>
      <c r="Z397" s="763">
        <v>44</v>
      </c>
      <c r="AA397" s="708">
        <v>1</v>
      </c>
      <c r="AB397" s="708"/>
      <c r="AC397" s="708"/>
      <c r="AD397" s="146" t="s">
        <v>317</v>
      </c>
      <c r="AE397" s="146" t="s">
        <v>318</v>
      </c>
      <c r="AF397" s="438" t="s">
        <v>294</v>
      </c>
      <c r="AG397" s="708"/>
    </row>
    <row r="398" ht="24.95" customHeight="1" spans="1:33">
      <c r="A398" s="705">
        <v>53</v>
      </c>
      <c r="B398" s="708" t="s">
        <v>321</v>
      </c>
      <c r="C398" s="708"/>
      <c r="D398" s="709" t="s">
        <v>147</v>
      </c>
      <c r="E398" s="708">
        <f>SUM(E399:E410)</f>
        <v>12</v>
      </c>
      <c r="F398" s="708">
        <f t="shared" ref="F398:AA398" si="68">SUM(F399:F410)</f>
        <v>0</v>
      </c>
      <c r="G398" s="708">
        <f t="shared" si="68"/>
        <v>0</v>
      </c>
      <c r="H398" s="708">
        <f t="shared" si="68"/>
        <v>2452</v>
      </c>
      <c r="I398" s="708">
        <f t="shared" si="68"/>
        <v>0</v>
      </c>
      <c r="J398" s="708">
        <f t="shared" si="68"/>
        <v>2452</v>
      </c>
      <c r="K398" s="708">
        <f t="shared" si="68"/>
        <v>0</v>
      </c>
      <c r="L398" s="708"/>
      <c r="M398" s="708"/>
      <c r="N398" s="708">
        <f t="shared" si="68"/>
        <v>0</v>
      </c>
      <c r="O398" s="708">
        <f t="shared" si="68"/>
        <v>0</v>
      </c>
      <c r="P398" s="708">
        <f t="shared" si="68"/>
        <v>0</v>
      </c>
      <c r="Q398" s="708">
        <f t="shared" si="68"/>
        <v>0</v>
      </c>
      <c r="R398" s="708">
        <f t="shared" si="68"/>
        <v>0</v>
      </c>
      <c r="S398" s="708">
        <f t="shared" si="68"/>
        <v>0</v>
      </c>
      <c r="T398" s="708">
        <f t="shared" si="68"/>
        <v>0</v>
      </c>
      <c r="U398" s="708">
        <f t="shared" si="68"/>
        <v>0</v>
      </c>
      <c r="V398" s="708">
        <f t="shared" si="68"/>
        <v>0</v>
      </c>
      <c r="W398" s="708">
        <f t="shared" si="68"/>
        <v>0</v>
      </c>
      <c r="X398" s="708">
        <f t="shared" si="68"/>
        <v>0</v>
      </c>
      <c r="Y398" s="708">
        <f t="shared" si="68"/>
        <v>2065</v>
      </c>
      <c r="Z398" s="708">
        <f t="shared" si="68"/>
        <v>3984</v>
      </c>
      <c r="AA398" s="708">
        <f t="shared" si="68"/>
        <v>12</v>
      </c>
      <c r="AB398" s="708"/>
      <c r="AC398" s="708"/>
      <c r="AD398" s="146" t="s">
        <v>296</v>
      </c>
      <c r="AE398" s="146" t="s">
        <v>297</v>
      </c>
      <c r="AF398" s="438" t="s">
        <v>294</v>
      </c>
      <c r="AG398" s="708" t="s">
        <v>41</v>
      </c>
    </row>
    <row r="399" ht="24.95" customHeight="1" spans="1:33">
      <c r="A399" s="705"/>
      <c r="B399" s="714" t="s">
        <v>101</v>
      </c>
      <c r="C399" s="146" t="s">
        <v>320</v>
      </c>
      <c r="D399" s="152" t="s">
        <v>147</v>
      </c>
      <c r="E399" s="708">
        <v>1</v>
      </c>
      <c r="F399" s="708" t="s">
        <v>101</v>
      </c>
      <c r="G399" s="708"/>
      <c r="H399" s="708">
        <v>164</v>
      </c>
      <c r="I399" s="92"/>
      <c r="J399" s="708">
        <v>164</v>
      </c>
      <c r="K399" s="708"/>
      <c r="L399" s="92">
        <v>2019.01</v>
      </c>
      <c r="M399" s="92">
        <v>2019.12</v>
      </c>
      <c r="N399" s="726"/>
      <c r="O399" s="726"/>
      <c r="P399" s="726"/>
      <c r="Q399" s="726"/>
      <c r="R399" s="726"/>
      <c r="S399" s="726"/>
      <c r="T399" s="726"/>
      <c r="U399" s="726"/>
      <c r="V399" s="726"/>
      <c r="W399" s="726"/>
      <c r="X399" s="726"/>
      <c r="Y399" s="763">
        <v>152</v>
      </c>
      <c r="Z399" s="763">
        <v>718</v>
      </c>
      <c r="AA399" s="708">
        <v>1</v>
      </c>
      <c r="AB399" s="708"/>
      <c r="AC399" s="708"/>
      <c r="AD399" s="146" t="s">
        <v>298</v>
      </c>
      <c r="AE399" s="146" t="s">
        <v>299</v>
      </c>
      <c r="AF399" s="438" t="s">
        <v>294</v>
      </c>
      <c r="AG399" s="708"/>
    </row>
    <row r="400" ht="24.95" customHeight="1" spans="1:33">
      <c r="A400" s="705"/>
      <c r="B400" s="714" t="s">
        <v>151</v>
      </c>
      <c r="C400" s="146" t="s">
        <v>320</v>
      </c>
      <c r="D400" s="152" t="s">
        <v>147</v>
      </c>
      <c r="E400" s="708">
        <v>1</v>
      </c>
      <c r="F400" s="708" t="s">
        <v>151</v>
      </c>
      <c r="G400" s="708"/>
      <c r="H400" s="708">
        <v>64</v>
      </c>
      <c r="I400" s="92"/>
      <c r="J400" s="708">
        <v>64</v>
      </c>
      <c r="K400" s="708"/>
      <c r="L400" s="92">
        <v>2019.01</v>
      </c>
      <c r="M400" s="92">
        <v>2019.12</v>
      </c>
      <c r="N400" s="726"/>
      <c r="O400" s="726"/>
      <c r="P400" s="726"/>
      <c r="Q400" s="726"/>
      <c r="R400" s="726"/>
      <c r="S400" s="726"/>
      <c r="T400" s="726"/>
      <c r="U400" s="726"/>
      <c r="V400" s="726"/>
      <c r="W400" s="726"/>
      <c r="X400" s="726"/>
      <c r="Y400" s="763">
        <v>58</v>
      </c>
      <c r="Z400" s="763">
        <v>64</v>
      </c>
      <c r="AA400" s="708">
        <v>1</v>
      </c>
      <c r="AB400" s="708"/>
      <c r="AC400" s="708"/>
      <c r="AD400" s="146" t="s">
        <v>300</v>
      </c>
      <c r="AE400" s="146" t="s">
        <v>301</v>
      </c>
      <c r="AF400" s="438" t="s">
        <v>294</v>
      </c>
      <c r="AG400" s="708"/>
    </row>
    <row r="401" ht="24.95" customHeight="1" spans="1:33">
      <c r="A401" s="705"/>
      <c r="B401" s="714" t="s">
        <v>154</v>
      </c>
      <c r="C401" s="146" t="s">
        <v>320</v>
      </c>
      <c r="D401" s="152" t="s">
        <v>147</v>
      </c>
      <c r="E401" s="708">
        <v>1</v>
      </c>
      <c r="F401" s="708" t="s">
        <v>154</v>
      </c>
      <c r="G401" s="708"/>
      <c r="H401" s="708">
        <v>265</v>
      </c>
      <c r="I401" s="92"/>
      <c r="J401" s="708">
        <v>265</v>
      </c>
      <c r="K401" s="708"/>
      <c r="L401" s="92">
        <v>2019.01</v>
      </c>
      <c r="M401" s="92">
        <v>2019.12</v>
      </c>
      <c r="N401" s="726"/>
      <c r="O401" s="726"/>
      <c r="P401" s="726"/>
      <c r="Q401" s="726"/>
      <c r="R401" s="726"/>
      <c r="S401" s="726"/>
      <c r="T401" s="726"/>
      <c r="U401" s="726"/>
      <c r="V401" s="726"/>
      <c r="W401" s="726"/>
      <c r="X401" s="726"/>
      <c r="Y401" s="763">
        <v>232</v>
      </c>
      <c r="Z401" s="763">
        <v>265</v>
      </c>
      <c r="AA401" s="708">
        <v>1</v>
      </c>
      <c r="AB401" s="708"/>
      <c r="AC401" s="708"/>
      <c r="AD401" s="146" t="s">
        <v>247</v>
      </c>
      <c r="AE401" s="146" t="s">
        <v>302</v>
      </c>
      <c r="AF401" s="438" t="s">
        <v>294</v>
      </c>
      <c r="AG401" s="708"/>
    </row>
    <row r="402" ht="24.95" customHeight="1" spans="1:33">
      <c r="A402" s="705"/>
      <c r="B402" s="714" t="s">
        <v>81</v>
      </c>
      <c r="C402" s="146" t="s">
        <v>320</v>
      </c>
      <c r="D402" s="152" t="s">
        <v>147</v>
      </c>
      <c r="E402" s="708">
        <v>1</v>
      </c>
      <c r="F402" s="708" t="s">
        <v>81</v>
      </c>
      <c r="G402" s="708"/>
      <c r="H402" s="708">
        <v>136</v>
      </c>
      <c r="I402" s="92"/>
      <c r="J402" s="708">
        <v>136</v>
      </c>
      <c r="K402" s="708"/>
      <c r="L402" s="92">
        <v>2019.01</v>
      </c>
      <c r="M402" s="92">
        <v>2019.12</v>
      </c>
      <c r="N402" s="726"/>
      <c r="O402" s="726"/>
      <c r="P402" s="726"/>
      <c r="Q402" s="726"/>
      <c r="R402" s="726"/>
      <c r="S402" s="726"/>
      <c r="T402" s="726"/>
      <c r="U402" s="726"/>
      <c r="V402" s="726"/>
      <c r="W402" s="726"/>
      <c r="X402" s="726"/>
      <c r="Y402" s="763">
        <v>130</v>
      </c>
      <c r="Z402" s="763">
        <v>136</v>
      </c>
      <c r="AA402" s="708">
        <v>1</v>
      </c>
      <c r="AB402" s="708"/>
      <c r="AC402" s="708"/>
      <c r="AD402" s="146" t="s">
        <v>303</v>
      </c>
      <c r="AE402" s="146" t="s">
        <v>304</v>
      </c>
      <c r="AF402" s="438" t="s">
        <v>294</v>
      </c>
      <c r="AG402" s="708"/>
    </row>
    <row r="403" ht="24.95" customHeight="1" spans="1:33">
      <c r="A403" s="705"/>
      <c r="B403" s="714" t="s">
        <v>98</v>
      </c>
      <c r="C403" s="146" t="s">
        <v>320</v>
      </c>
      <c r="D403" s="152" t="s">
        <v>147</v>
      </c>
      <c r="E403" s="708">
        <v>1</v>
      </c>
      <c r="F403" s="708" t="s">
        <v>98</v>
      </c>
      <c r="G403" s="708"/>
      <c r="H403" s="708">
        <v>349</v>
      </c>
      <c r="I403" s="92"/>
      <c r="J403" s="708">
        <v>349</v>
      </c>
      <c r="K403" s="708"/>
      <c r="L403" s="92">
        <v>2019.01</v>
      </c>
      <c r="M403" s="92">
        <v>2019.12</v>
      </c>
      <c r="N403" s="726"/>
      <c r="O403" s="726"/>
      <c r="P403" s="726"/>
      <c r="Q403" s="726"/>
      <c r="R403" s="726"/>
      <c r="S403" s="726"/>
      <c r="T403" s="726"/>
      <c r="U403" s="726"/>
      <c r="V403" s="726"/>
      <c r="W403" s="726"/>
      <c r="X403" s="726"/>
      <c r="Y403" s="763">
        <v>316</v>
      </c>
      <c r="Z403" s="763">
        <v>1487</v>
      </c>
      <c r="AA403" s="708">
        <v>1</v>
      </c>
      <c r="AB403" s="708"/>
      <c r="AC403" s="708"/>
      <c r="AD403" s="146" t="s">
        <v>305</v>
      </c>
      <c r="AE403" s="146" t="s">
        <v>306</v>
      </c>
      <c r="AF403" s="438" t="s">
        <v>294</v>
      </c>
      <c r="AG403" s="708"/>
    </row>
    <row r="404" ht="24.95" customHeight="1" spans="1:33">
      <c r="A404" s="705"/>
      <c r="B404" s="714" t="s">
        <v>211</v>
      </c>
      <c r="C404" s="146" t="s">
        <v>320</v>
      </c>
      <c r="D404" s="152" t="s">
        <v>147</v>
      </c>
      <c r="E404" s="708">
        <v>1</v>
      </c>
      <c r="F404" s="708" t="s">
        <v>211</v>
      </c>
      <c r="G404" s="708"/>
      <c r="H404" s="708">
        <v>196</v>
      </c>
      <c r="I404" s="92"/>
      <c r="J404" s="708">
        <v>196</v>
      </c>
      <c r="K404" s="708"/>
      <c r="L404" s="92">
        <v>2019.01</v>
      </c>
      <c r="M404" s="92">
        <v>2019.12</v>
      </c>
      <c r="N404" s="726"/>
      <c r="O404" s="726"/>
      <c r="P404" s="726"/>
      <c r="Q404" s="726"/>
      <c r="R404" s="726"/>
      <c r="S404" s="726"/>
      <c r="T404" s="726"/>
      <c r="U404" s="726"/>
      <c r="V404" s="726"/>
      <c r="W404" s="726"/>
      <c r="X404" s="726"/>
      <c r="Y404" s="763">
        <v>183</v>
      </c>
      <c r="Z404" s="763">
        <v>196</v>
      </c>
      <c r="AA404" s="708">
        <v>1</v>
      </c>
      <c r="AB404" s="708"/>
      <c r="AC404" s="708"/>
      <c r="AD404" s="146" t="s">
        <v>307</v>
      </c>
      <c r="AE404" s="146" t="s">
        <v>308</v>
      </c>
      <c r="AF404" s="438" t="s">
        <v>294</v>
      </c>
      <c r="AG404" s="708"/>
    </row>
    <row r="405" ht="24.95" customHeight="1" spans="1:33">
      <c r="A405" s="705"/>
      <c r="B405" s="714" t="s">
        <v>155</v>
      </c>
      <c r="C405" s="146" t="s">
        <v>320</v>
      </c>
      <c r="D405" s="152" t="s">
        <v>147</v>
      </c>
      <c r="E405" s="708">
        <v>1</v>
      </c>
      <c r="F405" s="708" t="s">
        <v>155</v>
      </c>
      <c r="G405" s="708"/>
      <c r="H405" s="708">
        <v>100</v>
      </c>
      <c r="I405" s="92"/>
      <c r="J405" s="708">
        <v>100</v>
      </c>
      <c r="K405" s="708"/>
      <c r="L405" s="92">
        <v>2019.01</v>
      </c>
      <c r="M405" s="92">
        <v>2019.12</v>
      </c>
      <c r="N405" s="726"/>
      <c r="O405" s="726"/>
      <c r="P405" s="726"/>
      <c r="Q405" s="726"/>
      <c r="R405" s="726"/>
      <c r="S405" s="726"/>
      <c r="T405" s="726"/>
      <c r="U405" s="726"/>
      <c r="V405" s="726"/>
      <c r="W405" s="726"/>
      <c r="X405" s="726"/>
      <c r="Y405" s="763">
        <v>93</v>
      </c>
      <c r="Z405" s="763">
        <v>100</v>
      </c>
      <c r="AA405" s="708">
        <v>1</v>
      </c>
      <c r="AB405" s="708"/>
      <c r="AC405" s="708"/>
      <c r="AD405" s="146" t="s">
        <v>309</v>
      </c>
      <c r="AE405" s="146" t="s">
        <v>310</v>
      </c>
      <c r="AF405" s="438" t="s">
        <v>294</v>
      </c>
      <c r="AG405" s="708"/>
    </row>
    <row r="406" ht="24.95" customHeight="1" spans="1:33">
      <c r="A406" s="705"/>
      <c r="B406" s="714" t="s">
        <v>102</v>
      </c>
      <c r="C406" s="146" t="s">
        <v>320</v>
      </c>
      <c r="D406" s="152" t="s">
        <v>147</v>
      </c>
      <c r="E406" s="708">
        <v>1</v>
      </c>
      <c r="F406" s="708" t="s">
        <v>102</v>
      </c>
      <c r="G406" s="708"/>
      <c r="H406" s="708">
        <v>375</v>
      </c>
      <c r="I406" s="92"/>
      <c r="J406" s="708">
        <v>375</v>
      </c>
      <c r="K406" s="708"/>
      <c r="L406" s="92">
        <v>2019.01</v>
      </c>
      <c r="M406" s="92">
        <v>2019.12</v>
      </c>
      <c r="N406" s="726"/>
      <c r="O406" s="726"/>
      <c r="P406" s="726"/>
      <c r="Q406" s="726"/>
      <c r="R406" s="726"/>
      <c r="S406" s="726"/>
      <c r="T406" s="726"/>
      <c r="U406" s="726"/>
      <c r="V406" s="726"/>
      <c r="W406" s="726"/>
      <c r="X406" s="726"/>
      <c r="Y406" s="763">
        <v>316</v>
      </c>
      <c r="Z406" s="763">
        <v>375</v>
      </c>
      <c r="AA406" s="708">
        <v>1</v>
      </c>
      <c r="AB406" s="708"/>
      <c r="AC406" s="708"/>
      <c r="AD406" s="146" t="s">
        <v>215</v>
      </c>
      <c r="AE406" s="146" t="s">
        <v>311</v>
      </c>
      <c r="AF406" s="438" t="s">
        <v>294</v>
      </c>
      <c r="AG406" s="708"/>
    </row>
    <row r="407" ht="24.95" customHeight="1" spans="1:33">
      <c r="A407" s="705"/>
      <c r="B407" s="714" t="s">
        <v>100</v>
      </c>
      <c r="C407" s="146" t="s">
        <v>320</v>
      </c>
      <c r="D407" s="152" t="s">
        <v>147</v>
      </c>
      <c r="E407" s="708">
        <v>1</v>
      </c>
      <c r="F407" s="708" t="s">
        <v>100</v>
      </c>
      <c r="G407" s="708"/>
      <c r="H407" s="708">
        <v>422</v>
      </c>
      <c r="I407" s="92"/>
      <c r="J407" s="708">
        <v>422</v>
      </c>
      <c r="K407" s="708"/>
      <c r="L407" s="92">
        <v>2019.01</v>
      </c>
      <c r="M407" s="92">
        <v>2019.12</v>
      </c>
      <c r="N407" s="726"/>
      <c r="O407" s="726"/>
      <c r="P407" s="726"/>
      <c r="Q407" s="726"/>
      <c r="R407" s="726"/>
      <c r="S407" s="726"/>
      <c r="T407" s="726"/>
      <c r="U407" s="726"/>
      <c r="V407" s="726"/>
      <c r="W407" s="726"/>
      <c r="X407" s="726"/>
      <c r="Y407" s="763">
        <v>374</v>
      </c>
      <c r="Z407" s="763">
        <v>422</v>
      </c>
      <c r="AA407" s="708">
        <v>1</v>
      </c>
      <c r="AB407" s="708"/>
      <c r="AC407" s="708"/>
      <c r="AD407" s="146" t="s">
        <v>312</v>
      </c>
      <c r="AE407" s="146" t="s">
        <v>313</v>
      </c>
      <c r="AF407" s="438" t="s">
        <v>294</v>
      </c>
      <c r="AG407" s="708"/>
    </row>
    <row r="408" ht="24.95" customHeight="1" spans="1:33">
      <c r="A408" s="705"/>
      <c r="B408" s="714" t="s">
        <v>84</v>
      </c>
      <c r="C408" s="146" t="s">
        <v>320</v>
      </c>
      <c r="D408" s="152" t="s">
        <v>147</v>
      </c>
      <c r="E408" s="708">
        <v>1</v>
      </c>
      <c r="F408" s="708" t="s">
        <v>84</v>
      </c>
      <c r="G408" s="708"/>
      <c r="H408" s="708">
        <v>102</v>
      </c>
      <c r="I408" s="92"/>
      <c r="J408" s="708">
        <v>102</v>
      </c>
      <c r="K408" s="708"/>
      <c r="L408" s="92">
        <v>2019.01</v>
      </c>
      <c r="M408" s="92">
        <v>2019.12</v>
      </c>
      <c r="N408" s="726"/>
      <c r="O408" s="726"/>
      <c r="P408" s="726"/>
      <c r="Q408" s="726"/>
      <c r="R408" s="726"/>
      <c r="S408" s="726"/>
      <c r="T408" s="726"/>
      <c r="U408" s="726"/>
      <c r="V408" s="726"/>
      <c r="W408" s="726"/>
      <c r="X408" s="726"/>
      <c r="Y408" s="763">
        <v>102</v>
      </c>
      <c r="Z408" s="763">
        <v>102</v>
      </c>
      <c r="AA408" s="708">
        <v>1</v>
      </c>
      <c r="AB408" s="708"/>
      <c r="AC408" s="708"/>
      <c r="AD408" s="146" t="s">
        <v>185</v>
      </c>
      <c r="AE408" s="146" t="s">
        <v>314</v>
      </c>
      <c r="AF408" s="438" t="s">
        <v>294</v>
      </c>
      <c r="AG408" s="708"/>
    </row>
    <row r="409" ht="24.95" customHeight="1" spans="1:33">
      <c r="A409" s="705"/>
      <c r="B409" s="714" t="s">
        <v>259</v>
      </c>
      <c r="C409" s="146" t="s">
        <v>320</v>
      </c>
      <c r="D409" s="152" t="s">
        <v>147</v>
      </c>
      <c r="E409" s="708">
        <v>1</v>
      </c>
      <c r="F409" s="708" t="s">
        <v>259</v>
      </c>
      <c r="G409" s="708"/>
      <c r="H409" s="708">
        <v>30</v>
      </c>
      <c r="I409" s="92"/>
      <c r="J409" s="708">
        <v>30</v>
      </c>
      <c r="K409" s="708"/>
      <c r="L409" s="92">
        <v>2019.01</v>
      </c>
      <c r="M409" s="92">
        <v>2019.12</v>
      </c>
      <c r="N409" s="726"/>
      <c r="O409" s="726"/>
      <c r="P409" s="726"/>
      <c r="Q409" s="726"/>
      <c r="R409" s="726"/>
      <c r="S409" s="726"/>
      <c r="T409" s="726"/>
      <c r="U409" s="726"/>
      <c r="V409" s="726"/>
      <c r="W409" s="726"/>
      <c r="X409" s="726"/>
      <c r="Y409" s="763">
        <v>26</v>
      </c>
      <c r="Z409" s="763">
        <v>30</v>
      </c>
      <c r="AA409" s="708">
        <v>1</v>
      </c>
      <c r="AB409" s="708"/>
      <c r="AC409" s="708"/>
      <c r="AD409" s="146" t="s">
        <v>315</v>
      </c>
      <c r="AE409" s="146" t="s">
        <v>316</v>
      </c>
      <c r="AF409" s="438" t="s">
        <v>294</v>
      </c>
      <c r="AG409" s="708"/>
    </row>
    <row r="410" ht="24.95" customHeight="1" spans="1:33">
      <c r="A410" s="705"/>
      <c r="B410" s="714" t="s">
        <v>143</v>
      </c>
      <c r="C410" s="146" t="s">
        <v>320</v>
      </c>
      <c r="D410" s="152" t="s">
        <v>147</v>
      </c>
      <c r="E410" s="708">
        <v>1</v>
      </c>
      <c r="F410" s="708" t="s">
        <v>143</v>
      </c>
      <c r="G410" s="708"/>
      <c r="H410" s="708">
        <v>249</v>
      </c>
      <c r="I410" s="92"/>
      <c r="J410" s="708">
        <v>249</v>
      </c>
      <c r="K410" s="708"/>
      <c r="L410" s="92">
        <v>2019.01</v>
      </c>
      <c r="M410" s="92">
        <v>2019.12</v>
      </c>
      <c r="N410" s="726"/>
      <c r="O410" s="726"/>
      <c r="P410" s="726"/>
      <c r="Q410" s="726"/>
      <c r="R410" s="726"/>
      <c r="S410" s="726"/>
      <c r="T410" s="726"/>
      <c r="U410" s="726"/>
      <c r="V410" s="726"/>
      <c r="W410" s="726"/>
      <c r="X410" s="726"/>
      <c r="Y410" s="763">
        <v>83</v>
      </c>
      <c r="Z410" s="763">
        <v>89</v>
      </c>
      <c r="AA410" s="708">
        <v>1</v>
      </c>
      <c r="AB410" s="708"/>
      <c r="AC410" s="708"/>
      <c r="AD410" s="146" t="s">
        <v>317</v>
      </c>
      <c r="AE410" s="146" t="s">
        <v>318</v>
      </c>
      <c r="AF410" s="438" t="s">
        <v>294</v>
      </c>
      <c r="AG410" s="708"/>
    </row>
    <row r="411" ht="24.95" customHeight="1" spans="1:33">
      <c r="A411" s="705">
        <v>54</v>
      </c>
      <c r="B411" s="750" t="s">
        <v>322</v>
      </c>
      <c r="C411" s="146" t="s">
        <v>320</v>
      </c>
      <c r="D411" s="152" t="s">
        <v>147</v>
      </c>
      <c r="E411" s="708">
        <f>SUM(E412:E423)</f>
        <v>12</v>
      </c>
      <c r="F411" s="708">
        <f t="shared" ref="F411:AA411" si="69">SUM(F412:F423)</f>
        <v>0</v>
      </c>
      <c r="G411" s="708">
        <f t="shared" si="69"/>
        <v>0</v>
      </c>
      <c r="H411" s="708">
        <f t="shared" si="69"/>
        <v>1335</v>
      </c>
      <c r="I411" s="708">
        <f t="shared" si="69"/>
        <v>0</v>
      </c>
      <c r="J411" s="708">
        <f t="shared" si="69"/>
        <v>1335</v>
      </c>
      <c r="K411" s="708">
        <f t="shared" si="69"/>
        <v>0</v>
      </c>
      <c r="L411" s="708"/>
      <c r="M411" s="708"/>
      <c r="N411" s="708">
        <f t="shared" si="69"/>
        <v>0</v>
      </c>
      <c r="O411" s="708">
        <f t="shared" si="69"/>
        <v>0</v>
      </c>
      <c r="P411" s="708">
        <f t="shared" si="69"/>
        <v>0</v>
      </c>
      <c r="Q411" s="708">
        <f t="shared" si="69"/>
        <v>0</v>
      </c>
      <c r="R411" s="708">
        <f t="shared" si="69"/>
        <v>0</v>
      </c>
      <c r="S411" s="708">
        <f t="shared" si="69"/>
        <v>0</v>
      </c>
      <c r="T411" s="708">
        <f t="shared" si="69"/>
        <v>0</v>
      </c>
      <c r="U411" s="708">
        <f t="shared" si="69"/>
        <v>0</v>
      </c>
      <c r="V411" s="708">
        <f t="shared" si="69"/>
        <v>0</v>
      </c>
      <c r="W411" s="708">
        <f t="shared" si="69"/>
        <v>0</v>
      </c>
      <c r="X411" s="708">
        <f t="shared" si="69"/>
        <v>0</v>
      </c>
      <c r="Y411" s="708">
        <f t="shared" si="69"/>
        <v>1156</v>
      </c>
      <c r="Z411" s="708">
        <f t="shared" si="69"/>
        <v>2378</v>
      </c>
      <c r="AA411" s="708">
        <f t="shared" si="69"/>
        <v>12</v>
      </c>
      <c r="AB411" s="708"/>
      <c r="AC411" s="708"/>
      <c r="AD411" s="146" t="s">
        <v>296</v>
      </c>
      <c r="AE411" s="146" t="s">
        <v>297</v>
      </c>
      <c r="AF411" s="438" t="s">
        <v>294</v>
      </c>
      <c r="AG411" s="708" t="s">
        <v>41</v>
      </c>
    </row>
    <row r="412" ht="24.95" customHeight="1" spans="1:33">
      <c r="A412" s="705"/>
      <c r="B412" s="714" t="s">
        <v>101</v>
      </c>
      <c r="C412" s="146" t="s">
        <v>320</v>
      </c>
      <c r="D412" s="152" t="s">
        <v>147</v>
      </c>
      <c r="E412" s="708">
        <v>1</v>
      </c>
      <c r="F412" s="714" t="s">
        <v>101</v>
      </c>
      <c r="G412" s="708"/>
      <c r="H412" s="708">
        <v>55</v>
      </c>
      <c r="I412" s="708"/>
      <c r="J412" s="708">
        <v>55</v>
      </c>
      <c r="K412" s="708"/>
      <c r="L412" s="92">
        <v>2019.01</v>
      </c>
      <c r="M412" s="92">
        <v>2019.12</v>
      </c>
      <c r="N412" s="726"/>
      <c r="O412" s="726"/>
      <c r="P412" s="726"/>
      <c r="Q412" s="726"/>
      <c r="R412" s="726"/>
      <c r="S412" s="726"/>
      <c r="T412" s="726"/>
      <c r="U412" s="726"/>
      <c r="V412" s="726"/>
      <c r="W412" s="726"/>
      <c r="X412" s="726"/>
      <c r="Y412" s="763">
        <v>52</v>
      </c>
      <c r="Z412" s="763">
        <v>233</v>
      </c>
      <c r="AA412" s="708">
        <v>1</v>
      </c>
      <c r="AB412" s="708"/>
      <c r="AC412" s="708"/>
      <c r="AD412" s="146" t="s">
        <v>298</v>
      </c>
      <c r="AE412" s="146" t="s">
        <v>299</v>
      </c>
      <c r="AF412" s="438" t="s">
        <v>294</v>
      </c>
      <c r="AG412" s="708"/>
    </row>
    <row r="413" ht="24.95" customHeight="1" spans="1:33">
      <c r="A413" s="705"/>
      <c r="B413" s="714" t="s">
        <v>151</v>
      </c>
      <c r="C413" s="146" t="s">
        <v>320</v>
      </c>
      <c r="D413" s="152" t="s">
        <v>147</v>
      </c>
      <c r="E413" s="708">
        <v>1</v>
      </c>
      <c r="F413" s="714" t="s">
        <v>151</v>
      </c>
      <c r="G413" s="708"/>
      <c r="H413" s="708">
        <v>60</v>
      </c>
      <c r="I413" s="708"/>
      <c r="J413" s="708">
        <v>60</v>
      </c>
      <c r="K413" s="708"/>
      <c r="L413" s="92">
        <v>2019.01</v>
      </c>
      <c r="M413" s="92">
        <v>2019.12</v>
      </c>
      <c r="N413" s="726"/>
      <c r="O413" s="726"/>
      <c r="P413" s="726"/>
      <c r="Q413" s="726"/>
      <c r="R413" s="726"/>
      <c r="S413" s="726"/>
      <c r="T413" s="726"/>
      <c r="U413" s="726"/>
      <c r="V413" s="726"/>
      <c r="W413" s="726"/>
      <c r="X413" s="726"/>
      <c r="Y413" s="763">
        <v>59</v>
      </c>
      <c r="Z413" s="763">
        <v>60</v>
      </c>
      <c r="AA413" s="708">
        <v>1</v>
      </c>
      <c r="AB413" s="708"/>
      <c r="AC413" s="708"/>
      <c r="AD413" s="146" t="s">
        <v>300</v>
      </c>
      <c r="AE413" s="146" t="s">
        <v>301</v>
      </c>
      <c r="AF413" s="438" t="s">
        <v>294</v>
      </c>
      <c r="AG413" s="708"/>
    </row>
    <row r="414" ht="24.95" customHeight="1" spans="1:33">
      <c r="A414" s="705"/>
      <c r="B414" s="714" t="s">
        <v>154</v>
      </c>
      <c r="C414" s="146" t="s">
        <v>320</v>
      </c>
      <c r="D414" s="152" t="s">
        <v>147</v>
      </c>
      <c r="E414" s="708">
        <v>1</v>
      </c>
      <c r="F414" s="714" t="s">
        <v>154</v>
      </c>
      <c r="G414" s="708"/>
      <c r="H414" s="708">
        <v>200</v>
      </c>
      <c r="I414" s="708"/>
      <c r="J414" s="708">
        <v>200</v>
      </c>
      <c r="K414" s="708"/>
      <c r="L414" s="92">
        <v>2019.01</v>
      </c>
      <c r="M414" s="92">
        <v>2019.12</v>
      </c>
      <c r="N414" s="726"/>
      <c r="O414" s="726"/>
      <c r="P414" s="726"/>
      <c r="Q414" s="726"/>
      <c r="R414" s="726"/>
      <c r="S414" s="726"/>
      <c r="T414" s="726"/>
      <c r="U414" s="726"/>
      <c r="V414" s="726"/>
      <c r="W414" s="726"/>
      <c r="X414" s="726"/>
      <c r="Y414" s="763">
        <v>184</v>
      </c>
      <c r="Z414" s="763">
        <v>200</v>
      </c>
      <c r="AA414" s="708">
        <v>1</v>
      </c>
      <c r="AB414" s="708"/>
      <c r="AC414" s="708"/>
      <c r="AD414" s="146" t="s">
        <v>247</v>
      </c>
      <c r="AE414" s="146" t="s">
        <v>302</v>
      </c>
      <c r="AF414" s="438" t="s">
        <v>294</v>
      </c>
      <c r="AG414" s="708"/>
    </row>
    <row r="415" ht="24.95" customHeight="1" spans="1:33">
      <c r="A415" s="705"/>
      <c r="B415" s="714" t="s">
        <v>81</v>
      </c>
      <c r="C415" s="146" t="s">
        <v>320</v>
      </c>
      <c r="D415" s="152" t="s">
        <v>147</v>
      </c>
      <c r="E415" s="708">
        <v>1</v>
      </c>
      <c r="F415" s="714" t="s">
        <v>81</v>
      </c>
      <c r="G415" s="708"/>
      <c r="H415" s="708">
        <v>67</v>
      </c>
      <c r="I415" s="708"/>
      <c r="J415" s="708">
        <v>67</v>
      </c>
      <c r="K415" s="708"/>
      <c r="L415" s="92">
        <v>2019.01</v>
      </c>
      <c r="M415" s="92">
        <v>2019.12</v>
      </c>
      <c r="N415" s="726"/>
      <c r="O415" s="726"/>
      <c r="P415" s="726"/>
      <c r="Q415" s="726"/>
      <c r="R415" s="726"/>
      <c r="S415" s="726"/>
      <c r="T415" s="726"/>
      <c r="U415" s="726"/>
      <c r="V415" s="726"/>
      <c r="W415" s="726"/>
      <c r="X415" s="726"/>
      <c r="Y415" s="763">
        <v>66</v>
      </c>
      <c r="Z415" s="763">
        <v>67</v>
      </c>
      <c r="AA415" s="708">
        <v>1</v>
      </c>
      <c r="AB415" s="708"/>
      <c r="AC415" s="708"/>
      <c r="AD415" s="146" t="s">
        <v>303</v>
      </c>
      <c r="AE415" s="146" t="s">
        <v>304</v>
      </c>
      <c r="AF415" s="438" t="s">
        <v>294</v>
      </c>
      <c r="AG415" s="708"/>
    </row>
    <row r="416" ht="24.95" customHeight="1" spans="1:33">
      <c r="A416" s="705"/>
      <c r="B416" s="714" t="s">
        <v>98</v>
      </c>
      <c r="C416" s="146" t="s">
        <v>320</v>
      </c>
      <c r="D416" s="152" t="s">
        <v>147</v>
      </c>
      <c r="E416" s="708">
        <v>1</v>
      </c>
      <c r="F416" s="714" t="s">
        <v>98</v>
      </c>
      <c r="G416" s="708"/>
      <c r="H416" s="708">
        <v>297</v>
      </c>
      <c r="I416" s="708"/>
      <c r="J416" s="708">
        <v>297</v>
      </c>
      <c r="K416" s="708"/>
      <c r="L416" s="92">
        <v>2019.01</v>
      </c>
      <c r="M416" s="92">
        <v>2019.12</v>
      </c>
      <c r="N416" s="726"/>
      <c r="O416" s="726"/>
      <c r="P416" s="726"/>
      <c r="Q416" s="726"/>
      <c r="R416" s="726"/>
      <c r="S416" s="726"/>
      <c r="T416" s="726"/>
      <c r="U416" s="726"/>
      <c r="V416" s="726"/>
      <c r="W416" s="726"/>
      <c r="X416" s="726"/>
      <c r="Y416" s="763">
        <v>276</v>
      </c>
      <c r="Z416" s="763">
        <v>1265</v>
      </c>
      <c r="AA416" s="708">
        <v>1</v>
      </c>
      <c r="AB416" s="708"/>
      <c r="AC416" s="708"/>
      <c r="AD416" s="146" t="s">
        <v>305</v>
      </c>
      <c r="AE416" s="146" t="s">
        <v>306</v>
      </c>
      <c r="AF416" s="438" t="s">
        <v>294</v>
      </c>
      <c r="AG416" s="708"/>
    </row>
    <row r="417" ht="24.95" customHeight="1" spans="1:33">
      <c r="A417" s="705"/>
      <c r="B417" s="714" t="s">
        <v>211</v>
      </c>
      <c r="C417" s="146" t="s">
        <v>320</v>
      </c>
      <c r="D417" s="152" t="s">
        <v>147</v>
      </c>
      <c r="E417" s="708">
        <v>1</v>
      </c>
      <c r="F417" s="714" t="s">
        <v>211</v>
      </c>
      <c r="G417" s="708"/>
      <c r="H417" s="708">
        <v>105</v>
      </c>
      <c r="I417" s="708"/>
      <c r="J417" s="708">
        <v>105</v>
      </c>
      <c r="K417" s="708"/>
      <c r="L417" s="92">
        <v>2019.01</v>
      </c>
      <c r="M417" s="92">
        <v>2019.12</v>
      </c>
      <c r="N417" s="726"/>
      <c r="O417" s="726"/>
      <c r="P417" s="726"/>
      <c r="Q417" s="726"/>
      <c r="R417" s="726"/>
      <c r="S417" s="726"/>
      <c r="T417" s="726"/>
      <c r="U417" s="726"/>
      <c r="V417" s="726"/>
      <c r="W417" s="726"/>
      <c r="X417" s="726"/>
      <c r="Y417" s="763">
        <v>100</v>
      </c>
      <c r="Z417" s="763">
        <v>105</v>
      </c>
      <c r="AA417" s="708">
        <v>1</v>
      </c>
      <c r="AB417" s="708"/>
      <c r="AC417" s="708"/>
      <c r="AD417" s="146" t="s">
        <v>307</v>
      </c>
      <c r="AE417" s="146" t="s">
        <v>308</v>
      </c>
      <c r="AF417" s="438" t="s">
        <v>294</v>
      </c>
      <c r="AG417" s="708"/>
    </row>
    <row r="418" ht="24.95" customHeight="1" spans="1:33">
      <c r="A418" s="705"/>
      <c r="B418" s="714" t="s">
        <v>155</v>
      </c>
      <c r="C418" s="146" t="s">
        <v>320</v>
      </c>
      <c r="D418" s="152" t="s">
        <v>147</v>
      </c>
      <c r="E418" s="708">
        <v>1</v>
      </c>
      <c r="F418" s="714" t="s">
        <v>155</v>
      </c>
      <c r="G418" s="708"/>
      <c r="H418" s="708">
        <v>34</v>
      </c>
      <c r="I418" s="708"/>
      <c r="J418" s="708">
        <v>34</v>
      </c>
      <c r="K418" s="708"/>
      <c r="L418" s="92">
        <v>2019.01</v>
      </c>
      <c r="M418" s="92">
        <v>2019.12</v>
      </c>
      <c r="N418" s="726"/>
      <c r="O418" s="726"/>
      <c r="P418" s="726"/>
      <c r="Q418" s="726"/>
      <c r="R418" s="726"/>
      <c r="S418" s="726"/>
      <c r="T418" s="726"/>
      <c r="U418" s="726"/>
      <c r="V418" s="726"/>
      <c r="W418" s="726"/>
      <c r="X418" s="726"/>
      <c r="Y418" s="763">
        <v>34</v>
      </c>
      <c r="Z418" s="763">
        <v>34</v>
      </c>
      <c r="AA418" s="708">
        <v>1</v>
      </c>
      <c r="AB418" s="708"/>
      <c r="AC418" s="708"/>
      <c r="AD418" s="146" t="s">
        <v>309</v>
      </c>
      <c r="AE418" s="146" t="s">
        <v>310</v>
      </c>
      <c r="AF418" s="438" t="s">
        <v>294</v>
      </c>
      <c r="AG418" s="708"/>
    </row>
    <row r="419" ht="24.95" customHeight="1" spans="1:33">
      <c r="A419" s="705"/>
      <c r="B419" s="714" t="s">
        <v>102</v>
      </c>
      <c r="C419" s="146" t="s">
        <v>320</v>
      </c>
      <c r="D419" s="152" t="s">
        <v>147</v>
      </c>
      <c r="E419" s="708">
        <v>1</v>
      </c>
      <c r="F419" s="714" t="s">
        <v>102</v>
      </c>
      <c r="G419" s="708"/>
      <c r="H419" s="708">
        <v>156</v>
      </c>
      <c r="I419" s="708"/>
      <c r="J419" s="708">
        <v>156</v>
      </c>
      <c r="K419" s="708"/>
      <c r="L419" s="92">
        <v>2019.01</v>
      </c>
      <c r="M419" s="92">
        <v>2019.12</v>
      </c>
      <c r="N419" s="726"/>
      <c r="O419" s="726"/>
      <c r="P419" s="726"/>
      <c r="Q419" s="726"/>
      <c r="R419" s="726"/>
      <c r="S419" s="726"/>
      <c r="T419" s="726"/>
      <c r="U419" s="726"/>
      <c r="V419" s="726"/>
      <c r="W419" s="726"/>
      <c r="X419" s="726"/>
      <c r="Y419" s="763">
        <v>141</v>
      </c>
      <c r="Z419" s="763">
        <v>156</v>
      </c>
      <c r="AA419" s="708">
        <v>1</v>
      </c>
      <c r="AB419" s="708"/>
      <c r="AC419" s="708"/>
      <c r="AD419" s="146" t="s">
        <v>215</v>
      </c>
      <c r="AE419" s="146" t="s">
        <v>311</v>
      </c>
      <c r="AF419" s="438" t="s">
        <v>294</v>
      </c>
      <c r="AG419" s="708"/>
    </row>
    <row r="420" ht="24.95" customHeight="1" spans="1:33">
      <c r="A420" s="705"/>
      <c r="B420" s="714" t="s">
        <v>100</v>
      </c>
      <c r="C420" s="146" t="s">
        <v>320</v>
      </c>
      <c r="D420" s="152" t="s">
        <v>147</v>
      </c>
      <c r="E420" s="708">
        <v>1</v>
      </c>
      <c r="F420" s="714" t="s">
        <v>100</v>
      </c>
      <c r="G420" s="708"/>
      <c r="H420" s="708">
        <v>160</v>
      </c>
      <c r="I420" s="708"/>
      <c r="J420" s="708">
        <v>160</v>
      </c>
      <c r="K420" s="708"/>
      <c r="L420" s="92">
        <v>2019.01</v>
      </c>
      <c r="M420" s="92">
        <v>2019.12</v>
      </c>
      <c r="N420" s="726"/>
      <c r="O420" s="726"/>
      <c r="P420" s="726"/>
      <c r="Q420" s="726"/>
      <c r="R420" s="726"/>
      <c r="S420" s="726"/>
      <c r="T420" s="726"/>
      <c r="U420" s="726"/>
      <c r="V420" s="726"/>
      <c r="W420" s="726"/>
      <c r="X420" s="726"/>
      <c r="Y420" s="763">
        <v>146</v>
      </c>
      <c r="Z420" s="763">
        <v>160</v>
      </c>
      <c r="AA420" s="708">
        <v>1</v>
      </c>
      <c r="AB420" s="708"/>
      <c r="AC420" s="708"/>
      <c r="AD420" s="146" t="s">
        <v>312</v>
      </c>
      <c r="AE420" s="146" t="s">
        <v>313</v>
      </c>
      <c r="AF420" s="438" t="s">
        <v>294</v>
      </c>
      <c r="AG420" s="708"/>
    </row>
    <row r="421" ht="24.95" customHeight="1" spans="1:33">
      <c r="A421" s="705"/>
      <c r="B421" s="714" t="s">
        <v>84</v>
      </c>
      <c r="C421" s="146" t="s">
        <v>320</v>
      </c>
      <c r="D421" s="152" t="s">
        <v>147</v>
      </c>
      <c r="E421" s="708">
        <v>1</v>
      </c>
      <c r="F421" s="714" t="s">
        <v>84</v>
      </c>
      <c r="G421" s="708"/>
      <c r="H421" s="708">
        <v>44</v>
      </c>
      <c r="I421" s="708"/>
      <c r="J421" s="708">
        <v>44</v>
      </c>
      <c r="K421" s="708"/>
      <c r="L421" s="92">
        <v>2019.01</v>
      </c>
      <c r="M421" s="92">
        <v>2019.12</v>
      </c>
      <c r="N421" s="726"/>
      <c r="O421" s="726"/>
      <c r="P421" s="726"/>
      <c r="Q421" s="726"/>
      <c r="R421" s="726"/>
      <c r="S421" s="726"/>
      <c r="T421" s="726"/>
      <c r="U421" s="726"/>
      <c r="V421" s="726"/>
      <c r="W421" s="726"/>
      <c r="X421" s="726"/>
      <c r="Y421" s="763">
        <v>44</v>
      </c>
      <c r="Z421" s="763">
        <v>44</v>
      </c>
      <c r="AA421" s="708">
        <v>1</v>
      </c>
      <c r="AB421" s="708"/>
      <c r="AC421" s="708"/>
      <c r="AD421" s="146" t="s">
        <v>185</v>
      </c>
      <c r="AE421" s="146" t="s">
        <v>314</v>
      </c>
      <c r="AF421" s="438" t="s">
        <v>294</v>
      </c>
      <c r="AG421" s="708"/>
    </row>
    <row r="422" ht="24.95" customHeight="1" spans="1:33">
      <c r="A422" s="705"/>
      <c r="B422" s="714" t="s">
        <v>259</v>
      </c>
      <c r="C422" s="146" t="s">
        <v>320</v>
      </c>
      <c r="D422" s="152" t="s">
        <v>147</v>
      </c>
      <c r="E422" s="708">
        <v>1</v>
      </c>
      <c r="F422" s="714" t="s">
        <v>259</v>
      </c>
      <c r="G422" s="708"/>
      <c r="H422" s="708">
        <v>13</v>
      </c>
      <c r="I422" s="708"/>
      <c r="J422" s="708">
        <v>13</v>
      </c>
      <c r="K422" s="708"/>
      <c r="L422" s="92">
        <v>2019.01</v>
      </c>
      <c r="M422" s="92">
        <v>2019.12</v>
      </c>
      <c r="N422" s="726"/>
      <c r="O422" s="726"/>
      <c r="P422" s="726"/>
      <c r="Q422" s="726"/>
      <c r="R422" s="726"/>
      <c r="S422" s="726"/>
      <c r="T422" s="726"/>
      <c r="U422" s="726"/>
      <c r="V422" s="726"/>
      <c r="W422" s="726"/>
      <c r="X422" s="726"/>
      <c r="Y422" s="763">
        <v>13</v>
      </c>
      <c r="Z422" s="763">
        <v>13</v>
      </c>
      <c r="AA422" s="708">
        <v>1</v>
      </c>
      <c r="AB422" s="708"/>
      <c r="AC422" s="708"/>
      <c r="AD422" s="146" t="s">
        <v>315</v>
      </c>
      <c r="AE422" s="146" t="s">
        <v>316</v>
      </c>
      <c r="AF422" s="438" t="s">
        <v>294</v>
      </c>
      <c r="AG422" s="708"/>
    </row>
    <row r="423" ht="24.95" customHeight="1" spans="1:33">
      <c r="A423" s="705"/>
      <c r="B423" s="714" t="s">
        <v>143</v>
      </c>
      <c r="C423" s="146" t="s">
        <v>320</v>
      </c>
      <c r="D423" s="152" t="s">
        <v>147</v>
      </c>
      <c r="E423" s="708">
        <v>1</v>
      </c>
      <c r="F423" s="714" t="s">
        <v>143</v>
      </c>
      <c r="G423" s="708"/>
      <c r="H423" s="708">
        <v>144</v>
      </c>
      <c r="I423" s="708"/>
      <c r="J423" s="708">
        <v>144</v>
      </c>
      <c r="K423" s="708"/>
      <c r="L423" s="92">
        <v>2019.01</v>
      </c>
      <c r="M423" s="92">
        <v>2019.12</v>
      </c>
      <c r="N423" s="726"/>
      <c r="O423" s="726"/>
      <c r="P423" s="726"/>
      <c r="Q423" s="726"/>
      <c r="R423" s="726"/>
      <c r="S423" s="726"/>
      <c r="T423" s="726"/>
      <c r="U423" s="726"/>
      <c r="V423" s="726"/>
      <c r="W423" s="726"/>
      <c r="X423" s="726"/>
      <c r="Y423" s="763">
        <v>41</v>
      </c>
      <c r="Z423" s="763">
        <v>41</v>
      </c>
      <c r="AA423" s="708">
        <v>1</v>
      </c>
      <c r="AB423" s="708"/>
      <c r="AC423" s="708"/>
      <c r="AD423" s="146" t="s">
        <v>317</v>
      </c>
      <c r="AE423" s="146" t="s">
        <v>318</v>
      </c>
      <c r="AF423" s="438" t="s">
        <v>294</v>
      </c>
      <c r="AG423" s="708"/>
    </row>
    <row r="424" ht="30.95" customHeight="1" spans="1:33">
      <c r="A424" s="705">
        <v>55</v>
      </c>
      <c r="B424" s="750" t="s">
        <v>323</v>
      </c>
      <c r="C424" s="146" t="s">
        <v>320</v>
      </c>
      <c r="D424" s="152" t="s">
        <v>147</v>
      </c>
      <c r="E424" s="708">
        <f>SUM(E425:E436)</f>
        <v>12</v>
      </c>
      <c r="F424" s="708">
        <f t="shared" ref="F424:AA424" si="70">SUM(F425:F436)</f>
        <v>0</v>
      </c>
      <c r="G424" s="708">
        <f t="shared" si="70"/>
        <v>0</v>
      </c>
      <c r="H424" s="708">
        <f t="shared" si="70"/>
        <v>2817</v>
      </c>
      <c r="I424" s="708">
        <f t="shared" si="70"/>
        <v>0</v>
      </c>
      <c r="J424" s="708">
        <f t="shared" si="70"/>
        <v>2817</v>
      </c>
      <c r="K424" s="708">
        <f t="shared" si="70"/>
        <v>0</v>
      </c>
      <c r="L424" s="708"/>
      <c r="M424" s="708"/>
      <c r="N424" s="708">
        <f t="shared" si="70"/>
        <v>0</v>
      </c>
      <c r="O424" s="708">
        <f t="shared" si="70"/>
        <v>0</v>
      </c>
      <c r="P424" s="708">
        <f t="shared" si="70"/>
        <v>0</v>
      </c>
      <c r="Q424" s="708">
        <f t="shared" si="70"/>
        <v>0</v>
      </c>
      <c r="R424" s="708">
        <f t="shared" si="70"/>
        <v>0</v>
      </c>
      <c r="S424" s="708">
        <f t="shared" si="70"/>
        <v>0</v>
      </c>
      <c r="T424" s="708">
        <f t="shared" si="70"/>
        <v>0</v>
      </c>
      <c r="U424" s="708">
        <f t="shared" si="70"/>
        <v>0</v>
      </c>
      <c r="V424" s="708">
        <f t="shared" si="70"/>
        <v>0</v>
      </c>
      <c r="W424" s="708">
        <f t="shared" si="70"/>
        <v>0</v>
      </c>
      <c r="X424" s="708">
        <f t="shared" si="70"/>
        <v>0</v>
      </c>
      <c r="Y424" s="708">
        <f t="shared" si="70"/>
        <v>2254</v>
      </c>
      <c r="Z424" s="708">
        <f t="shared" si="70"/>
        <v>4527</v>
      </c>
      <c r="AA424" s="708">
        <f t="shared" si="70"/>
        <v>12</v>
      </c>
      <c r="AB424" s="708"/>
      <c r="AC424" s="708"/>
      <c r="AD424" s="146" t="s">
        <v>296</v>
      </c>
      <c r="AE424" s="146" t="s">
        <v>297</v>
      </c>
      <c r="AF424" s="438" t="s">
        <v>294</v>
      </c>
      <c r="AG424" s="708" t="s">
        <v>41</v>
      </c>
    </row>
    <row r="425" ht="30.95" customHeight="1" spans="1:33">
      <c r="A425" s="705"/>
      <c r="B425" s="714" t="s">
        <v>101</v>
      </c>
      <c r="C425" s="146" t="s">
        <v>320</v>
      </c>
      <c r="D425" s="152" t="s">
        <v>147</v>
      </c>
      <c r="E425" s="708">
        <v>1</v>
      </c>
      <c r="F425" s="714" t="s">
        <v>101</v>
      </c>
      <c r="G425" s="708"/>
      <c r="H425" s="708">
        <v>161</v>
      </c>
      <c r="I425" s="92"/>
      <c r="J425" s="708">
        <v>161</v>
      </c>
      <c r="K425" s="708"/>
      <c r="L425" s="92">
        <v>2019.01</v>
      </c>
      <c r="M425" s="92">
        <v>2019.12</v>
      </c>
      <c r="N425" s="726"/>
      <c r="O425" s="726"/>
      <c r="P425" s="726"/>
      <c r="Q425" s="726"/>
      <c r="R425" s="726"/>
      <c r="S425" s="726"/>
      <c r="T425" s="726"/>
      <c r="U425" s="726"/>
      <c r="V425" s="726"/>
      <c r="W425" s="726"/>
      <c r="X425" s="726"/>
      <c r="Y425" s="763">
        <v>145</v>
      </c>
      <c r="Z425" s="763">
        <v>605</v>
      </c>
      <c r="AA425" s="708">
        <v>1</v>
      </c>
      <c r="AB425" s="708"/>
      <c r="AC425" s="708"/>
      <c r="AD425" s="146" t="s">
        <v>298</v>
      </c>
      <c r="AE425" s="146" t="s">
        <v>299</v>
      </c>
      <c r="AF425" s="438" t="s">
        <v>294</v>
      </c>
      <c r="AG425" s="708"/>
    </row>
    <row r="426" ht="30.95" customHeight="1" spans="1:33">
      <c r="A426" s="705"/>
      <c r="B426" s="714" t="s">
        <v>151</v>
      </c>
      <c r="C426" s="146" t="s">
        <v>320</v>
      </c>
      <c r="D426" s="152" t="s">
        <v>147</v>
      </c>
      <c r="E426" s="708">
        <v>1</v>
      </c>
      <c r="F426" s="714" t="s">
        <v>151</v>
      </c>
      <c r="G426" s="708"/>
      <c r="H426" s="708">
        <v>85</v>
      </c>
      <c r="I426" s="92"/>
      <c r="J426" s="708">
        <v>85</v>
      </c>
      <c r="K426" s="708"/>
      <c r="L426" s="92">
        <v>2019.01</v>
      </c>
      <c r="M426" s="92">
        <v>2019.12</v>
      </c>
      <c r="N426" s="726"/>
      <c r="O426" s="726"/>
      <c r="P426" s="726"/>
      <c r="Q426" s="726"/>
      <c r="R426" s="726"/>
      <c r="S426" s="726"/>
      <c r="T426" s="726"/>
      <c r="U426" s="726"/>
      <c r="V426" s="726"/>
      <c r="W426" s="726"/>
      <c r="X426" s="726"/>
      <c r="Y426" s="763">
        <v>84</v>
      </c>
      <c r="Z426" s="763">
        <v>85</v>
      </c>
      <c r="AA426" s="708">
        <v>1</v>
      </c>
      <c r="AB426" s="708"/>
      <c r="AC426" s="708"/>
      <c r="AD426" s="146" t="s">
        <v>300</v>
      </c>
      <c r="AE426" s="146" t="s">
        <v>301</v>
      </c>
      <c r="AF426" s="438" t="s">
        <v>294</v>
      </c>
      <c r="AG426" s="708"/>
    </row>
    <row r="427" ht="30.95" customHeight="1" spans="1:33">
      <c r="A427" s="705"/>
      <c r="B427" s="714" t="s">
        <v>154</v>
      </c>
      <c r="C427" s="146" t="s">
        <v>320</v>
      </c>
      <c r="D427" s="152" t="s">
        <v>147</v>
      </c>
      <c r="E427" s="708">
        <v>1</v>
      </c>
      <c r="F427" s="714" t="s">
        <v>154</v>
      </c>
      <c r="G427" s="708"/>
      <c r="H427" s="708">
        <v>316</v>
      </c>
      <c r="I427" s="92"/>
      <c r="J427" s="708">
        <v>316</v>
      </c>
      <c r="K427" s="708"/>
      <c r="L427" s="92">
        <v>2019.01</v>
      </c>
      <c r="M427" s="92">
        <v>2019.12</v>
      </c>
      <c r="N427" s="726"/>
      <c r="O427" s="726"/>
      <c r="P427" s="726"/>
      <c r="Q427" s="726"/>
      <c r="R427" s="726"/>
      <c r="S427" s="726"/>
      <c r="T427" s="726"/>
      <c r="U427" s="726"/>
      <c r="V427" s="726"/>
      <c r="W427" s="726"/>
      <c r="X427" s="726"/>
      <c r="Y427" s="763">
        <v>258</v>
      </c>
      <c r="Z427" s="763">
        <v>316</v>
      </c>
      <c r="AA427" s="708">
        <v>1</v>
      </c>
      <c r="AB427" s="708"/>
      <c r="AC427" s="708"/>
      <c r="AD427" s="146" t="s">
        <v>247</v>
      </c>
      <c r="AE427" s="146" t="s">
        <v>302</v>
      </c>
      <c r="AF427" s="438" t="s">
        <v>294</v>
      </c>
      <c r="AG427" s="708"/>
    </row>
    <row r="428" ht="30.95" customHeight="1" spans="1:33">
      <c r="A428" s="705"/>
      <c r="B428" s="714" t="s">
        <v>81</v>
      </c>
      <c r="C428" s="146" t="s">
        <v>320</v>
      </c>
      <c r="D428" s="152" t="s">
        <v>147</v>
      </c>
      <c r="E428" s="708">
        <v>1</v>
      </c>
      <c r="F428" s="714" t="s">
        <v>81</v>
      </c>
      <c r="G428" s="708"/>
      <c r="H428" s="708">
        <v>176</v>
      </c>
      <c r="I428" s="92"/>
      <c r="J428" s="708">
        <v>176</v>
      </c>
      <c r="K428" s="708"/>
      <c r="L428" s="92">
        <v>2019.01</v>
      </c>
      <c r="M428" s="92">
        <v>2019.12</v>
      </c>
      <c r="N428" s="726"/>
      <c r="O428" s="726"/>
      <c r="P428" s="726"/>
      <c r="Q428" s="726"/>
      <c r="R428" s="726"/>
      <c r="S428" s="726"/>
      <c r="T428" s="726"/>
      <c r="U428" s="726"/>
      <c r="V428" s="726"/>
      <c r="W428" s="726"/>
      <c r="X428" s="726"/>
      <c r="Y428" s="763">
        <v>157</v>
      </c>
      <c r="Z428" s="763">
        <v>176</v>
      </c>
      <c r="AA428" s="708">
        <v>1</v>
      </c>
      <c r="AB428" s="708"/>
      <c r="AC428" s="708"/>
      <c r="AD428" s="146" t="s">
        <v>303</v>
      </c>
      <c r="AE428" s="146" t="s">
        <v>304</v>
      </c>
      <c r="AF428" s="438" t="s">
        <v>294</v>
      </c>
      <c r="AG428" s="708"/>
    </row>
    <row r="429" ht="30.95" customHeight="1" spans="1:33">
      <c r="A429" s="705"/>
      <c r="B429" s="714" t="s">
        <v>98</v>
      </c>
      <c r="C429" s="146" t="s">
        <v>320</v>
      </c>
      <c r="D429" s="152" t="s">
        <v>147</v>
      </c>
      <c r="E429" s="708">
        <v>1</v>
      </c>
      <c r="F429" s="714" t="s">
        <v>98</v>
      </c>
      <c r="G429" s="708"/>
      <c r="H429" s="708">
        <v>490</v>
      </c>
      <c r="I429" s="92"/>
      <c r="J429" s="708">
        <v>490</v>
      </c>
      <c r="K429" s="708"/>
      <c r="L429" s="92">
        <v>2019.01</v>
      </c>
      <c r="M429" s="92">
        <v>2019.12</v>
      </c>
      <c r="N429" s="726"/>
      <c r="O429" s="726"/>
      <c r="P429" s="726"/>
      <c r="Q429" s="726"/>
      <c r="R429" s="726"/>
      <c r="S429" s="726"/>
      <c r="T429" s="726"/>
      <c r="U429" s="726"/>
      <c r="V429" s="726"/>
      <c r="W429" s="726"/>
      <c r="X429" s="726"/>
      <c r="Y429" s="763">
        <v>422</v>
      </c>
      <c r="Z429" s="763">
        <v>1920</v>
      </c>
      <c r="AA429" s="708">
        <v>1</v>
      </c>
      <c r="AB429" s="708"/>
      <c r="AC429" s="708"/>
      <c r="AD429" s="146" t="s">
        <v>305</v>
      </c>
      <c r="AE429" s="146" t="s">
        <v>306</v>
      </c>
      <c r="AF429" s="438" t="s">
        <v>294</v>
      </c>
      <c r="AG429" s="708"/>
    </row>
    <row r="430" ht="30.95" customHeight="1" spans="1:33">
      <c r="A430" s="705"/>
      <c r="B430" s="714" t="s">
        <v>211</v>
      </c>
      <c r="C430" s="146" t="s">
        <v>320</v>
      </c>
      <c r="D430" s="152" t="s">
        <v>147</v>
      </c>
      <c r="E430" s="708">
        <v>1</v>
      </c>
      <c r="F430" s="714" t="s">
        <v>211</v>
      </c>
      <c r="G430" s="708"/>
      <c r="H430" s="708">
        <v>345</v>
      </c>
      <c r="I430" s="92"/>
      <c r="J430" s="708">
        <v>345</v>
      </c>
      <c r="K430" s="708"/>
      <c r="L430" s="92">
        <v>2019.01</v>
      </c>
      <c r="M430" s="92">
        <v>2019.12</v>
      </c>
      <c r="N430" s="726"/>
      <c r="O430" s="726"/>
      <c r="P430" s="726"/>
      <c r="Q430" s="726"/>
      <c r="R430" s="726"/>
      <c r="S430" s="726"/>
      <c r="T430" s="726"/>
      <c r="U430" s="726"/>
      <c r="V430" s="726"/>
      <c r="W430" s="726"/>
      <c r="X430" s="726"/>
      <c r="Y430" s="763">
        <v>265</v>
      </c>
      <c r="Z430" s="763">
        <v>345</v>
      </c>
      <c r="AA430" s="708">
        <v>1</v>
      </c>
      <c r="AB430" s="708"/>
      <c r="AC430" s="708"/>
      <c r="AD430" s="146" t="s">
        <v>307</v>
      </c>
      <c r="AE430" s="146" t="s">
        <v>308</v>
      </c>
      <c r="AF430" s="438" t="s">
        <v>294</v>
      </c>
      <c r="AG430" s="708"/>
    </row>
    <row r="431" ht="30.95" customHeight="1" spans="1:33">
      <c r="A431" s="705"/>
      <c r="B431" s="714" t="s">
        <v>155</v>
      </c>
      <c r="C431" s="146" t="s">
        <v>320</v>
      </c>
      <c r="D431" s="152" t="s">
        <v>147</v>
      </c>
      <c r="E431" s="708">
        <v>1</v>
      </c>
      <c r="F431" s="714" t="s">
        <v>155</v>
      </c>
      <c r="G431" s="708"/>
      <c r="H431" s="708">
        <v>116</v>
      </c>
      <c r="I431" s="92"/>
      <c r="J431" s="708">
        <v>116</v>
      </c>
      <c r="K431" s="708"/>
      <c r="L431" s="92">
        <v>2019.01</v>
      </c>
      <c r="M431" s="92">
        <v>2019.12</v>
      </c>
      <c r="N431" s="726"/>
      <c r="O431" s="726"/>
      <c r="P431" s="726"/>
      <c r="Q431" s="726"/>
      <c r="R431" s="726"/>
      <c r="S431" s="726"/>
      <c r="T431" s="726"/>
      <c r="U431" s="726"/>
      <c r="V431" s="726"/>
      <c r="W431" s="726"/>
      <c r="X431" s="726"/>
      <c r="Y431" s="763">
        <v>93</v>
      </c>
      <c r="Z431" s="763">
        <v>116</v>
      </c>
      <c r="AA431" s="708">
        <v>1</v>
      </c>
      <c r="AB431" s="708"/>
      <c r="AC431" s="708"/>
      <c r="AD431" s="146" t="s">
        <v>309</v>
      </c>
      <c r="AE431" s="146" t="s">
        <v>310</v>
      </c>
      <c r="AF431" s="438" t="s">
        <v>294</v>
      </c>
      <c r="AG431" s="708"/>
    </row>
    <row r="432" ht="30.95" customHeight="1" spans="1:33">
      <c r="A432" s="705"/>
      <c r="B432" s="714" t="s">
        <v>102</v>
      </c>
      <c r="C432" s="146" t="s">
        <v>320</v>
      </c>
      <c r="D432" s="152" t="s">
        <v>147</v>
      </c>
      <c r="E432" s="708">
        <v>1</v>
      </c>
      <c r="F432" s="714" t="s">
        <v>102</v>
      </c>
      <c r="G432" s="708"/>
      <c r="H432" s="708">
        <v>369</v>
      </c>
      <c r="I432" s="92"/>
      <c r="J432" s="708">
        <v>369</v>
      </c>
      <c r="K432" s="708"/>
      <c r="L432" s="92">
        <v>2019.01</v>
      </c>
      <c r="M432" s="92">
        <v>2019.12</v>
      </c>
      <c r="N432" s="726"/>
      <c r="O432" s="726"/>
      <c r="P432" s="726"/>
      <c r="Q432" s="726"/>
      <c r="R432" s="726"/>
      <c r="S432" s="726"/>
      <c r="T432" s="726"/>
      <c r="U432" s="726"/>
      <c r="V432" s="726"/>
      <c r="W432" s="726"/>
      <c r="X432" s="726"/>
      <c r="Y432" s="763">
        <v>295</v>
      </c>
      <c r="Z432" s="763">
        <v>369</v>
      </c>
      <c r="AA432" s="708">
        <v>1</v>
      </c>
      <c r="AB432" s="708"/>
      <c r="AC432" s="708"/>
      <c r="AD432" s="146" t="s">
        <v>215</v>
      </c>
      <c r="AE432" s="146" t="s">
        <v>311</v>
      </c>
      <c r="AF432" s="438" t="s">
        <v>294</v>
      </c>
      <c r="AG432" s="708"/>
    </row>
    <row r="433" ht="30.95" customHeight="1" spans="1:33">
      <c r="A433" s="705"/>
      <c r="B433" s="714" t="s">
        <v>100</v>
      </c>
      <c r="C433" s="146" t="s">
        <v>320</v>
      </c>
      <c r="D433" s="152" t="s">
        <v>147</v>
      </c>
      <c r="E433" s="708">
        <v>1</v>
      </c>
      <c r="F433" s="714" t="s">
        <v>100</v>
      </c>
      <c r="G433" s="708"/>
      <c r="H433" s="708">
        <v>383</v>
      </c>
      <c r="I433" s="92"/>
      <c r="J433" s="708">
        <v>383</v>
      </c>
      <c r="K433" s="708"/>
      <c r="L433" s="92">
        <v>2019.01</v>
      </c>
      <c r="M433" s="92">
        <v>2019.12</v>
      </c>
      <c r="N433" s="726"/>
      <c r="O433" s="726"/>
      <c r="P433" s="726"/>
      <c r="Q433" s="726"/>
      <c r="R433" s="726"/>
      <c r="S433" s="726"/>
      <c r="T433" s="726"/>
      <c r="U433" s="726"/>
      <c r="V433" s="726"/>
      <c r="W433" s="726"/>
      <c r="X433" s="726"/>
      <c r="Y433" s="763">
        <v>329</v>
      </c>
      <c r="Z433" s="763">
        <v>383</v>
      </c>
      <c r="AA433" s="708">
        <v>1</v>
      </c>
      <c r="AB433" s="708"/>
      <c r="AC433" s="708"/>
      <c r="AD433" s="146" t="s">
        <v>312</v>
      </c>
      <c r="AE433" s="146" t="s">
        <v>313</v>
      </c>
      <c r="AF433" s="438" t="s">
        <v>294</v>
      </c>
      <c r="AG433" s="708"/>
    </row>
    <row r="434" ht="30.95" customHeight="1" spans="1:33">
      <c r="A434" s="705"/>
      <c r="B434" s="714" t="s">
        <v>84</v>
      </c>
      <c r="C434" s="146" t="s">
        <v>320</v>
      </c>
      <c r="D434" s="152" t="s">
        <v>147</v>
      </c>
      <c r="E434" s="708">
        <v>1</v>
      </c>
      <c r="F434" s="714" t="s">
        <v>84</v>
      </c>
      <c r="G434" s="708"/>
      <c r="H434" s="708">
        <v>108</v>
      </c>
      <c r="I434" s="92"/>
      <c r="J434" s="708">
        <v>108</v>
      </c>
      <c r="K434" s="708"/>
      <c r="L434" s="92">
        <v>2019.01</v>
      </c>
      <c r="M434" s="92">
        <v>2019.12</v>
      </c>
      <c r="N434" s="726"/>
      <c r="O434" s="726"/>
      <c r="P434" s="726"/>
      <c r="Q434" s="726"/>
      <c r="R434" s="726"/>
      <c r="S434" s="726"/>
      <c r="T434" s="726"/>
      <c r="U434" s="726"/>
      <c r="V434" s="726"/>
      <c r="W434" s="726"/>
      <c r="X434" s="726"/>
      <c r="Y434" s="763">
        <v>108</v>
      </c>
      <c r="Z434" s="763">
        <v>108</v>
      </c>
      <c r="AA434" s="708">
        <v>1</v>
      </c>
      <c r="AB434" s="708"/>
      <c r="AC434" s="708"/>
      <c r="AD434" s="146" t="s">
        <v>185</v>
      </c>
      <c r="AE434" s="146" t="s">
        <v>314</v>
      </c>
      <c r="AF434" s="438" t="s">
        <v>294</v>
      </c>
      <c r="AG434" s="708"/>
    </row>
    <row r="435" ht="30.95" customHeight="1" spans="1:33">
      <c r="A435" s="705"/>
      <c r="B435" s="714" t="s">
        <v>259</v>
      </c>
      <c r="C435" s="146" t="s">
        <v>320</v>
      </c>
      <c r="D435" s="152" t="s">
        <v>147</v>
      </c>
      <c r="E435" s="708">
        <v>1</v>
      </c>
      <c r="F435" s="714" t="s">
        <v>259</v>
      </c>
      <c r="G435" s="708"/>
      <c r="H435" s="708">
        <v>37</v>
      </c>
      <c r="I435" s="92"/>
      <c r="J435" s="708">
        <v>37</v>
      </c>
      <c r="K435" s="708"/>
      <c r="L435" s="92">
        <v>2019.01</v>
      </c>
      <c r="M435" s="92">
        <v>2019.12</v>
      </c>
      <c r="N435" s="726"/>
      <c r="O435" s="726"/>
      <c r="P435" s="726"/>
      <c r="Q435" s="726"/>
      <c r="R435" s="726"/>
      <c r="S435" s="726"/>
      <c r="T435" s="726"/>
      <c r="U435" s="726"/>
      <c r="V435" s="726"/>
      <c r="W435" s="726"/>
      <c r="X435" s="726"/>
      <c r="Y435" s="763">
        <v>31</v>
      </c>
      <c r="Z435" s="763">
        <v>37</v>
      </c>
      <c r="AA435" s="708">
        <v>1</v>
      </c>
      <c r="AB435" s="708"/>
      <c r="AC435" s="708"/>
      <c r="AD435" s="146" t="s">
        <v>315</v>
      </c>
      <c r="AE435" s="146" t="s">
        <v>316</v>
      </c>
      <c r="AF435" s="438" t="s">
        <v>294</v>
      </c>
      <c r="AG435" s="708"/>
    </row>
    <row r="436" ht="30.95" customHeight="1" spans="1:33">
      <c r="A436" s="705"/>
      <c r="B436" s="714" t="s">
        <v>143</v>
      </c>
      <c r="C436" s="146" t="s">
        <v>320</v>
      </c>
      <c r="D436" s="152" t="s">
        <v>147</v>
      </c>
      <c r="E436" s="708">
        <v>1</v>
      </c>
      <c r="F436" s="714" t="s">
        <v>143</v>
      </c>
      <c r="G436" s="708"/>
      <c r="H436" s="708">
        <v>231</v>
      </c>
      <c r="I436" s="92"/>
      <c r="J436" s="708">
        <v>231</v>
      </c>
      <c r="K436" s="708"/>
      <c r="L436" s="92">
        <v>2019.01</v>
      </c>
      <c r="M436" s="92">
        <v>2019.12</v>
      </c>
      <c r="N436" s="726"/>
      <c r="O436" s="726"/>
      <c r="P436" s="726"/>
      <c r="Q436" s="726"/>
      <c r="R436" s="726"/>
      <c r="S436" s="726"/>
      <c r="T436" s="726"/>
      <c r="U436" s="726"/>
      <c r="V436" s="726"/>
      <c r="W436" s="726"/>
      <c r="X436" s="726"/>
      <c r="Y436" s="763">
        <v>67</v>
      </c>
      <c r="Z436" s="763">
        <v>67</v>
      </c>
      <c r="AA436" s="708">
        <v>1</v>
      </c>
      <c r="AB436" s="708"/>
      <c r="AC436" s="708"/>
      <c r="AD436" s="146" t="s">
        <v>317</v>
      </c>
      <c r="AE436" s="146" t="s">
        <v>318</v>
      </c>
      <c r="AF436" s="438" t="s">
        <v>294</v>
      </c>
      <c r="AG436" s="708"/>
    </row>
    <row r="437" ht="24.95" customHeight="1" spans="1:33">
      <c r="A437" s="705" t="s">
        <v>48</v>
      </c>
      <c r="B437" s="750" t="s">
        <v>324</v>
      </c>
      <c r="C437" s="146" t="s">
        <v>320</v>
      </c>
      <c r="D437" s="152" t="s">
        <v>147</v>
      </c>
      <c r="E437" s="708">
        <f>SUM(E438:E446)</f>
        <v>9</v>
      </c>
      <c r="F437" s="708">
        <f t="shared" ref="F437:AA437" si="71">SUM(F438:F446)</f>
        <v>0</v>
      </c>
      <c r="G437" s="708">
        <f t="shared" si="71"/>
        <v>0</v>
      </c>
      <c r="H437" s="708">
        <f t="shared" si="71"/>
        <v>47712</v>
      </c>
      <c r="I437" s="708">
        <f t="shared" si="71"/>
        <v>0</v>
      </c>
      <c r="J437" s="708">
        <f t="shared" si="71"/>
        <v>47712</v>
      </c>
      <c r="K437" s="708">
        <f t="shared" si="71"/>
        <v>0</v>
      </c>
      <c r="L437" s="708"/>
      <c r="M437" s="708"/>
      <c r="N437" s="708">
        <f t="shared" si="71"/>
        <v>0</v>
      </c>
      <c r="O437" s="708">
        <f t="shared" si="71"/>
        <v>0</v>
      </c>
      <c r="P437" s="708">
        <f t="shared" si="71"/>
        <v>0</v>
      </c>
      <c r="Q437" s="708">
        <f t="shared" si="71"/>
        <v>0</v>
      </c>
      <c r="R437" s="708">
        <f t="shared" si="71"/>
        <v>0</v>
      </c>
      <c r="S437" s="708">
        <f t="shared" si="71"/>
        <v>0</v>
      </c>
      <c r="T437" s="708">
        <f t="shared" si="71"/>
        <v>0</v>
      </c>
      <c r="U437" s="708">
        <f t="shared" si="71"/>
        <v>0</v>
      </c>
      <c r="V437" s="708">
        <f t="shared" si="71"/>
        <v>0</v>
      </c>
      <c r="W437" s="708">
        <f t="shared" si="71"/>
        <v>0</v>
      </c>
      <c r="X437" s="708">
        <f t="shared" si="71"/>
        <v>0</v>
      </c>
      <c r="Y437" s="708">
        <f t="shared" si="71"/>
        <v>16603</v>
      </c>
      <c r="Z437" s="708">
        <f t="shared" si="71"/>
        <v>50710</v>
      </c>
      <c r="AA437" s="708">
        <f t="shared" si="71"/>
        <v>9</v>
      </c>
      <c r="AB437" s="708"/>
      <c r="AC437" s="708"/>
      <c r="AD437" s="146" t="s">
        <v>296</v>
      </c>
      <c r="AE437" s="146" t="s">
        <v>297</v>
      </c>
      <c r="AF437" s="438" t="s">
        <v>294</v>
      </c>
      <c r="AG437" s="708" t="s">
        <v>41</v>
      </c>
    </row>
    <row r="438" ht="24.95" customHeight="1" spans="1:33">
      <c r="A438" s="705">
        <v>56</v>
      </c>
      <c r="B438" s="714" t="s">
        <v>101</v>
      </c>
      <c r="C438" s="146" t="s">
        <v>320</v>
      </c>
      <c r="D438" s="152" t="s">
        <v>147</v>
      </c>
      <c r="E438" s="708">
        <v>1</v>
      </c>
      <c r="F438" s="714" t="s">
        <v>101</v>
      </c>
      <c r="G438" s="708"/>
      <c r="H438" s="708">
        <v>1845</v>
      </c>
      <c r="I438" s="92"/>
      <c r="J438" s="708">
        <v>1845</v>
      </c>
      <c r="K438" s="708"/>
      <c r="L438" s="92">
        <v>2019.01</v>
      </c>
      <c r="M438" s="92">
        <v>2019.12</v>
      </c>
      <c r="N438" s="726"/>
      <c r="O438" s="726"/>
      <c r="P438" s="726"/>
      <c r="Q438" s="726"/>
      <c r="R438" s="726"/>
      <c r="S438" s="726"/>
      <c r="T438" s="726"/>
      <c r="U438" s="726"/>
      <c r="V438" s="726"/>
      <c r="W438" s="726"/>
      <c r="X438" s="726"/>
      <c r="Y438" s="763">
        <v>1193</v>
      </c>
      <c r="Z438" s="763">
        <v>4712</v>
      </c>
      <c r="AA438" s="708">
        <v>1</v>
      </c>
      <c r="AB438" s="708"/>
      <c r="AC438" s="708"/>
      <c r="AD438" s="146" t="s">
        <v>298</v>
      </c>
      <c r="AE438" s="146" t="s">
        <v>299</v>
      </c>
      <c r="AF438" s="438" t="s">
        <v>294</v>
      </c>
      <c r="AG438" s="708"/>
    </row>
    <row r="439" ht="24.95" customHeight="1" spans="1:33">
      <c r="A439" s="705"/>
      <c r="B439" s="714" t="s">
        <v>81</v>
      </c>
      <c r="C439" s="146" t="s">
        <v>320</v>
      </c>
      <c r="D439" s="152" t="s">
        <v>147</v>
      </c>
      <c r="E439" s="708">
        <v>1</v>
      </c>
      <c r="F439" s="714" t="s">
        <v>81</v>
      </c>
      <c r="G439" s="708"/>
      <c r="H439" s="708">
        <v>1748</v>
      </c>
      <c r="I439" s="92"/>
      <c r="J439" s="708">
        <v>1748</v>
      </c>
      <c r="K439" s="708"/>
      <c r="L439" s="92">
        <v>2019.01</v>
      </c>
      <c r="M439" s="92">
        <v>2019.12</v>
      </c>
      <c r="N439" s="726"/>
      <c r="O439" s="726"/>
      <c r="P439" s="726"/>
      <c r="Q439" s="726"/>
      <c r="R439" s="726"/>
      <c r="S439" s="726"/>
      <c r="T439" s="726"/>
      <c r="U439" s="726"/>
      <c r="V439" s="726"/>
      <c r="W439" s="726"/>
      <c r="X439" s="726"/>
      <c r="Y439" s="763">
        <v>1066</v>
      </c>
      <c r="Z439" s="763">
        <v>1748</v>
      </c>
      <c r="AA439" s="708">
        <v>1</v>
      </c>
      <c r="AB439" s="708"/>
      <c r="AC439" s="708"/>
      <c r="AD439" s="146" t="s">
        <v>303</v>
      </c>
      <c r="AE439" s="146" t="s">
        <v>304</v>
      </c>
      <c r="AF439" s="438" t="s">
        <v>294</v>
      </c>
      <c r="AG439" s="708"/>
    </row>
    <row r="440" ht="24.95" customHeight="1" spans="1:33">
      <c r="A440" s="705"/>
      <c r="B440" s="714" t="s">
        <v>154</v>
      </c>
      <c r="C440" s="146" t="s">
        <v>320</v>
      </c>
      <c r="D440" s="152" t="s">
        <v>147</v>
      </c>
      <c r="E440" s="708">
        <v>1</v>
      </c>
      <c r="F440" s="714" t="s">
        <v>154</v>
      </c>
      <c r="G440" s="708"/>
      <c r="H440" s="708">
        <v>8191</v>
      </c>
      <c r="I440" s="92"/>
      <c r="J440" s="708">
        <v>8191</v>
      </c>
      <c r="K440" s="708"/>
      <c r="L440" s="92">
        <v>2019.01</v>
      </c>
      <c r="M440" s="92">
        <v>2019.12</v>
      </c>
      <c r="N440" s="726"/>
      <c r="O440" s="726"/>
      <c r="P440" s="726"/>
      <c r="Q440" s="726"/>
      <c r="R440" s="726"/>
      <c r="S440" s="726"/>
      <c r="T440" s="726"/>
      <c r="U440" s="726"/>
      <c r="V440" s="726"/>
      <c r="W440" s="726"/>
      <c r="X440" s="726"/>
      <c r="Y440" s="763">
        <v>2311</v>
      </c>
      <c r="Z440" s="763">
        <v>8191</v>
      </c>
      <c r="AA440" s="708">
        <v>1</v>
      </c>
      <c r="AB440" s="708"/>
      <c r="AC440" s="708"/>
      <c r="AD440" s="146" t="s">
        <v>247</v>
      </c>
      <c r="AE440" s="146" t="s">
        <v>302</v>
      </c>
      <c r="AF440" s="438" t="s">
        <v>294</v>
      </c>
      <c r="AG440" s="708"/>
    </row>
    <row r="441" ht="24.95" customHeight="1" spans="1:33">
      <c r="A441" s="705"/>
      <c r="B441" s="714" t="s">
        <v>98</v>
      </c>
      <c r="C441" s="146" t="s">
        <v>320</v>
      </c>
      <c r="D441" s="152" t="s">
        <v>147</v>
      </c>
      <c r="E441" s="708">
        <v>1</v>
      </c>
      <c r="F441" s="714" t="s">
        <v>98</v>
      </c>
      <c r="G441" s="708"/>
      <c r="H441" s="708">
        <v>14263</v>
      </c>
      <c r="I441" s="92"/>
      <c r="J441" s="708">
        <v>14263</v>
      </c>
      <c r="K441" s="708"/>
      <c r="L441" s="92">
        <v>2019.01</v>
      </c>
      <c r="M441" s="92">
        <v>2019.12</v>
      </c>
      <c r="N441" s="726"/>
      <c r="O441" s="726"/>
      <c r="P441" s="726"/>
      <c r="Q441" s="726"/>
      <c r="R441" s="726"/>
      <c r="S441" s="726"/>
      <c r="T441" s="726"/>
      <c r="U441" s="726"/>
      <c r="V441" s="726"/>
      <c r="W441" s="726"/>
      <c r="X441" s="726"/>
      <c r="Y441" s="763">
        <v>3379</v>
      </c>
      <c r="Z441" s="763">
        <v>14213</v>
      </c>
      <c r="AA441" s="708">
        <v>1</v>
      </c>
      <c r="AB441" s="708"/>
      <c r="AC441" s="708"/>
      <c r="AD441" s="146" t="s">
        <v>305</v>
      </c>
      <c r="AE441" s="146" t="s">
        <v>306</v>
      </c>
      <c r="AF441" s="438" t="s">
        <v>294</v>
      </c>
      <c r="AG441" s="708"/>
    </row>
    <row r="442" ht="24.95" customHeight="1" spans="1:33">
      <c r="A442" s="705"/>
      <c r="B442" s="714" t="s">
        <v>211</v>
      </c>
      <c r="C442" s="146" t="s">
        <v>320</v>
      </c>
      <c r="D442" s="152" t="s">
        <v>147</v>
      </c>
      <c r="E442" s="708">
        <v>1</v>
      </c>
      <c r="F442" s="714" t="s">
        <v>211</v>
      </c>
      <c r="G442" s="708"/>
      <c r="H442" s="708">
        <v>3999</v>
      </c>
      <c r="I442" s="92"/>
      <c r="J442" s="708">
        <v>3999</v>
      </c>
      <c r="K442" s="708"/>
      <c r="L442" s="92">
        <v>2019.01</v>
      </c>
      <c r="M442" s="92">
        <v>2019.12</v>
      </c>
      <c r="N442" s="726"/>
      <c r="O442" s="726"/>
      <c r="P442" s="726"/>
      <c r="Q442" s="726"/>
      <c r="R442" s="726"/>
      <c r="S442" s="726"/>
      <c r="T442" s="726"/>
      <c r="U442" s="726"/>
      <c r="V442" s="726"/>
      <c r="W442" s="726"/>
      <c r="X442" s="726"/>
      <c r="Y442" s="763">
        <v>1683</v>
      </c>
      <c r="Z442" s="763">
        <v>3999</v>
      </c>
      <c r="AA442" s="708">
        <v>1</v>
      </c>
      <c r="AB442" s="708"/>
      <c r="AC442" s="708"/>
      <c r="AD442" s="146" t="s">
        <v>307</v>
      </c>
      <c r="AE442" s="146" t="s">
        <v>308</v>
      </c>
      <c r="AF442" s="438" t="s">
        <v>294</v>
      </c>
      <c r="AG442" s="708"/>
    </row>
    <row r="443" ht="24.95" customHeight="1" spans="1:33">
      <c r="A443" s="705"/>
      <c r="B443" s="714" t="s">
        <v>102</v>
      </c>
      <c r="C443" s="146" t="s">
        <v>320</v>
      </c>
      <c r="D443" s="152" t="s">
        <v>147</v>
      </c>
      <c r="E443" s="708">
        <v>1</v>
      </c>
      <c r="F443" s="714" t="s">
        <v>102</v>
      </c>
      <c r="G443" s="708"/>
      <c r="H443" s="708">
        <v>3402</v>
      </c>
      <c r="I443" s="92"/>
      <c r="J443" s="708">
        <v>3402</v>
      </c>
      <c r="K443" s="708"/>
      <c r="L443" s="92">
        <v>2019.01</v>
      </c>
      <c r="M443" s="92">
        <v>2019.12</v>
      </c>
      <c r="N443" s="726"/>
      <c r="O443" s="726"/>
      <c r="P443" s="726"/>
      <c r="Q443" s="726"/>
      <c r="R443" s="726"/>
      <c r="S443" s="726"/>
      <c r="T443" s="726"/>
      <c r="U443" s="726"/>
      <c r="V443" s="726"/>
      <c r="W443" s="726"/>
      <c r="X443" s="726"/>
      <c r="Y443" s="763">
        <v>2525</v>
      </c>
      <c r="Z443" s="763">
        <v>3402</v>
      </c>
      <c r="AA443" s="708">
        <v>1</v>
      </c>
      <c r="AB443" s="708"/>
      <c r="AC443" s="708"/>
      <c r="AD443" s="146" t="s">
        <v>215</v>
      </c>
      <c r="AE443" s="146" t="s">
        <v>311</v>
      </c>
      <c r="AF443" s="438" t="s">
        <v>294</v>
      </c>
      <c r="AG443" s="708"/>
    </row>
    <row r="444" ht="24.95" customHeight="1" spans="1:33">
      <c r="A444" s="705"/>
      <c r="B444" s="714" t="s">
        <v>100</v>
      </c>
      <c r="C444" s="146" t="s">
        <v>320</v>
      </c>
      <c r="D444" s="152" t="s">
        <v>147</v>
      </c>
      <c r="E444" s="708">
        <v>1</v>
      </c>
      <c r="F444" s="714" t="s">
        <v>100</v>
      </c>
      <c r="G444" s="708"/>
      <c r="H444" s="708">
        <v>12000</v>
      </c>
      <c r="I444" s="92"/>
      <c r="J444" s="708">
        <v>12000</v>
      </c>
      <c r="K444" s="708"/>
      <c r="L444" s="92">
        <v>2019.01</v>
      </c>
      <c r="M444" s="92">
        <v>2019.12</v>
      </c>
      <c r="N444" s="726"/>
      <c r="O444" s="726"/>
      <c r="P444" s="726"/>
      <c r="Q444" s="726"/>
      <c r="R444" s="726"/>
      <c r="S444" s="726"/>
      <c r="T444" s="726"/>
      <c r="U444" s="726"/>
      <c r="V444" s="726"/>
      <c r="W444" s="726"/>
      <c r="X444" s="726"/>
      <c r="Y444" s="763">
        <v>2596</v>
      </c>
      <c r="Z444" s="763">
        <v>12000</v>
      </c>
      <c r="AA444" s="708">
        <v>1</v>
      </c>
      <c r="AB444" s="708"/>
      <c r="AC444" s="708"/>
      <c r="AD444" s="146" t="s">
        <v>312</v>
      </c>
      <c r="AE444" s="146" t="s">
        <v>313</v>
      </c>
      <c r="AF444" s="438" t="s">
        <v>294</v>
      </c>
      <c r="AG444" s="708"/>
    </row>
    <row r="445" ht="24.95" customHeight="1" spans="1:33">
      <c r="A445" s="705"/>
      <c r="B445" s="714" t="s">
        <v>84</v>
      </c>
      <c r="C445" s="146" t="s">
        <v>320</v>
      </c>
      <c r="D445" s="152" t="s">
        <v>147</v>
      </c>
      <c r="E445" s="708">
        <v>1</v>
      </c>
      <c r="F445" s="714" t="s">
        <v>84</v>
      </c>
      <c r="G445" s="708"/>
      <c r="H445" s="708">
        <v>1441</v>
      </c>
      <c r="I445" s="92"/>
      <c r="J445" s="708">
        <v>1441</v>
      </c>
      <c r="K445" s="708"/>
      <c r="L445" s="92">
        <v>2019.01</v>
      </c>
      <c r="M445" s="92">
        <v>2019.12</v>
      </c>
      <c r="N445" s="726"/>
      <c r="O445" s="726"/>
      <c r="P445" s="726"/>
      <c r="Q445" s="726"/>
      <c r="R445" s="726"/>
      <c r="S445" s="726"/>
      <c r="T445" s="726"/>
      <c r="U445" s="726"/>
      <c r="V445" s="726"/>
      <c r="W445" s="726"/>
      <c r="X445" s="726"/>
      <c r="Y445" s="763">
        <v>955</v>
      </c>
      <c r="Z445" s="763">
        <v>1441</v>
      </c>
      <c r="AA445" s="708">
        <v>1</v>
      </c>
      <c r="AB445" s="708"/>
      <c r="AC445" s="708"/>
      <c r="AD445" s="146" t="s">
        <v>185</v>
      </c>
      <c r="AE445" s="146" t="s">
        <v>314</v>
      </c>
      <c r="AF445" s="438" t="s">
        <v>294</v>
      </c>
      <c r="AG445" s="708"/>
    </row>
    <row r="446" ht="24.95" customHeight="1" spans="1:33">
      <c r="A446" s="705"/>
      <c r="B446" s="714" t="s">
        <v>143</v>
      </c>
      <c r="C446" s="146" t="s">
        <v>320</v>
      </c>
      <c r="D446" s="152" t="s">
        <v>147</v>
      </c>
      <c r="E446" s="708">
        <v>1</v>
      </c>
      <c r="F446" s="714" t="s">
        <v>143</v>
      </c>
      <c r="G446" s="708"/>
      <c r="H446" s="708">
        <v>823</v>
      </c>
      <c r="I446" s="92"/>
      <c r="J446" s="708">
        <v>823</v>
      </c>
      <c r="K446" s="708"/>
      <c r="L446" s="92">
        <v>2019.01</v>
      </c>
      <c r="M446" s="92">
        <v>2019.12</v>
      </c>
      <c r="N446" s="726"/>
      <c r="O446" s="726"/>
      <c r="P446" s="726"/>
      <c r="Q446" s="726"/>
      <c r="R446" s="726"/>
      <c r="S446" s="726"/>
      <c r="T446" s="726"/>
      <c r="U446" s="726"/>
      <c r="V446" s="726"/>
      <c r="W446" s="726"/>
      <c r="X446" s="726"/>
      <c r="Y446" s="763">
        <v>895</v>
      </c>
      <c r="Z446" s="763">
        <v>1004</v>
      </c>
      <c r="AA446" s="708">
        <v>1</v>
      </c>
      <c r="AB446" s="708"/>
      <c r="AC446" s="708"/>
      <c r="AD446" s="146" t="s">
        <v>317</v>
      </c>
      <c r="AE446" s="146" t="s">
        <v>318</v>
      </c>
      <c r="AF446" s="438" t="s">
        <v>294</v>
      </c>
      <c r="AG446" s="708"/>
    </row>
    <row r="447" ht="32.1" customHeight="1" spans="1:33">
      <c r="A447" s="705">
        <v>57</v>
      </c>
      <c r="B447" s="706" t="s">
        <v>325</v>
      </c>
      <c r="C447" s="706"/>
      <c r="D447" s="707" t="s">
        <v>147</v>
      </c>
      <c r="E447" s="706">
        <f>E448+E461+E474+E487+E502</f>
        <v>60</v>
      </c>
      <c r="F447" s="706">
        <f t="shared" ref="F447:AB447" si="72">F448+F461+F474+F487+F502</f>
        <v>0</v>
      </c>
      <c r="G447" s="706">
        <f t="shared" si="72"/>
        <v>0</v>
      </c>
      <c r="H447" s="706">
        <f t="shared" si="72"/>
        <v>224247</v>
      </c>
      <c r="I447" s="706">
        <f t="shared" si="72"/>
        <v>0</v>
      </c>
      <c r="J447" s="706">
        <f t="shared" si="72"/>
        <v>224247</v>
      </c>
      <c r="K447" s="706">
        <f t="shared" si="72"/>
        <v>0</v>
      </c>
      <c r="L447" s="706"/>
      <c r="M447" s="706"/>
      <c r="N447" s="706">
        <f t="shared" si="72"/>
        <v>97.2</v>
      </c>
      <c r="O447" s="706">
        <f t="shared" si="72"/>
        <v>0</v>
      </c>
      <c r="P447" s="706">
        <f t="shared" si="72"/>
        <v>97.2</v>
      </c>
      <c r="Q447" s="706">
        <f t="shared" si="72"/>
        <v>0</v>
      </c>
      <c r="R447" s="706">
        <f t="shared" si="72"/>
        <v>97.2</v>
      </c>
      <c r="S447" s="706">
        <f t="shared" si="72"/>
        <v>0</v>
      </c>
      <c r="T447" s="706">
        <f t="shared" si="72"/>
        <v>0</v>
      </c>
      <c r="U447" s="706">
        <f t="shared" si="72"/>
        <v>0</v>
      </c>
      <c r="V447" s="706">
        <f t="shared" si="72"/>
        <v>0</v>
      </c>
      <c r="W447" s="706">
        <f t="shared" si="72"/>
        <v>0</v>
      </c>
      <c r="X447" s="706">
        <f t="shared" si="72"/>
        <v>0</v>
      </c>
      <c r="Y447" s="706">
        <f t="shared" si="72"/>
        <v>62935</v>
      </c>
      <c r="Z447" s="706">
        <f t="shared" si="72"/>
        <v>264748</v>
      </c>
      <c r="AA447" s="706">
        <f t="shared" si="72"/>
        <v>60</v>
      </c>
      <c r="AB447" s="706">
        <f t="shared" si="72"/>
        <v>0</v>
      </c>
      <c r="AC447" s="706"/>
      <c r="AD447" s="706"/>
      <c r="AE447" s="706"/>
      <c r="AF447" s="706"/>
      <c r="AG447" s="706" t="s">
        <v>41</v>
      </c>
    </row>
    <row r="448" s="570" customFormat="1" ht="24.95" customHeight="1" spans="1:33">
      <c r="A448" s="705">
        <v>58</v>
      </c>
      <c r="B448" s="711" t="s">
        <v>327</v>
      </c>
      <c r="C448" s="146" t="s">
        <v>52</v>
      </c>
      <c r="D448" s="152" t="s">
        <v>147</v>
      </c>
      <c r="E448" s="708">
        <f>SUM(E449:E460)</f>
        <v>12</v>
      </c>
      <c r="F448" s="708">
        <f t="shared" ref="F448:AB448" si="73">SUM(F449:F460)</f>
        <v>0</v>
      </c>
      <c r="G448" s="708">
        <f t="shared" si="73"/>
        <v>0</v>
      </c>
      <c r="H448" s="708">
        <f t="shared" si="73"/>
        <v>111138</v>
      </c>
      <c r="I448" s="708">
        <f t="shared" si="73"/>
        <v>0</v>
      </c>
      <c r="J448" s="708">
        <f t="shared" si="73"/>
        <v>111138</v>
      </c>
      <c r="K448" s="708">
        <f t="shared" si="73"/>
        <v>0</v>
      </c>
      <c r="L448" s="708"/>
      <c r="M448" s="708"/>
      <c r="N448" s="708">
        <f t="shared" si="73"/>
        <v>0</v>
      </c>
      <c r="O448" s="708">
        <f t="shared" si="73"/>
        <v>0</v>
      </c>
      <c r="P448" s="708">
        <f t="shared" si="73"/>
        <v>0</v>
      </c>
      <c r="Q448" s="708">
        <f t="shared" si="73"/>
        <v>0</v>
      </c>
      <c r="R448" s="708">
        <f t="shared" si="73"/>
        <v>0</v>
      </c>
      <c r="S448" s="708">
        <f t="shared" si="73"/>
        <v>0</v>
      </c>
      <c r="T448" s="708">
        <f t="shared" si="73"/>
        <v>0</v>
      </c>
      <c r="U448" s="708">
        <f t="shared" si="73"/>
        <v>0</v>
      </c>
      <c r="V448" s="708">
        <f t="shared" si="73"/>
        <v>0</v>
      </c>
      <c r="W448" s="708">
        <f t="shared" si="73"/>
        <v>0</v>
      </c>
      <c r="X448" s="708">
        <f t="shared" si="73"/>
        <v>0</v>
      </c>
      <c r="Y448" s="708">
        <f t="shared" si="73"/>
        <v>25728</v>
      </c>
      <c r="Z448" s="708">
        <f t="shared" si="73"/>
        <v>111138</v>
      </c>
      <c r="AA448" s="708">
        <f t="shared" si="73"/>
        <v>12</v>
      </c>
      <c r="AB448" s="708">
        <f t="shared" si="73"/>
        <v>0</v>
      </c>
      <c r="AC448" s="708"/>
      <c r="AD448" s="193" t="s">
        <v>242</v>
      </c>
      <c r="AE448" s="141" t="s">
        <v>328</v>
      </c>
      <c r="AF448" s="146" t="s">
        <v>195</v>
      </c>
      <c r="AG448" s="708" t="s">
        <v>41</v>
      </c>
    </row>
    <row r="449" s="570" customFormat="1" ht="24.95" customHeight="1" spans="1:33">
      <c r="A449" s="705"/>
      <c r="B449" s="785" t="s">
        <v>69</v>
      </c>
      <c r="C449" s="146" t="s">
        <v>52</v>
      </c>
      <c r="D449" s="152" t="s">
        <v>147</v>
      </c>
      <c r="E449" s="708">
        <v>1</v>
      </c>
      <c r="F449" s="785" t="s">
        <v>69</v>
      </c>
      <c r="G449" s="92"/>
      <c r="H449" s="708">
        <v>10050</v>
      </c>
      <c r="I449" s="92"/>
      <c r="J449" s="708">
        <v>10050</v>
      </c>
      <c r="K449" s="708"/>
      <c r="L449" s="92">
        <v>2019.01</v>
      </c>
      <c r="M449" s="92">
        <v>2019.12</v>
      </c>
      <c r="N449" s="726"/>
      <c r="O449" s="726"/>
      <c r="P449" s="726"/>
      <c r="Q449" s="726"/>
      <c r="R449" s="726"/>
      <c r="S449" s="726"/>
      <c r="T449" s="726"/>
      <c r="U449" s="726"/>
      <c r="V449" s="726"/>
      <c r="W449" s="726"/>
      <c r="X449" s="726"/>
      <c r="Y449" s="763">
        <v>2354</v>
      </c>
      <c r="Z449" s="763">
        <v>10050</v>
      </c>
      <c r="AA449" s="708">
        <v>1</v>
      </c>
      <c r="AB449" s="708"/>
      <c r="AC449" s="708"/>
      <c r="AD449" s="146" t="s">
        <v>244</v>
      </c>
      <c r="AE449" s="146" t="s">
        <v>245</v>
      </c>
      <c r="AF449" s="146" t="s">
        <v>195</v>
      </c>
      <c r="AG449" s="708"/>
    </row>
    <row r="450" s="570" customFormat="1" ht="24.95" customHeight="1" spans="1:33">
      <c r="A450" s="705"/>
      <c r="B450" s="785" t="s">
        <v>51</v>
      </c>
      <c r="C450" s="146" t="s">
        <v>52</v>
      </c>
      <c r="D450" s="152" t="s">
        <v>147</v>
      </c>
      <c r="E450" s="708">
        <v>1</v>
      </c>
      <c r="F450" s="785" t="s">
        <v>51</v>
      </c>
      <c r="G450" s="92"/>
      <c r="H450" s="708">
        <v>7269</v>
      </c>
      <c r="I450" s="92"/>
      <c r="J450" s="708">
        <v>7269</v>
      </c>
      <c r="K450" s="708"/>
      <c r="L450" s="92">
        <v>2019.01</v>
      </c>
      <c r="M450" s="92">
        <v>2019.12</v>
      </c>
      <c r="N450" s="726"/>
      <c r="O450" s="726"/>
      <c r="P450" s="726"/>
      <c r="Q450" s="726"/>
      <c r="R450" s="726"/>
      <c r="S450" s="726"/>
      <c r="T450" s="726"/>
      <c r="U450" s="726"/>
      <c r="V450" s="726"/>
      <c r="W450" s="726"/>
      <c r="X450" s="726"/>
      <c r="Y450" s="763">
        <v>1760</v>
      </c>
      <c r="Z450" s="763">
        <v>7269</v>
      </c>
      <c r="AA450" s="708">
        <v>1</v>
      </c>
      <c r="AB450" s="708"/>
      <c r="AC450" s="708"/>
      <c r="AD450" s="71" t="s">
        <v>169</v>
      </c>
      <c r="AE450" s="71" t="s">
        <v>246</v>
      </c>
      <c r="AF450" s="146" t="s">
        <v>195</v>
      </c>
      <c r="AG450" s="708"/>
    </row>
    <row r="451" s="570" customFormat="1" ht="24.95" customHeight="1" spans="1:33">
      <c r="A451" s="705"/>
      <c r="B451" s="785" t="s">
        <v>72</v>
      </c>
      <c r="C451" s="146" t="s">
        <v>52</v>
      </c>
      <c r="D451" s="152" t="s">
        <v>147</v>
      </c>
      <c r="E451" s="708">
        <v>1</v>
      </c>
      <c r="F451" s="785" t="s">
        <v>72</v>
      </c>
      <c r="G451" s="92"/>
      <c r="H451" s="708">
        <v>10141</v>
      </c>
      <c r="I451" s="92"/>
      <c r="J451" s="708">
        <v>10141</v>
      </c>
      <c r="K451" s="708"/>
      <c r="L451" s="92">
        <v>2019.01</v>
      </c>
      <c r="M451" s="92">
        <v>2019.12</v>
      </c>
      <c r="N451" s="726"/>
      <c r="O451" s="726"/>
      <c r="P451" s="726"/>
      <c r="Q451" s="726"/>
      <c r="R451" s="726"/>
      <c r="S451" s="726"/>
      <c r="T451" s="726"/>
      <c r="U451" s="726"/>
      <c r="V451" s="726"/>
      <c r="W451" s="726"/>
      <c r="X451" s="726"/>
      <c r="Y451" s="763">
        <v>2438</v>
      </c>
      <c r="Z451" s="763">
        <v>10141</v>
      </c>
      <c r="AA451" s="708">
        <v>1</v>
      </c>
      <c r="AB451" s="708"/>
      <c r="AC451" s="708"/>
      <c r="AD451" s="146" t="s">
        <v>247</v>
      </c>
      <c r="AE451" s="146" t="s">
        <v>248</v>
      </c>
      <c r="AF451" s="146" t="s">
        <v>195</v>
      </c>
      <c r="AG451" s="708"/>
    </row>
    <row r="452" s="570" customFormat="1" ht="24.95" customHeight="1" spans="1:33">
      <c r="A452" s="705"/>
      <c r="B452" s="785" t="s">
        <v>91</v>
      </c>
      <c r="C452" s="146" t="s">
        <v>52</v>
      </c>
      <c r="D452" s="152" t="s">
        <v>147</v>
      </c>
      <c r="E452" s="708">
        <v>1</v>
      </c>
      <c r="F452" s="785" t="s">
        <v>91</v>
      </c>
      <c r="G452" s="92"/>
      <c r="H452" s="708">
        <v>7676</v>
      </c>
      <c r="I452" s="92"/>
      <c r="J452" s="708">
        <v>7676</v>
      </c>
      <c r="K452" s="708"/>
      <c r="L452" s="92">
        <v>2019.01</v>
      </c>
      <c r="M452" s="92">
        <v>2019.12</v>
      </c>
      <c r="N452" s="726"/>
      <c r="O452" s="726"/>
      <c r="P452" s="726"/>
      <c r="Q452" s="726"/>
      <c r="R452" s="726"/>
      <c r="S452" s="726"/>
      <c r="T452" s="726"/>
      <c r="U452" s="726"/>
      <c r="V452" s="726"/>
      <c r="W452" s="726"/>
      <c r="X452" s="726"/>
      <c r="Y452" s="763">
        <v>1977</v>
      </c>
      <c r="Z452" s="763">
        <v>7676</v>
      </c>
      <c r="AA452" s="708">
        <v>1</v>
      </c>
      <c r="AB452" s="708"/>
      <c r="AC452" s="708"/>
      <c r="AD452" s="146" t="s">
        <v>249</v>
      </c>
      <c r="AE452" s="146" t="s">
        <v>250</v>
      </c>
      <c r="AF452" s="146" t="s">
        <v>195</v>
      </c>
      <c r="AG452" s="708"/>
    </row>
    <row r="453" s="570" customFormat="1" ht="24.95" customHeight="1" spans="1:33">
      <c r="A453" s="705"/>
      <c r="B453" s="785" t="s">
        <v>55</v>
      </c>
      <c r="C453" s="146" t="s">
        <v>52</v>
      </c>
      <c r="D453" s="152" t="s">
        <v>147</v>
      </c>
      <c r="E453" s="708">
        <v>1</v>
      </c>
      <c r="F453" s="785" t="s">
        <v>55</v>
      </c>
      <c r="G453" s="92"/>
      <c r="H453" s="708">
        <v>14263</v>
      </c>
      <c r="I453" s="92"/>
      <c r="J453" s="708">
        <v>14263</v>
      </c>
      <c r="K453" s="708"/>
      <c r="L453" s="92">
        <v>2019.01</v>
      </c>
      <c r="M453" s="92">
        <v>2019.12</v>
      </c>
      <c r="N453" s="726"/>
      <c r="O453" s="726"/>
      <c r="P453" s="726"/>
      <c r="Q453" s="726"/>
      <c r="R453" s="726"/>
      <c r="S453" s="726"/>
      <c r="T453" s="726"/>
      <c r="U453" s="726"/>
      <c r="V453" s="726"/>
      <c r="W453" s="726"/>
      <c r="X453" s="726"/>
      <c r="Y453" s="763">
        <v>3379</v>
      </c>
      <c r="Z453" s="763">
        <v>14263</v>
      </c>
      <c r="AA453" s="708">
        <v>1</v>
      </c>
      <c r="AB453" s="708"/>
      <c r="AC453" s="708"/>
      <c r="AD453" s="146" t="s">
        <v>209</v>
      </c>
      <c r="AE453" s="146" t="s">
        <v>251</v>
      </c>
      <c r="AF453" s="146" t="s">
        <v>195</v>
      </c>
      <c r="AG453" s="708"/>
    </row>
    <row r="454" s="570" customFormat="1" ht="24.95" customHeight="1" spans="1:33">
      <c r="A454" s="705"/>
      <c r="B454" s="785" t="s">
        <v>75</v>
      </c>
      <c r="C454" s="146" t="s">
        <v>52</v>
      </c>
      <c r="D454" s="152" t="s">
        <v>147</v>
      </c>
      <c r="E454" s="708">
        <v>1</v>
      </c>
      <c r="F454" s="785" t="s">
        <v>75</v>
      </c>
      <c r="G454" s="92"/>
      <c r="H454" s="708">
        <v>9972</v>
      </c>
      <c r="I454" s="92"/>
      <c r="J454" s="708">
        <v>9972</v>
      </c>
      <c r="K454" s="708"/>
      <c r="L454" s="92">
        <v>2019.01</v>
      </c>
      <c r="M454" s="92">
        <v>2019.12</v>
      </c>
      <c r="N454" s="726"/>
      <c r="O454" s="726"/>
      <c r="P454" s="726"/>
      <c r="Q454" s="726"/>
      <c r="R454" s="726"/>
      <c r="S454" s="726"/>
      <c r="T454" s="726"/>
      <c r="U454" s="726"/>
      <c r="V454" s="726"/>
      <c r="W454" s="726"/>
      <c r="X454" s="726"/>
      <c r="Y454" s="763">
        <v>2230</v>
      </c>
      <c r="Z454" s="763">
        <v>9972</v>
      </c>
      <c r="AA454" s="708">
        <v>1</v>
      </c>
      <c r="AB454" s="708"/>
      <c r="AC454" s="708"/>
      <c r="AD454" s="146" t="s">
        <v>329</v>
      </c>
      <c r="AE454" s="146" t="s">
        <v>252</v>
      </c>
      <c r="AF454" s="146" t="s">
        <v>195</v>
      </c>
      <c r="AG454" s="708"/>
    </row>
    <row r="455" s="570" customFormat="1" ht="24.95" customHeight="1" spans="1:33">
      <c r="A455" s="705"/>
      <c r="B455" s="785" t="s">
        <v>58</v>
      </c>
      <c r="C455" s="146" t="s">
        <v>52</v>
      </c>
      <c r="D455" s="152" t="s">
        <v>147</v>
      </c>
      <c r="E455" s="708">
        <v>1</v>
      </c>
      <c r="F455" s="785" t="s">
        <v>58</v>
      </c>
      <c r="G455" s="92"/>
      <c r="H455" s="708">
        <v>3856</v>
      </c>
      <c r="I455" s="92"/>
      <c r="J455" s="708">
        <v>3856</v>
      </c>
      <c r="K455" s="708"/>
      <c r="L455" s="92">
        <v>2019.01</v>
      </c>
      <c r="M455" s="92">
        <v>2019.12</v>
      </c>
      <c r="N455" s="726"/>
      <c r="O455" s="726"/>
      <c r="P455" s="726"/>
      <c r="Q455" s="726"/>
      <c r="R455" s="726"/>
      <c r="S455" s="726"/>
      <c r="T455" s="726"/>
      <c r="U455" s="726"/>
      <c r="V455" s="726"/>
      <c r="W455" s="726"/>
      <c r="X455" s="726"/>
      <c r="Y455" s="763">
        <v>907</v>
      </c>
      <c r="Z455" s="763">
        <v>3856</v>
      </c>
      <c r="AA455" s="708">
        <v>1</v>
      </c>
      <c r="AB455" s="708"/>
      <c r="AC455" s="708"/>
      <c r="AD455" s="146" t="s">
        <v>253</v>
      </c>
      <c r="AE455" s="146" t="s">
        <v>254</v>
      </c>
      <c r="AF455" s="146" t="s">
        <v>195</v>
      </c>
      <c r="AG455" s="708"/>
    </row>
    <row r="456" s="570" customFormat="1" ht="24.95" customHeight="1" spans="1:33">
      <c r="A456" s="705"/>
      <c r="B456" s="785" t="s">
        <v>61</v>
      </c>
      <c r="C456" s="146" t="s">
        <v>52</v>
      </c>
      <c r="D456" s="152" t="s">
        <v>147</v>
      </c>
      <c r="E456" s="708">
        <v>1</v>
      </c>
      <c r="F456" s="785" t="s">
        <v>61</v>
      </c>
      <c r="G456" s="92"/>
      <c r="H456" s="708">
        <v>19245</v>
      </c>
      <c r="I456" s="92"/>
      <c r="J456" s="708">
        <v>19245</v>
      </c>
      <c r="K456" s="708"/>
      <c r="L456" s="92">
        <v>2019.01</v>
      </c>
      <c r="M456" s="92">
        <v>2019.12</v>
      </c>
      <c r="N456" s="726"/>
      <c r="O456" s="726"/>
      <c r="P456" s="726"/>
      <c r="Q456" s="726"/>
      <c r="R456" s="726"/>
      <c r="S456" s="726"/>
      <c r="T456" s="726"/>
      <c r="U456" s="726"/>
      <c r="V456" s="726"/>
      <c r="W456" s="726"/>
      <c r="X456" s="726"/>
      <c r="Y456" s="763">
        <v>4272</v>
      </c>
      <c r="Z456" s="763">
        <v>19245</v>
      </c>
      <c r="AA456" s="708">
        <v>1</v>
      </c>
      <c r="AB456" s="708"/>
      <c r="AC456" s="708"/>
      <c r="AD456" s="146" t="s">
        <v>255</v>
      </c>
      <c r="AE456" s="146" t="s">
        <v>256</v>
      </c>
      <c r="AF456" s="146" t="s">
        <v>195</v>
      </c>
      <c r="AG456" s="708"/>
    </row>
    <row r="457" s="570" customFormat="1" ht="24.95" customHeight="1" spans="1:33">
      <c r="A457" s="705"/>
      <c r="B457" s="785" t="s">
        <v>78</v>
      </c>
      <c r="C457" s="146" t="s">
        <v>52</v>
      </c>
      <c r="D457" s="152" t="s">
        <v>147</v>
      </c>
      <c r="E457" s="708">
        <v>1</v>
      </c>
      <c r="F457" s="785" t="s">
        <v>78</v>
      </c>
      <c r="G457" s="92"/>
      <c r="H457" s="708">
        <v>12000</v>
      </c>
      <c r="I457" s="92"/>
      <c r="J457" s="708">
        <v>12000</v>
      </c>
      <c r="K457" s="708"/>
      <c r="L457" s="92">
        <v>2019.01</v>
      </c>
      <c r="M457" s="92">
        <v>2019.12</v>
      </c>
      <c r="N457" s="726"/>
      <c r="O457" s="726"/>
      <c r="P457" s="726"/>
      <c r="Q457" s="726"/>
      <c r="R457" s="726"/>
      <c r="S457" s="726"/>
      <c r="T457" s="726"/>
      <c r="U457" s="726"/>
      <c r="V457" s="726"/>
      <c r="W457" s="726"/>
      <c r="X457" s="726"/>
      <c r="Y457" s="763">
        <v>2596</v>
      </c>
      <c r="Z457" s="763">
        <v>12000</v>
      </c>
      <c r="AA457" s="708">
        <v>1</v>
      </c>
      <c r="AB457" s="708"/>
      <c r="AC457" s="708"/>
      <c r="AD457" s="146" t="s">
        <v>330</v>
      </c>
      <c r="AE457" s="146" t="s">
        <v>257</v>
      </c>
      <c r="AF457" s="146" t="s">
        <v>195</v>
      </c>
      <c r="AG457" s="708"/>
    </row>
    <row r="458" s="570" customFormat="1" ht="24.95" customHeight="1" spans="1:33">
      <c r="A458" s="705"/>
      <c r="B458" s="785" t="s">
        <v>114</v>
      </c>
      <c r="C458" s="146" t="s">
        <v>52</v>
      </c>
      <c r="D458" s="152" t="s">
        <v>147</v>
      </c>
      <c r="E458" s="708">
        <v>1</v>
      </c>
      <c r="F458" s="785" t="s">
        <v>114</v>
      </c>
      <c r="G458" s="92"/>
      <c r="H458" s="708">
        <v>1544</v>
      </c>
      <c r="I458" s="92"/>
      <c r="J458" s="708">
        <v>1544</v>
      </c>
      <c r="K458" s="708"/>
      <c r="L458" s="92">
        <v>2019.01</v>
      </c>
      <c r="M458" s="92">
        <v>2019.12</v>
      </c>
      <c r="N458" s="726"/>
      <c r="O458" s="726"/>
      <c r="P458" s="726"/>
      <c r="Q458" s="726"/>
      <c r="R458" s="726"/>
      <c r="S458" s="726"/>
      <c r="T458" s="726"/>
      <c r="U458" s="726"/>
      <c r="V458" s="726"/>
      <c r="W458" s="726"/>
      <c r="X458" s="726"/>
      <c r="Y458" s="763">
        <v>368</v>
      </c>
      <c r="Z458" s="763">
        <v>1544</v>
      </c>
      <c r="AA458" s="708">
        <v>1</v>
      </c>
      <c r="AB458" s="708"/>
      <c r="AC458" s="708"/>
      <c r="AD458" s="146" t="s">
        <v>260</v>
      </c>
      <c r="AE458" s="146" t="s">
        <v>331</v>
      </c>
      <c r="AF458" s="146" t="s">
        <v>195</v>
      </c>
      <c r="AG458" s="708"/>
    </row>
    <row r="459" s="570" customFormat="1" ht="24.95" customHeight="1" spans="1:33">
      <c r="A459" s="705"/>
      <c r="B459" s="785" t="s">
        <v>64</v>
      </c>
      <c r="C459" s="146" t="s">
        <v>52</v>
      </c>
      <c r="D459" s="152" t="s">
        <v>147</v>
      </c>
      <c r="E459" s="708">
        <v>1</v>
      </c>
      <c r="F459" s="785" t="s">
        <v>64</v>
      </c>
      <c r="G459" s="92"/>
      <c r="H459" s="708">
        <v>9274</v>
      </c>
      <c r="I459" s="92"/>
      <c r="J459" s="708">
        <v>9274</v>
      </c>
      <c r="K459" s="708"/>
      <c r="L459" s="92">
        <v>2019.01</v>
      </c>
      <c r="M459" s="92">
        <v>2019.12</v>
      </c>
      <c r="N459" s="726"/>
      <c r="O459" s="726"/>
      <c r="P459" s="726"/>
      <c r="Q459" s="726"/>
      <c r="R459" s="726"/>
      <c r="S459" s="726"/>
      <c r="T459" s="726"/>
      <c r="U459" s="726"/>
      <c r="V459" s="726"/>
      <c r="W459" s="726"/>
      <c r="X459" s="726"/>
      <c r="Y459" s="763">
        <v>2200</v>
      </c>
      <c r="Z459" s="763">
        <v>9274</v>
      </c>
      <c r="AA459" s="708">
        <v>1</v>
      </c>
      <c r="AB459" s="708"/>
      <c r="AC459" s="708"/>
      <c r="AD459" s="146" t="s">
        <v>65</v>
      </c>
      <c r="AE459" s="146" t="s">
        <v>258</v>
      </c>
      <c r="AF459" s="146" t="s">
        <v>195</v>
      </c>
      <c r="AG459" s="708"/>
    </row>
    <row r="460" s="570" customFormat="1" ht="24.95" customHeight="1" spans="1:33">
      <c r="A460" s="705" t="s">
        <v>48</v>
      </c>
      <c r="B460" s="785" t="s">
        <v>92</v>
      </c>
      <c r="C460" s="146" t="s">
        <v>52</v>
      </c>
      <c r="D460" s="152" t="s">
        <v>147</v>
      </c>
      <c r="E460" s="708">
        <v>1</v>
      </c>
      <c r="F460" s="785" t="s">
        <v>92</v>
      </c>
      <c r="G460" s="92"/>
      <c r="H460" s="92">
        <v>5848</v>
      </c>
      <c r="I460" s="92"/>
      <c r="J460" s="92">
        <v>5848</v>
      </c>
      <c r="K460" s="92"/>
      <c r="L460" s="92">
        <v>2019.01</v>
      </c>
      <c r="M460" s="92">
        <v>2019.12</v>
      </c>
      <c r="N460" s="92"/>
      <c r="O460" s="92"/>
      <c r="P460" s="92"/>
      <c r="Q460" s="92"/>
      <c r="R460" s="92"/>
      <c r="S460" s="92"/>
      <c r="T460" s="92"/>
      <c r="U460" s="92"/>
      <c r="V460" s="92"/>
      <c r="W460" s="92"/>
      <c r="X460" s="92"/>
      <c r="Y460" s="738">
        <v>1247</v>
      </c>
      <c r="Z460" s="738">
        <v>5848</v>
      </c>
      <c r="AA460" s="708">
        <v>1</v>
      </c>
      <c r="AB460" s="92"/>
      <c r="AC460" s="92"/>
      <c r="AD460" s="775" t="s">
        <v>262</v>
      </c>
      <c r="AE460" s="775" t="s">
        <v>263</v>
      </c>
      <c r="AF460" s="146" t="s">
        <v>195</v>
      </c>
      <c r="AG460" s="92"/>
    </row>
    <row r="461" s="570" customFormat="1" ht="24.95" customHeight="1" spans="1:33">
      <c r="A461" s="705">
        <v>59</v>
      </c>
      <c r="B461" s="711" t="s">
        <v>332</v>
      </c>
      <c r="C461" s="146" t="s">
        <v>52</v>
      </c>
      <c r="D461" s="152" t="s">
        <v>147</v>
      </c>
      <c r="E461" s="708">
        <f>SUM(E462:E473)</f>
        <v>12</v>
      </c>
      <c r="F461" s="708">
        <f t="shared" ref="F461:AB461" si="74">SUM(F462:F473)</f>
        <v>0</v>
      </c>
      <c r="G461" s="708">
        <f t="shared" si="74"/>
        <v>0</v>
      </c>
      <c r="H461" s="708">
        <f t="shared" si="74"/>
        <v>111138</v>
      </c>
      <c r="I461" s="708">
        <f t="shared" si="74"/>
        <v>0</v>
      </c>
      <c r="J461" s="708">
        <f t="shared" si="74"/>
        <v>111138</v>
      </c>
      <c r="K461" s="708">
        <f t="shared" si="74"/>
        <v>0</v>
      </c>
      <c r="L461" s="708"/>
      <c r="M461" s="708"/>
      <c r="N461" s="708">
        <f t="shared" si="74"/>
        <v>0</v>
      </c>
      <c r="O461" s="708">
        <f t="shared" si="74"/>
        <v>0</v>
      </c>
      <c r="P461" s="708">
        <f t="shared" si="74"/>
        <v>0</v>
      </c>
      <c r="Q461" s="708">
        <f t="shared" si="74"/>
        <v>0</v>
      </c>
      <c r="R461" s="708">
        <f t="shared" si="74"/>
        <v>0</v>
      </c>
      <c r="S461" s="708">
        <f t="shared" si="74"/>
        <v>0</v>
      </c>
      <c r="T461" s="708">
        <f t="shared" si="74"/>
        <v>0</v>
      </c>
      <c r="U461" s="708">
        <f t="shared" si="74"/>
        <v>0</v>
      </c>
      <c r="V461" s="708">
        <f t="shared" si="74"/>
        <v>0</v>
      </c>
      <c r="W461" s="708">
        <f t="shared" si="74"/>
        <v>0</v>
      </c>
      <c r="X461" s="708">
        <f t="shared" si="74"/>
        <v>0</v>
      </c>
      <c r="Y461" s="708">
        <f t="shared" si="74"/>
        <v>25728</v>
      </c>
      <c r="Z461" s="708">
        <f t="shared" si="74"/>
        <v>111138</v>
      </c>
      <c r="AA461" s="708">
        <f t="shared" si="74"/>
        <v>12</v>
      </c>
      <c r="AB461" s="708">
        <f t="shared" si="74"/>
        <v>0</v>
      </c>
      <c r="AC461" s="708"/>
      <c r="AD461" s="193" t="s">
        <v>242</v>
      </c>
      <c r="AE461" s="141" t="s">
        <v>328</v>
      </c>
      <c r="AF461" s="146" t="s">
        <v>195</v>
      </c>
      <c r="AG461" s="708" t="s">
        <v>41</v>
      </c>
    </row>
    <row r="462" s="570" customFormat="1" ht="24.95" customHeight="1" spans="1:33">
      <c r="A462" s="705"/>
      <c r="B462" s="785" t="s">
        <v>69</v>
      </c>
      <c r="C462" s="146" t="s">
        <v>52</v>
      </c>
      <c r="D462" s="152" t="s">
        <v>147</v>
      </c>
      <c r="E462" s="708">
        <v>1</v>
      </c>
      <c r="F462" s="785" t="s">
        <v>69</v>
      </c>
      <c r="G462" s="92"/>
      <c r="H462" s="708">
        <v>10050</v>
      </c>
      <c r="I462" s="92"/>
      <c r="J462" s="708">
        <v>10050</v>
      </c>
      <c r="K462" s="708"/>
      <c r="L462" s="92">
        <v>2019.01</v>
      </c>
      <c r="M462" s="92">
        <v>2019.12</v>
      </c>
      <c r="N462" s="726"/>
      <c r="O462" s="726"/>
      <c r="P462" s="726"/>
      <c r="Q462" s="726"/>
      <c r="R462" s="726"/>
      <c r="S462" s="726"/>
      <c r="T462" s="726"/>
      <c r="U462" s="726"/>
      <c r="V462" s="726"/>
      <c r="W462" s="726"/>
      <c r="X462" s="726"/>
      <c r="Y462" s="763">
        <v>2354</v>
      </c>
      <c r="Z462" s="763">
        <v>10050</v>
      </c>
      <c r="AA462" s="708">
        <v>1</v>
      </c>
      <c r="AB462" s="708"/>
      <c r="AC462" s="708"/>
      <c r="AD462" s="146" t="s">
        <v>244</v>
      </c>
      <c r="AE462" s="146" t="s">
        <v>333</v>
      </c>
      <c r="AF462" s="146" t="s">
        <v>195</v>
      </c>
      <c r="AG462" s="708"/>
    </row>
    <row r="463" s="570" customFormat="1" ht="24.95" customHeight="1" spans="1:33">
      <c r="A463" s="705"/>
      <c r="B463" s="785" t="s">
        <v>51</v>
      </c>
      <c r="C463" s="146" t="s">
        <v>52</v>
      </c>
      <c r="D463" s="152" t="s">
        <v>147</v>
      </c>
      <c r="E463" s="708">
        <v>1</v>
      </c>
      <c r="F463" s="785" t="s">
        <v>51</v>
      </c>
      <c r="G463" s="92"/>
      <c r="H463" s="708">
        <v>7269</v>
      </c>
      <c r="I463" s="92"/>
      <c r="J463" s="708">
        <v>7269</v>
      </c>
      <c r="K463" s="708"/>
      <c r="L463" s="92">
        <v>2019.01</v>
      </c>
      <c r="M463" s="92">
        <v>2019.12</v>
      </c>
      <c r="N463" s="726"/>
      <c r="O463" s="726"/>
      <c r="P463" s="726"/>
      <c r="Q463" s="726"/>
      <c r="R463" s="726"/>
      <c r="S463" s="726"/>
      <c r="T463" s="726"/>
      <c r="U463" s="726"/>
      <c r="V463" s="726"/>
      <c r="W463" s="726"/>
      <c r="X463" s="726"/>
      <c r="Y463" s="763">
        <v>1760</v>
      </c>
      <c r="Z463" s="763">
        <v>7269</v>
      </c>
      <c r="AA463" s="708">
        <v>1</v>
      </c>
      <c r="AB463" s="708"/>
      <c r="AC463" s="708"/>
      <c r="AD463" s="146" t="s">
        <v>169</v>
      </c>
      <c r="AE463" s="146" t="s">
        <v>334</v>
      </c>
      <c r="AF463" s="146" t="s">
        <v>195</v>
      </c>
      <c r="AG463" s="708"/>
    </row>
    <row r="464" s="570" customFormat="1" ht="24.95" customHeight="1" spans="1:33">
      <c r="A464" s="705"/>
      <c r="B464" s="785" t="s">
        <v>72</v>
      </c>
      <c r="C464" s="146" t="s">
        <v>52</v>
      </c>
      <c r="D464" s="152" t="s">
        <v>147</v>
      </c>
      <c r="E464" s="708">
        <v>1</v>
      </c>
      <c r="F464" s="785" t="s">
        <v>72</v>
      </c>
      <c r="G464" s="92"/>
      <c r="H464" s="708">
        <v>10141</v>
      </c>
      <c r="I464" s="92"/>
      <c r="J464" s="708">
        <v>10141</v>
      </c>
      <c r="K464" s="708"/>
      <c r="L464" s="92">
        <v>2019.01</v>
      </c>
      <c r="M464" s="92">
        <v>2019.12</v>
      </c>
      <c r="N464" s="726"/>
      <c r="O464" s="726"/>
      <c r="P464" s="726"/>
      <c r="Q464" s="726"/>
      <c r="R464" s="726"/>
      <c r="S464" s="726"/>
      <c r="T464" s="726"/>
      <c r="U464" s="726"/>
      <c r="V464" s="726"/>
      <c r="W464" s="726"/>
      <c r="X464" s="726"/>
      <c r="Y464" s="763">
        <v>2438</v>
      </c>
      <c r="Z464" s="763">
        <v>10141</v>
      </c>
      <c r="AA464" s="708">
        <v>1</v>
      </c>
      <c r="AB464" s="708"/>
      <c r="AC464" s="708"/>
      <c r="AD464" s="146" t="s">
        <v>247</v>
      </c>
      <c r="AE464" s="146" t="s">
        <v>248</v>
      </c>
      <c r="AF464" s="146" t="s">
        <v>195</v>
      </c>
      <c r="AG464" s="708"/>
    </row>
    <row r="465" s="570" customFormat="1" ht="24.95" customHeight="1" spans="1:33">
      <c r="A465" s="705"/>
      <c r="B465" s="785" t="s">
        <v>91</v>
      </c>
      <c r="C465" s="146" t="s">
        <v>52</v>
      </c>
      <c r="D465" s="152" t="s">
        <v>147</v>
      </c>
      <c r="E465" s="708">
        <v>1</v>
      </c>
      <c r="F465" s="785" t="s">
        <v>91</v>
      </c>
      <c r="G465" s="92"/>
      <c r="H465" s="708">
        <v>7676</v>
      </c>
      <c r="I465" s="92"/>
      <c r="J465" s="708">
        <v>7676</v>
      </c>
      <c r="K465" s="708"/>
      <c r="L465" s="92">
        <v>2019.01</v>
      </c>
      <c r="M465" s="92">
        <v>2019.12</v>
      </c>
      <c r="N465" s="726"/>
      <c r="O465" s="726"/>
      <c r="P465" s="726"/>
      <c r="Q465" s="726"/>
      <c r="R465" s="726"/>
      <c r="S465" s="726"/>
      <c r="T465" s="726"/>
      <c r="U465" s="726"/>
      <c r="V465" s="726"/>
      <c r="W465" s="726"/>
      <c r="X465" s="726"/>
      <c r="Y465" s="763">
        <v>1977</v>
      </c>
      <c r="Z465" s="763">
        <v>7676</v>
      </c>
      <c r="AA465" s="708">
        <v>1</v>
      </c>
      <c r="AB465" s="708"/>
      <c r="AC465" s="708"/>
      <c r="AD465" s="146" t="s">
        <v>249</v>
      </c>
      <c r="AE465" s="146" t="s">
        <v>250</v>
      </c>
      <c r="AF465" s="146" t="s">
        <v>195</v>
      </c>
      <c r="AG465" s="708"/>
    </row>
    <row r="466" s="570" customFormat="1" ht="24.95" customHeight="1" spans="1:33">
      <c r="A466" s="705"/>
      <c r="B466" s="785" t="s">
        <v>55</v>
      </c>
      <c r="C466" s="146" t="s">
        <v>52</v>
      </c>
      <c r="D466" s="152" t="s">
        <v>147</v>
      </c>
      <c r="E466" s="708">
        <v>1</v>
      </c>
      <c r="F466" s="785" t="s">
        <v>55</v>
      </c>
      <c r="G466" s="92"/>
      <c r="H466" s="708">
        <v>14263</v>
      </c>
      <c r="I466" s="92"/>
      <c r="J466" s="708">
        <v>14263</v>
      </c>
      <c r="K466" s="708"/>
      <c r="L466" s="92">
        <v>2019.01</v>
      </c>
      <c r="M466" s="92">
        <v>2019.12</v>
      </c>
      <c r="N466" s="726"/>
      <c r="O466" s="726"/>
      <c r="P466" s="726"/>
      <c r="Q466" s="726"/>
      <c r="R466" s="726"/>
      <c r="S466" s="726"/>
      <c r="T466" s="726"/>
      <c r="U466" s="726"/>
      <c r="V466" s="726"/>
      <c r="W466" s="726"/>
      <c r="X466" s="726"/>
      <c r="Y466" s="763">
        <v>3379</v>
      </c>
      <c r="Z466" s="763">
        <v>14263</v>
      </c>
      <c r="AA466" s="708">
        <v>1</v>
      </c>
      <c r="AB466" s="708"/>
      <c r="AC466" s="708"/>
      <c r="AD466" s="146" t="s">
        <v>209</v>
      </c>
      <c r="AE466" s="146" t="s">
        <v>251</v>
      </c>
      <c r="AF466" s="146" t="s">
        <v>195</v>
      </c>
      <c r="AG466" s="708"/>
    </row>
    <row r="467" s="570" customFormat="1" ht="24.95" customHeight="1" spans="1:33">
      <c r="A467" s="705"/>
      <c r="B467" s="785" t="s">
        <v>75</v>
      </c>
      <c r="C467" s="146" t="s">
        <v>52</v>
      </c>
      <c r="D467" s="152" t="s">
        <v>147</v>
      </c>
      <c r="E467" s="708">
        <v>1</v>
      </c>
      <c r="F467" s="785" t="s">
        <v>75</v>
      </c>
      <c r="G467" s="92"/>
      <c r="H467" s="708">
        <v>9972</v>
      </c>
      <c r="I467" s="92"/>
      <c r="J467" s="708">
        <v>9972</v>
      </c>
      <c r="K467" s="708"/>
      <c r="L467" s="92">
        <v>2019.01</v>
      </c>
      <c r="M467" s="92">
        <v>2019.12</v>
      </c>
      <c r="N467" s="726"/>
      <c r="O467" s="726"/>
      <c r="P467" s="726"/>
      <c r="Q467" s="726"/>
      <c r="R467" s="726"/>
      <c r="S467" s="726"/>
      <c r="T467" s="726"/>
      <c r="U467" s="726"/>
      <c r="V467" s="726"/>
      <c r="W467" s="726"/>
      <c r="X467" s="726"/>
      <c r="Y467" s="763">
        <v>2230</v>
      </c>
      <c r="Z467" s="763">
        <v>9972</v>
      </c>
      <c r="AA467" s="708">
        <v>1</v>
      </c>
      <c r="AB467" s="708"/>
      <c r="AC467" s="708"/>
      <c r="AD467" s="146" t="s">
        <v>329</v>
      </c>
      <c r="AE467" s="146" t="s">
        <v>252</v>
      </c>
      <c r="AF467" s="146" t="s">
        <v>195</v>
      </c>
      <c r="AG467" s="708"/>
    </row>
    <row r="468" s="570" customFormat="1" ht="24.95" customHeight="1" spans="1:33">
      <c r="A468" s="705"/>
      <c r="B468" s="785" t="s">
        <v>58</v>
      </c>
      <c r="C468" s="146" t="s">
        <v>52</v>
      </c>
      <c r="D468" s="152" t="s">
        <v>147</v>
      </c>
      <c r="E468" s="708">
        <v>1</v>
      </c>
      <c r="F468" s="785" t="s">
        <v>58</v>
      </c>
      <c r="G468" s="92"/>
      <c r="H468" s="708">
        <v>3856</v>
      </c>
      <c r="I468" s="92"/>
      <c r="J468" s="708">
        <v>3856</v>
      </c>
      <c r="K468" s="708"/>
      <c r="L468" s="92">
        <v>2019.01</v>
      </c>
      <c r="M468" s="92">
        <v>2019.12</v>
      </c>
      <c r="N468" s="726"/>
      <c r="O468" s="726"/>
      <c r="P468" s="726"/>
      <c r="Q468" s="726"/>
      <c r="R468" s="726"/>
      <c r="S468" s="726"/>
      <c r="T468" s="726"/>
      <c r="U468" s="726"/>
      <c r="V468" s="726"/>
      <c r="W468" s="726"/>
      <c r="X468" s="726"/>
      <c r="Y468" s="763">
        <v>907</v>
      </c>
      <c r="Z468" s="763">
        <v>3856</v>
      </c>
      <c r="AA468" s="708">
        <v>1</v>
      </c>
      <c r="AB468" s="708"/>
      <c r="AC468" s="708"/>
      <c r="AD468" s="146" t="s">
        <v>253</v>
      </c>
      <c r="AE468" s="146" t="s">
        <v>254</v>
      </c>
      <c r="AF468" s="146" t="s">
        <v>195</v>
      </c>
      <c r="AG468" s="708"/>
    </row>
    <row r="469" s="570" customFormat="1" ht="24.95" customHeight="1" spans="1:33">
      <c r="A469" s="705"/>
      <c r="B469" s="785" t="s">
        <v>61</v>
      </c>
      <c r="C469" s="146" t="s">
        <v>52</v>
      </c>
      <c r="D469" s="152" t="s">
        <v>147</v>
      </c>
      <c r="E469" s="708">
        <v>1</v>
      </c>
      <c r="F469" s="785" t="s">
        <v>61</v>
      </c>
      <c r="G469" s="92"/>
      <c r="H469" s="708">
        <v>19245</v>
      </c>
      <c r="I469" s="92"/>
      <c r="J469" s="708">
        <v>19245</v>
      </c>
      <c r="K469" s="708"/>
      <c r="L469" s="92">
        <v>2019.01</v>
      </c>
      <c r="M469" s="92">
        <v>2019.12</v>
      </c>
      <c r="N469" s="726"/>
      <c r="O469" s="726"/>
      <c r="P469" s="726"/>
      <c r="Q469" s="726"/>
      <c r="R469" s="726"/>
      <c r="S469" s="726"/>
      <c r="T469" s="726"/>
      <c r="U469" s="726"/>
      <c r="V469" s="726"/>
      <c r="W469" s="726"/>
      <c r="X469" s="726"/>
      <c r="Y469" s="763">
        <v>4272</v>
      </c>
      <c r="Z469" s="763">
        <v>19245</v>
      </c>
      <c r="AA469" s="708">
        <v>1</v>
      </c>
      <c r="AB469" s="708"/>
      <c r="AC469" s="708"/>
      <c r="AD469" s="146" t="s">
        <v>255</v>
      </c>
      <c r="AE469" s="146" t="s">
        <v>256</v>
      </c>
      <c r="AF469" s="146" t="s">
        <v>195</v>
      </c>
      <c r="AG469" s="708"/>
    </row>
    <row r="470" s="570" customFormat="1" ht="24.95" customHeight="1" spans="1:33">
      <c r="A470" s="705"/>
      <c r="B470" s="785" t="s">
        <v>78</v>
      </c>
      <c r="C470" s="146" t="s">
        <v>52</v>
      </c>
      <c r="D470" s="152" t="s">
        <v>147</v>
      </c>
      <c r="E470" s="708">
        <v>1</v>
      </c>
      <c r="F470" s="785" t="s">
        <v>78</v>
      </c>
      <c r="G470" s="92"/>
      <c r="H470" s="708">
        <v>12000</v>
      </c>
      <c r="I470" s="92"/>
      <c r="J470" s="708">
        <v>12000</v>
      </c>
      <c r="K470" s="708"/>
      <c r="L470" s="92">
        <v>2019.01</v>
      </c>
      <c r="M470" s="92">
        <v>2019.12</v>
      </c>
      <c r="N470" s="726"/>
      <c r="O470" s="726"/>
      <c r="P470" s="726"/>
      <c r="Q470" s="726"/>
      <c r="R470" s="726"/>
      <c r="S470" s="726"/>
      <c r="T470" s="726"/>
      <c r="U470" s="726"/>
      <c r="V470" s="726"/>
      <c r="W470" s="726"/>
      <c r="X470" s="726"/>
      <c r="Y470" s="763">
        <v>2596</v>
      </c>
      <c r="Z470" s="763">
        <v>12000</v>
      </c>
      <c r="AA470" s="708">
        <v>1</v>
      </c>
      <c r="AB470" s="708"/>
      <c r="AC470" s="708"/>
      <c r="AD470" s="146" t="s">
        <v>330</v>
      </c>
      <c r="AE470" s="146" t="s">
        <v>257</v>
      </c>
      <c r="AF470" s="146" t="s">
        <v>195</v>
      </c>
      <c r="AG470" s="708"/>
    </row>
    <row r="471" s="570" customFormat="1" ht="24.95" customHeight="1" spans="1:33">
      <c r="A471" s="705"/>
      <c r="B471" s="785" t="s">
        <v>114</v>
      </c>
      <c r="C471" s="146" t="s">
        <v>52</v>
      </c>
      <c r="D471" s="152" t="s">
        <v>147</v>
      </c>
      <c r="E471" s="708">
        <v>1</v>
      </c>
      <c r="F471" s="785" t="s">
        <v>114</v>
      </c>
      <c r="G471" s="92"/>
      <c r="H471" s="708">
        <v>1544</v>
      </c>
      <c r="I471" s="92"/>
      <c r="J471" s="708">
        <v>1544</v>
      </c>
      <c r="K471" s="708"/>
      <c r="L471" s="92">
        <v>2019.01</v>
      </c>
      <c r="M471" s="92">
        <v>2019.12</v>
      </c>
      <c r="N471" s="726"/>
      <c r="O471" s="726"/>
      <c r="P471" s="726"/>
      <c r="Q471" s="726"/>
      <c r="R471" s="726"/>
      <c r="S471" s="726"/>
      <c r="T471" s="726"/>
      <c r="U471" s="726"/>
      <c r="V471" s="726"/>
      <c r="W471" s="726"/>
      <c r="X471" s="726"/>
      <c r="Y471" s="763">
        <v>368</v>
      </c>
      <c r="Z471" s="763">
        <v>1544</v>
      </c>
      <c r="AA471" s="708">
        <v>1</v>
      </c>
      <c r="AB471" s="708"/>
      <c r="AC471" s="708"/>
      <c r="AD471" s="146" t="s">
        <v>260</v>
      </c>
      <c r="AE471" s="146" t="s">
        <v>331</v>
      </c>
      <c r="AF471" s="146" t="s">
        <v>195</v>
      </c>
      <c r="AG471" s="708"/>
    </row>
    <row r="472" s="570" customFormat="1" ht="24.95" customHeight="1" spans="1:33">
      <c r="A472" s="705"/>
      <c r="B472" s="785" t="s">
        <v>64</v>
      </c>
      <c r="C472" s="146" t="s">
        <v>52</v>
      </c>
      <c r="D472" s="152" t="s">
        <v>147</v>
      </c>
      <c r="E472" s="708">
        <v>1</v>
      </c>
      <c r="F472" s="785" t="s">
        <v>64</v>
      </c>
      <c r="G472" s="92"/>
      <c r="H472" s="708">
        <v>9274</v>
      </c>
      <c r="I472" s="92"/>
      <c r="J472" s="708">
        <v>9274</v>
      </c>
      <c r="K472" s="708"/>
      <c r="L472" s="92">
        <v>2019.01</v>
      </c>
      <c r="M472" s="92">
        <v>2019.12</v>
      </c>
      <c r="N472" s="726"/>
      <c r="O472" s="726"/>
      <c r="P472" s="726"/>
      <c r="Q472" s="726"/>
      <c r="R472" s="726"/>
      <c r="S472" s="726"/>
      <c r="T472" s="726"/>
      <c r="U472" s="726"/>
      <c r="V472" s="726"/>
      <c r="W472" s="726"/>
      <c r="X472" s="726"/>
      <c r="Y472" s="763">
        <v>2200</v>
      </c>
      <c r="Z472" s="763">
        <v>9274</v>
      </c>
      <c r="AA472" s="708">
        <v>1</v>
      </c>
      <c r="AB472" s="708"/>
      <c r="AC472" s="708"/>
      <c r="AD472" s="146" t="s">
        <v>65</v>
      </c>
      <c r="AE472" s="146" t="s">
        <v>258</v>
      </c>
      <c r="AF472" s="146" t="s">
        <v>195</v>
      </c>
      <c r="AG472" s="708"/>
    </row>
    <row r="473" s="570" customFormat="1" ht="24.95" customHeight="1" spans="1:33">
      <c r="A473" s="705" t="s">
        <v>48</v>
      </c>
      <c r="B473" s="785" t="s">
        <v>92</v>
      </c>
      <c r="C473" s="146" t="s">
        <v>52</v>
      </c>
      <c r="D473" s="152" t="s">
        <v>147</v>
      </c>
      <c r="E473" s="708">
        <v>1</v>
      </c>
      <c r="F473" s="785" t="s">
        <v>92</v>
      </c>
      <c r="G473" s="92"/>
      <c r="H473" s="92">
        <v>5848</v>
      </c>
      <c r="I473" s="92"/>
      <c r="J473" s="92">
        <v>5848</v>
      </c>
      <c r="K473" s="92"/>
      <c r="L473" s="92">
        <v>2019.01</v>
      </c>
      <c r="M473" s="92">
        <v>2019.12</v>
      </c>
      <c r="N473" s="92"/>
      <c r="O473" s="92"/>
      <c r="P473" s="92"/>
      <c r="Q473" s="92"/>
      <c r="R473" s="92"/>
      <c r="S473" s="92"/>
      <c r="T473" s="92"/>
      <c r="U473" s="92"/>
      <c r="V473" s="92"/>
      <c r="W473" s="92"/>
      <c r="X473" s="92"/>
      <c r="Y473" s="738">
        <v>1247</v>
      </c>
      <c r="Z473" s="738">
        <v>5848</v>
      </c>
      <c r="AA473" s="708">
        <v>1</v>
      </c>
      <c r="AB473" s="92"/>
      <c r="AC473" s="92"/>
      <c r="AD473" s="775" t="s">
        <v>262</v>
      </c>
      <c r="AE473" s="775" t="s">
        <v>263</v>
      </c>
      <c r="AF473" s="146" t="s">
        <v>195</v>
      </c>
      <c r="AG473" s="92"/>
    </row>
    <row r="474" s="570" customFormat="1" ht="24.95" customHeight="1" spans="1:33">
      <c r="A474" s="705">
        <v>60</v>
      </c>
      <c r="B474" s="750" t="s">
        <v>335</v>
      </c>
      <c r="C474" s="146" t="s">
        <v>320</v>
      </c>
      <c r="D474" s="152" t="s">
        <v>194</v>
      </c>
      <c r="E474" s="708">
        <f>SUM(E475:E486)</f>
        <v>12</v>
      </c>
      <c r="F474" s="708">
        <f t="shared" ref="F474:AA474" si="75">SUM(F475:F486)</f>
        <v>0</v>
      </c>
      <c r="G474" s="708">
        <f t="shared" si="75"/>
        <v>0</v>
      </c>
      <c r="H474" s="708">
        <f t="shared" si="75"/>
        <v>266</v>
      </c>
      <c r="I474" s="708">
        <f t="shared" si="75"/>
        <v>0</v>
      </c>
      <c r="J474" s="708">
        <f t="shared" si="75"/>
        <v>266</v>
      </c>
      <c r="K474" s="708">
        <f t="shared" si="75"/>
        <v>0</v>
      </c>
      <c r="L474" s="708"/>
      <c r="M474" s="708"/>
      <c r="N474" s="708">
        <f t="shared" si="75"/>
        <v>0</v>
      </c>
      <c r="O474" s="708">
        <f t="shared" si="75"/>
        <v>0</v>
      </c>
      <c r="P474" s="708">
        <f t="shared" si="75"/>
        <v>0</v>
      </c>
      <c r="Q474" s="708">
        <f t="shared" si="75"/>
        <v>0</v>
      </c>
      <c r="R474" s="708">
        <f t="shared" si="75"/>
        <v>0</v>
      </c>
      <c r="S474" s="708">
        <f t="shared" si="75"/>
        <v>0</v>
      </c>
      <c r="T474" s="708">
        <f t="shared" si="75"/>
        <v>0</v>
      </c>
      <c r="U474" s="708">
        <f t="shared" si="75"/>
        <v>0</v>
      </c>
      <c r="V474" s="708">
        <f t="shared" si="75"/>
        <v>0</v>
      </c>
      <c r="W474" s="708">
        <f t="shared" si="75"/>
        <v>0</v>
      </c>
      <c r="X474" s="708">
        <f t="shared" si="75"/>
        <v>0</v>
      </c>
      <c r="Y474" s="708">
        <f t="shared" si="75"/>
        <v>266</v>
      </c>
      <c r="Z474" s="708">
        <f t="shared" si="75"/>
        <v>1203</v>
      </c>
      <c r="AA474" s="708">
        <f t="shared" si="75"/>
        <v>12</v>
      </c>
      <c r="AB474" s="708"/>
      <c r="AC474" s="708"/>
      <c r="AD474" s="753" t="s">
        <v>336</v>
      </c>
      <c r="AE474" s="146" t="s">
        <v>337</v>
      </c>
      <c r="AF474" s="438" t="s">
        <v>338</v>
      </c>
      <c r="AG474" s="708" t="s">
        <v>41</v>
      </c>
    </row>
    <row r="475" s="570" customFormat="1" ht="24.95" customHeight="1" spans="1:33">
      <c r="A475" s="705"/>
      <c r="B475" s="714" t="s">
        <v>101</v>
      </c>
      <c r="C475" s="146" t="s">
        <v>320</v>
      </c>
      <c r="D475" s="152" t="s">
        <v>194</v>
      </c>
      <c r="E475" s="708">
        <v>1</v>
      </c>
      <c r="F475" s="714" t="s">
        <v>101</v>
      </c>
      <c r="G475" s="92"/>
      <c r="H475" s="708">
        <v>19</v>
      </c>
      <c r="I475" s="92"/>
      <c r="J475" s="708">
        <v>19</v>
      </c>
      <c r="K475" s="708"/>
      <c r="L475" s="92">
        <v>2019.01</v>
      </c>
      <c r="M475" s="92">
        <v>2019.12</v>
      </c>
      <c r="N475" s="726"/>
      <c r="O475" s="726"/>
      <c r="P475" s="726"/>
      <c r="Q475" s="726"/>
      <c r="R475" s="726"/>
      <c r="S475" s="726"/>
      <c r="T475" s="726"/>
      <c r="U475" s="726"/>
      <c r="V475" s="726"/>
      <c r="W475" s="726"/>
      <c r="X475" s="726"/>
      <c r="Y475" s="763">
        <v>19</v>
      </c>
      <c r="Z475" s="763">
        <v>91</v>
      </c>
      <c r="AA475" s="708">
        <v>1</v>
      </c>
      <c r="AB475" s="708"/>
      <c r="AC475" s="708"/>
      <c r="AD475" s="141" t="s">
        <v>244</v>
      </c>
      <c r="AE475" s="146" t="s">
        <v>333</v>
      </c>
      <c r="AF475" s="438" t="s">
        <v>338</v>
      </c>
      <c r="AG475" s="708"/>
    </row>
    <row r="476" s="570" customFormat="1" ht="24.95" customHeight="1" spans="1:33">
      <c r="A476" s="705"/>
      <c r="B476" s="714" t="s">
        <v>151</v>
      </c>
      <c r="C476" s="146" t="s">
        <v>52</v>
      </c>
      <c r="D476" s="152" t="s">
        <v>194</v>
      </c>
      <c r="E476" s="708">
        <v>1</v>
      </c>
      <c r="F476" s="714" t="s">
        <v>151</v>
      </c>
      <c r="G476" s="92"/>
      <c r="H476" s="708">
        <v>3</v>
      </c>
      <c r="I476" s="92"/>
      <c r="J476" s="708">
        <v>3</v>
      </c>
      <c r="K476" s="708"/>
      <c r="L476" s="92">
        <v>2019.01</v>
      </c>
      <c r="M476" s="92">
        <v>2019.12</v>
      </c>
      <c r="N476" s="726"/>
      <c r="O476" s="726"/>
      <c r="P476" s="726"/>
      <c r="Q476" s="726"/>
      <c r="R476" s="726"/>
      <c r="S476" s="726"/>
      <c r="T476" s="726"/>
      <c r="U476" s="726"/>
      <c r="V476" s="726"/>
      <c r="W476" s="726"/>
      <c r="X476" s="726"/>
      <c r="Y476" s="763">
        <v>3</v>
      </c>
      <c r="Z476" s="763">
        <v>10</v>
      </c>
      <c r="AA476" s="708">
        <v>1</v>
      </c>
      <c r="AB476" s="708"/>
      <c r="AC476" s="708"/>
      <c r="AD476" s="146" t="s">
        <v>339</v>
      </c>
      <c r="AE476" s="712" t="s">
        <v>340</v>
      </c>
      <c r="AF476" s="438" t="s">
        <v>338</v>
      </c>
      <c r="AG476" s="708"/>
    </row>
    <row r="477" s="570" customFormat="1" ht="24.95" customHeight="1" spans="1:33">
      <c r="A477" s="705"/>
      <c r="B477" s="714" t="s">
        <v>154</v>
      </c>
      <c r="C477" s="146" t="s">
        <v>320</v>
      </c>
      <c r="D477" s="152" t="s">
        <v>194</v>
      </c>
      <c r="E477" s="708">
        <v>1</v>
      </c>
      <c r="F477" s="714" t="s">
        <v>154</v>
      </c>
      <c r="G477" s="92"/>
      <c r="H477" s="708">
        <v>14</v>
      </c>
      <c r="I477" s="92"/>
      <c r="J477" s="708">
        <v>14</v>
      </c>
      <c r="K477" s="708"/>
      <c r="L477" s="92">
        <v>2019.01</v>
      </c>
      <c r="M477" s="92">
        <v>2019.12</v>
      </c>
      <c r="N477" s="726"/>
      <c r="O477" s="726"/>
      <c r="P477" s="726"/>
      <c r="Q477" s="726"/>
      <c r="R477" s="726"/>
      <c r="S477" s="726"/>
      <c r="T477" s="726"/>
      <c r="U477" s="726"/>
      <c r="V477" s="726"/>
      <c r="W477" s="726"/>
      <c r="X477" s="726"/>
      <c r="Y477" s="763">
        <v>14</v>
      </c>
      <c r="Z477" s="763">
        <v>72</v>
      </c>
      <c r="AA477" s="708">
        <v>1</v>
      </c>
      <c r="AB477" s="708"/>
      <c r="AC477" s="708"/>
      <c r="AD477" s="146" t="s">
        <v>247</v>
      </c>
      <c r="AE477" s="146" t="s">
        <v>341</v>
      </c>
      <c r="AF477" s="438" t="s">
        <v>338</v>
      </c>
      <c r="AG477" s="708"/>
    </row>
    <row r="478" s="570" customFormat="1" ht="24.95" customHeight="1" spans="1:33">
      <c r="A478" s="705"/>
      <c r="B478" s="714" t="s">
        <v>81</v>
      </c>
      <c r="C478" s="146" t="s">
        <v>320</v>
      </c>
      <c r="D478" s="152" t="s">
        <v>194</v>
      </c>
      <c r="E478" s="708">
        <v>1</v>
      </c>
      <c r="F478" s="714" t="s">
        <v>81</v>
      </c>
      <c r="G478" s="92"/>
      <c r="H478" s="708">
        <v>16</v>
      </c>
      <c r="I478" s="92"/>
      <c r="J478" s="708">
        <v>16</v>
      </c>
      <c r="K478" s="708"/>
      <c r="L478" s="92">
        <v>2019.01</v>
      </c>
      <c r="M478" s="92">
        <v>2019.12</v>
      </c>
      <c r="N478" s="726"/>
      <c r="O478" s="726"/>
      <c r="P478" s="726"/>
      <c r="Q478" s="726"/>
      <c r="R478" s="726"/>
      <c r="S478" s="726"/>
      <c r="T478" s="726"/>
      <c r="U478" s="726"/>
      <c r="V478" s="726"/>
      <c r="W478" s="726"/>
      <c r="X478" s="726"/>
      <c r="Y478" s="763">
        <v>16</v>
      </c>
      <c r="Z478" s="763">
        <v>59</v>
      </c>
      <c r="AA478" s="708">
        <v>1</v>
      </c>
      <c r="AB478" s="708"/>
      <c r="AC478" s="708"/>
      <c r="AD478" s="146" t="s">
        <v>342</v>
      </c>
      <c r="AE478" s="146" t="s">
        <v>343</v>
      </c>
      <c r="AF478" s="438" t="s">
        <v>338</v>
      </c>
      <c r="AG478" s="708"/>
    </row>
    <row r="479" s="570" customFormat="1" ht="24.95" customHeight="1" spans="1:33">
      <c r="A479" s="705"/>
      <c r="B479" s="714" t="s">
        <v>98</v>
      </c>
      <c r="C479" s="146" t="s">
        <v>320</v>
      </c>
      <c r="D479" s="152" t="s">
        <v>194</v>
      </c>
      <c r="E479" s="708">
        <v>1</v>
      </c>
      <c r="F479" s="714" t="s">
        <v>98</v>
      </c>
      <c r="G479" s="92"/>
      <c r="H479" s="708">
        <v>95</v>
      </c>
      <c r="I479" s="92"/>
      <c r="J479" s="708">
        <v>95</v>
      </c>
      <c r="K479" s="708"/>
      <c r="L479" s="92">
        <v>2019.01</v>
      </c>
      <c r="M479" s="92">
        <v>2019.12</v>
      </c>
      <c r="N479" s="726"/>
      <c r="O479" s="726"/>
      <c r="P479" s="726"/>
      <c r="Q479" s="726"/>
      <c r="R479" s="726"/>
      <c r="S479" s="726"/>
      <c r="T479" s="726"/>
      <c r="U479" s="726"/>
      <c r="V479" s="726"/>
      <c r="W479" s="726"/>
      <c r="X479" s="726"/>
      <c r="Y479" s="763">
        <v>95</v>
      </c>
      <c r="Z479" s="763">
        <v>431</v>
      </c>
      <c r="AA479" s="708">
        <v>1</v>
      </c>
      <c r="AB479" s="708"/>
      <c r="AC479" s="708"/>
      <c r="AD479" s="146" t="s">
        <v>344</v>
      </c>
      <c r="AE479" s="146" t="s">
        <v>345</v>
      </c>
      <c r="AF479" s="438" t="s">
        <v>338</v>
      </c>
      <c r="AG479" s="708"/>
    </row>
    <row r="480" s="570" customFormat="1" ht="24.95" customHeight="1" spans="1:33">
      <c r="A480" s="705"/>
      <c r="B480" s="714" t="s">
        <v>211</v>
      </c>
      <c r="C480" s="146" t="s">
        <v>320</v>
      </c>
      <c r="D480" s="152" t="s">
        <v>194</v>
      </c>
      <c r="E480" s="708">
        <v>1</v>
      </c>
      <c r="F480" s="714" t="s">
        <v>211</v>
      </c>
      <c r="G480" s="92"/>
      <c r="H480" s="708">
        <v>22</v>
      </c>
      <c r="I480" s="92"/>
      <c r="J480" s="708">
        <v>22</v>
      </c>
      <c r="K480" s="708"/>
      <c r="L480" s="92">
        <v>2019.01</v>
      </c>
      <c r="M480" s="92">
        <v>2019.12</v>
      </c>
      <c r="N480" s="726"/>
      <c r="O480" s="726"/>
      <c r="P480" s="726"/>
      <c r="Q480" s="726"/>
      <c r="R480" s="726"/>
      <c r="S480" s="726"/>
      <c r="T480" s="726"/>
      <c r="U480" s="726"/>
      <c r="V480" s="726"/>
      <c r="W480" s="726"/>
      <c r="X480" s="726"/>
      <c r="Y480" s="763">
        <v>22</v>
      </c>
      <c r="Z480" s="763">
        <v>99</v>
      </c>
      <c r="AA480" s="708">
        <v>1</v>
      </c>
      <c r="AB480" s="708"/>
      <c r="AC480" s="708"/>
      <c r="AD480" s="146" t="s">
        <v>346</v>
      </c>
      <c r="AE480" s="146" t="s">
        <v>347</v>
      </c>
      <c r="AF480" s="438" t="s">
        <v>338</v>
      </c>
      <c r="AG480" s="708"/>
    </row>
    <row r="481" s="570" customFormat="1" ht="24.95" customHeight="1" spans="1:33">
      <c r="A481" s="705"/>
      <c r="B481" s="714" t="s">
        <v>155</v>
      </c>
      <c r="C481" s="146" t="s">
        <v>320</v>
      </c>
      <c r="D481" s="152" t="s">
        <v>194</v>
      </c>
      <c r="E481" s="708">
        <v>1</v>
      </c>
      <c r="F481" s="714" t="s">
        <v>155</v>
      </c>
      <c r="G481" s="92"/>
      <c r="H481" s="708">
        <v>8</v>
      </c>
      <c r="I481" s="92"/>
      <c r="J481" s="708">
        <v>8</v>
      </c>
      <c r="K481" s="708"/>
      <c r="L481" s="92">
        <v>2019.01</v>
      </c>
      <c r="M481" s="92">
        <v>2019.12</v>
      </c>
      <c r="N481" s="726"/>
      <c r="O481" s="726"/>
      <c r="P481" s="726"/>
      <c r="Q481" s="726"/>
      <c r="R481" s="726"/>
      <c r="S481" s="726"/>
      <c r="T481" s="726"/>
      <c r="U481" s="726"/>
      <c r="V481" s="726"/>
      <c r="W481" s="726"/>
      <c r="X481" s="726"/>
      <c r="Y481" s="763">
        <v>8</v>
      </c>
      <c r="Z481" s="763">
        <v>35</v>
      </c>
      <c r="AA481" s="708">
        <v>1</v>
      </c>
      <c r="AB481" s="708"/>
      <c r="AC481" s="708"/>
      <c r="AD481" s="146" t="s">
        <v>253</v>
      </c>
      <c r="AE481" s="146" t="s">
        <v>348</v>
      </c>
      <c r="AF481" s="438" t="s">
        <v>338</v>
      </c>
      <c r="AG481" s="708"/>
    </row>
    <row r="482" s="570" customFormat="1" ht="24.95" customHeight="1" spans="1:33">
      <c r="A482" s="705"/>
      <c r="B482" s="714" t="s">
        <v>102</v>
      </c>
      <c r="C482" s="146" t="s">
        <v>320</v>
      </c>
      <c r="D482" s="152" t="s">
        <v>194</v>
      </c>
      <c r="E482" s="708">
        <v>1</v>
      </c>
      <c r="F482" s="714" t="s">
        <v>102</v>
      </c>
      <c r="G482" s="92"/>
      <c r="H482" s="708">
        <v>59</v>
      </c>
      <c r="I482" s="92"/>
      <c r="J482" s="708">
        <v>59</v>
      </c>
      <c r="K482" s="708"/>
      <c r="L482" s="92">
        <v>2019.01</v>
      </c>
      <c r="M482" s="92">
        <v>2019.12</v>
      </c>
      <c r="N482" s="726"/>
      <c r="O482" s="726"/>
      <c r="P482" s="726"/>
      <c r="Q482" s="726"/>
      <c r="R482" s="726"/>
      <c r="S482" s="726"/>
      <c r="T482" s="726"/>
      <c r="U482" s="726"/>
      <c r="V482" s="726"/>
      <c r="W482" s="726"/>
      <c r="X482" s="726"/>
      <c r="Y482" s="763">
        <v>59</v>
      </c>
      <c r="Z482" s="763">
        <v>272</v>
      </c>
      <c r="AA482" s="708">
        <v>1</v>
      </c>
      <c r="AB482" s="708"/>
      <c r="AC482" s="708"/>
      <c r="AD482" s="438" t="s">
        <v>255</v>
      </c>
      <c r="AE482" s="787" t="s">
        <v>349</v>
      </c>
      <c r="AF482" s="438" t="s">
        <v>338</v>
      </c>
      <c r="AG482" s="708"/>
    </row>
    <row r="483" s="570" customFormat="1" ht="24.95" customHeight="1" spans="1:33">
      <c r="A483" s="705"/>
      <c r="B483" s="714" t="s">
        <v>100</v>
      </c>
      <c r="C483" s="146" t="s">
        <v>320</v>
      </c>
      <c r="D483" s="152" t="s">
        <v>194</v>
      </c>
      <c r="E483" s="708">
        <v>1</v>
      </c>
      <c r="F483" s="714" t="s">
        <v>100</v>
      </c>
      <c r="G483" s="92"/>
      <c r="H483" s="708">
        <v>11</v>
      </c>
      <c r="I483" s="92"/>
      <c r="J483" s="708">
        <v>11</v>
      </c>
      <c r="K483" s="708"/>
      <c r="L483" s="92">
        <v>2019.01</v>
      </c>
      <c r="M483" s="92">
        <v>2019.12</v>
      </c>
      <c r="N483" s="726"/>
      <c r="O483" s="726"/>
      <c r="P483" s="726"/>
      <c r="Q483" s="726"/>
      <c r="R483" s="726"/>
      <c r="S483" s="726"/>
      <c r="T483" s="726"/>
      <c r="U483" s="726"/>
      <c r="V483" s="726"/>
      <c r="W483" s="726"/>
      <c r="X483" s="726"/>
      <c r="Y483" s="763">
        <v>11</v>
      </c>
      <c r="Z483" s="763">
        <v>50</v>
      </c>
      <c r="AA483" s="708">
        <v>1</v>
      </c>
      <c r="AB483" s="708"/>
      <c r="AC483" s="708"/>
      <c r="AD483" s="146" t="s">
        <v>350</v>
      </c>
      <c r="AE483" s="146" t="s">
        <v>351</v>
      </c>
      <c r="AF483" s="438" t="s">
        <v>338</v>
      </c>
      <c r="AG483" s="708"/>
    </row>
    <row r="484" s="570" customFormat="1" ht="24.95" customHeight="1" spans="1:33">
      <c r="A484" s="705"/>
      <c r="B484" s="714" t="s">
        <v>84</v>
      </c>
      <c r="C484" s="146" t="s">
        <v>320</v>
      </c>
      <c r="D484" s="152" t="s">
        <v>194</v>
      </c>
      <c r="E484" s="708">
        <v>1</v>
      </c>
      <c r="F484" s="714" t="s">
        <v>84</v>
      </c>
      <c r="G484" s="92"/>
      <c r="H484" s="708">
        <v>8</v>
      </c>
      <c r="I484" s="92"/>
      <c r="J484" s="708">
        <v>8</v>
      </c>
      <c r="K484" s="708"/>
      <c r="L484" s="92">
        <v>2019.01</v>
      </c>
      <c r="M484" s="92">
        <v>2019.12</v>
      </c>
      <c r="N484" s="726"/>
      <c r="O484" s="726"/>
      <c r="P484" s="726"/>
      <c r="Q484" s="726"/>
      <c r="R484" s="726"/>
      <c r="S484" s="726"/>
      <c r="T484" s="726"/>
      <c r="U484" s="726"/>
      <c r="V484" s="726"/>
      <c r="W484" s="726"/>
      <c r="X484" s="726"/>
      <c r="Y484" s="763">
        <v>8</v>
      </c>
      <c r="Z484" s="763">
        <v>35</v>
      </c>
      <c r="AA484" s="708">
        <v>1</v>
      </c>
      <c r="AB484" s="708"/>
      <c r="AC484" s="708"/>
      <c r="AD484" s="146" t="s">
        <v>312</v>
      </c>
      <c r="AE484" s="146" t="s">
        <v>352</v>
      </c>
      <c r="AF484" s="438" t="s">
        <v>338</v>
      </c>
      <c r="AG484" s="708"/>
    </row>
    <row r="485" s="570" customFormat="1" ht="24.95" customHeight="1" spans="1:33">
      <c r="A485" s="705"/>
      <c r="B485" s="714" t="s">
        <v>259</v>
      </c>
      <c r="C485" s="146" t="s">
        <v>320</v>
      </c>
      <c r="D485" s="152" t="s">
        <v>194</v>
      </c>
      <c r="E485" s="708">
        <v>1</v>
      </c>
      <c r="F485" s="714" t="s">
        <v>259</v>
      </c>
      <c r="G485" s="92"/>
      <c r="H485" s="708">
        <v>2</v>
      </c>
      <c r="I485" s="92"/>
      <c r="J485" s="708">
        <v>2</v>
      </c>
      <c r="K485" s="708"/>
      <c r="L485" s="92">
        <v>2019.01</v>
      </c>
      <c r="M485" s="92">
        <v>2019.12</v>
      </c>
      <c r="N485" s="726"/>
      <c r="O485" s="726"/>
      <c r="P485" s="726"/>
      <c r="Q485" s="726"/>
      <c r="R485" s="726"/>
      <c r="S485" s="726"/>
      <c r="T485" s="726"/>
      <c r="U485" s="726"/>
      <c r="V485" s="726"/>
      <c r="W485" s="726"/>
      <c r="X485" s="726"/>
      <c r="Y485" s="763">
        <v>2</v>
      </c>
      <c r="Z485" s="763">
        <v>7</v>
      </c>
      <c r="AA485" s="708">
        <v>1</v>
      </c>
      <c r="AB485" s="708"/>
      <c r="AC485" s="708"/>
      <c r="AD485" s="146" t="s">
        <v>183</v>
      </c>
      <c r="AE485" s="146" t="s">
        <v>353</v>
      </c>
      <c r="AF485" s="438" t="s">
        <v>338</v>
      </c>
      <c r="AG485" s="708"/>
    </row>
    <row r="486" s="570" customFormat="1" ht="24.95" customHeight="1" spans="1:33">
      <c r="A486" s="705" t="s">
        <v>48</v>
      </c>
      <c r="B486" s="714" t="s">
        <v>143</v>
      </c>
      <c r="C486" s="146" t="s">
        <v>320</v>
      </c>
      <c r="D486" s="152" t="s">
        <v>194</v>
      </c>
      <c r="E486" s="708">
        <v>1</v>
      </c>
      <c r="F486" s="714" t="s">
        <v>143</v>
      </c>
      <c r="G486" s="92"/>
      <c r="H486" s="92">
        <v>9</v>
      </c>
      <c r="I486" s="92"/>
      <c r="J486" s="92">
        <v>9</v>
      </c>
      <c r="K486" s="92"/>
      <c r="L486" s="92">
        <v>2019.01</v>
      </c>
      <c r="M486" s="92">
        <v>2019.12</v>
      </c>
      <c r="N486" s="92"/>
      <c r="O486" s="92"/>
      <c r="P486" s="92"/>
      <c r="Q486" s="92"/>
      <c r="R486" s="92"/>
      <c r="S486" s="92"/>
      <c r="T486" s="92"/>
      <c r="U486" s="92"/>
      <c r="V486" s="92"/>
      <c r="W486" s="92"/>
      <c r="X486" s="92"/>
      <c r="Y486" s="738">
        <v>9</v>
      </c>
      <c r="Z486" s="738">
        <v>42</v>
      </c>
      <c r="AA486" s="708">
        <v>1</v>
      </c>
      <c r="AB486" s="92"/>
      <c r="AC486" s="92"/>
      <c r="AD486" s="775" t="s">
        <v>354</v>
      </c>
      <c r="AE486" s="146" t="s">
        <v>263</v>
      </c>
      <c r="AF486" s="438" t="s">
        <v>338</v>
      </c>
      <c r="AG486" s="92"/>
    </row>
    <row r="487" s="570" customFormat="1" ht="24.95" customHeight="1" spans="1:33">
      <c r="A487" s="705">
        <v>61</v>
      </c>
      <c r="B487" s="750" t="s">
        <v>355</v>
      </c>
      <c r="C487" s="146" t="s">
        <v>320</v>
      </c>
      <c r="D487" s="152" t="s">
        <v>194</v>
      </c>
      <c r="E487" s="708">
        <f>SUM(E488:E499)</f>
        <v>12</v>
      </c>
      <c r="F487" s="708">
        <f t="shared" ref="F487:AA487" si="76">SUM(F488:F499)</f>
        <v>0</v>
      </c>
      <c r="G487" s="708">
        <f t="shared" si="76"/>
        <v>0</v>
      </c>
      <c r="H487" s="708">
        <f t="shared" si="76"/>
        <v>1592</v>
      </c>
      <c r="I487" s="708">
        <f t="shared" si="76"/>
        <v>0</v>
      </c>
      <c r="J487" s="708">
        <f t="shared" si="76"/>
        <v>1592</v>
      </c>
      <c r="K487" s="708">
        <f t="shared" si="76"/>
        <v>0</v>
      </c>
      <c r="L487" s="708"/>
      <c r="M487" s="708"/>
      <c r="N487" s="708">
        <f t="shared" si="76"/>
        <v>0</v>
      </c>
      <c r="O487" s="708">
        <f t="shared" si="76"/>
        <v>0</v>
      </c>
      <c r="P487" s="708">
        <f t="shared" si="76"/>
        <v>0</v>
      </c>
      <c r="Q487" s="708">
        <f t="shared" si="76"/>
        <v>0</v>
      </c>
      <c r="R487" s="708">
        <f t="shared" si="76"/>
        <v>0</v>
      </c>
      <c r="S487" s="708">
        <f t="shared" si="76"/>
        <v>0</v>
      </c>
      <c r="T487" s="708">
        <f t="shared" si="76"/>
        <v>0</v>
      </c>
      <c r="U487" s="708">
        <f t="shared" si="76"/>
        <v>0</v>
      </c>
      <c r="V487" s="708">
        <f t="shared" si="76"/>
        <v>0</v>
      </c>
      <c r="W487" s="708">
        <f t="shared" si="76"/>
        <v>0</v>
      </c>
      <c r="X487" s="708">
        <f t="shared" si="76"/>
        <v>0</v>
      </c>
      <c r="Y487" s="708">
        <f t="shared" si="76"/>
        <v>1507</v>
      </c>
      <c r="Z487" s="708">
        <f t="shared" si="76"/>
        <v>3448</v>
      </c>
      <c r="AA487" s="708">
        <f t="shared" si="76"/>
        <v>12</v>
      </c>
      <c r="AB487" s="708"/>
      <c r="AC487" s="708"/>
      <c r="AD487" s="753" t="s">
        <v>356</v>
      </c>
      <c r="AE487" s="146" t="s">
        <v>357</v>
      </c>
      <c r="AF487" s="146" t="s">
        <v>358</v>
      </c>
      <c r="AG487" s="708" t="s">
        <v>41</v>
      </c>
    </row>
    <row r="488" s="570" customFormat="1" ht="24.95" customHeight="1" spans="1:33">
      <c r="A488" s="705"/>
      <c r="B488" s="714" t="s">
        <v>101</v>
      </c>
      <c r="C488" s="146" t="s">
        <v>320</v>
      </c>
      <c r="D488" s="152" t="s">
        <v>194</v>
      </c>
      <c r="E488" s="708">
        <v>1</v>
      </c>
      <c r="F488" s="714" t="s">
        <v>101</v>
      </c>
      <c r="G488" s="92"/>
      <c r="H488" s="708">
        <v>122</v>
      </c>
      <c r="I488" s="92"/>
      <c r="J488" s="708">
        <v>122</v>
      </c>
      <c r="K488" s="708"/>
      <c r="L488" s="92">
        <v>2019.01</v>
      </c>
      <c r="M488" s="92">
        <v>2019.12</v>
      </c>
      <c r="N488" s="726"/>
      <c r="O488" s="726"/>
      <c r="P488" s="726"/>
      <c r="Q488" s="726"/>
      <c r="R488" s="726"/>
      <c r="S488" s="726"/>
      <c r="T488" s="726"/>
      <c r="U488" s="726"/>
      <c r="V488" s="726"/>
      <c r="W488" s="726"/>
      <c r="X488" s="726"/>
      <c r="Y488" s="763">
        <v>122</v>
      </c>
      <c r="Z488" s="763">
        <v>478</v>
      </c>
      <c r="AA488" s="708">
        <v>1</v>
      </c>
      <c r="AB488" s="708"/>
      <c r="AC488" s="708"/>
      <c r="AD488" s="141" t="s">
        <v>298</v>
      </c>
      <c r="AE488" s="146" t="s">
        <v>359</v>
      </c>
      <c r="AF488" s="438" t="s">
        <v>358</v>
      </c>
      <c r="AG488" s="708"/>
    </row>
    <row r="489" s="570" customFormat="1" ht="24.95" customHeight="1" spans="1:33">
      <c r="A489" s="705"/>
      <c r="B489" s="714" t="s">
        <v>151</v>
      </c>
      <c r="C489" s="146" t="s">
        <v>320</v>
      </c>
      <c r="D489" s="152" t="s">
        <v>194</v>
      </c>
      <c r="E489" s="708">
        <v>1</v>
      </c>
      <c r="F489" s="714" t="s">
        <v>151</v>
      </c>
      <c r="G489" s="92"/>
      <c r="H489" s="708">
        <v>3</v>
      </c>
      <c r="I489" s="92"/>
      <c r="J489" s="708">
        <v>3</v>
      </c>
      <c r="K489" s="708"/>
      <c r="L489" s="92">
        <v>2019.01</v>
      </c>
      <c r="M489" s="92">
        <v>2019.12</v>
      </c>
      <c r="N489" s="726"/>
      <c r="O489" s="726"/>
      <c r="P489" s="726"/>
      <c r="Q489" s="726"/>
      <c r="R489" s="726"/>
      <c r="S489" s="726"/>
      <c r="T489" s="726"/>
      <c r="U489" s="726"/>
      <c r="V489" s="726"/>
      <c r="W489" s="726"/>
      <c r="X489" s="726"/>
      <c r="Y489" s="763">
        <v>3</v>
      </c>
      <c r="Z489" s="763">
        <v>3</v>
      </c>
      <c r="AA489" s="708">
        <v>1</v>
      </c>
      <c r="AB489" s="708"/>
      <c r="AC489" s="708"/>
      <c r="AD489" s="146" t="s">
        <v>339</v>
      </c>
      <c r="AE489" s="146" t="s">
        <v>340</v>
      </c>
      <c r="AF489" s="438" t="s">
        <v>358</v>
      </c>
      <c r="AG489" s="708"/>
    </row>
    <row r="490" s="570" customFormat="1" ht="24.95" customHeight="1" spans="1:33">
      <c r="A490" s="705"/>
      <c r="B490" s="714" t="s">
        <v>154</v>
      </c>
      <c r="C490" s="146" t="s">
        <v>320</v>
      </c>
      <c r="D490" s="152" t="s">
        <v>194</v>
      </c>
      <c r="E490" s="708">
        <v>1</v>
      </c>
      <c r="F490" s="714" t="s">
        <v>154</v>
      </c>
      <c r="G490" s="92"/>
      <c r="H490" s="708">
        <v>181</v>
      </c>
      <c r="I490" s="92"/>
      <c r="J490" s="708">
        <v>181</v>
      </c>
      <c r="K490" s="708"/>
      <c r="L490" s="92">
        <v>2019.01</v>
      </c>
      <c r="M490" s="92">
        <v>2019.12</v>
      </c>
      <c r="N490" s="726"/>
      <c r="O490" s="726"/>
      <c r="P490" s="726"/>
      <c r="Q490" s="726"/>
      <c r="R490" s="726"/>
      <c r="S490" s="726"/>
      <c r="T490" s="726"/>
      <c r="U490" s="726"/>
      <c r="V490" s="726"/>
      <c r="W490" s="726"/>
      <c r="X490" s="726"/>
      <c r="Y490" s="763">
        <v>147</v>
      </c>
      <c r="Z490" s="763">
        <v>181</v>
      </c>
      <c r="AA490" s="708">
        <v>1</v>
      </c>
      <c r="AB490" s="708"/>
      <c r="AC490" s="708"/>
      <c r="AD490" s="146" t="s">
        <v>360</v>
      </c>
      <c r="AE490" s="146" t="s">
        <v>361</v>
      </c>
      <c r="AF490" s="438" t="s">
        <v>358</v>
      </c>
      <c r="AG490" s="708"/>
    </row>
    <row r="491" s="570" customFormat="1" ht="24.95" customHeight="1" spans="1:33">
      <c r="A491" s="705"/>
      <c r="B491" s="714" t="s">
        <v>81</v>
      </c>
      <c r="C491" s="146" t="s">
        <v>320</v>
      </c>
      <c r="D491" s="152" t="s">
        <v>194</v>
      </c>
      <c r="E491" s="708">
        <v>1</v>
      </c>
      <c r="F491" s="714" t="s">
        <v>81</v>
      </c>
      <c r="G491" s="92"/>
      <c r="H491" s="708">
        <v>127</v>
      </c>
      <c r="I491" s="92"/>
      <c r="J491" s="708">
        <v>127</v>
      </c>
      <c r="K491" s="708"/>
      <c r="L491" s="92">
        <v>2019.01</v>
      </c>
      <c r="M491" s="92">
        <v>2019.12</v>
      </c>
      <c r="N491" s="726"/>
      <c r="O491" s="726"/>
      <c r="P491" s="726"/>
      <c r="Q491" s="726"/>
      <c r="R491" s="726"/>
      <c r="S491" s="726"/>
      <c r="T491" s="726"/>
      <c r="U491" s="726"/>
      <c r="V491" s="726"/>
      <c r="W491" s="726"/>
      <c r="X491" s="726"/>
      <c r="Y491" s="763">
        <v>124</v>
      </c>
      <c r="Z491" s="763">
        <v>127</v>
      </c>
      <c r="AA491" s="708">
        <v>1</v>
      </c>
      <c r="AB491" s="708"/>
      <c r="AC491" s="708"/>
      <c r="AD491" s="146" t="s">
        <v>249</v>
      </c>
      <c r="AE491" s="146" t="s">
        <v>343</v>
      </c>
      <c r="AF491" s="438" t="s">
        <v>358</v>
      </c>
      <c r="AG491" s="708"/>
    </row>
    <row r="492" s="570" customFormat="1" ht="24.95" customHeight="1" spans="1:33">
      <c r="A492" s="705"/>
      <c r="B492" s="714" t="s">
        <v>98</v>
      </c>
      <c r="C492" s="146" t="s">
        <v>320</v>
      </c>
      <c r="D492" s="152" t="s">
        <v>194</v>
      </c>
      <c r="E492" s="708">
        <v>1</v>
      </c>
      <c r="F492" s="714" t="s">
        <v>98</v>
      </c>
      <c r="G492" s="92"/>
      <c r="H492" s="708">
        <v>340</v>
      </c>
      <c r="I492" s="92"/>
      <c r="J492" s="708">
        <v>340</v>
      </c>
      <c r="K492" s="708"/>
      <c r="L492" s="92">
        <v>2019.01</v>
      </c>
      <c r="M492" s="92">
        <v>2019.12</v>
      </c>
      <c r="N492" s="726"/>
      <c r="O492" s="726"/>
      <c r="P492" s="726"/>
      <c r="Q492" s="726"/>
      <c r="R492" s="726"/>
      <c r="S492" s="726"/>
      <c r="T492" s="726"/>
      <c r="U492" s="726"/>
      <c r="V492" s="726"/>
      <c r="W492" s="726"/>
      <c r="X492" s="726"/>
      <c r="Y492" s="763">
        <v>340</v>
      </c>
      <c r="Z492" s="763">
        <v>1490</v>
      </c>
      <c r="AA492" s="708">
        <v>1</v>
      </c>
      <c r="AB492" s="708"/>
      <c r="AC492" s="708"/>
      <c r="AD492" s="146" t="s">
        <v>305</v>
      </c>
      <c r="AE492" s="146" t="s">
        <v>362</v>
      </c>
      <c r="AF492" s="438" t="s">
        <v>358</v>
      </c>
      <c r="AG492" s="708"/>
    </row>
    <row r="493" s="570" customFormat="1" ht="24.95" customHeight="1" spans="1:33">
      <c r="A493" s="705"/>
      <c r="B493" s="714" t="s">
        <v>211</v>
      </c>
      <c r="C493" s="146" t="s">
        <v>320</v>
      </c>
      <c r="D493" s="152" t="s">
        <v>194</v>
      </c>
      <c r="E493" s="708">
        <v>1</v>
      </c>
      <c r="F493" s="714" t="s">
        <v>211</v>
      </c>
      <c r="G493" s="92"/>
      <c r="H493" s="708">
        <v>121</v>
      </c>
      <c r="I493" s="92"/>
      <c r="J493" s="708">
        <v>121</v>
      </c>
      <c r="K493" s="708"/>
      <c r="L493" s="92">
        <v>2019.01</v>
      </c>
      <c r="M493" s="92">
        <v>2019.12</v>
      </c>
      <c r="N493" s="726"/>
      <c r="O493" s="726"/>
      <c r="P493" s="726"/>
      <c r="Q493" s="726"/>
      <c r="R493" s="726"/>
      <c r="S493" s="726"/>
      <c r="T493" s="726"/>
      <c r="U493" s="726"/>
      <c r="V493" s="726"/>
      <c r="W493" s="726"/>
      <c r="X493" s="726"/>
      <c r="Y493" s="763">
        <v>101</v>
      </c>
      <c r="Z493" s="763">
        <v>101</v>
      </c>
      <c r="AA493" s="708">
        <v>1</v>
      </c>
      <c r="AB493" s="708"/>
      <c r="AC493" s="708"/>
      <c r="AD493" s="146" t="s">
        <v>176</v>
      </c>
      <c r="AE493" s="146" t="s">
        <v>363</v>
      </c>
      <c r="AF493" s="438" t="s">
        <v>358</v>
      </c>
      <c r="AG493" s="708"/>
    </row>
    <row r="494" s="570" customFormat="1" ht="24.95" customHeight="1" spans="1:33">
      <c r="A494" s="705"/>
      <c r="B494" s="714" t="s">
        <v>155</v>
      </c>
      <c r="C494" s="146" t="s">
        <v>320</v>
      </c>
      <c r="D494" s="152" t="s">
        <v>194</v>
      </c>
      <c r="E494" s="708">
        <v>1</v>
      </c>
      <c r="F494" s="714" t="s">
        <v>155</v>
      </c>
      <c r="G494" s="92"/>
      <c r="H494" s="708">
        <v>68</v>
      </c>
      <c r="I494" s="92"/>
      <c r="J494" s="708">
        <v>68</v>
      </c>
      <c r="K494" s="708"/>
      <c r="L494" s="92">
        <v>2019.01</v>
      </c>
      <c r="M494" s="92">
        <v>2019.12</v>
      </c>
      <c r="N494" s="726"/>
      <c r="O494" s="726"/>
      <c r="P494" s="726"/>
      <c r="Q494" s="726"/>
      <c r="R494" s="726"/>
      <c r="S494" s="726"/>
      <c r="T494" s="726"/>
      <c r="U494" s="726"/>
      <c r="V494" s="726"/>
      <c r="W494" s="726"/>
      <c r="X494" s="726"/>
      <c r="Y494" s="763">
        <v>68</v>
      </c>
      <c r="Z494" s="763">
        <v>68</v>
      </c>
      <c r="AA494" s="708">
        <v>1</v>
      </c>
      <c r="AB494" s="708"/>
      <c r="AC494" s="708"/>
      <c r="AD494" s="146" t="s">
        <v>309</v>
      </c>
      <c r="AE494" s="146" t="s">
        <v>364</v>
      </c>
      <c r="AF494" s="438" t="s">
        <v>358</v>
      </c>
      <c r="AG494" s="708"/>
    </row>
    <row r="495" s="570" customFormat="1" ht="24.95" customHeight="1" spans="1:33">
      <c r="A495" s="705"/>
      <c r="B495" s="714" t="s">
        <v>102</v>
      </c>
      <c r="C495" s="146" t="s">
        <v>320</v>
      </c>
      <c r="D495" s="152" t="s">
        <v>194</v>
      </c>
      <c r="E495" s="708">
        <v>1</v>
      </c>
      <c r="F495" s="714" t="s">
        <v>102</v>
      </c>
      <c r="G495" s="92"/>
      <c r="H495" s="708">
        <v>282</v>
      </c>
      <c r="I495" s="92"/>
      <c r="J495" s="708">
        <v>282</v>
      </c>
      <c r="K495" s="708"/>
      <c r="L495" s="92">
        <v>2019.01</v>
      </c>
      <c r="M495" s="92">
        <v>2019.12</v>
      </c>
      <c r="N495" s="726"/>
      <c r="O495" s="726"/>
      <c r="P495" s="726"/>
      <c r="Q495" s="726"/>
      <c r="R495" s="726"/>
      <c r="S495" s="726"/>
      <c r="T495" s="726"/>
      <c r="U495" s="726"/>
      <c r="V495" s="726"/>
      <c r="W495" s="726"/>
      <c r="X495" s="726"/>
      <c r="Y495" s="763">
        <v>282</v>
      </c>
      <c r="Z495" s="763">
        <v>282</v>
      </c>
      <c r="AA495" s="708">
        <v>1</v>
      </c>
      <c r="AB495" s="708"/>
      <c r="AC495" s="708"/>
      <c r="AD495" s="146" t="s">
        <v>180</v>
      </c>
      <c r="AE495" s="146" t="s">
        <v>365</v>
      </c>
      <c r="AF495" s="438" t="s">
        <v>358</v>
      </c>
      <c r="AG495" s="708"/>
    </row>
    <row r="496" s="570" customFormat="1" ht="24.95" customHeight="1" spans="1:33">
      <c r="A496" s="705"/>
      <c r="B496" s="714" t="s">
        <v>100</v>
      </c>
      <c r="C496" s="146" t="s">
        <v>320</v>
      </c>
      <c r="D496" s="152" t="s">
        <v>194</v>
      </c>
      <c r="E496" s="708">
        <v>1</v>
      </c>
      <c r="F496" s="714" t="s">
        <v>100</v>
      </c>
      <c r="G496" s="92"/>
      <c r="H496" s="708">
        <v>178</v>
      </c>
      <c r="I496" s="92"/>
      <c r="J496" s="708">
        <v>178</v>
      </c>
      <c r="K496" s="708"/>
      <c r="L496" s="92">
        <v>2019.01</v>
      </c>
      <c r="M496" s="92">
        <v>2019.12</v>
      </c>
      <c r="N496" s="726"/>
      <c r="O496" s="726"/>
      <c r="P496" s="726"/>
      <c r="Q496" s="726"/>
      <c r="R496" s="726"/>
      <c r="S496" s="726"/>
      <c r="T496" s="726"/>
      <c r="U496" s="726"/>
      <c r="V496" s="726"/>
      <c r="W496" s="726"/>
      <c r="X496" s="726"/>
      <c r="Y496" s="763">
        <v>170</v>
      </c>
      <c r="Z496" s="763">
        <v>178</v>
      </c>
      <c r="AA496" s="708">
        <v>1</v>
      </c>
      <c r="AB496" s="708"/>
      <c r="AC496" s="708"/>
      <c r="AD496" s="146" t="s">
        <v>330</v>
      </c>
      <c r="AE496" s="146" t="s">
        <v>257</v>
      </c>
      <c r="AF496" s="438" t="s">
        <v>358</v>
      </c>
      <c r="AG496" s="708"/>
    </row>
    <row r="497" s="570" customFormat="1" ht="24.95" customHeight="1" spans="1:33">
      <c r="A497" s="705"/>
      <c r="B497" s="714" t="s">
        <v>84</v>
      </c>
      <c r="C497" s="146" t="s">
        <v>320</v>
      </c>
      <c r="D497" s="152" t="s">
        <v>194</v>
      </c>
      <c r="E497" s="708">
        <v>1</v>
      </c>
      <c r="F497" s="714" t="s">
        <v>84</v>
      </c>
      <c r="G497" s="92"/>
      <c r="H497" s="708">
        <v>3</v>
      </c>
      <c r="I497" s="92"/>
      <c r="J497" s="708">
        <v>3</v>
      </c>
      <c r="K497" s="708"/>
      <c r="L497" s="92">
        <v>2019.01</v>
      </c>
      <c r="M497" s="92">
        <v>2019.12</v>
      </c>
      <c r="N497" s="726"/>
      <c r="O497" s="726"/>
      <c r="P497" s="726"/>
      <c r="Q497" s="726"/>
      <c r="R497" s="726"/>
      <c r="S497" s="726"/>
      <c r="T497" s="726"/>
      <c r="U497" s="726"/>
      <c r="V497" s="726"/>
      <c r="W497" s="726"/>
      <c r="X497" s="726"/>
      <c r="Y497" s="763">
        <v>3</v>
      </c>
      <c r="Z497" s="763">
        <v>3</v>
      </c>
      <c r="AA497" s="708">
        <v>1</v>
      </c>
      <c r="AB497" s="708"/>
      <c r="AC497" s="708"/>
      <c r="AD497" s="146" t="s">
        <v>65</v>
      </c>
      <c r="AE497" s="146" t="s">
        <v>258</v>
      </c>
      <c r="AF497" s="438" t="s">
        <v>358</v>
      </c>
      <c r="AG497" s="708"/>
    </row>
    <row r="498" s="570" customFormat="1" ht="24.95" customHeight="1" spans="1:33">
      <c r="A498" s="705"/>
      <c r="B498" s="714" t="s">
        <v>259</v>
      </c>
      <c r="C498" s="146" t="s">
        <v>320</v>
      </c>
      <c r="D498" s="152" t="s">
        <v>194</v>
      </c>
      <c r="E498" s="708">
        <v>1</v>
      </c>
      <c r="F498" s="714" t="s">
        <v>259</v>
      </c>
      <c r="G498" s="92"/>
      <c r="H498" s="708">
        <v>28</v>
      </c>
      <c r="I498" s="92"/>
      <c r="J498" s="708">
        <v>28</v>
      </c>
      <c r="K498" s="708"/>
      <c r="L498" s="92">
        <v>2019.01</v>
      </c>
      <c r="M498" s="92">
        <v>2019.12</v>
      </c>
      <c r="N498" s="726"/>
      <c r="O498" s="726"/>
      <c r="P498" s="726"/>
      <c r="Q498" s="726"/>
      <c r="R498" s="726"/>
      <c r="S498" s="726"/>
      <c r="T498" s="726"/>
      <c r="U498" s="726"/>
      <c r="V498" s="726"/>
      <c r="W498" s="726"/>
      <c r="X498" s="726"/>
      <c r="Y498" s="763">
        <v>27</v>
      </c>
      <c r="Z498" s="763">
        <v>28</v>
      </c>
      <c r="AA498" s="708">
        <v>1</v>
      </c>
      <c r="AB498" s="708"/>
      <c r="AC498" s="708"/>
      <c r="AD498" s="146" t="s">
        <v>366</v>
      </c>
      <c r="AE498" s="146" t="s">
        <v>367</v>
      </c>
      <c r="AF498" s="438" t="s">
        <v>358</v>
      </c>
      <c r="AG498" s="708"/>
    </row>
    <row r="499" s="570" customFormat="1" ht="24.95" customHeight="1" spans="1:33">
      <c r="A499" s="705" t="s">
        <v>48</v>
      </c>
      <c r="B499" s="714" t="s">
        <v>143</v>
      </c>
      <c r="C499" s="146" t="s">
        <v>320</v>
      </c>
      <c r="D499" s="152" t="s">
        <v>194</v>
      </c>
      <c r="E499" s="708">
        <v>1</v>
      </c>
      <c r="F499" s="714" t="s">
        <v>143</v>
      </c>
      <c r="G499" s="92"/>
      <c r="H499" s="92">
        <v>139</v>
      </c>
      <c r="I499" s="92"/>
      <c r="J499" s="92">
        <v>139</v>
      </c>
      <c r="K499" s="92"/>
      <c r="L499" s="92">
        <v>2019.01</v>
      </c>
      <c r="M499" s="92">
        <v>2019.12</v>
      </c>
      <c r="N499" s="92"/>
      <c r="O499" s="92"/>
      <c r="P499" s="92"/>
      <c r="Q499" s="92"/>
      <c r="R499" s="92"/>
      <c r="S499" s="92"/>
      <c r="T499" s="92"/>
      <c r="U499" s="92"/>
      <c r="V499" s="92"/>
      <c r="W499" s="92"/>
      <c r="X499" s="92"/>
      <c r="Y499" s="738">
        <v>120</v>
      </c>
      <c r="Z499" s="738">
        <v>509</v>
      </c>
      <c r="AA499" s="708">
        <v>1</v>
      </c>
      <c r="AB499" s="92"/>
      <c r="AC499" s="92"/>
      <c r="AD499" s="775" t="s">
        <v>368</v>
      </c>
      <c r="AE499" s="146" t="s">
        <v>369</v>
      </c>
      <c r="AF499" s="438" t="s">
        <v>358</v>
      </c>
      <c r="AG499" s="92"/>
    </row>
    <row r="500" s="570" customFormat="1" ht="24.95" customHeight="1" spans="1:33">
      <c r="A500" s="705">
        <v>62</v>
      </c>
      <c r="B500" s="708" t="s">
        <v>370</v>
      </c>
      <c r="C500" s="708"/>
      <c r="D500" s="709" t="s">
        <v>147</v>
      </c>
      <c r="E500" s="708"/>
      <c r="F500" s="708"/>
      <c r="G500" s="708"/>
      <c r="H500" s="708"/>
      <c r="I500" s="92"/>
      <c r="J500" s="708"/>
      <c r="K500" s="708"/>
      <c r="L500" s="708"/>
      <c r="M500" s="708"/>
      <c r="N500" s="726"/>
      <c r="O500" s="726"/>
      <c r="P500" s="726"/>
      <c r="Q500" s="726"/>
      <c r="R500" s="726"/>
      <c r="S500" s="726"/>
      <c r="T500" s="726"/>
      <c r="U500" s="726"/>
      <c r="V500" s="726"/>
      <c r="W500" s="726"/>
      <c r="X500" s="726"/>
      <c r="Y500" s="726"/>
      <c r="Z500" s="726"/>
      <c r="AA500" s="708"/>
      <c r="AB500" s="708"/>
      <c r="AC500" s="708"/>
      <c r="AD500" s="708"/>
      <c r="AE500" s="708"/>
      <c r="AF500" s="708" t="s">
        <v>358</v>
      </c>
      <c r="AG500" s="708" t="s">
        <v>41</v>
      </c>
    </row>
    <row r="501" s="570" customFormat="1" ht="24.95" customHeight="1" spans="1:33">
      <c r="A501" s="705" t="s">
        <v>48</v>
      </c>
      <c r="B501" s="92" t="s">
        <v>148</v>
      </c>
      <c r="C501" s="92"/>
      <c r="D501" s="76"/>
      <c r="E501" s="92"/>
      <c r="F501" s="92"/>
      <c r="G501" s="9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row>
    <row r="502" s="570" customFormat="1" ht="24.95" customHeight="1" spans="1:33">
      <c r="A502" s="705">
        <v>62</v>
      </c>
      <c r="B502" s="750" t="s">
        <v>371</v>
      </c>
      <c r="C502" s="146" t="s">
        <v>52</v>
      </c>
      <c r="D502" s="152" t="s">
        <v>147</v>
      </c>
      <c r="E502" s="708">
        <f>SUM(E503:E514)</f>
        <v>12</v>
      </c>
      <c r="F502" s="708">
        <f t="shared" ref="F502:AA502" si="77">SUM(F503:F514)</f>
        <v>0</v>
      </c>
      <c r="G502" s="708">
        <f t="shared" si="77"/>
        <v>0</v>
      </c>
      <c r="H502" s="708">
        <f t="shared" si="77"/>
        <v>113</v>
      </c>
      <c r="I502" s="708">
        <f t="shared" si="77"/>
        <v>0</v>
      </c>
      <c r="J502" s="708">
        <f t="shared" si="77"/>
        <v>113</v>
      </c>
      <c r="K502" s="708">
        <f t="shared" si="77"/>
        <v>0</v>
      </c>
      <c r="L502" s="708"/>
      <c r="M502" s="708"/>
      <c r="N502" s="708">
        <f t="shared" si="77"/>
        <v>97.2</v>
      </c>
      <c r="O502" s="708">
        <f t="shared" si="77"/>
        <v>0</v>
      </c>
      <c r="P502" s="708">
        <f t="shared" si="77"/>
        <v>97.2</v>
      </c>
      <c r="Q502" s="708">
        <f t="shared" si="77"/>
        <v>0</v>
      </c>
      <c r="R502" s="708">
        <f t="shared" si="77"/>
        <v>97.2</v>
      </c>
      <c r="S502" s="708">
        <f t="shared" si="77"/>
        <v>0</v>
      </c>
      <c r="T502" s="708">
        <f t="shared" si="77"/>
        <v>0</v>
      </c>
      <c r="U502" s="708">
        <f t="shared" si="77"/>
        <v>0</v>
      </c>
      <c r="V502" s="708">
        <f t="shared" si="77"/>
        <v>0</v>
      </c>
      <c r="W502" s="708">
        <f t="shared" si="77"/>
        <v>0</v>
      </c>
      <c r="X502" s="708">
        <f t="shared" si="77"/>
        <v>0</v>
      </c>
      <c r="Y502" s="708">
        <f t="shared" si="77"/>
        <v>9706</v>
      </c>
      <c r="Z502" s="708">
        <f t="shared" si="77"/>
        <v>37821</v>
      </c>
      <c r="AA502" s="708">
        <f t="shared" si="77"/>
        <v>12</v>
      </c>
      <c r="AB502" s="708"/>
      <c r="AC502" s="708"/>
      <c r="AD502" s="146" t="s">
        <v>356</v>
      </c>
      <c r="AE502" s="146" t="s">
        <v>372</v>
      </c>
      <c r="AF502" s="146" t="s">
        <v>358</v>
      </c>
      <c r="AG502" s="708" t="s">
        <v>41</v>
      </c>
    </row>
    <row r="503" s="570" customFormat="1" ht="24.95" customHeight="1" spans="1:33">
      <c r="A503" s="705" t="s">
        <v>48</v>
      </c>
      <c r="B503" s="714" t="s">
        <v>101</v>
      </c>
      <c r="C503" s="146" t="s">
        <v>52</v>
      </c>
      <c r="D503" s="152" t="s">
        <v>147</v>
      </c>
      <c r="E503" s="92">
        <v>1</v>
      </c>
      <c r="F503" s="714" t="s">
        <v>101</v>
      </c>
      <c r="G503" s="92"/>
      <c r="H503" s="92">
        <v>5</v>
      </c>
      <c r="I503" s="92"/>
      <c r="J503" s="92">
        <v>5</v>
      </c>
      <c r="K503" s="92"/>
      <c r="L503" s="92">
        <v>2019.01</v>
      </c>
      <c r="M503" s="92">
        <v>2019.12</v>
      </c>
      <c r="N503" s="92">
        <v>3.6</v>
      </c>
      <c r="O503" s="92"/>
      <c r="P503" s="92">
        <v>3.6</v>
      </c>
      <c r="Q503" s="92"/>
      <c r="R503" s="92">
        <v>3.6</v>
      </c>
      <c r="S503" s="92"/>
      <c r="T503" s="92"/>
      <c r="U503" s="92"/>
      <c r="V503" s="92"/>
      <c r="W503" s="92"/>
      <c r="X503" s="92"/>
      <c r="Y503" s="738">
        <v>36</v>
      </c>
      <c r="Z503" s="738">
        <v>149</v>
      </c>
      <c r="AA503" s="92">
        <v>1</v>
      </c>
      <c r="AB503" s="92"/>
      <c r="AC503" s="92"/>
      <c r="AD503" s="146" t="s">
        <v>298</v>
      </c>
      <c r="AE503" s="146" t="s">
        <v>359</v>
      </c>
      <c r="AF503" s="146" t="s">
        <v>358</v>
      </c>
      <c r="AG503" s="92"/>
    </row>
    <row r="504" s="570" customFormat="1" ht="28" customHeight="1" spans="1:33">
      <c r="A504" s="705">
        <v>63</v>
      </c>
      <c r="B504" s="714" t="s">
        <v>151</v>
      </c>
      <c r="C504" s="146" t="s">
        <v>52</v>
      </c>
      <c r="D504" s="152" t="s">
        <v>147</v>
      </c>
      <c r="E504" s="92">
        <v>1</v>
      </c>
      <c r="F504" s="714" t="s">
        <v>151</v>
      </c>
      <c r="G504" s="706"/>
      <c r="H504" s="706">
        <v>10</v>
      </c>
      <c r="I504" s="92"/>
      <c r="J504" s="706">
        <v>10</v>
      </c>
      <c r="K504" s="706"/>
      <c r="L504" s="92">
        <v>2019.01</v>
      </c>
      <c r="M504" s="92">
        <v>2019.12</v>
      </c>
      <c r="N504" s="725">
        <v>21.6</v>
      </c>
      <c r="O504" s="92"/>
      <c r="P504" s="725">
        <v>21.6</v>
      </c>
      <c r="Q504" s="725"/>
      <c r="R504" s="725">
        <v>21.6</v>
      </c>
      <c r="S504" s="725"/>
      <c r="T504" s="725"/>
      <c r="U504" s="725"/>
      <c r="V504" s="725"/>
      <c r="W504" s="786"/>
      <c r="X504" s="786"/>
      <c r="Y504" s="788">
        <v>968</v>
      </c>
      <c r="Z504" s="788">
        <v>4159</v>
      </c>
      <c r="AA504" s="92">
        <v>1</v>
      </c>
      <c r="AB504" s="706"/>
      <c r="AC504" s="706"/>
      <c r="AD504" s="146" t="s">
        <v>373</v>
      </c>
      <c r="AE504" s="146" t="s">
        <v>374</v>
      </c>
      <c r="AF504" s="146" t="s">
        <v>358</v>
      </c>
      <c r="AG504" s="706" t="s">
        <v>41</v>
      </c>
    </row>
    <row r="505" s="570" customFormat="1" ht="32" customHeight="1" spans="1:33">
      <c r="A505" s="705">
        <v>64</v>
      </c>
      <c r="B505" s="714" t="s">
        <v>154</v>
      </c>
      <c r="C505" s="146" t="s">
        <v>52</v>
      </c>
      <c r="D505" s="152" t="s">
        <v>147</v>
      </c>
      <c r="E505" s="92">
        <v>1</v>
      </c>
      <c r="F505" s="714" t="s">
        <v>154</v>
      </c>
      <c r="G505" s="708"/>
      <c r="H505" s="708">
        <v>10</v>
      </c>
      <c r="I505" s="92"/>
      <c r="J505" s="708">
        <v>10</v>
      </c>
      <c r="K505" s="708"/>
      <c r="L505" s="92">
        <v>2019.01</v>
      </c>
      <c r="M505" s="92">
        <v>2019.12</v>
      </c>
      <c r="N505" s="726">
        <v>7.2</v>
      </c>
      <c r="O505" s="92"/>
      <c r="P505" s="726">
        <v>7.2</v>
      </c>
      <c r="Q505" s="726"/>
      <c r="R505" s="726">
        <v>7.2</v>
      </c>
      <c r="S505" s="726"/>
      <c r="T505" s="726"/>
      <c r="U505" s="726"/>
      <c r="V505" s="726"/>
      <c r="W505" s="726"/>
      <c r="X505" s="726"/>
      <c r="Y505" s="763">
        <v>1066</v>
      </c>
      <c r="Z505" s="763">
        <v>4416</v>
      </c>
      <c r="AA505" s="92">
        <v>1</v>
      </c>
      <c r="AB505" s="708"/>
      <c r="AC505" s="708"/>
      <c r="AD505" s="146" t="s">
        <v>360</v>
      </c>
      <c r="AE505" s="146" t="s">
        <v>361</v>
      </c>
      <c r="AF505" s="146" t="s">
        <v>358</v>
      </c>
      <c r="AG505" s="708" t="s">
        <v>41</v>
      </c>
    </row>
    <row r="506" s="570" customFormat="1" ht="24.95" customHeight="1" spans="1:33">
      <c r="A506" s="705" t="s">
        <v>48</v>
      </c>
      <c r="B506" s="714" t="s">
        <v>81</v>
      </c>
      <c r="C506" s="146" t="s">
        <v>52</v>
      </c>
      <c r="D506" s="152" t="s">
        <v>147</v>
      </c>
      <c r="E506" s="92">
        <v>1</v>
      </c>
      <c r="F506" s="714" t="s">
        <v>81</v>
      </c>
      <c r="G506" s="92"/>
      <c r="H506" s="92">
        <v>10</v>
      </c>
      <c r="I506" s="92"/>
      <c r="J506" s="92">
        <v>10</v>
      </c>
      <c r="K506" s="92"/>
      <c r="L506" s="92">
        <v>2019.01</v>
      </c>
      <c r="M506" s="92">
        <v>2019.12</v>
      </c>
      <c r="N506" s="738">
        <v>7.2</v>
      </c>
      <c r="O506" s="92"/>
      <c r="P506" s="738">
        <v>7.2</v>
      </c>
      <c r="Q506" s="738"/>
      <c r="R506" s="738">
        <v>7.2</v>
      </c>
      <c r="S506" s="738"/>
      <c r="T506" s="738"/>
      <c r="U506" s="738"/>
      <c r="V506" s="738"/>
      <c r="W506" s="738"/>
      <c r="X506" s="738"/>
      <c r="Y506" s="738">
        <v>1146</v>
      </c>
      <c r="Z506" s="738">
        <v>340</v>
      </c>
      <c r="AA506" s="92">
        <v>1</v>
      </c>
      <c r="AB506" s="92"/>
      <c r="AC506" s="92"/>
      <c r="AD506" s="146" t="s">
        <v>375</v>
      </c>
      <c r="AE506" s="146" t="s">
        <v>376</v>
      </c>
      <c r="AF506" s="146" t="s">
        <v>358</v>
      </c>
      <c r="AG506" s="92"/>
    </row>
    <row r="507" s="570" customFormat="1" ht="24.95" customHeight="1" spans="1:33">
      <c r="A507" s="705">
        <v>65</v>
      </c>
      <c r="B507" s="714" t="s">
        <v>98</v>
      </c>
      <c r="C507" s="146" t="s">
        <v>52</v>
      </c>
      <c r="D507" s="152" t="s">
        <v>147</v>
      </c>
      <c r="E507" s="92">
        <v>1</v>
      </c>
      <c r="F507" s="714" t="s">
        <v>98</v>
      </c>
      <c r="G507" s="706"/>
      <c r="H507" s="706">
        <v>3</v>
      </c>
      <c r="I507" s="92"/>
      <c r="J507" s="706">
        <v>3</v>
      </c>
      <c r="K507" s="706"/>
      <c r="L507" s="92">
        <v>2019.01</v>
      </c>
      <c r="M507" s="92">
        <v>2019.12</v>
      </c>
      <c r="N507" s="725">
        <v>2.16</v>
      </c>
      <c r="O507" s="92"/>
      <c r="P507" s="725">
        <v>2.16</v>
      </c>
      <c r="Q507" s="725"/>
      <c r="R507" s="725">
        <v>2.16</v>
      </c>
      <c r="S507" s="725"/>
      <c r="T507" s="725"/>
      <c r="U507" s="725"/>
      <c r="V507" s="725"/>
      <c r="W507" s="786"/>
      <c r="X507" s="786"/>
      <c r="Y507" s="788">
        <v>439</v>
      </c>
      <c r="Z507" s="788">
        <v>1778</v>
      </c>
      <c r="AA507" s="92">
        <v>1</v>
      </c>
      <c r="AB507" s="706"/>
      <c r="AC507" s="706"/>
      <c r="AD507" s="146" t="s">
        <v>305</v>
      </c>
      <c r="AE507" s="146" t="s">
        <v>362</v>
      </c>
      <c r="AF507" s="146" t="s">
        <v>358</v>
      </c>
      <c r="AG507" s="706"/>
    </row>
    <row r="508" s="570" customFormat="1" ht="24.95" customHeight="1" spans="1:33">
      <c r="A508" s="705">
        <v>66</v>
      </c>
      <c r="B508" s="714" t="s">
        <v>211</v>
      </c>
      <c r="C508" s="146" t="s">
        <v>52</v>
      </c>
      <c r="D508" s="152" t="s">
        <v>147</v>
      </c>
      <c r="E508" s="92">
        <v>1</v>
      </c>
      <c r="F508" s="714" t="s">
        <v>211</v>
      </c>
      <c r="G508" s="708"/>
      <c r="H508" s="708">
        <v>20</v>
      </c>
      <c r="I508" s="92"/>
      <c r="J508" s="708">
        <v>20</v>
      </c>
      <c r="K508" s="708"/>
      <c r="L508" s="92">
        <v>2019.01</v>
      </c>
      <c r="M508" s="92">
        <v>2019.12</v>
      </c>
      <c r="N508" s="726">
        <v>14.4</v>
      </c>
      <c r="O508" s="92"/>
      <c r="P508" s="726">
        <v>14.4</v>
      </c>
      <c r="Q508" s="726"/>
      <c r="R508" s="726">
        <v>14.4</v>
      </c>
      <c r="S508" s="726"/>
      <c r="T508" s="726"/>
      <c r="U508" s="726"/>
      <c r="V508" s="726"/>
      <c r="W508" s="726"/>
      <c r="X508" s="726"/>
      <c r="Y508" s="763">
        <v>184</v>
      </c>
      <c r="Z508" s="763">
        <v>733</v>
      </c>
      <c r="AA508" s="92">
        <v>1</v>
      </c>
      <c r="AB508" s="708"/>
      <c r="AC508" s="708"/>
      <c r="AD508" s="146" t="s">
        <v>176</v>
      </c>
      <c r="AE508" s="146" t="s">
        <v>377</v>
      </c>
      <c r="AF508" s="146" t="s">
        <v>358</v>
      </c>
      <c r="AG508" s="708"/>
    </row>
    <row r="509" s="570" customFormat="1" ht="24.95" customHeight="1" spans="1:33">
      <c r="A509" s="705" t="s">
        <v>48</v>
      </c>
      <c r="B509" s="714" t="s">
        <v>155</v>
      </c>
      <c r="C509" s="146" t="s">
        <v>52</v>
      </c>
      <c r="D509" s="152" t="s">
        <v>147</v>
      </c>
      <c r="E509" s="92">
        <v>1</v>
      </c>
      <c r="F509" s="714" t="s">
        <v>155</v>
      </c>
      <c r="G509" s="92"/>
      <c r="H509" s="92">
        <v>7</v>
      </c>
      <c r="I509" s="92"/>
      <c r="J509" s="92">
        <v>7</v>
      </c>
      <c r="K509" s="92"/>
      <c r="L509" s="92">
        <v>2019.01</v>
      </c>
      <c r="M509" s="92">
        <v>2019.12</v>
      </c>
      <c r="N509" s="92">
        <v>5.04</v>
      </c>
      <c r="O509" s="92"/>
      <c r="P509" s="92">
        <v>5.04</v>
      </c>
      <c r="Q509" s="92"/>
      <c r="R509" s="92">
        <v>5.04</v>
      </c>
      <c r="S509" s="92"/>
      <c r="T509" s="92"/>
      <c r="U509" s="92"/>
      <c r="V509" s="92"/>
      <c r="W509" s="92"/>
      <c r="X509" s="92"/>
      <c r="Y509" s="738">
        <v>529</v>
      </c>
      <c r="Z509" s="738">
        <v>2334</v>
      </c>
      <c r="AA509" s="92">
        <v>1</v>
      </c>
      <c r="AB509" s="92"/>
      <c r="AC509" s="92"/>
      <c r="AD509" s="146" t="s">
        <v>309</v>
      </c>
      <c r="AE509" s="146" t="s">
        <v>364</v>
      </c>
      <c r="AF509" s="146" t="s">
        <v>358</v>
      </c>
      <c r="AG509" s="92"/>
    </row>
    <row r="510" s="570" customFormat="1" ht="24.95" customHeight="1" spans="1:33">
      <c r="A510" s="705">
        <v>67</v>
      </c>
      <c r="B510" s="714" t="s">
        <v>102</v>
      </c>
      <c r="C510" s="146" t="s">
        <v>52</v>
      </c>
      <c r="D510" s="152" t="s">
        <v>147</v>
      </c>
      <c r="E510" s="92">
        <v>1</v>
      </c>
      <c r="F510" s="714" t="s">
        <v>102</v>
      </c>
      <c r="G510" s="708"/>
      <c r="H510" s="708">
        <v>23</v>
      </c>
      <c r="I510" s="92"/>
      <c r="J510" s="708">
        <v>23</v>
      </c>
      <c r="K510" s="708"/>
      <c r="L510" s="92">
        <v>2019.01</v>
      </c>
      <c r="M510" s="92">
        <v>2019.12</v>
      </c>
      <c r="N510" s="726">
        <v>16.56</v>
      </c>
      <c r="O510" s="92"/>
      <c r="P510" s="726">
        <v>16.56</v>
      </c>
      <c r="Q510" s="726"/>
      <c r="R510" s="726">
        <v>16.56</v>
      </c>
      <c r="S510" s="726"/>
      <c r="T510" s="726"/>
      <c r="U510" s="726"/>
      <c r="V510" s="726"/>
      <c r="W510" s="726"/>
      <c r="X510" s="726"/>
      <c r="Y510" s="763">
        <v>2973</v>
      </c>
      <c r="Z510" s="763">
        <v>13383</v>
      </c>
      <c r="AA510" s="92">
        <v>1</v>
      </c>
      <c r="AB510" s="708"/>
      <c r="AC510" s="708"/>
      <c r="AD510" s="146" t="s">
        <v>180</v>
      </c>
      <c r="AE510" s="146" t="s">
        <v>365</v>
      </c>
      <c r="AF510" s="146" t="s">
        <v>358</v>
      </c>
      <c r="AG510" s="708"/>
    </row>
    <row r="511" s="570" customFormat="1" ht="24.95" customHeight="1" spans="1:33">
      <c r="A511" s="705" t="s">
        <v>48</v>
      </c>
      <c r="B511" s="714" t="s">
        <v>100</v>
      </c>
      <c r="C511" s="146" t="s">
        <v>52</v>
      </c>
      <c r="D511" s="152" t="s">
        <v>147</v>
      </c>
      <c r="E511" s="92">
        <v>1</v>
      </c>
      <c r="F511" s="714" t="s">
        <v>100</v>
      </c>
      <c r="G511" s="92"/>
      <c r="H511" s="92">
        <v>1</v>
      </c>
      <c r="I511" s="92"/>
      <c r="J511" s="92">
        <v>1</v>
      </c>
      <c r="K511" s="92"/>
      <c r="L511" s="92">
        <v>2019.01</v>
      </c>
      <c r="M511" s="92">
        <v>2019.12</v>
      </c>
      <c r="N511" s="92">
        <v>2.16</v>
      </c>
      <c r="O511" s="92"/>
      <c r="P511" s="92">
        <v>2.16</v>
      </c>
      <c r="Q511" s="92"/>
      <c r="R511" s="92">
        <v>2.16</v>
      </c>
      <c r="S511" s="92"/>
      <c r="T511" s="92"/>
      <c r="U511" s="92"/>
      <c r="V511" s="92"/>
      <c r="W511" s="92"/>
      <c r="X511" s="92"/>
      <c r="Y511" s="738">
        <v>215</v>
      </c>
      <c r="Z511" s="738">
        <v>925</v>
      </c>
      <c r="AA511" s="92">
        <v>1</v>
      </c>
      <c r="AB511" s="92"/>
      <c r="AC511" s="92"/>
      <c r="AD511" s="146" t="s">
        <v>312</v>
      </c>
      <c r="AE511" s="146" t="s">
        <v>71</v>
      </c>
      <c r="AF511" s="146" t="s">
        <v>358</v>
      </c>
      <c r="AG511" s="92"/>
    </row>
    <row r="512" s="570" customFormat="1" ht="24.95" customHeight="1" spans="1:33">
      <c r="A512" s="705">
        <v>68</v>
      </c>
      <c r="B512" s="714" t="s">
        <v>84</v>
      </c>
      <c r="C512" s="146" t="s">
        <v>52</v>
      </c>
      <c r="D512" s="152" t="s">
        <v>147</v>
      </c>
      <c r="E512" s="92">
        <v>1</v>
      </c>
      <c r="F512" s="714" t="s">
        <v>84</v>
      </c>
      <c r="G512" s="708"/>
      <c r="H512" s="708">
        <v>6</v>
      </c>
      <c r="I512" s="92"/>
      <c r="J512" s="708">
        <v>6</v>
      </c>
      <c r="K512" s="708"/>
      <c r="L512" s="92">
        <v>2019.01</v>
      </c>
      <c r="M512" s="92">
        <v>2019.12</v>
      </c>
      <c r="N512" s="726">
        <v>4.32</v>
      </c>
      <c r="O512" s="92"/>
      <c r="P512" s="726">
        <v>4.32</v>
      </c>
      <c r="Q512" s="726"/>
      <c r="R512" s="726">
        <v>4.32</v>
      </c>
      <c r="S512" s="726"/>
      <c r="T512" s="726"/>
      <c r="U512" s="726"/>
      <c r="V512" s="726"/>
      <c r="W512" s="726"/>
      <c r="X512" s="726"/>
      <c r="Y512" s="763">
        <v>538</v>
      </c>
      <c r="Z512" s="763">
        <v>2266</v>
      </c>
      <c r="AA512" s="92">
        <v>1</v>
      </c>
      <c r="AB512" s="708"/>
      <c r="AC512" s="708"/>
      <c r="AD512" s="146" t="s">
        <v>186</v>
      </c>
      <c r="AE512" s="146" t="s">
        <v>378</v>
      </c>
      <c r="AF512" s="146" t="s">
        <v>358</v>
      </c>
      <c r="AG512" s="708"/>
    </row>
    <row r="513" s="570" customFormat="1" ht="24.95" customHeight="1" spans="1:33">
      <c r="A513" s="705" t="s">
        <v>48</v>
      </c>
      <c r="B513" s="714" t="s">
        <v>259</v>
      </c>
      <c r="C513" s="146" t="s">
        <v>52</v>
      </c>
      <c r="D513" s="152" t="s">
        <v>147</v>
      </c>
      <c r="E513" s="92">
        <v>1</v>
      </c>
      <c r="F513" s="714" t="s">
        <v>259</v>
      </c>
      <c r="G513" s="92"/>
      <c r="H513" s="92">
        <v>7</v>
      </c>
      <c r="I513" s="92"/>
      <c r="J513" s="92">
        <v>7</v>
      </c>
      <c r="K513" s="92"/>
      <c r="L513" s="92">
        <v>2019.01</v>
      </c>
      <c r="M513" s="92">
        <v>2019.12</v>
      </c>
      <c r="N513" s="92">
        <v>5.04</v>
      </c>
      <c r="O513" s="92"/>
      <c r="P513" s="92">
        <v>5.04</v>
      </c>
      <c r="Q513" s="92"/>
      <c r="R513" s="92">
        <v>5.04</v>
      </c>
      <c r="S513" s="92"/>
      <c r="T513" s="92"/>
      <c r="U513" s="92"/>
      <c r="V513" s="92"/>
      <c r="W513" s="92"/>
      <c r="X513" s="92"/>
      <c r="Y513" s="738">
        <v>368</v>
      </c>
      <c r="Z513" s="738">
        <v>1523</v>
      </c>
      <c r="AA513" s="92">
        <v>1</v>
      </c>
      <c r="AB513" s="92"/>
      <c r="AC513" s="92"/>
      <c r="AD513" s="146" t="s">
        <v>366</v>
      </c>
      <c r="AE513" s="146" t="s">
        <v>367</v>
      </c>
      <c r="AF513" s="146" t="s">
        <v>358</v>
      </c>
      <c r="AG513" s="92"/>
    </row>
    <row r="514" s="570" customFormat="1" ht="27" customHeight="1" spans="1:33">
      <c r="A514" s="705">
        <v>69</v>
      </c>
      <c r="B514" s="714" t="s">
        <v>143</v>
      </c>
      <c r="C514" s="146" t="s">
        <v>52</v>
      </c>
      <c r="D514" s="152" t="s">
        <v>147</v>
      </c>
      <c r="E514" s="92">
        <v>1</v>
      </c>
      <c r="F514" s="714" t="s">
        <v>143</v>
      </c>
      <c r="G514" s="708"/>
      <c r="H514" s="708">
        <v>11</v>
      </c>
      <c r="I514" s="92"/>
      <c r="J514" s="708">
        <v>11</v>
      </c>
      <c r="K514" s="708"/>
      <c r="L514" s="92">
        <v>2019.01</v>
      </c>
      <c r="M514" s="92">
        <v>2019.12</v>
      </c>
      <c r="N514" s="708">
        <v>7.92</v>
      </c>
      <c r="O514" s="92"/>
      <c r="P514" s="708">
        <v>7.92</v>
      </c>
      <c r="Q514" s="708"/>
      <c r="R514" s="708">
        <v>7.92</v>
      </c>
      <c r="S514" s="708"/>
      <c r="T514" s="708"/>
      <c r="U514" s="708"/>
      <c r="V514" s="708"/>
      <c r="W514" s="708"/>
      <c r="X514" s="708"/>
      <c r="Y514" s="763">
        <v>1244</v>
      </c>
      <c r="Z514" s="763">
        <v>5815</v>
      </c>
      <c r="AA514" s="92">
        <v>1</v>
      </c>
      <c r="AB514" s="708"/>
      <c r="AC514" s="708"/>
      <c r="AD514" s="146" t="s">
        <v>368</v>
      </c>
      <c r="AE514" s="146" t="s">
        <v>369</v>
      </c>
      <c r="AF514" s="146" t="s">
        <v>358</v>
      </c>
      <c r="AG514" s="708"/>
    </row>
    <row r="515" ht="39" customHeight="1" spans="1:33">
      <c r="A515" s="705">
        <v>63</v>
      </c>
      <c r="B515" s="706" t="s">
        <v>379</v>
      </c>
      <c r="C515" s="706"/>
      <c r="D515" s="707"/>
      <c r="E515" s="706"/>
      <c r="F515" s="706"/>
      <c r="G515" s="706"/>
      <c r="H515" s="706"/>
      <c r="I515" s="706"/>
      <c r="J515" s="706"/>
      <c r="K515" s="706"/>
      <c r="L515" s="706"/>
      <c r="M515" s="706"/>
      <c r="N515" s="725"/>
      <c r="O515" s="725"/>
      <c r="P515" s="725"/>
      <c r="Q515" s="725"/>
      <c r="R515" s="725"/>
      <c r="S515" s="725"/>
      <c r="T515" s="725"/>
      <c r="U515" s="725"/>
      <c r="V515" s="725"/>
      <c r="W515" s="786"/>
      <c r="X515" s="786"/>
      <c r="Y515" s="786"/>
      <c r="Z515" s="786"/>
      <c r="AA515" s="789"/>
      <c r="AB515" s="706"/>
      <c r="AC515" s="706"/>
      <c r="AD515" s="706"/>
      <c r="AE515" s="706"/>
      <c r="AF515" s="706"/>
      <c r="AG515" s="706" t="s">
        <v>41</v>
      </c>
    </row>
    <row r="516" ht="37" customHeight="1" spans="1:33">
      <c r="A516" s="705">
        <v>64</v>
      </c>
      <c r="B516" s="708" t="s">
        <v>380</v>
      </c>
      <c r="C516" s="708"/>
      <c r="D516" s="709" t="s">
        <v>147</v>
      </c>
      <c r="E516" s="708"/>
      <c r="F516" s="708"/>
      <c r="G516" s="708"/>
      <c r="H516" s="708"/>
      <c r="I516" s="708"/>
      <c r="J516" s="708"/>
      <c r="K516" s="708"/>
      <c r="L516" s="708"/>
      <c r="M516" s="708"/>
      <c r="N516" s="726"/>
      <c r="O516" s="726"/>
      <c r="P516" s="726"/>
      <c r="Q516" s="726"/>
      <c r="R516" s="726"/>
      <c r="S516" s="726"/>
      <c r="T516" s="726"/>
      <c r="U516" s="726"/>
      <c r="V516" s="726"/>
      <c r="W516" s="726"/>
      <c r="X516" s="726"/>
      <c r="Y516" s="726"/>
      <c r="Z516" s="726"/>
      <c r="AA516" s="708"/>
      <c r="AB516" s="708"/>
      <c r="AC516" s="708"/>
      <c r="AD516" s="708"/>
      <c r="AE516" s="708"/>
      <c r="AF516" s="708" t="s">
        <v>201</v>
      </c>
      <c r="AG516" s="708" t="s">
        <v>41</v>
      </c>
    </row>
    <row r="517" ht="24.95" customHeight="1" spans="1:33">
      <c r="A517" s="705" t="s">
        <v>48</v>
      </c>
      <c r="B517" s="92" t="s">
        <v>148</v>
      </c>
      <c r="C517" s="92"/>
      <c r="D517" s="76"/>
      <c r="E517" s="92"/>
      <c r="F517" s="92"/>
      <c r="G517" s="92"/>
      <c r="H517" s="92"/>
      <c r="I517" s="92"/>
      <c r="J517" s="92"/>
      <c r="K517" s="92"/>
      <c r="L517" s="92"/>
      <c r="M517" s="92"/>
      <c r="N517" s="738"/>
      <c r="O517" s="738"/>
      <c r="P517" s="738"/>
      <c r="Q517" s="738"/>
      <c r="R517" s="738"/>
      <c r="S517" s="738"/>
      <c r="T517" s="738"/>
      <c r="U517" s="738"/>
      <c r="V517" s="738"/>
      <c r="W517" s="738"/>
      <c r="X517" s="738"/>
      <c r="Y517" s="738"/>
      <c r="Z517" s="738"/>
      <c r="AA517" s="92"/>
      <c r="AB517" s="92"/>
      <c r="AC517" s="92"/>
      <c r="AD517" s="92"/>
      <c r="AE517" s="92"/>
      <c r="AF517" s="92"/>
      <c r="AG517" s="92"/>
    </row>
    <row r="518" ht="24.95" customHeight="1" spans="1:33">
      <c r="A518" s="705">
        <v>65</v>
      </c>
      <c r="B518" s="706" t="s">
        <v>381</v>
      </c>
      <c r="C518" s="706"/>
      <c r="D518" s="707"/>
      <c r="E518" s="706">
        <f>E519+E532+E545+E558</f>
        <v>36</v>
      </c>
      <c r="F518" s="706">
        <f t="shared" ref="F518:AA518" si="78">F519+F532+F545+F558</f>
        <v>0</v>
      </c>
      <c r="G518" s="706">
        <f t="shared" si="78"/>
        <v>0</v>
      </c>
      <c r="H518" s="706">
        <f t="shared" si="78"/>
        <v>819</v>
      </c>
      <c r="I518" s="706">
        <f t="shared" si="78"/>
        <v>0</v>
      </c>
      <c r="J518" s="706">
        <f t="shared" si="78"/>
        <v>819</v>
      </c>
      <c r="K518" s="706">
        <f t="shared" si="78"/>
        <v>0</v>
      </c>
      <c r="L518" s="706"/>
      <c r="M518" s="706"/>
      <c r="N518" s="706">
        <f t="shared" si="78"/>
        <v>1719.9</v>
      </c>
      <c r="O518" s="706">
        <f t="shared" si="78"/>
        <v>0</v>
      </c>
      <c r="P518" s="706">
        <f t="shared" si="78"/>
        <v>1719.9</v>
      </c>
      <c r="Q518" s="706">
        <f t="shared" si="78"/>
        <v>0</v>
      </c>
      <c r="R518" s="706">
        <f t="shared" si="78"/>
        <v>0</v>
      </c>
      <c r="S518" s="706">
        <f t="shared" si="78"/>
        <v>1719.9</v>
      </c>
      <c r="T518" s="706">
        <f t="shared" si="78"/>
        <v>0</v>
      </c>
      <c r="U518" s="706">
        <f t="shared" si="78"/>
        <v>0</v>
      </c>
      <c r="V518" s="706">
        <f t="shared" si="78"/>
        <v>0</v>
      </c>
      <c r="W518" s="706">
        <f t="shared" si="78"/>
        <v>0</v>
      </c>
      <c r="X518" s="706">
        <f t="shared" si="78"/>
        <v>0</v>
      </c>
      <c r="Y518" s="706">
        <f t="shared" si="78"/>
        <v>0</v>
      </c>
      <c r="Z518" s="706">
        <f t="shared" si="78"/>
        <v>0</v>
      </c>
      <c r="AA518" s="706">
        <f t="shared" si="78"/>
        <v>36</v>
      </c>
      <c r="AB518" s="706"/>
      <c r="AC518" s="706"/>
      <c r="AD518" s="706"/>
      <c r="AE518" s="706"/>
      <c r="AF518" s="706"/>
      <c r="AG518" s="706"/>
    </row>
    <row r="519" s="570" customFormat="1" ht="24.95" customHeight="1" spans="1:33">
      <c r="A519" s="705">
        <v>66</v>
      </c>
      <c r="B519" s="708" t="s">
        <v>383</v>
      </c>
      <c r="C519" s="708"/>
      <c r="D519" s="709" t="s">
        <v>384</v>
      </c>
      <c r="E519" s="708">
        <f>SUM(E520:E531)</f>
        <v>12</v>
      </c>
      <c r="F519" s="708">
        <f t="shared" ref="F519:AA519" si="79">SUM(F520:F531)</f>
        <v>0</v>
      </c>
      <c r="G519" s="708">
        <f t="shared" si="79"/>
        <v>0</v>
      </c>
      <c r="H519" s="708">
        <f t="shared" si="79"/>
        <v>99</v>
      </c>
      <c r="I519" s="708">
        <f t="shared" si="79"/>
        <v>0</v>
      </c>
      <c r="J519" s="708">
        <f t="shared" si="79"/>
        <v>99</v>
      </c>
      <c r="K519" s="708">
        <f t="shared" si="79"/>
        <v>0</v>
      </c>
      <c r="L519" s="708"/>
      <c r="M519" s="708"/>
      <c r="N519" s="708">
        <f t="shared" si="79"/>
        <v>207.9</v>
      </c>
      <c r="O519" s="708">
        <f t="shared" si="79"/>
        <v>0</v>
      </c>
      <c r="P519" s="708">
        <f t="shared" si="79"/>
        <v>207.9</v>
      </c>
      <c r="Q519" s="708">
        <f t="shared" si="79"/>
        <v>0</v>
      </c>
      <c r="R519" s="708">
        <f t="shared" si="79"/>
        <v>0</v>
      </c>
      <c r="S519" s="708">
        <f t="shared" si="79"/>
        <v>207.9</v>
      </c>
      <c r="T519" s="708">
        <f t="shared" si="79"/>
        <v>0</v>
      </c>
      <c r="U519" s="708">
        <f t="shared" si="79"/>
        <v>0</v>
      </c>
      <c r="V519" s="708">
        <f t="shared" si="79"/>
        <v>0</v>
      </c>
      <c r="W519" s="708">
        <f t="shared" si="79"/>
        <v>0</v>
      </c>
      <c r="X519" s="708">
        <f t="shared" si="79"/>
        <v>0</v>
      </c>
      <c r="Y519" s="708">
        <f t="shared" si="79"/>
        <v>0</v>
      </c>
      <c r="Z519" s="708">
        <f t="shared" si="79"/>
        <v>0</v>
      </c>
      <c r="AA519" s="708">
        <f t="shared" si="79"/>
        <v>12</v>
      </c>
      <c r="AB519" s="708"/>
      <c r="AC519" s="708"/>
      <c r="AD519" s="146" t="s">
        <v>385</v>
      </c>
      <c r="AE519" s="753" t="s">
        <v>386</v>
      </c>
      <c r="AF519" s="712" t="s">
        <v>273</v>
      </c>
      <c r="AG519" s="708"/>
    </row>
    <row r="520" s="570" customFormat="1" ht="24.95" customHeight="1" spans="1:33">
      <c r="A520" s="705"/>
      <c r="B520" s="714" t="s">
        <v>101</v>
      </c>
      <c r="C520" s="146" t="s">
        <v>52</v>
      </c>
      <c r="D520" s="152" t="s">
        <v>384</v>
      </c>
      <c r="E520" s="708">
        <v>1</v>
      </c>
      <c r="F520" s="714" t="s">
        <v>101</v>
      </c>
      <c r="G520" s="708"/>
      <c r="H520" s="708">
        <f t="shared" ref="H519:H557" si="80">N520/2.1</f>
        <v>14</v>
      </c>
      <c r="I520" s="92"/>
      <c r="J520" s="708">
        <f t="shared" ref="J519:J531" si="81">P520/2.1</f>
        <v>14</v>
      </c>
      <c r="K520" s="708"/>
      <c r="L520" s="92">
        <v>2019.01</v>
      </c>
      <c r="M520" s="92">
        <v>2019.12</v>
      </c>
      <c r="N520" s="726">
        <v>29.4</v>
      </c>
      <c r="O520" s="92"/>
      <c r="P520" s="726">
        <v>29.4</v>
      </c>
      <c r="Q520" s="726"/>
      <c r="R520" s="726"/>
      <c r="S520" s="726">
        <v>29.4</v>
      </c>
      <c r="T520" s="726"/>
      <c r="U520" s="726"/>
      <c r="V520" s="726"/>
      <c r="W520" s="726"/>
      <c r="X520" s="726"/>
      <c r="Y520" s="763"/>
      <c r="Z520" s="763"/>
      <c r="AA520" s="708">
        <v>1</v>
      </c>
      <c r="AB520" s="708"/>
      <c r="AC520" s="708"/>
      <c r="AD520" s="146" t="s">
        <v>387</v>
      </c>
      <c r="AE520" s="146" t="s">
        <v>388</v>
      </c>
      <c r="AF520" s="438" t="s">
        <v>273</v>
      </c>
      <c r="AG520" s="708"/>
    </row>
    <row r="521" s="570" customFormat="1" ht="24.95" customHeight="1" spans="1:33">
      <c r="A521" s="705"/>
      <c r="B521" s="714" t="s">
        <v>151</v>
      </c>
      <c r="C521" s="146" t="s">
        <v>52</v>
      </c>
      <c r="D521" s="152" t="s">
        <v>384</v>
      </c>
      <c r="E521" s="708">
        <v>1</v>
      </c>
      <c r="F521" s="714" t="s">
        <v>151</v>
      </c>
      <c r="G521" s="708"/>
      <c r="H521" s="708">
        <f t="shared" si="80"/>
        <v>2</v>
      </c>
      <c r="I521" s="92"/>
      <c r="J521" s="708">
        <f t="shared" si="81"/>
        <v>2</v>
      </c>
      <c r="K521" s="708"/>
      <c r="L521" s="92">
        <v>2019.01</v>
      </c>
      <c r="M521" s="92">
        <v>2019.12</v>
      </c>
      <c r="N521" s="726">
        <v>4.2</v>
      </c>
      <c r="O521" s="92"/>
      <c r="P521" s="726">
        <v>4.2</v>
      </c>
      <c r="Q521" s="726"/>
      <c r="R521" s="726"/>
      <c r="S521" s="726">
        <v>4.2</v>
      </c>
      <c r="T521" s="726"/>
      <c r="U521" s="726"/>
      <c r="V521" s="726"/>
      <c r="W521" s="726"/>
      <c r="X521" s="726"/>
      <c r="Y521" s="763"/>
      <c r="Z521" s="763"/>
      <c r="AA521" s="708">
        <v>1</v>
      </c>
      <c r="AB521" s="708"/>
      <c r="AC521" s="708"/>
      <c r="AD521" s="146" t="s">
        <v>389</v>
      </c>
      <c r="AE521" s="146" t="s">
        <v>390</v>
      </c>
      <c r="AF521" s="438" t="s">
        <v>273</v>
      </c>
      <c r="AG521" s="708"/>
    </row>
    <row r="522" s="570" customFormat="1" ht="24.95" customHeight="1" spans="1:33">
      <c r="A522" s="705"/>
      <c r="B522" s="714" t="s">
        <v>154</v>
      </c>
      <c r="C522" s="146" t="s">
        <v>52</v>
      </c>
      <c r="D522" s="152" t="s">
        <v>384</v>
      </c>
      <c r="E522" s="708">
        <v>1</v>
      </c>
      <c r="F522" s="714" t="s">
        <v>154</v>
      </c>
      <c r="G522" s="708"/>
      <c r="H522" s="708">
        <f t="shared" si="80"/>
        <v>5</v>
      </c>
      <c r="I522" s="92"/>
      <c r="J522" s="708">
        <f t="shared" si="81"/>
        <v>5</v>
      </c>
      <c r="K522" s="708"/>
      <c r="L522" s="92">
        <v>2019.01</v>
      </c>
      <c r="M522" s="92">
        <v>2019.12</v>
      </c>
      <c r="N522" s="726">
        <v>10.5</v>
      </c>
      <c r="O522" s="92"/>
      <c r="P522" s="726">
        <v>10.5</v>
      </c>
      <c r="Q522" s="726"/>
      <c r="R522" s="726"/>
      <c r="S522" s="726">
        <v>10.5</v>
      </c>
      <c r="T522" s="726"/>
      <c r="U522" s="726"/>
      <c r="V522" s="726"/>
      <c r="W522" s="726"/>
      <c r="X522" s="726"/>
      <c r="Y522" s="763"/>
      <c r="Z522" s="763"/>
      <c r="AA522" s="708">
        <v>1</v>
      </c>
      <c r="AB522" s="708"/>
      <c r="AC522" s="708"/>
      <c r="AD522" s="146" t="s">
        <v>391</v>
      </c>
      <c r="AE522" s="146" t="s">
        <v>392</v>
      </c>
      <c r="AF522" s="438" t="s">
        <v>273</v>
      </c>
      <c r="AG522" s="708"/>
    </row>
    <row r="523" s="570" customFormat="1" ht="24.95" customHeight="1" spans="1:33">
      <c r="A523" s="705"/>
      <c r="B523" s="714" t="s">
        <v>81</v>
      </c>
      <c r="C523" s="146" t="s">
        <v>52</v>
      </c>
      <c r="D523" s="152" t="s">
        <v>384</v>
      </c>
      <c r="E523" s="708">
        <v>1</v>
      </c>
      <c r="F523" s="714" t="s">
        <v>81</v>
      </c>
      <c r="G523" s="708"/>
      <c r="H523" s="708">
        <f t="shared" si="80"/>
        <v>14</v>
      </c>
      <c r="I523" s="92"/>
      <c r="J523" s="708">
        <f t="shared" si="81"/>
        <v>14</v>
      </c>
      <c r="K523" s="708"/>
      <c r="L523" s="92">
        <v>2019.01</v>
      </c>
      <c r="M523" s="92">
        <v>2019.12</v>
      </c>
      <c r="N523" s="726">
        <v>29.4</v>
      </c>
      <c r="O523" s="92"/>
      <c r="P523" s="726">
        <v>29.4</v>
      </c>
      <c r="Q523" s="726"/>
      <c r="R523" s="726"/>
      <c r="S523" s="726">
        <v>29.4</v>
      </c>
      <c r="T523" s="726"/>
      <c r="U523" s="726"/>
      <c r="V523" s="726"/>
      <c r="W523" s="726"/>
      <c r="X523" s="726"/>
      <c r="Y523" s="763"/>
      <c r="Z523" s="763"/>
      <c r="AA523" s="708">
        <v>1</v>
      </c>
      <c r="AB523" s="708"/>
      <c r="AC523" s="708"/>
      <c r="AD523" s="146" t="s">
        <v>393</v>
      </c>
      <c r="AE523" s="146" t="s">
        <v>394</v>
      </c>
      <c r="AF523" s="438" t="s">
        <v>273</v>
      </c>
      <c r="AG523" s="708"/>
    </row>
    <row r="524" s="570" customFormat="1" ht="24.95" customHeight="1" spans="1:33">
      <c r="A524" s="705"/>
      <c r="B524" s="714" t="s">
        <v>98</v>
      </c>
      <c r="C524" s="146" t="s">
        <v>52</v>
      </c>
      <c r="D524" s="152" t="s">
        <v>384</v>
      </c>
      <c r="E524" s="708">
        <v>1</v>
      </c>
      <c r="F524" s="714" t="s">
        <v>98</v>
      </c>
      <c r="G524" s="708"/>
      <c r="H524" s="708">
        <f t="shared" si="80"/>
        <v>23</v>
      </c>
      <c r="I524" s="92"/>
      <c r="J524" s="708">
        <f t="shared" si="81"/>
        <v>23</v>
      </c>
      <c r="K524" s="708"/>
      <c r="L524" s="92">
        <v>2019.01</v>
      </c>
      <c r="M524" s="92">
        <v>2019.12</v>
      </c>
      <c r="N524" s="726">
        <v>48.3</v>
      </c>
      <c r="O524" s="92"/>
      <c r="P524" s="726">
        <v>48.3</v>
      </c>
      <c r="Q524" s="726"/>
      <c r="R524" s="726"/>
      <c r="S524" s="726">
        <v>48.3</v>
      </c>
      <c r="T524" s="726"/>
      <c r="U524" s="726"/>
      <c r="V524" s="726"/>
      <c r="W524" s="726"/>
      <c r="X524" s="726"/>
      <c r="Y524" s="763"/>
      <c r="Z524" s="763"/>
      <c r="AA524" s="708">
        <v>1</v>
      </c>
      <c r="AB524" s="708"/>
      <c r="AC524" s="708"/>
      <c r="AD524" s="146" t="s">
        <v>395</v>
      </c>
      <c r="AE524" s="146" t="s">
        <v>396</v>
      </c>
      <c r="AF524" s="438" t="s">
        <v>273</v>
      </c>
      <c r="AG524" s="708"/>
    </row>
    <row r="525" s="570" customFormat="1" ht="24.95" customHeight="1" spans="1:33">
      <c r="A525" s="705"/>
      <c r="B525" s="714" t="s">
        <v>211</v>
      </c>
      <c r="C525" s="146" t="s">
        <v>52</v>
      </c>
      <c r="D525" s="152" t="s">
        <v>384</v>
      </c>
      <c r="E525" s="708">
        <v>1</v>
      </c>
      <c r="F525" s="714" t="s">
        <v>211</v>
      </c>
      <c r="G525" s="708"/>
      <c r="H525" s="708">
        <f t="shared" si="80"/>
        <v>4</v>
      </c>
      <c r="I525" s="92"/>
      <c r="J525" s="708">
        <f t="shared" si="81"/>
        <v>4</v>
      </c>
      <c r="K525" s="708"/>
      <c r="L525" s="92">
        <v>2019.01</v>
      </c>
      <c r="M525" s="92">
        <v>2019.12</v>
      </c>
      <c r="N525" s="726">
        <v>8.4</v>
      </c>
      <c r="O525" s="92"/>
      <c r="P525" s="726">
        <v>8.4</v>
      </c>
      <c r="Q525" s="726"/>
      <c r="R525" s="726"/>
      <c r="S525" s="726">
        <v>8.4</v>
      </c>
      <c r="T525" s="726"/>
      <c r="U525" s="726"/>
      <c r="V525" s="726"/>
      <c r="W525" s="726"/>
      <c r="X525" s="726"/>
      <c r="Y525" s="763"/>
      <c r="Z525" s="763"/>
      <c r="AA525" s="708">
        <v>1</v>
      </c>
      <c r="AB525" s="708"/>
      <c r="AC525" s="708"/>
      <c r="AD525" s="146" t="s">
        <v>397</v>
      </c>
      <c r="AE525" s="146" t="s">
        <v>398</v>
      </c>
      <c r="AF525" s="438" t="s">
        <v>273</v>
      </c>
      <c r="AG525" s="708"/>
    </row>
    <row r="526" s="570" customFormat="1" ht="24.95" customHeight="1" spans="1:33">
      <c r="A526" s="705"/>
      <c r="B526" s="714" t="s">
        <v>155</v>
      </c>
      <c r="C526" s="146" t="s">
        <v>52</v>
      </c>
      <c r="D526" s="152" t="s">
        <v>384</v>
      </c>
      <c r="E526" s="708">
        <v>1</v>
      </c>
      <c r="F526" s="714" t="s">
        <v>155</v>
      </c>
      <c r="G526" s="708"/>
      <c r="H526" s="708">
        <f t="shared" si="80"/>
        <v>4</v>
      </c>
      <c r="I526" s="92"/>
      <c r="J526" s="708">
        <f t="shared" si="81"/>
        <v>4</v>
      </c>
      <c r="K526" s="708"/>
      <c r="L526" s="92">
        <v>2019.01</v>
      </c>
      <c r="M526" s="92">
        <v>2019.12</v>
      </c>
      <c r="N526" s="726">
        <v>8.4</v>
      </c>
      <c r="O526" s="92"/>
      <c r="P526" s="726">
        <v>8.4</v>
      </c>
      <c r="Q526" s="726"/>
      <c r="R526" s="726"/>
      <c r="S526" s="726">
        <v>8.4</v>
      </c>
      <c r="T526" s="726"/>
      <c r="U526" s="726"/>
      <c r="V526" s="726"/>
      <c r="W526" s="726"/>
      <c r="X526" s="726"/>
      <c r="Y526" s="763"/>
      <c r="Z526" s="763"/>
      <c r="AA526" s="708">
        <v>1</v>
      </c>
      <c r="AB526" s="708"/>
      <c r="AC526" s="708"/>
      <c r="AD526" s="146" t="s">
        <v>399</v>
      </c>
      <c r="AE526" s="146" t="s">
        <v>400</v>
      </c>
      <c r="AF526" s="438" t="s">
        <v>273</v>
      </c>
      <c r="AG526" s="708"/>
    </row>
    <row r="527" s="570" customFormat="1" ht="24.95" customHeight="1" spans="1:33">
      <c r="A527" s="705"/>
      <c r="B527" s="714" t="s">
        <v>102</v>
      </c>
      <c r="C527" s="146" t="s">
        <v>52</v>
      </c>
      <c r="D527" s="152" t="s">
        <v>384</v>
      </c>
      <c r="E527" s="708">
        <v>1</v>
      </c>
      <c r="F527" s="714" t="s">
        <v>102</v>
      </c>
      <c r="G527" s="708"/>
      <c r="H527" s="708">
        <f t="shared" si="80"/>
        <v>0</v>
      </c>
      <c r="I527" s="92"/>
      <c r="J527" s="708">
        <f t="shared" si="81"/>
        <v>0</v>
      </c>
      <c r="K527" s="708"/>
      <c r="L527" s="92">
        <v>2019.01</v>
      </c>
      <c r="M527" s="92">
        <v>2019.12</v>
      </c>
      <c r="N527" s="726">
        <v>0</v>
      </c>
      <c r="O527" s="92"/>
      <c r="P527" s="726">
        <v>0</v>
      </c>
      <c r="Q527" s="726"/>
      <c r="R527" s="726"/>
      <c r="S527" s="726">
        <v>0</v>
      </c>
      <c r="T527" s="726"/>
      <c r="U527" s="726"/>
      <c r="V527" s="726"/>
      <c r="W527" s="726"/>
      <c r="X527" s="726"/>
      <c r="Y527" s="763"/>
      <c r="Z527" s="763"/>
      <c r="AA527" s="708">
        <v>1</v>
      </c>
      <c r="AB527" s="708"/>
      <c r="AC527" s="708"/>
      <c r="AD527" s="146" t="s">
        <v>401</v>
      </c>
      <c r="AE527" s="146" t="s">
        <v>402</v>
      </c>
      <c r="AF527" s="438" t="s">
        <v>273</v>
      </c>
      <c r="AG527" s="708"/>
    </row>
    <row r="528" s="570" customFormat="1" ht="24.95" customHeight="1" spans="1:33">
      <c r="A528" s="705"/>
      <c r="B528" s="714" t="s">
        <v>100</v>
      </c>
      <c r="C528" s="146" t="s">
        <v>52</v>
      </c>
      <c r="D528" s="152" t="s">
        <v>384</v>
      </c>
      <c r="E528" s="708">
        <v>1</v>
      </c>
      <c r="F528" s="714" t="s">
        <v>100</v>
      </c>
      <c r="G528" s="708"/>
      <c r="H528" s="708">
        <f t="shared" si="80"/>
        <v>17</v>
      </c>
      <c r="I528" s="92"/>
      <c r="J528" s="708">
        <f t="shared" si="81"/>
        <v>17</v>
      </c>
      <c r="K528" s="708"/>
      <c r="L528" s="92">
        <v>2019.01</v>
      </c>
      <c r="M528" s="92">
        <v>2019.12</v>
      </c>
      <c r="N528" s="726">
        <v>35.7</v>
      </c>
      <c r="O528" s="92"/>
      <c r="P528" s="726">
        <v>35.7</v>
      </c>
      <c r="Q528" s="726"/>
      <c r="R528" s="726"/>
      <c r="S528" s="726">
        <v>35.7</v>
      </c>
      <c r="T528" s="726"/>
      <c r="U528" s="726"/>
      <c r="V528" s="726"/>
      <c r="W528" s="726"/>
      <c r="X528" s="726"/>
      <c r="Y528" s="763"/>
      <c r="Z528" s="763"/>
      <c r="AA528" s="708">
        <v>1</v>
      </c>
      <c r="AB528" s="708"/>
      <c r="AC528" s="708"/>
      <c r="AD528" s="146" t="s">
        <v>217</v>
      </c>
      <c r="AE528" s="146" t="s">
        <v>403</v>
      </c>
      <c r="AF528" s="438" t="s">
        <v>273</v>
      </c>
      <c r="AG528" s="708"/>
    </row>
    <row r="529" s="570" customFormat="1" ht="24.95" customHeight="1" spans="1:33">
      <c r="A529" s="705"/>
      <c r="B529" s="714" t="s">
        <v>259</v>
      </c>
      <c r="C529" s="146" t="s">
        <v>52</v>
      </c>
      <c r="D529" s="152" t="s">
        <v>384</v>
      </c>
      <c r="E529" s="708">
        <v>1</v>
      </c>
      <c r="F529" s="714" t="s">
        <v>259</v>
      </c>
      <c r="G529" s="708"/>
      <c r="H529" s="708">
        <f t="shared" si="80"/>
        <v>3</v>
      </c>
      <c r="I529" s="92"/>
      <c r="J529" s="708">
        <f t="shared" si="81"/>
        <v>3</v>
      </c>
      <c r="K529" s="708"/>
      <c r="L529" s="92">
        <v>2019.01</v>
      </c>
      <c r="M529" s="92">
        <v>2019.12</v>
      </c>
      <c r="N529" s="726">
        <v>6.3</v>
      </c>
      <c r="O529" s="92"/>
      <c r="P529" s="726">
        <v>6.3</v>
      </c>
      <c r="Q529" s="726"/>
      <c r="R529" s="726"/>
      <c r="S529" s="726">
        <v>6.3</v>
      </c>
      <c r="T529" s="726"/>
      <c r="U529" s="726"/>
      <c r="V529" s="726"/>
      <c r="W529" s="726"/>
      <c r="X529" s="726"/>
      <c r="Y529" s="763"/>
      <c r="Z529" s="763"/>
      <c r="AA529" s="708">
        <v>1</v>
      </c>
      <c r="AB529" s="708"/>
      <c r="AC529" s="708"/>
      <c r="AD529" s="146" t="s">
        <v>404</v>
      </c>
      <c r="AE529" s="146" t="s">
        <v>405</v>
      </c>
      <c r="AF529" s="438" t="s">
        <v>273</v>
      </c>
      <c r="AG529" s="708"/>
    </row>
    <row r="530" s="570" customFormat="1" ht="24.95" customHeight="1" spans="1:33">
      <c r="A530" s="705"/>
      <c r="B530" s="714" t="s">
        <v>84</v>
      </c>
      <c r="C530" s="146" t="s">
        <v>52</v>
      </c>
      <c r="D530" s="152" t="s">
        <v>384</v>
      </c>
      <c r="E530" s="708">
        <v>1</v>
      </c>
      <c r="F530" s="714" t="s">
        <v>84</v>
      </c>
      <c r="G530" s="708"/>
      <c r="H530" s="708">
        <f t="shared" si="80"/>
        <v>10</v>
      </c>
      <c r="I530" s="92"/>
      <c r="J530" s="708">
        <f t="shared" si="81"/>
        <v>10</v>
      </c>
      <c r="K530" s="708"/>
      <c r="L530" s="92">
        <v>2019.01</v>
      </c>
      <c r="M530" s="92">
        <v>2019.12</v>
      </c>
      <c r="N530" s="726">
        <v>21</v>
      </c>
      <c r="O530" s="92"/>
      <c r="P530" s="726">
        <v>21</v>
      </c>
      <c r="Q530" s="726"/>
      <c r="R530" s="726"/>
      <c r="S530" s="726">
        <v>21</v>
      </c>
      <c r="T530" s="726"/>
      <c r="U530" s="726"/>
      <c r="V530" s="726"/>
      <c r="W530" s="726"/>
      <c r="X530" s="726"/>
      <c r="Y530" s="763"/>
      <c r="Z530" s="763"/>
      <c r="AA530" s="708">
        <v>1</v>
      </c>
      <c r="AB530" s="708"/>
      <c r="AC530" s="708"/>
      <c r="AD530" s="146" t="s">
        <v>219</v>
      </c>
      <c r="AE530" s="146" t="s">
        <v>406</v>
      </c>
      <c r="AF530" s="438" t="s">
        <v>273</v>
      </c>
      <c r="AG530" s="708"/>
    </row>
    <row r="531" s="570" customFormat="1" ht="24.95" customHeight="1" spans="1:33">
      <c r="A531" s="705"/>
      <c r="B531" s="714" t="s">
        <v>143</v>
      </c>
      <c r="C531" s="146" t="s">
        <v>52</v>
      </c>
      <c r="D531" s="152" t="s">
        <v>384</v>
      </c>
      <c r="E531" s="708">
        <v>1</v>
      </c>
      <c r="F531" s="714" t="s">
        <v>143</v>
      </c>
      <c r="G531" s="708"/>
      <c r="H531" s="708">
        <f t="shared" si="80"/>
        <v>3</v>
      </c>
      <c r="I531" s="92"/>
      <c r="J531" s="708">
        <f t="shared" si="81"/>
        <v>3</v>
      </c>
      <c r="K531" s="708"/>
      <c r="L531" s="92">
        <v>2019.01</v>
      </c>
      <c r="M531" s="92">
        <v>2019.12</v>
      </c>
      <c r="N531" s="726">
        <v>6.3</v>
      </c>
      <c r="O531" s="92"/>
      <c r="P531" s="726">
        <v>6.3</v>
      </c>
      <c r="Q531" s="726"/>
      <c r="R531" s="726"/>
      <c r="S531" s="726">
        <v>6.3</v>
      </c>
      <c r="T531" s="726"/>
      <c r="U531" s="726"/>
      <c r="V531" s="726"/>
      <c r="W531" s="726"/>
      <c r="X531" s="726"/>
      <c r="Y531" s="763"/>
      <c r="Z531" s="763"/>
      <c r="AA531" s="708">
        <v>1</v>
      </c>
      <c r="AB531" s="708"/>
      <c r="AC531" s="708"/>
      <c r="AD531" s="775" t="s">
        <v>221</v>
      </c>
      <c r="AE531" s="146" t="s">
        <v>407</v>
      </c>
      <c r="AF531" s="438" t="s">
        <v>273</v>
      </c>
      <c r="AG531" s="708"/>
    </row>
    <row r="532" s="570" customFormat="1" ht="24.95" customHeight="1" spans="1:33">
      <c r="A532" s="705">
        <v>67</v>
      </c>
      <c r="B532" s="708" t="s">
        <v>408</v>
      </c>
      <c r="C532" s="708"/>
      <c r="D532" s="709" t="s">
        <v>384</v>
      </c>
      <c r="E532" s="708">
        <f>SUM(E533:E544)</f>
        <v>12</v>
      </c>
      <c r="F532" s="708">
        <f t="shared" ref="F532:AA532" si="82">SUM(F533:F544)</f>
        <v>0</v>
      </c>
      <c r="G532" s="708">
        <f t="shared" si="82"/>
        <v>0</v>
      </c>
      <c r="H532" s="708">
        <f t="shared" si="82"/>
        <v>701</v>
      </c>
      <c r="I532" s="708">
        <f t="shared" si="82"/>
        <v>0</v>
      </c>
      <c r="J532" s="708">
        <f t="shared" si="82"/>
        <v>701</v>
      </c>
      <c r="K532" s="708">
        <f t="shared" si="82"/>
        <v>0</v>
      </c>
      <c r="L532" s="708"/>
      <c r="M532" s="708"/>
      <c r="N532" s="708">
        <f t="shared" si="82"/>
        <v>1472.1</v>
      </c>
      <c r="O532" s="708">
        <f t="shared" si="82"/>
        <v>0</v>
      </c>
      <c r="P532" s="708">
        <f t="shared" si="82"/>
        <v>1472.1</v>
      </c>
      <c r="Q532" s="708">
        <f t="shared" si="82"/>
        <v>0</v>
      </c>
      <c r="R532" s="708">
        <f t="shared" si="82"/>
        <v>0</v>
      </c>
      <c r="S532" s="708">
        <f t="shared" si="82"/>
        <v>1472.1</v>
      </c>
      <c r="T532" s="708">
        <f t="shared" si="82"/>
        <v>0</v>
      </c>
      <c r="U532" s="708">
        <f t="shared" si="82"/>
        <v>0</v>
      </c>
      <c r="V532" s="708">
        <f t="shared" si="82"/>
        <v>0</v>
      </c>
      <c r="W532" s="708">
        <f t="shared" si="82"/>
        <v>0</v>
      </c>
      <c r="X532" s="708">
        <f t="shared" si="82"/>
        <v>0</v>
      </c>
      <c r="Y532" s="708">
        <f t="shared" si="82"/>
        <v>0</v>
      </c>
      <c r="Z532" s="708">
        <f t="shared" si="82"/>
        <v>0</v>
      </c>
      <c r="AA532" s="708">
        <f t="shared" si="82"/>
        <v>12</v>
      </c>
      <c r="AB532" s="708"/>
      <c r="AC532" s="708"/>
      <c r="AD532" s="146" t="s">
        <v>385</v>
      </c>
      <c r="AE532" s="753" t="s">
        <v>386</v>
      </c>
      <c r="AF532" s="712" t="s">
        <v>273</v>
      </c>
      <c r="AG532" s="708"/>
    </row>
    <row r="533" s="570" customFormat="1" ht="24.95" customHeight="1" spans="1:33">
      <c r="A533" s="705"/>
      <c r="B533" s="714" t="s">
        <v>101</v>
      </c>
      <c r="C533" s="146" t="s">
        <v>409</v>
      </c>
      <c r="D533" s="152" t="s">
        <v>384</v>
      </c>
      <c r="E533" s="708">
        <v>1</v>
      </c>
      <c r="F533" s="714" t="s">
        <v>101</v>
      </c>
      <c r="G533" s="708"/>
      <c r="H533" s="708">
        <f t="shared" si="80"/>
        <v>88</v>
      </c>
      <c r="I533" s="92"/>
      <c r="J533" s="708">
        <v>88</v>
      </c>
      <c r="K533" s="708"/>
      <c r="L533" s="92">
        <v>2019.01</v>
      </c>
      <c r="M533" s="92">
        <v>2019.12</v>
      </c>
      <c r="N533" s="726">
        <v>184.8</v>
      </c>
      <c r="O533" s="92"/>
      <c r="P533" s="726">
        <v>184.8</v>
      </c>
      <c r="Q533" s="726"/>
      <c r="R533" s="726"/>
      <c r="S533" s="726">
        <v>184.8</v>
      </c>
      <c r="T533" s="726"/>
      <c r="U533" s="726"/>
      <c r="V533" s="726"/>
      <c r="W533" s="726"/>
      <c r="X533" s="726"/>
      <c r="Y533" s="763"/>
      <c r="Z533" s="763"/>
      <c r="AA533" s="708">
        <v>1</v>
      </c>
      <c r="AB533" s="708"/>
      <c r="AC533" s="708"/>
      <c r="AD533" s="146" t="s">
        <v>387</v>
      </c>
      <c r="AE533" s="146" t="s">
        <v>388</v>
      </c>
      <c r="AF533" s="438" t="s">
        <v>273</v>
      </c>
      <c r="AG533" s="708"/>
    </row>
    <row r="534" s="570" customFormat="1" ht="24.95" customHeight="1" spans="1:33">
      <c r="A534" s="705"/>
      <c r="B534" s="714" t="s">
        <v>151</v>
      </c>
      <c r="C534" s="146" t="s">
        <v>409</v>
      </c>
      <c r="D534" s="152" t="s">
        <v>384</v>
      </c>
      <c r="E534" s="708">
        <v>1</v>
      </c>
      <c r="F534" s="714" t="s">
        <v>151</v>
      </c>
      <c r="G534" s="708"/>
      <c r="H534" s="708">
        <f t="shared" si="80"/>
        <v>15</v>
      </c>
      <c r="I534" s="92"/>
      <c r="J534" s="708">
        <v>15</v>
      </c>
      <c r="K534" s="708"/>
      <c r="L534" s="92">
        <v>2019.01</v>
      </c>
      <c r="M534" s="92">
        <v>2019.12</v>
      </c>
      <c r="N534" s="726">
        <v>31.5</v>
      </c>
      <c r="O534" s="92"/>
      <c r="P534" s="726">
        <v>31.5</v>
      </c>
      <c r="Q534" s="726"/>
      <c r="R534" s="726"/>
      <c r="S534" s="726">
        <v>31.5</v>
      </c>
      <c r="T534" s="726"/>
      <c r="U534" s="726"/>
      <c r="V534" s="726"/>
      <c r="W534" s="726"/>
      <c r="X534" s="726"/>
      <c r="Y534" s="763"/>
      <c r="Z534" s="763"/>
      <c r="AA534" s="708">
        <v>1</v>
      </c>
      <c r="AB534" s="708"/>
      <c r="AC534" s="708"/>
      <c r="AD534" s="146" t="s">
        <v>389</v>
      </c>
      <c r="AE534" s="146" t="s">
        <v>390</v>
      </c>
      <c r="AF534" s="438" t="s">
        <v>273</v>
      </c>
      <c r="AG534" s="708"/>
    </row>
    <row r="535" s="570" customFormat="1" ht="24.95" customHeight="1" spans="1:33">
      <c r="A535" s="705"/>
      <c r="B535" s="714" t="s">
        <v>154</v>
      </c>
      <c r="C535" s="146" t="s">
        <v>409</v>
      </c>
      <c r="D535" s="152" t="s">
        <v>384</v>
      </c>
      <c r="E535" s="708">
        <v>1</v>
      </c>
      <c r="F535" s="714" t="s">
        <v>154</v>
      </c>
      <c r="G535" s="708"/>
      <c r="H535" s="708">
        <f t="shared" si="80"/>
        <v>32</v>
      </c>
      <c r="I535" s="92"/>
      <c r="J535" s="708">
        <v>32</v>
      </c>
      <c r="K535" s="708"/>
      <c r="L535" s="92">
        <v>2019.01</v>
      </c>
      <c r="M535" s="92">
        <v>2019.12</v>
      </c>
      <c r="N535" s="726">
        <v>67.2</v>
      </c>
      <c r="O535" s="92"/>
      <c r="P535" s="726">
        <v>67.2</v>
      </c>
      <c r="Q535" s="726"/>
      <c r="R535" s="726"/>
      <c r="S535" s="726">
        <v>67.2</v>
      </c>
      <c r="T535" s="726"/>
      <c r="U535" s="726"/>
      <c r="V535" s="726"/>
      <c r="W535" s="726"/>
      <c r="X535" s="726"/>
      <c r="Y535" s="763"/>
      <c r="Z535" s="763"/>
      <c r="AA535" s="708">
        <v>1</v>
      </c>
      <c r="AB535" s="708"/>
      <c r="AC535" s="708"/>
      <c r="AD535" s="146" t="s">
        <v>391</v>
      </c>
      <c r="AE535" s="146" t="s">
        <v>392</v>
      </c>
      <c r="AF535" s="438" t="s">
        <v>273</v>
      </c>
      <c r="AG535" s="708"/>
    </row>
    <row r="536" s="570" customFormat="1" ht="24.95" customHeight="1" spans="1:33">
      <c r="A536" s="705"/>
      <c r="B536" s="714" t="s">
        <v>81</v>
      </c>
      <c r="C536" s="146" t="s">
        <v>409</v>
      </c>
      <c r="D536" s="152" t="s">
        <v>384</v>
      </c>
      <c r="E536" s="708">
        <v>1</v>
      </c>
      <c r="F536" s="714" t="s">
        <v>81</v>
      </c>
      <c r="G536" s="708"/>
      <c r="H536" s="708">
        <f t="shared" si="80"/>
        <v>46</v>
      </c>
      <c r="I536" s="92"/>
      <c r="J536" s="708">
        <v>46</v>
      </c>
      <c r="K536" s="708"/>
      <c r="L536" s="92">
        <v>2019.01</v>
      </c>
      <c r="M536" s="92">
        <v>2019.12</v>
      </c>
      <c r="N536" s="726">
        <v>96.6</v>
      </c>
      <c r="O536" s="92"/>
      <c r="P536" s="726">
        <v>96.6</v>
      </c>
      <c r="Q536" s="726"/>
      <c r="R536" s="726"/>
      <c r="S536" s="726">
        <v>96.6</v>
      </c>
      <c r="T536" s="726"/>
      <c r="U536" s="726"/>
      <c r="V536" s="726"/>
      <c r="W536" s="726"/>
      <c r="X536" s="726"/>
      <c r="Y536" s="763"/>
      <c r="Z536" s="763"/>
      <c r="AA536" s="708">
        <v>1</v>
      </c>
      <c r="AB536" s="708"/>
      <c r="AC536" s="708"/>
      <c r="AD536" s="146" t="s">
        <v>393</v>
      </c>
      <c r="AE536" s="146" t="s">
        <v>394</v>
      </c>
      <c r="AF536" s="438" t="s">
        <v>273</v>
      </c>
      <c r="AG536" s="708"/>
    </row>
    <row r="537" s="570" customFormat="1" ht="24.95" customHeight="1" spans="1:33">
      <c r="A537" s="705"/>
      <c r="B537" s="714" t="s">
        <v>98</v>
      </c>
      <c r="C537" s="146" t="s">
        <v>409</v>
      </c>
      <c r="D537" s="152" t="s">
        <v>384</v>
      </c>
      <c r="E537" s="708">
        <v>1</v>
      </c>
      <c r="F537" s="714" t="s">
        <v>98</v>
      </c>
      <c r="G537" s="708"/>
      <c r="H537" s="708">
        <f t="shared" si="80"/>
        <v>141</v>
      </c>
      <c r="I537" s="92"/>
      <c r="J537" s="708">
        <v>141</v>
      </c>
      <c r="K537" s="708"/>
      <c r="L537" s="92">
        <v>2019.01</v>
      </c>
      <c r="M537" s="92">
        <v>2019.12</v>
      </c>
      <c r="N537" s="726">
        <v>296.1</v>
      </c>
      <c r="O537" s="92"/>
      <c r="P537" s="726">
        <v>296.1</v>
      </c>
      <c r="Q537" s="726"/>
      <c r="R537" s="726"/>
      <c r="S537" s="726">
        <v>296.1</v>
      </c>
      <c r="T537" s="726"/>
      <c r="U537" s="726"/>
      <c r="V537" s="726"/>
      <c r="W537" s="726"/>
      <c r="X537" s="726"/>
      <c r="Y537" s="763"/>
      <c r="Z537" s="763"/>
      <c r="AA537" s="708">
        <v>1</v>
      </c>
      <c r="AB537" s="708"/>
      <c r="AC537" s="708"/>
      <c r="AD537" s="146" t="s">
        <v>395</v>
      </c>
      <c r="AE537" s="146" t="s">
        <v>396</v>
      </c>
      <c r="AF537" s="438" t="s">
        <v>273</v>
      </c>
      <c r="AG537" s="708"/>
    </row>
    <row r="538" s="570" customFormat="1" ht="24.95" customHeight="1" spans="1:33">
      <c r="A538" s="705"/>
      <c r="B538" s="714" t="s">
        <v>211</v>
      </c>
      <c r="C538" s="146" t="s">
        <v>409</v>
      </c>
      <c r="D538" s="152" t="s">
        <v>384</v>
      </c>
      <c r="E538" s="708">
        <v>1</v>
      </c>
      <c r="F538" s="714" t="s">
        <v>211</v>
      </c>
      <c r="G538" s="708"/>
      <c r="H538" s="708">
        <f t="shared" si="80"/>
        <v>46</v>
      </c>
      <c r="I538" s="92"/>
      <c r="J538" s="708">
        <v>46</v>
      </c>
      <c r="K538" s="708"/>
      <c r="L538" s="92">
        <v>2019.01</v>
      </c>
      <c r="M538" s="92">
        <v>2019.12</v>
      </c>
      <c r="N538" s="726">
        <v>96.6</v>
      </c>
      <c r="O538" s="92"/>
      <c r="P538" s="726">
        <v>96.6</v>
      </c>
      <c r="Q538" s="726"/>
      <c r="R538" s="726"/>
      <c r="S538" s="726">
        <v>96.6</v>
      </c>
      <c r="T538" s="726"/>
      <c r="U538" s="726"/>
      <c r="V538" s="726"/>
      <c r="W538" s="726"/>
      <c r="X538" s="726"/>
      <c r="Y538" s="763"/>
      <c r="Z538" s="763"/>
      <c r="AA538" s="708">
        <v>1</v>
      </c>
      <c r="AB538" s="708"/>
      <c r="AC538" s="708"/>
      <c r="AD538" s="146" t="s">
        <v>397</v>
      </c>
      <c r="AE538" s="146" t="s">
        <v>398</v>
      </c>
      <c r="AF538" s="438" t="s">
        <v>273</v>
      </c>
      <c r="AG538" s="708"/>
    </row>
    <row r="539" s="570" customFormat="1" ht="24.95" customHeight="1" spans="1:33">
      <c r="A539" s="705"/>
      <c r="B539" s="714" t="s">
        <v>155</v>
      </c>
      <c r="C539" s="146" t="s">
        <v>409</v>
      </c>
      <c r="D539" s="152" t="s">
        <v>384</v>
      </c>
      <c r="E539" s="708">
        <v>1</v>
      </c>
      <c r="F539" s="714" t="s">
        <v>155</v>
      </c>
      <c r="G539" s="708"/>
      <c r="H539" s="708">
        <f t="shared" si="80"/>
        <v>25</v>
      </c>
      <c r="I539" s="92"/>
      <c r="J539" s="708">
        <v>25</v>
      </c>
      <c r="K539" s="708"/>
      <c r="L539" s="92">
        <v>2019.01</v>
      </c>
      <c r="M539" s="92">
        <v>2019.12</v>
      </c>
      <c r="N539" s="726">
        <v>52.5</v>
      </c>
      <c r="O539" s="92"/>
      <c r="P539" s="726">
        <v>52.5</v>
      </c>
      <c r="Q539" s="726"/>
      <c r="R539" s="726"/>
      <c r="S539" s="726">
        <v>52.5</v>
      </c>
      <c r="T539" s="726"/>
      <c r="U539" s="726"/>
      <c r="V539" s="726"/>
      <c r="W539" s="726"/>
      <c r="X539" s="726"/>
      <c r="Y539" s="763"/>
      <c r="Z539" s="763"/>
      <c r="AA539" s="708">
        <v>1</v>
      </c>
      <c r="AB539" s="708"/>
      <c r="AC539" s="708"/>
      <c r="AD539" s="146" t="s">
        <v>399</v>
      </c>
      <c r="AE539" s="146" t="s">
        <v>400</v>
      </c>
      <c r="AF539" s="438" t="s">
        <v>273</v>
      </c>
      <c r="AG539" s="708"/>
    </row>
    <row r="540" s="570" customFormat="1" ht="24.95" customHeight="1" spans="1:33">
      <c r="A540" s="705"/>
      <c r="B540" s="714" t="s">
        <v>102</v>
      </c>
      <c r="C540" s="146" t="s">
        <v>409</v>
      </c>
      <c r="D540" s="152" t="s">
        <v>384</v>
      </c>
      <c r="E540" s="708">
        <v>1</v>
      </c>
      <c r="F540" s="714" t="s">
        <v>102</v>
      </c>
      <c r="G540" s="708"/>
      <c r="H540" s="708">
        <f t="shared" si="80"/>
        <v>107</v>
      </c>
      <c r="I540" s="92"/>
      <c r="J540" s="708">
        <v>107</v>
      </c>
      <c r="K540" s="708"/>
      <c r="L540" s="92">
        <v>2019.01</v>
      </c>
      <c r="M540" s="92">
        <v>2019.12</v>
      </c>
      <c r="N540" s="726">
        <v>224.7</v>
      </c>
      <c r="O540" s="92"/>
      <c r="P540" s="726">
        <v>224.7</v>
      </c>
      <c r="Q540" s="726"/>
      <c r="R540" s="726"/>
      <c r="S540" s="726">
        <v>224.7</v>
      </c>
      <c r="T540" s="726"/>
      <c r="U540" s="726"/>
      <c r="V540" s="726"/>
      <c r="W540" s="726"/>
      <c r="X540" s="726"/>
      <c r="Y540" s="763"/>
      <c r="Z540" s="763"/>
      <c r="AA540" s="708">
        <v>1</v>
      </c>
      <c r="AB540" s="708"/>
      <c r="AC540" s="708"/>
      <c r="AD540" s="146" t="s">
        <v>401</v>
      </c>
      <c r="AE540" s="146" t="s">
        <v>402</v>
      </c>
      <c r="AF540" s="438" t="s">
        <v>273</v>
      </c>
      <c r="AG540" s="708"/>
    </row>
    <row r="541" s="570" customFormat="1" ht="24.95" customHeight="1" spans="1:33">
      <c r="A541" s="705"/>
      <c r="B541" s="714" t="s">
        <v>100</v>
      </c>
      <c r="C541" s="146" t="s">
        <v>409</v>
      </c>
      <c r="D541" s="152" t="s">
        <v>384</v>
      </c>
      <c r="E541" s="708">
        <v>1</v>
      </c>
      <c r="F541" s="714" t="s">
        <v>100</v>
      </c>
      <c r="G541" s="708"/>
      <c r="H541" s="708">
        <f t="shared" si="80"/>
        <v>104</v>
      </c>
      <c r="I541" s="92"/>
      <c r="J541" s="708">
        <v>104</v>
      </c>
      <c r="K541" s="708"/>
      <c r="L541" s="92">
        <v>2019.01</v>
      </c>
      <c r="M541" s="92">
        <v>2019.12</v>
      </c>
      <c r="N541" s="726">
        <v>218.4</v>
      </c>
      <c r="O541" s="92"/>
      <c r="P541" s="726">
        <v>218.4</v>
      </c>
      <c r="Q541" s="726"/>
      <c r="R541" s="726"/>
      <c r="S541" s="726">
        <v>218.4</v>
      </c>
      <c r="T541" s="726"/>
      <c r="U541" s="726"/>
      <c r="V541" s="726"/>
      <c r="W541" s="726"/>
      <c r="X541" s="726"/>
      <c r="Y541" s="763"/>
      <c r="Z541" s="763"/>
      <c r="AA541" s="708">
        <v>1</v>
      </c>
      <c r="AB541" s="708"/>
      <c r="AC541" s="708"/>
      <c r="AD541" s="438" t="s">
        <v>217</v>
      </c>
      <c r="AE541" s="146" t="s">
        <v>403</v>
      </c>
      <c r="AF541" s="438" t="s">
        <v>273</v>
      </c>
      <c r="AG541" s="708"/>
    </row>
    <row r="542" s="570" customFormat="1" ht="24.95" customHeight="1" spans="1:33">
      <c r="A542" s="705"/>
      <c r="B542" s="714" t="s">
        <v>259</v>
      </c>
      <c r="C542" s="146" t="s">
        <v>409</v>
      </c>
      <c r="D542" s="152" t="s">
        <v>384</v>
      </c>
      <c r="E542" s="708">
        <v>1</v>
      </c>
      <c r="F542" s="714" t="s">
        <v>259</v>
      </c>
      <c r="G542" s="708"/>
      <c r="H542" s="708">
        <f t="shared" si="80"/>
        <v>19</v>
      </c>
      <c r="I542" s="92"/>
      <c r="J542" s="708">
        <v>19</v>
      </c>
      <c r="K542" s="708"/>
      <c r="L542" s="92">
        <v>2019.01</v>
      </c>
      <c r="M542" s="92">
        <v>2019.12</v>
      </c>
      <c r="N542" s="726">
        <v>39.9</v>
      </c>
      <c r="O542" s="92"/>
      <c r="P542" s="726">
        <v>39.9</v>
      </c>
      <c r="Q542" s="726"/>
      <c r="R542" s="726"/>
      <c r="S542" s="726">
        <v>39.9</v>
      </c>
      <c r="T542" s="726"/>
      <c r="U542" s="726"/>
      <c r="V542" s="726"/>
      <c r="W542" s="726"/>
      <c r="X542" s="726"/>
      <c r="Y542" s="763"/>
      <c r="Z542" s="763"/>
      <c r="AA542" s="708">
        <v>1</v>
      </c>
      <c r="AB542" s="708"/>
      <c r="AC542" s="708"/>
      <c r="AD542" s="146" t="s">
        <v>404</v>
      </c>
      <c r="AE542" s="146" t="s">
        <v>405</v>
      </c>
      <c r="AF542" s="438" t="s">
        <v>273</v>
      </c>
      <c r="AG542" s="708"/>
    </row>
    <row r="543" s="570" customFormat="1" ht="24.95" customHeight="1" spans="1:33">
      <c r="A543" s="705"/>
      <c r="B543" s="714" t="s">
        <v>84</v>
      </c>
      <c r="C543" s="146" t="s">
        <v>409</v>
      </c>
      <c r="D543" s="152" t="s">
        <v>384</v>
      </c>
      <c r="E543" s="708">
        <v>1</v>
      </c>
      <c r="F543" s="714" t="s">
        <v>84</v>
      </c>
      <c r="G543" s="708"/>
      <c r="H543" s="708">
        <f t="shared" si="80"/>
        <v>58</v>
      </c>
      <c r="I543" s="92"/>
      <c r="J543" s="708">
        <v>58</v>
      </c>
      <c r="K543" s="708"/>
      <c r="L543" s="92">
        <v>2019.01</v>
      </c>
      <c r="M543" s="92">
        <v>2019.12</v>
      </c>
      <c r="N543" s="726">
        <v>121.8</v>
      </c>
      <c r="O543" s="92"/>
      <c r="P543" s="726">
        <v>121.8</v>
      </c>
      <c r="Q543" s="726"/>
      <c r="R543" s="726"/>
      <c r="S543" s="726">
        <v>121.8</v>
      </c>
      <c r="T543" s="726"/>
      <c r="U543" s="726"/>
      <c r="V543" s="726"/>
      <c r="W543" s="726"/>
      <c r="X543" s="726"/>
      <c r="Y543" s="763"/>
      <c r="Z543" s="763"/>
      <c r="AA543" s="708">
        <v>1</v>
      </c>
      <c r="AB543" s="708"/>
      <c r="AC543" s="708"/>
      <c r="AD543" s="146" t="s">
        <v>219</v>
      </c>
      <c r="AE543" s="146" t="s">
        <v>406</v>
      </c>
      <c r="AF543" s="438" t="s">
        <v>273</v>
      </c>
      <c r="AG543" s="708"/>
    </row>
    <row r="544" s="570" customFormat="1" ht="24.95" customHeight="1" spans="1:33">
      <c r="A544" s="705"/>
      <c r="B544" s="714" t="s">
        <v>143</v>
      </c>
      <c r="C544" s="146" t="s">
        <v>409</v>
      </c>
      <c r="D544" s="152" t="s">
        <v>384</v>
      </c>
      <c r="E544" s="708">
        <v>1</v>
      </c>
      <c r="F544" s="714" t="s">
        <v>143</v>
      </c>
      <c r="G544" s="708"/>
      <c r="H544" s="708">
        <f t="shared" si="80"/>
        <v>20</v>
      </c>
      <c r="I544" s="92"/>
      <c r="J544" s="708">
        <v>20</v>
      </c>
      <c r="K544" s="708"/>
      <c r="L544" s="92">
        <v>2019.01</v>
      </c>
      <c r="M544" s="92">
        <v>2019.12</v>
      </c>
      <c r="N544" s="726">
        <v>42</v>
      </c>
      <c r="O544" s="92"/>
      <c r="P544" s="726">
        <v>42</v>
      </c>
      <c r="Q544" s="726"/>
      <c r="R544" s="726"/>
      <c r="S544" s="726">
        <v>42</v>
      </c>
      <c r="T544" s="726"/>
      <c r="U544" s="726"/>
      <c r="V544" s="726"/>
      <c r="W544" s="726"/>
      <c r="X544" s="726"/>
      <c r="Y544" s="763"/>
      <c r="Z544" s="763"/>
      <c r="AA544" s="708">
        <v>1</v>
      </c>
      <c r="AB544" s="708"/>
      <c r="AC544" s="708"/>
      <c r="AD544" s="775" t="s">
        <v>221</v>
      </c>
      <c r="AE544" s="146" t="s">
        <v>407</v>
      </c>
      <c r="AF544" s="438" t="s">
        <v>273</v>
      </c>
      <c r="AG544" s="708"/>
    </row>
    <row r="545" s="570" customFormat="1" ht="24.95" customHeight="1" spans="1:33">
      <c r="A545" s="705">
        <v>68</v>
      </c>
      <c r="B545" s="708" t="s">
        <v>410</v>
      </c>
      <c r="C545" s="708"/>
      <c r="D545" s="709" t="s">
        <v>384</v>
      </c>
      <c r="E545" s="708">
        <f>SUM(E546:E557)</f>
        <v>12</v>
      </c>
      <c r="F545" s="708">
        <f t="shared" ref="F545:AA545" si="83">SUM(F546:F557)</f>
        <v>0</v>
      </c>
      <c r="G545" s="708">
        <f t="shared" si="83"/>
        <v>0</v>
      </c>
      <c r="H545" s="708">
        <f t="shared" si="83"/>
        <v>19</v>
      </c>
      <c r="I545" s="708">
        <f t="shared" si="83"/>
        <v>0</v>
      </c>
      <c r="J545" s="708">
        <f t="shared" si="83"/>
        <v>19</v>
      </c>
      <c r="K545" s="708">
        <f t="shared" si="83"/>
        <v>0</v>
      </c>
      <c r="L545" s="708"/>
      <c r="M545" s="708"/>
      <c r="N545" s="708">
        <f t="shared" si="83"/>
        <v>39.9</v>
      </c>
      <c r="O545" s="708">
        <f t="shared" si="83"/>
        <v>0</v>
      </c>
      <c r="P545" s="708">
        <f t="shared" si="83"/>
        <v>39.9</v>
      </c>
      <c r="Q545" s="708">
        <f t="shared" si="83"/>
        <v>0</v>
      </c>
      <c r="R545" s="708">
        <f t="shared" si="83"/>
        <v>0</v>
      </c>
      <c r="S545" s="708">
        <f t="shared" si="83"/>
        <v>39.9</v>
      </c>
      <c r="T545" s="708">
        <f t="shared" si="83"/>
        <v>0</v>
      </c>
      <c r="U545" s="708">
        <f t="shared" si="83"/>
        <v>0</v>
      </c>
      <c r="V545" s="708">
        <f t="shared" si="83"/>
        <v>0</v>
      </c>
      <c r="W545" s="708">
        <f t="shared" si="83"/>
        <v>0</v>
      </c>
      <c r="X545" s="708">
        <f t="shared" si="83"/>
        <v>0</v>
      </c>
      <c r="Y545" s="708">
        <f t="shared" si="83"/>
        <v>0</v>
      </c>
      <c r="Z545" s="708">
        <f t="shared" si="83"/>
        <v>0</v>
      </c>
      <c r="AA545" s="708">
        <f t="shared" si="83"/>
        <v>12</v>
      </c>
      <c r="AB545" s="708"/>
      <c r="AC545" s="708"/>
      <c r="AD545" s="775" t="s">
        <v>385</v>
      </c>
      <c r="AE545" s="753" t="s">
        <v>386</v>
      </c>
      <c r="AF545" s="712" t="s">
        <v>273</v>
      </c>
      <c r="AG545" s="708"/>
    </row>
    <row r="546" s="570" customFormat="1" ht="24.95" customHeight="1" spans="1:33">
      <c r="A546" s="705"/>
      <c r="B546" s="714" t="s">
        <v>101</v>
      </c>
      <c r="C546" s="146" t="s">
        <v>52</v>
      </c>
      <c r="D546" s="152" t="s">
        <v>384</v>
      </c>
      <c r="E546" s="708">
        <v>1</v>
      </c>
      <c r="F546" s="714" t="s">
        <v>101</v>
      </c>
      <c r="G546" s="708"/>
      <c r="H546" s="708">
        <f t="shared" si="80"/>
        <v>3</v>
      </c>
      <c r="I546" s="708"/>
      <c r="J546" s="708">
        <f t="shared" ref="J545:J557" si="84">P546/2.1</f>
        <v>3</v>
      </c>
      <c r="K546" s="708"/>
      <c r="L546" s="92">
        <v>2019.01</v>
      </c>
      <c r="M546" s="92">
        <v>2019.12</v>
      </c>
      <c r="N546" s="726">
        <v>6.3</v>
      </c>
      <c r="O546" s="92"/>
      <c r="P546" s="726">
        <v>6.3</v>
      </c>
      <c r="Q546" s="726"/>
      <c r="R546" s="726"/>
      <c r="S546" s="726">
        <v>6.3</v>
      </c>
      <c r="T546" s="726"/>
      <c r="U546" s="726"/>
      <c r="V546" s="726"/>
      <c r="W546" s="726"/>
      <c r="X546" s="726"/>
      <c r="Y546" s="763"/>
      <c r="Z546" s="763"/>
      <c r="AA546" s="708">
        <v>1</v>
      </c>
      <c r="AB546" s="708"/>
      <c r="AC546" s="708"/>
      <c r="AD546" s="146" t="s">
        <v>387</v>
      </c>
      <c r="AE546" s="146" t="s">
        <v>388</v>
      </c>
      <c r="AF546" s="438" t="s">
        <v>273</v>
      </c>
      <c r="AG546" s="708"/>
    </row>
    <row r="547" s="570" customFormat="1" ht="24.95" customHeight="1" spans="1:33">
      <c r="A547" s="705"/>
      <c r="B547" s="714" t="s">
        <v>151</v>
      </c>
      <c r="C547" s="146" t="s">
        <v>52</v>
      </c>
      <c r="D547" s="152" t="s">
        <v>384</v>
      </c>
      <c r="E547" s="708">
        <v>1</v>
      </c>
      <c r="F547" s="714" t="s">
        <v>151</v>
      </c>
      <c r="G547" s="708"/>
      <c r="H547" s="708">
        <f t="shared" si="80"/>
        <v>1</v>
      </c>
      <c r="I547" s="708"/>
      <c r="J547" s="708">
        <f t="shared" si="84"/>
        <v>1</v>
      </c>
      <c r="K547" s="708"/>
      <c r="L547" s="92">
        <v>2019.01</v>
      </c>
      <c r="M547" s="92">
        <v>2019.12</v>
      </c>
      <c r="N547" s="726">
        <v>2.1</v>
      </c>
      <c r="O547" s="92"/>
      <c r="P547" s="726">
        <v>2.1</v>
      </c>
      <c r="Q547" s="726"/>
      <c r="R547" s="726"/>
      <c r="S547" s="726">
        <v>2.1</v>
      </c>
      <c r="T547" s="726"/>
      <c r="U547" s="726"/>
      <c r="V547" s="726"/>
      <c r="W547" s="726"/>
      <c r="X547" s="726"/>
      <c r="Y547" s="763"/>
      <c r="Z547" s="763"/>
      <c r="AA547" s="708">
        <v>1</v>
      </c>
      <c r="AB547" s="708"/>
      <c r="AC547" s="708"/>
      <c r="AD547" s="146" t="s">
        <v>389</v>
      </c>
      <c r="AE547" s="146" t="s">
        <v>390</v>
      </c>
      <c r="AF547" s="438" t="s">
        <v>273</v>
      </c>
      <c r="AG547" s="708"/>
    </row>
    <row r="548" s="570" customFormat="1" ht="24.95" customHeight="1" spans="1:33">
      <c r="A548" s="705"/>
      <c r="B548" s="714" t="s">
        <v>154</v>
      </c>
      <c r="C548" s="146" t="s">
        <v>52</v>
      </c>
      <c r="D548" s="152" t="s">
        <v>384</v>
      </c>
      <c r="E548" s="708">
        <v>1</v>
      </c>
      <c r="F548" s="714" t="s">
        <v>154</v>
      </c>
      <c r="G548" s="708"/>
      <c r="H548" s="708">
        <f t="shared" si="80"/>
        <v>2</v>
      </c>
      <c r="I548" s="708"/>
      <c r="J548" s="708">
        <f t="shared" si="84"/>
        <v>2</v>
      </c>
      <c r="K548" s="708"/>
      <c r="L548" s="92">
        <v>2019.01</v>
      </c>
      <c r="M548" s="92">
        <v>2019.12</v>
      </c>
      <c r="N548" s="726">
        <v>4.2</v>
      </c>
      <c r="O548" s="92"/>
      <c r="P548" s="726">
        <v>4.2</v>
      </c>
      <c r="Q548" s="726"/>
      <c r="R548" s="726"/>
      <c r="S548" s="726">
        <v>4.2</v>
      </c>
      <c r="T548" s="726"/>
      <c r="U548" s="726"/>
      <c r="V548" s="726"/>
      <c r="W548" s="726"/>
      <c r="X548" s="726"/>
      <c r="Y548" s="763"/>
      <c r="Z548" s="763"/>
      <c r="AA548" s="708">
        <v>1</v>
      </c>
      <c r="AB548" s="708"/>
      <c r="AC548" s="708"/>
      <c r="AD548" s="146" t="s">
        <v>391</v>
      </c>
      <c r="AE548" s="146" t="s">
        <v>392</v>
      </c>
      <c r="AF548" s="438" t="s">
        <v>273</v>
      </c>
      <c r="AG548" s="708"/>
    </row>
    <row r="549" s="570" customFormat="1" ht="24.95" customHeight="1" spans="1:33">
      <c r="A549" s="705"/>
      <c r="B549" s="714" t="s">
        <v>81</v>
      </c>
      <c r="C549" s="146" t="s">
        <v>52</v>
      </c>
      <c r="D549" s="152" t="s">
        <v>384</v>
      </c>
      <c r="E549" s="708">
        <v>1</v>
      </c>
      <c r="F549" s="714" t="s">
        <v>81</v>
      </c>
      <c r="G549" s="708"/>
      <c r="H549" s="708">
        <f t="shared" si="80"/>
        <v>0</v>
      </c>
      <c r="I549" s="708"/>
      <c r="J549" s="708">
        <f t="shared" si="84"/>
        <v>0</v>
      </c>
      <c r="K549" s="708"/>
      <c r="L549" s="92">
        <v>2019.01</v>
      </c>
      <c r="M549" s="92">
        <v>2019.12</v>
      </c>
      <c r="N549" s="726"/>
      <c r="O549" s="92"/>
      <c r="P549" s="726"/>
      <c r="Q549" s="726"/>
      <c r="R549" s="726"/>
      <c r="S549" s="726"/>
      <c r="T549" s="726"/>
      <c r="U549" s="726"/>
      <c r="V549" s="726"/>
      <c r="W549" s="726"/>
      <c r="X549" s="726"/>
      <c r="Y549" s="763"/>
      <c r="Z549" s="763"/>
      <c r="AA549" s="708">
        <v>1</v>
      </c>
      <c r="AB549" s="708"/>
      <c r="AC549" s="708"/>
      <c r="AD549" s="790" t="s">
        <v>393</v>
      </c>
      <c r="AE549" s="790" t="s">
        <v>394</v>
      </c>
      <c r="AF549" s="790" t="s">
        <v>273</v>
      </c>
      <c r="AG549" s="708"/>
    </row>
    <row r="550" s="570" customFormat="1" ht="24.95" customHeight="1" spans="1:33">
      <c r="A550" s="705"/>
      <c r="B550" s="714" t="s">
        <v>98</v>
      </c>
      <c r="C550" s="146" t="s">
        <v>52</v>
      </c>
      <c r="D550" s="152" t="s">
        <v>384</v>
      </c>
      <c r="E550" s="708">
        <v>1</v>
      </c>
      <c r="F550" s="714" t="s">
        <v>98</v>
      </c>
      <c r="G550" s="708"/>
      <c r="H550" s="708">
        <f t="shared" si="80"/>
        <v>5</v>
      </c>
      <c r="I550" s="708"/>
      <c r="J550" s="708">
        <f t="shared" si="84"/>
        <v>5</v>
      </c>
      <c r="K550" s="708"/>
      <c r="L550" s="92">
        <v>2019.01</v>
      </c>
      <c r="M550" s="92">
        <v>2019.12</v>
      </c>
      <c r="N550" s="726">
        <v>10.5</v>
      </c>
      <c r="O550" s="92"/>
      <c r="P550" s="726">
        <v>10.5</v>
      </c>
      <c r="Q550" s="726"/>
      <c r="R550" s="726"/>
      <c r="S550" s="726">
        <v>10.5</v>
      </c>
      <c r="T550" s="726"/>
      <c r="U550" s="726"/>
      <c r="V550" s="726"/>
      <c r="W550" s="726"/>
      <c r="X550" s="726"/>
      <c r="Y550" s="763"/>
      <c r="Z550" s="763"/>
      <c r="AA550" s="708">
        <v>1</v>
      </c>
      <c r="AB550" s="708"/>
      <c r="AC550" s="708"/>
      <c r="AD550" s="146" t="s">
        <v>395</v>
      </c>
      <c r="AE550" s="146" t="s">
        <v>396</v>
      </c>
      <c r="AF550" s="438" t="s">
        <v>273</v>
      </c>
      <c r="AG550" s="708"/>
    </row>
    <row r="551" s="570" customFormat="1" ht="24.95" customHeight="1" spans="1:33">
      <c r="A551" s="705"/>
      <c r="B551" s="714" t="s">
        <v>211</v>
      </c>
      <c r="C551" s="146" t="s">
        <v>52</v>
      </c>
      <c r="D551" s="152" t="s">
        <v>384</v>
      </c>
      <c r="E551" s="708">
        <v>1</v>
      </c>
      <c r="F551" s="714" t="s">
        <v>211</v>
      </c>
      <c r="G551" s="708"/>
      <c r="H551" s="708">
        <f t="shared" si="80"/>
        <v>0</v>
      </c>
      <c r="I551" s="708"/>
      <c r="J551" s="708">
        <f t="shared" si="84"/>
        <v>0</v>
      </c>
      <c r="K551" s="708"/>
      <c r="L551" s="92">
        <v>2019.01</v>
      </c>
      <c r="M551" s="92">
        <v>2019.12</v>
      </c>
      <c r="N551" s="726">
        <v>0</v>
      </c>
      <c r="O551" s="92"/>
      <c r="P551" s="726">
        <v>0</v>
      </c>
      <c r="Q551" s="726"/>
      <c r="R551" s="726"/>
      <c r="S551" s="726">
        <v>0</v>
      </c>
      <c r="T551" s="726"/>
      <c r="U551" s="726"/>
      <c r="V551" s="726"/>
      <c r="W551" s="726"/>
      <c r="X551" s="726"/>
      <c r="Y551" s="763"/>
      <c r="Z551" s="763"/>
      <c r="AA551" s="708">
        <v>1</v>
      </c>
      <c r="AB551" s="708"/>
      <c r="AC551" s="708"/>
      <c r="AD551" s="146" t="s">
        <v>397</v>
      </c>
      <c r="AE551" s="146" t="s">
        <v>398</v>
      </c>
      <c r="AF551" s="438" t="s">
        <v>273</v>
      </c>
      <c r="AG551" s="708"/>
    </row>
    <row r="552" s="570" customFormat="1" ht="24.95" customHeight="1" spans="1:33">
      <c r="A552" s="705"/>
      <c r="B552" s="714" t="s">
        <v>155</v>
      </c>
      <c r="C552" s="146" t="s">
        <v>52</v>
      </c>
      <c r="D552" s="152" t="s">
        <v>384</v>
      </c>
      <c r="E552" s="708">
        <v>1</v>
      </c>
      <c r="F552" s="714" t="s">
        <v>155</v>
      </c>
      <c r="G552" s="708"/>
      <c r="H552" s="708">
        <f t="shared" si="80"/>
        <v>1</v>
      </c>
      <c r="I552" s="708"/>
      <c r="J552" s="708">
        <f t="shared" si="84"/>
        <v>1</v>
      </c>
      <c r="K552" s="708"/>
      <c r="L552" s="92">
        <v>2019.01</v>
      </c>
      <c r="M552" s="92">
        <v>2019.12</v>
      </c>
      <c r="N552" s="726">
        <v>2.1</v>
      </c>
      <c r="O552" s="92"/>
      <c r="P552" s="726">
        <v>2.1</v>
      </c>
      <c r="Q552" s="726"/>
      <c r="R552" s="726"/>
      <c r="S552" s="726">
        <v>2.1</v>
      </c>
      <c r="T552" s="726"/>
      <c r="U552" s="726"/>
      <c r="V552" s="726"/>
      <c r="W552" s="726"/>
      <c r="X552" s="726"/>
      <c r="Y552" s="763"/>
      <c r="Z552" s="763"/>
      <c r="AA552" s="708">
        <v>1</v>
      </c>
      <c r="AB552" s="708"/>
      <c r="AC552" s="708"/>
      <c r="AD552" s="146" t="s">
        <v>399</v>
      </c>
      <c r="AE552" s="146" t="s">
        <v>400</v>
      </c>
      <c r="AF552" s="438" t="s">
        <v>273</v>
      </c>
      <c r="AG552" s="708"/>
    </row>
    <row r="553" s="570" customFormat="1" ht="24.95" customHeight="1" spans="1:33">
      <c r="A553" s="705"/>
      <c r="B553" s="714" t="s">
        <v>102</v>
      </c>
      <c r="C553" s="146" t="s">
        <v>52</v>
      </c>
      <c r="D553" s="152" t="s">
        <v>384</v>
      </c>
      <c r="E553" s="708">
        <v>1</v>
      </c>
      <c r="F553" s="714" t="s">
        <v>102</v>
      </c>
      <c r="G553" s="708"/>
      <c r="H553" s="708">
        <f t="shared" si="80"/>
        <v>0</v>
      </c>
      <c r="I553" s="708"/>
      <c r="J553" s="708">
        <f t="shared" si="84"/>
        <v>0</v>
      </c>
      <c r="K553" s="708"/>
      <c r="L553" s="92">
        <v>2019.01</v>
      </c>
      <c r="M553" s="92">
        <v>2019.12</v>
      </c>
      <c r="N553" s="726">
        <v>0</v>
      </c>
      <c r="O553" s="92"/>
      <c r="P553" s="726">
        <v>0</v>
      </c>
      <c r="Q553" s="726"/>
      <c r="R553" s="726"/>
      <c r="S553" s="726">
        <v>0</v>
      </c>
      <c r="T553" s="726"/>
      <c r="U553" s="726"/>
      <c r="V553" s="726"/>
      <c r="W553" s="726"/>
      <c r="X553" s="726"/>
      <c r="Y553" s="763"/>
      <c r="Z553" s="763"/>
      <c r="AA553" s="708">
        <v>1</v>
      </c>
      <c r="AB553" s="708"/>
      <c r="AC553" s="708"/>
      <c r="AD553" s="146" t="s">
        <v>401</v>
      </c>
      <c r="AE553" s="146" t="s">
        <v>402</v>
      </c>
      <c r="AF553" s="438" t="s">
        <v>273</v>
      </c>
      <c r="AG553" s="708"/>
    </row>
    <row r="554" s="570" customFormat="1" ht="24.95" customHeight="1" spans="1:33">
      <c r="A554" s="705"/>
      <c r="B554" s="714" t="s">
        <v>100</v>
      </c>
      <c r="C554" s="146" t="s">
        <v>52</v>
      </c>
      <c r="D554" s="152" t="s">
        <v>384</v>
      </c>
      <c r="E554" s="708">
        <v>1</v>
      </c>
      <c r="F554" s="714" t="s">
        <v>100</v>
      </c>
      <c r="G554" s="708"/>
      <c r="H554" s="708">
        <f t="shared" si="80"/>
        <v>3</v>
      </c>
      <c r="I554" s="708"/>
      <c r="J554" s="708">
        <f t="shared" si="84"/>
        <v>3</v>
      </c>
      <c r="K554" s="708"/>
      <c r="L554" s="92">
        <v>2019.01</v>
      </c>
      <c r="M554" s="92">
        <v>2019.12</v>
      </c>
      <c r="N554" s="726">
        <v>6.3</v>
      </c>
      <c r="O554" s="92"/>
      <c r="P554" s="726">
        <v>6.3</v>
      </c>
      <c r="Q554" s="726"/>
      <c r="R554" s="726"/>
      <c r="S554" s="726">
        <v>6.3</v>
      </c>
      <c r="T554" s="726"/>
      <c r="U554" s="726"/>
      <c r="V554" s="726"/>
      <c r="W554" s="726"/>
      <c r="X554" s="726"/>
      <c r="Y554" s="763"/>
      <c r="Z554" s="763"/>
      <c r="AA554" s="708">
        <v>1</v>
      </c>
      <c r="AB554" s="708"/>
      <c r="AC554" s="708"/>
      <c r="AD554" s="438" t="s">
        <v>217</v>
      </c>
      <c r="AE554" s="146" t="s">
        <v>403</v>
      </c>
      <c r="AF554" s="438" t="s">
        <v>273</v>
      </c>
      <c r="AG554" s="708"/>
    </row>
    <row r="555" s="570" customFormat="1" ht="24.95" customHeight="1" spans="1:33">
      <c r="A555" s="705"/>
      <c r="B555" s="714" t="s">
        <v>259</v>
      </c>
      <c r="C555" s="146" t="s">
        <v>52</v>
      </c>
      <c r="D555" s="152" t="s">
        <v>384</v>
      </c>
      <c r="E555" s="708">
        <v>1</v>
      </c>
      <c r="F555" s="714" t="s">
        <v>259</v>
      </c>
      <c r="G555" s="708"/>
      <c r="H555" s="708">
        <f t="shared" si="80"/>
        <v>1</v>
      </c>
      <c r="I555" s="708"/>
      <c r="J555" s="708">
        <f t="shared" si="84"/>
        <v>1</v>
      </c>
      <c r="K555" s="708"/>
      <c r="L555" s="92">
        <v>2019.01</v>
      </c>
      <c r="M555" s="92">
        <v>2019.12</v>
      </c>
      <c r="N555" s="726">
        <v>2.1</v>
      </c>
      <c r="O555" s="92"/>
      <c r="P555" s="726">
        <v>2.1</v>
      </c>
      <c r="Q555" s="726"/>
      <c r="R555" s="726"/>
      <c r="S555" s="726">
        <v>2.1</v>
      </c>
      <c r="T555" s="726"/>
      <c r="U555" s="726"/>
      <c r="V555" s="726"/>
      <c r="W555" s="726"/>
      <c r="X555" s="726"/>
      <c r="Y555" s="763"/>
      <c r="Z555" s="763"/>
      <c r="AA555" s="708">
        <v>1</v>
      </c>
      <c r="AB555" s="708"/>
      <c r="AC555" s="708"/>
      <c r="AD555" s="146" t="s">
        <v>404</v>
      </c>
      <c r="AE555" s="146" t="s">
        <v>405</v>
      </c>
      <c r="AF555" s="438" t="s">
        <v>273</v>
      </c>
      <c r="AG555" s="708"/>
    </row>
    <row r="556" s="570" customFormat="1" ht="24.95" customHeight="1" spans="1:33">
      <c r="A556" s="705"/>
      <c r="B556" s="714" t="s">
        <v>84</v>
      </c>
      <c r="C556" s="146" t="s">
        <v>52</v>
      </c>
      <c r="D556" s="152" t="s">
        <v>384</v>
      </c>
      <c r="E556" s="708">
        <v>1</v>
      </c>
      <c r="F556" s="714" t="s">
        <v>84</v>
      </c>
      <c r="G556" s="708"/>
      <c r="H556" s="708">
        <f t="shared" si="80"/>
        <v>2</v>
      </c>
      <c r="I556" s="708"/>
      <c r="J556" s="708">
        <f t="shared" si="84"/>
        <v>2</v>
      </c>
      <c r="K556" s="708"/>
      <c r="L556" s="92">
        <v>2019.01</v>
      </c>
      <c r="M556" s="92">
        <v>2019.12</v>
      </c>
      <c r="N556" s="726">
        <v>4.2</v>
      </c>
      <c r="O556" s="92"/>
      <c r="P556" s="726">
        <v>4.2</v>
      </c>
      <c r="Q556" s="726"/>
      <c r="R556" s="726"/>
      <c r="S556" s="726">
        <v>4.2</v>
      </c>
      <c r="T556" s="726"/>
      <c r="U556" s="726"/>
      <c r="V556" s="726"/>
      <c r="W556" s="726"/>
      <c r="X556" s="726"/>
      <c r="Y556" s="763"/>
      <c r="Z556" s="763"/>
      <c r="AA556" s="708">
        <v>1</v>
      </c>
      <c r="AB556" s="708"/>
      <c r="AC556" s="708"/>
      <c r="AD556" s="146" t="s">
        <v>219</v>
      </c>
      <c r="AE556" s="146" t="s">
        <v>406</v>
      </c>
      <c r="AF556" s="438" t="s">
        <v>273</v>
      </c>
      <c r="AG556" s="708"/>
    </row>
    <row r="557" s="570" customFormat="1" ht="24.95" customHeight="1" spans="1:33">
      <c r="A557" s="705"/>
      <c r="B557" s="714" t="s">
        <v>143</v>
      </c>
      <c r="C557" s="146" t="s">
        <v>52</v>
      </c>
      <c r="D557" s="152" t="s">
        <v>384</v>
      </c>
      <c r="E557" s="708">
        <v>1</v>
      </c>
      <c r="F557" s="714" t="s">
        <v>143</v>
      </c>
      <c r="G557" s="708"/>
      <c r="H557" s="708">
        <f t="shared" si="80"/>
        <v>1</v>
      </c>
      <c r="I557" s="708"/>
      <c r="J557" s="708">
        <f t="shared" si="84"/>
        <v>1</v>
      </c>
      <c r="K557" s="708"/>
      <c r="L557" s="92">
        <v>2019.01</v>
      </c>
      <c r="M557" s="92">
        <v>2019.12</v>
      </c>
      <c r="N557" s="726">
        <v>2.1</v>
      </c>
      <c r="O557" s="92"/>
      <c r="P557" s="726">
        <v>2.1</v>
      </c>
      <c r="Q557" s="726"/>
      <c r="R557" s="726"/>
      <c r="S557" s="726">
        <v>2.1</v>
      </c>
      <c r="T557" s="726"/>
      <c r="U557" s="726"/>
      <c r="V557" s="726"/>
      <c r="W557" s="726"/>
      <c r="X557" s="726"/>
      <c r="Y557" s="763"/>
      <c r="Z557" s="763"/>
      <c r="AA557" s="708">
        <v>1</v>
      </c>
      <c r="AB557" s="708"/>
      <c r="AC557" s="708"/>
      <c r="AD557" s="775" t="s">
        <v>221</v>
      </c>
      <c r="AE557" s="146" t="s">
        <v>407</v>
      </c>
      <c r="AF557" s="438" t="s">
        <v>273</v>
      </c>
      <c r="AG557" s="708"/>
    </row>
    <row r="558" s="570" customFormat="1" ht="24" spans="1:33">
      <c r="A558" s="705">
        <v>69</v>
      </c>
      <c r="B558" s="708" t="s">
        <v>411</v>
      </c>
      <c r="C558" s="708"/>
      <c r="D558" s="709" t="s">
        <v>384</v>
      </c>
      <c r="E558" s="708"/>
      <c r="F558" s="708"/>
      <c r="G558" s="708"/>
      <c r="H558" s="708"/>
      <c r="I558" s="708"/>
      <c r="J558" s="708"/>
      <c r="K558" s="708"/>
      <c r="L558" s="92"/>
      <c r="M558" s="92"/>
      <c r="N558" s="708"/>
      <c r="O558" s="708"/>
      <c r="P558" s="708"/>
      <c r="Q558" s="708"/>
      <c r="R558" s="708"/>
      <c r="S558" s="708"/>
      <c r="T558" s="708"/>
      <c r="U558" s="708"/>
      <c r="V558" s="708"/>
      <c r="W558" s="708"/>
      <c r="X558" s="708"/>
      <c r="Y558" s="708"/>
      <c r="Z558" s="708"/>
      <c r="AA558" s="708"/>
      <c r="AB558" s="708"/>
      <c r="AC558" s="708"/>
      <c r="AD558" s="775"/>
      <c r="AE558" s="753"/>
      <c r="AF558" s="712"/>
      <c r="AG558" s="708"/>
    </row>
    <row r="559" s="570" customFormat="1" ht="30" customHeight="1" spans="1:33">
      <c r="A559" s="705"/>
      <c r="B559" s="714" t="s">
        <v>101</v>
      </c>
      <c r="C559" s="146" t="s">
        <v>52</v>
      </c>
      <c r="D559" s="152" t="s">
        <v>384</v>
      </c>
      <c r="E559" s="708"/>
      <c r="F559" s="714"/>
      <c r="G559" s="708"/>
      <c r="H559" s="708"/>
      <c r="I559" s="708"/>
      <c r="J559" s="708"/>
      <c r="K559" s="708"/>
      <c r="L559" s="92"/>
      <c r="M559" s="92"/>
      <c r="N559" s="708"/>
      <c r="O559" s="708"/>
      <c r="P559" s="708"/>
      <c r="Q559" s="708"/>
      <c r="R559" s="708"/>
      <c r="S559" s="708"/>
      <c r="T559" s="708"/>
      <c r="U559" s="708"/>
      <c r="V559" s="708"/>
      <c r="W559" s="708"/>
      <c r="X559" s="708"/>
      <c r="Y559" s="708"/>
      <c r="Z559" s="708"/>
      <c r="AA559" s="708"/>
      <c r="AB559" s="708"/>
      <c r="AC559" s="708"/>
      <c r="AD559" s="146"/>
      <c r="AE559" s="146"/>
      <c r="AF559" s="438"/>
      <c r="AG559" s="708"/>
    </row>
    <row r="560" s="570" customFormat="1" ht="30" customHeight="1" spans="1:33">
      <c r="A560" s="705"/>
      <c r="B560" s="714" t="s">
        <v>151</v>
      </c>
      <c r="C560" s="146" t="s">
        <v>52</v>
      </c>
      <c r="D560" s="152" t="s">
        <v>384</v>
      </c>
      <c r="E560" s="708"/>
      <c r="F560" s="714"/>
      <c r="G560" s="708"/>
      <c r="H560" s="708"/>
      <c r="I560" s="708"/>
      <c r="J560" s="708"/>
      <c r="K560" s="708"/>
      <c r="L560" s="92"/>
      <c r="M560" s="92"/>
      <c r="N560" s="708"/>
      <c r="O560" s="708"/>
      <c r="P560" s="708"/>
      <c r="Q560" s="708"/>
      <c r="R560" s="708"/>
      <c r="S560" s="708"/>
      <c r="T560" s="708"/>
      <c r="U560" s="708"/>
      <c r="V560" s="708"/>
      <c r="W560" s="708"/>
      <c r="X560" s="708"/>
      <c r="Y560" s="708"/>
      <c r="Z560" s="708"/>
      <c r="AA560" s="708"/>
      <c r="AB560" s="708"/>
      <c r="AC560" s="708"/>
      <c r="AD560" s="146"/>
      <c r="AE560" s="146"/>
      <c r="AF560" s="438"/>
      <c r="AG560" s="708"/>
    </row>
    <row r="561" s="570" customFormat="1" ht="30" customHeight="1" spans="1:33">
      <c r="A561" s="705"/>
      <c r="B561" s="714" t="s">
        <v>154</v>
      </c>
      <c r="C561" s="146" t="s">
        <v>52</v>
      </c>
      <c r="D561" s="152" t="s">
        <v>384</v>
      </c>
      <c r="E561" s="708"/>
      <c r="F561" s="714"/>
      <c r="G561" s="708"/>
      <c r="H561" s="708"/>
      <c r="I561" s="708"/>
      <c r="J561" s="708"/>
      <c r="K561" s="708"/>
      <c r="L561" s="92"/>
      <c r="M561" s="92"/>
      <c r="N561" s="708"/>
      <c r="O561" s="708"/>
      <c r="P561" s="708"/>
      <c r="Q561" s="708"/>
      <c r="R561" s="708"/>
      <c r="S561" s="708"/>
      <c r="T561" s="708"/>
      <c r="U561" s="708"/>
      <c r="V561" s="708"/>
      <c r="W561" s="708"/>
      <c r="X561" s="708"/>
      <c r="Y561" s="708"/>
      <c r="Z561" s="708"/>
      <c r="AA561" s="708"/>
      <c r="AB561" s="708"/>
      <c r="AC561" s="708"/>
      <c r="AD561" s="146"/>
      <c r="AE561" s="146"/>
      <c r="AF561" s="438"/>
      <c r="AG561" s="708"/>
    </row>
    <row r="562" s="570" customFormat="1" ht="30" customHeight="1" spans="1:33">
      <c r="A562" s="705"/>
      <c r="B562" s="714" t="s">
        <v>81</v>
      </c>
      <c r="C562" s="146" t="s">
        <v>52</v>
      </c>
      <c r="D562" s="152" t="s">
        <v>384</v>
      </c>
      <c r="E562" s="708"/>
      <c r="F562" s="714"/>
      <c r="G562" s="708"/>
      <c r="H562" s="708"/>
      <c r="I562" s="708"/>
      <c r="J562" s="708"/>
      <c r="K562" s="708"/>
      <c r="L562" s="92"/>
      <c r="M562" s="92"/>
      <c r="N562" s="708"/>
      <c r="O562" s="708"/>
      <c r="P562" s="708"/>
      <c r="Q562" s="708"/>
      <c r="R562" s="708"/>
      <c r="S562" s="708"/>
      <c r="T562" s="708"/>
      <c r="U562" s="708"/>
      <c r="V562" s="708"/>
      <c r="W562" s="708"/>
      <c r="X562" s="708"/>
      <c r="Y562" s="708"/>
      <c r="Z562" s="708"/>
      <c r="AA562" s="708"/>
      <c r="AB562" s="708"/>
      <c r="AC562" s="708"/>
      <c r="AD562" s="146"/>
      <c r="AE562" s="146"/>
      <c r="AF562" s="146"/>
      <c r="AG562" s="708"/>
    </row>
    <row r="563" s="570" customFormat="1" ht="30" customHeight="1" spans="1:33">
      <c r="A563" s="705"/>
      <c r="B563" s="714" t="s">
        <v>98</v>
      </c>
      <c r="C563" s="146" t="s">
        <v>52</v>
      </c>
      <c r="D563" s="152" t="s">
        <v>384</v>
      </c>
      <c r="E563" s="708"/>
      <c r="F563" s="714"/>
      <c r="G563" s="708"/>
      <c r="H563" s="708"/>
      <c r="I563" s="708"/>
      <c r="J563" s="708"/>
      <c r="K563" s="708"/>
      <c r="L563" s="92"/>
      <c r="M563" s="92"/>
      <c r="N563" s="708"/>
      <c r="O563" s="708"/>
      <c r="P563" s="708"/>
      <c r="Q563" s="708"/>
      <c r="R563" s="708"/>
      <c r="S563" s="708"/>
      <c r="T563" s="708"/>
      <c r="U563" s="708"/>
      <c r="V563" s="708"/>
      <c r="W563" s="708"/>
      <c r="X563" s="708"/>
      <c r="Y563" s="708"/>
      <c r="Z563" s="708"/>
      <c r="AA563" s="708"/>
      <c r="AB563" s="708"/>
      <c r="AC563" s="708"/>
      <c r="AD563" s="146"/>
      <c r="AE563" s="146"/>
      <c r="AF563" s="438"/>
      <c r="AG563" s="708"/>
    </row>
    <row r="564" s="570" customFormat="1" ht="30" customHeight="1" spans="1:33">
      <c r="A564" s="705"/>
      <c r="B564" s="714" t="s">
        <v>211</v>
      </c>
      <c r="C564" s="146" t="s">
        <v>52</v>
      </c>
      <c r="D564" s="152" t="s">
        <v>384</v>
      </c>
      <c r="E564" s="708"/>
      <c r="F564" s="714"/>
      <c r="G564" s="708"/>
      <c r="H564" s="708"/>
      <c r="I564" s="708"/>
      <c r="J564" s="708"/>
      <c r="K564" s="708"/>
      <c r="L564" s="92"/>
      <c r="M564" s="92"/>
      <c r="N564" s="708"/>
      <c r="O564" s="708"/>
      <c r="P564" s="708"/>
      <c r="Q564" s="708"/>
      <c r="R564" s="708"/>
      <c r="S564" s="708"/>
      <c r="T564" s="708"/>
      <c r="U564" s="708"/>
      <c r="V564" s="708"/>
      <c r="W564" s="708"/>
      <c r="X564" s="708"/>
      <c r="Y564" s="708"/>
      <c r="Z564" s="708"/>
      <c r="AA564" s="708"/>
      <c r="AB564" s="708"/>
      <c r="AC564" s="708"/>
      <c r="AD564" s="146"/>
      <c r="AE564" s="146"/>
      <c r="AF564" s="438"/>
      <c r="AG564" s="708"/>
    </row>
    <row r="565" s="570" customFormat="1" ht="30" customHeight="1" spans="1:33">
      <c r="A565" s="705"/>
      <c r="B565" s="714" t="s">
        <v>155</v>
      </c>
      <c r="C565" s="146" t="s">
        <v>52</v>
      </c>
      <c r="D565" s="152" t="s">
        <v>384</v>
      </c>
      <c r="E565" s="708"/>
      <c r="F565" s="714"/>
      <c r="G565" s="708"/>
      <c r="H565" s="708"/>
      <c r="I565" s="708"/>
      <c r="J565" s="708"/>
      <c r="K565" s="708"/>
      <c r="L565" s="92"/>
      <c r="M565" s="92"/>
      <c r="N565" s="708"/>
      <c r="O565" s="708"/>
      <c r="P565" s="708"/>
      <c r="Q565" s="708"/>
      <c r="R565" s="708"/>
      <c r="S565" s="708"/>
      <c r="T565" s="708"/>
      <c r="U565" s="708"/>
      <c r="V565" s="708"/>
      <c r="W565" s="708"/>
      <c r="X565" s="708"/>
      <c r="Y565" s="708"/>
      <c r="Z565" s="708"/>
      <c r="AA565" s="708"/>
      <c r="AB565" s="708"/>
      <c r="AC565" s="708"/>
      <c r="AD565" s="146"/>
      <c r="AE565" s="146"/>
      <c r="AF565" s="438"/>
      <c r="AG565" s="708"/>
    </row>
    <row r="566" s="570" customFormat="1" ht="30" customHeight="1" spans="1:33">
      <c r="A566" s="705"/>
      <c r="B566" s="714" t="s">
        <v>102</v>
      </c>
      <c r="C566" s="146" t="s">
        <v>52</v>
      </c>
      <c r="D566" s="152" t="s">
        <v>384</v>
      </c>
      <c r="E566" s="708"/>
      <c r="F566" s="714"/>
      <c r="G566" s="708"/>
      <c r="H566" s="708"/>
      <c r="I566" s="708"/>
      <c r="J566" s="708"/>
      <c r="K566" s="708"/>
      <c r="L566" s="92"/>
      <c r="M566" s="92"/>
      <c r="N566" s="708"/>
      <c r="O566" s="708"/>
      <c r="P566" s="708"/>
      <c r="Q566" s="708"/>
      <c r="R566" s="708"/>
      <c r="S566" s="708"/>
      <c r="T566" s="708"/>
      <c r="U566" s="708"/>
      <c r="V566" s="708"/>
      <c r="W566" s="708"/>
      <c r="X566" s="708"/>
      <c r="Y566" s="708"/>
      <c r="Z566" s="708"/>
      <c r="AA566" s="708"/>
      <c r="AB566" s="708"/>
      <c r="AC566" s="708"/>
      <c r="AD566" s="146"/>
      <c r="AE566" s="146"/>
      <c r="AF566" s="438"/>
      <c r="AG566" s="708"/>
    </row>
    <row r="567" s="570" customFormat="1" ht="30" customHeight="1" spans="1:33">
      <c r="A567" s="705"/>
      <c r="B567" s="714" t="s">
        <v>100</v>
      </c>
      <c r="C567" s="146" t="s">
        <v>52</v>
      </c>
      <c r="D567" s="152" t="s">
        <v>384</v>
      </c>
      <c r="E567" s="708"/>
      <c r="F567" s="714"/>
      <c r="G567" s="708"/>
      <c r="H567" s="708"/>
      <c r="I567" s="708"/>
      <c r="J567" s="708"/>
      <c r="K567" s="708"/>
      <c r="L567" s="92"/>
      <c r="M567" s="92"/>
      <c r="N567" s="708"/>
      <c r="O567" s="708"/>
      <c r="P567" s="708"/>
      <c r="Q567" s="708"/>
      <c r="R567" s="708"/>
      <c r="S567" s="708"/>
      <c r="T567" s="708"/>
      <c r="U567" s="708"/>
      <c r="V567" s="708"/>
      <c r="W567" s="708"/>
      <c r="X567" s="708"/>
      <c r="Y567" s="708"/>
      <c r="Z567" s="708"/>
      <c r="AA567" s="708"/>
      <c r="AB567" s="708"/>
      <c r="AC567" s="708"/>
      <c r="AD567" s="146"/>
      <c r="AE567" s="146"/>
      <c r="AF567" s="438"/>
      <c r="AG567" s="708"/>
    </row>
    <row r="568" s="570" customFormat="1" ht="30" customHeight="1" spans="1:33">
      <c r="A568" s="705"/>
      <c r="B568" s="714" t="s">
        <v>84</v>
      </c>
      <c r="C568" s="146" t="s">
        <v>52</v>
      </c>
      <c r="D568" s="152" t="s">
        <v>384</v>
      </c>
      <c r="E568" s="708"/>
      <c r="F568" s="714"/>
      <c r="G568" s="708"/>
      <c r="H568" s="708"/>
      <c r="I568" s="708"/>
      <c r="J568" s="708"/>
      <c r="K568" s="708"/>
      <c r="L568" s="92"/>
      <c r="M568" s="92"/>
      <c r="N568" s="708"/>
      <c r="O568" s="708"/>
      <c r="P568" s="708"/>
      <c r="Q568" s="708"/>
      <c r="R568" s="708"/>
      <c r="S568" s="708"/>
      <c r="T568" s="708"/>
      <c r="U568" s="708"/>
      <c r="V568" s="708"/>
      <c r="W568" s="708"/>
      <c r="X568" s="708"/>
      <c r="Y568" s="708"/>
      <c r="Z568" s="708"/>
      <c r="AA568" s="708"/>
      <c r="AB568" s="708"/>
      <c r="AC568" s="708"/>
      <c r="AD568" s="146"/>
      <c r="AE568" s="146"/>
      <c r="AF568" s="438"/>
      <c r="AG568" s="708"/>
    </row>
    <row r="569" s="570" customFormat="1" ht="30" customHeight="1" spans="1:33">
      <c r="A569" s="705"/>
      <c r="B569" s="714" t="s">
        <v>259</v>
      </c>
      <c r="C569" s="146" t="s">
        <v>52</v>
      </c>
      <c r="D569" s="152" t="s">
        <v>384</v>
      </c>
      <c r="E569" s="708"/>
      <c r="F569" s="714"/>
      <c r="G569" s="708"/>
      <c r="H569" s="708"/>
      <c r="I569" s="708"/>
      <c r="J569" s="708"/>
      <c r="K569" s="708"/>
      <c r="L569" s="92"/>
      <c r="M569" s="92"/>
      <c r="N569" s="708"/>
      <c r="O569" s="708"/>
      <c r="P569" s="708"/>
      <c r="Q569" s="708"/>
      <c r="R569" s="708"/>
      <c r="S569" s="708"/>
      <c r="T569" s="708"/>
      <c r="U569" s="708"/>
      <c r="V569" s="708"/>
      <c r="W569" s="708"/>
      <c r="X569" s="708"/>
      <c r="Y569" s="708"/>
      <c r="Z569" s="708"/>
      <c r="AA569" s="708"/>
      <c r="AB569" s="708"/>
      <c r="AC569" s="708"/>
      <c r="AD569" s="146"/>
      <c r="AE569" s="146"/>
      <c r="AF569" s="438"/>
      <c r="AG569" s="708"/>
    </row>
    <row r="570" s="570" customFormat="1" ht="30" customHeight="1" spans="1:33">
      <c r="A570" s="705"/>
      <c r="B570" s="714" t="s">
        <v>143</v>
      </c>
      <c r="C570" s="146" t="s">
        <v>52</v>
      </c>
      <c r="D570" s="152" t="s">
        <v>384</v>
      </c>
      <c r="E570" s="708"/>
      <c r="F570" s="714"/>
      <c r="G570" s="708"/>
      <c r="H570" s="706"/>
      <c r="I570" s="706"/>
      <c r="J570" s="708"/>
      <c r="K570" s="708"/>
      <c r="L570" s="92"/>
      <c r="M570" s="92"/>
      <c r="N570" s="708"/>
      <c r="O570" s="708"/>
      <c r="P570" s="708"/>
      <c r="Q570" s="708"/>
      <c r="R570" s="708"/>
      <c r="S570" s="708"/>
      <c r="T570" s="708"/>
      <c r="U570" s="708"/>
      <c r="V570" s="708"/>
      <c r="W570" s="708"/>
      <c r="X570" s="708"/>
      <c r="Y570" s="708"/>
      <c r="Z570" s="708"/>
      <c r="AA570" s="708"/>
      <c r="AB570" s="708"/>
      <c r="AC570" s="708"/>
      <c r="AD570" s="775"/>
      <c r="AE570" s="146"/>
      <c r="AF570" s="438"/>
      <c r="AG570" s="708"/>
    </row>
    <row r="571" ht="32.1" customHeight="1" spans="1:33">
      <c r="A571" s="705">
        <v>70</v>
      </c>
      <c r="B571" s="706" t="s">
        <v>412</v>
      </c>
      <c r="C571" s="706"/>
      <c r="D571" s="707"/>
      <c r="E571" s="706">
        <f>E572+E574+E580+E594</f>
        <v>24</v>
      </c>
      <c r="F571" s="706">
        <f t="shared" ref="F571:AA571" si="85">F572+F574+F580+F594</f>
        <v>0</v>
      </c>
      <c r="G571" s="706">
        <f t="shared" si="85"/>
        <v>0</v>
      </c>
      <c r="H571" s="706">
        <f t="shared" si="85"/>
        <v>5575</v>
      </c>
      <c r="I571" s="706">
        <f t="shared" si="85"/>
        <v>0</v>
      </c>
      <c r="J571" s="706">
        <f t="shared" si="85"/>
        <v>5575</v>
      </c>
      <c r="K571" s="706">
        <f t="shared" si="85"/>
        <v>0</v>
      </c>
      <c r="L571" s="706"/>
      <c r="M571" s="706"/>
      <c r="N571" s="706">
        <f t="shared" si="85"/>
        <v>1060</v>
      </c>
      <c r="O571" s="706">
        <f t="shared" si="85"/>
        <v>0</v>
      </c>
      <c r="P571" s="706">
        <f t="shared" si="85"/>
        <v>1060</v>
      </c>
      <c r="Q571" s="706">
        <f t="shared" si="85"/>
        <v>0</v>
      </c>
      <c r="R571" s="706">
        <f t="shared" si="85"/>
        <v>0</v>
      </c>
      <c r="S571" s="706">
        <f t="shared" si="85"/>
        <v>1060</v>
      </c>
      <c r="T571" s="706">
        <f t="shared" si="85"/>
        <v>0</v>
      </c>
      <c r="U571" s="706">
        <f t="shared" si="85"/>
        <v>0</v>
      </c>
      <c r="V571" s="706">
        <f t="shared" si="85"/>
        <v>0</v>
      </c>
      <c r="W571" s="706">
        <f t="shared" si="85"/>
        <v>0</v>
      </c>
      <c r="X571" s="706">
        <f t="shared" si="85"/>
        <v>0</v>
      </c>
      <c r="Y571" s="706">
        <f t="shared" si="85"/>
        <v>3575</v>
      </c>
      <c r="Z571" s="706">
        <f t="shared" si="85"/>
        <v>15372.5</v>
      </c>
      <c r="AA571" s="706">
        <f t="shared" si="85"/>
        <v>24</v>
      </c>
      <c r="AB571" s="706"/>
      <c r="AC571" s="706"/>
      <c r="AD571" s="706"/>
      <c r="AE571" s="706"/>
      <c r="AF571" s="706"/>
      <c r="AG571" s="706" t="s">
        <v>41</v>
      </c>
    </row>
    <row r="572" s="570" customFormat="1" ht="24.95" customHeight="1" spans="1:33">
      <c r="A572" s="705">
        <v>71</v>
      </c>
      <c r="B572" s="708" t="s">
        <v>413</v>
      </c>
      <c r="C572" s="708"/>
      <c r="D572" s="709" t="s">
        <v>45</v>
      </c>
      <c r="E572" s="708">
        <f>E573</f>
        <v>0</v>
      </c>
      <c r="F572" s="708">
        <f t="shared" ref="F572:AA572" si="86">F573</f>
        <v>0</v>
      </c>
      <c r="G572" s="708">
        <f t="shared" si="86"/>
        <v>0</v>
      </c>
      <c r="H572" s="708">
        <f t="shared" si="86"/>
        <v>0</v>
      </c>
      <c r="I572" s="708">
        <f t="shared" si="86"/>
        <v>0</v>
      </c>
      <c r="J572" s="708">
        <f t="shared" si="86"/>
        <v>0</v>
      </c>
      <c r="K572" s="708">
        <f t="shared" si="86"/>
        <v>0</v>
      </c>
      <c r="L572" s="708"/>
      <c r="M572" s="708"/>
      <c r="N572" s="708">
        <f t="shared" si="86"/>
        <v>0</v>
      </c>
      <c r="O572" s="708">
        <f t="shared" si="86"/>
        <v>0</v>
      </c>
      <c r="P572" s="708">
        <f t="shared" si="86"/>
        <v>0</v>
      </c>
      <c r="Q572" s="708">
        <f t="shared" si="86"/>
        <v>0</v>
      </c>
      <c r="R572" s="708">
        <f t="shared" si="86"/>
        <v>0</v>
      </c>
      <c r="S572" s="708">
        <f t="shared" si="86"/>
        <v>0</v>
      </c>
      <c r="T572" s="708">
        <f t="shared" si="86"/>
        <v>0</v>
      </c>
      <c r="U572" s="708">
        <f t="shared" si="86"/>
        <v>0</v>
      </c>
      <c r="V572" s="708">
        <f t="shared" si="86"/>
        <v>0</v>
      </c>
      <c r="W572" s="708">
        <f t="shared" si="86"/>
        <v>0</v>
      </c>
      <c r="X572" s="708">
        <f t="shared" si="86"/>
        <v>0</v>
      </c>
      <c r="Y572" s="708">
        <f t="shared" si="86"/>
        <v>0</v>
      </c>
      <c r="Z572" s="708">
        <f t="shared" si="86"/>
        <v>0</v>
      </c>
      <c r="AA572" s="708">
        <f t="shared" si="86"/>
        <v>0</v>
      </c>
      <c r="AB572" s="708"/>
      <c r="AC572" s="708"/>
      <c r="AD572" s="146"/>
      <c r="AE572" s="146"/>
      <c r="AF572" s="146"/>
      <c r="AG572" s="708" t="s">
        <v>41</v>
      </c>
    </row>
    <row r="573" s="570" customFormat="1" ht="24.95" customHeight="1" spans="1:33">
      <c r="A573" s="705"/>
      <c r="B573" s="708" t="s">
        <v>91</v>
      </c>
      <c r="C573" s="708" t="s">
        <v>52</v>
      </c>
      <c r="D573" s="709" t="s">
        <v>45</v>
      </c>
      <c r="E573" s="708"/>
      <c r="F573" s="708"/>
      <c r="G573" s="92"/>
      <c r="H573" s="708"/>
      <c r="I573" s="152"/>
      <c r="J573" s="708"/>
      <c r="K573" s="708"/>
      <c r="L573" s="92"/>
      <c r="M573" s="92"/>
      <c r="N573" s="146"/>
      <c r="O573" s="726"/>
      <c r="P573" s="726"/>
      <c r="Q573" s="726"/>
      <c r="R573" s="726"/>
      <c r="S573" s="726"/>
      <c r="T573" s="726"/>
      <c r="U573" s="726"/>
      <c r="V573" s="726"/>
      <c r="W573" s="726"/>
      <c r="X573" s="726"/>
      <c r="Y573" s="152"/>
      <c r="Z573" s="152"/>
      <c r="AA573" s="708"/>
      <c r="AB573" s="708"/>
      <c r="AC573" s="708"/>
      <c r="AD573" s="146"/>
      <c r="AE573" s="146"/>
      <c r="AF573" s="146"/>
      <c r="AG573" s="708"/>
    </row>
    <row r="574" s="570" customFormat="1" ht="24.95" customHeight="1" spans="1:33">
      <c r="A574" s="705"/>
      <c r="B574" s="750" t="s">
        <v>414</v>
      </c>
      <c r="C574" s="146" t="s">
        <v>52</v>
      </c>
      <c r="D574" s="152" t="s">
        <v>45</v>
      </c>
      <c r="E574" s="708">
        <f>SUM(E575:E579)</f>
        <v>3</v>
      </c>
      <c r="F574" s="708">
        <f t="shared" ref="F574:AB574" si="87">SUM(F575:F579)</f>
        <v>0</v>
      </c>
      <c r="G574" s="708">
        <f t="shared" si="87"/>
        <v>0</v>
      </c>
      <c r="H574" s="708">
        <f t="shared" si="87"/>
        <v>2000</v>
      </c>
      <c r="I574" s="708">
        <f t="shared" si="87"/>
        <v>0</v>
      </c>
      <c r="J574" s="708">
        <f t="shared" si="87"/>
        <v>2000</v>
      </c>
      <c r="K574" s="708">
        <f t="shared" si="87"/>
        <v>0</v>
      </c>
      <c r="L574" s="708"/>
      <c r="M574" s="708"/>
      <c r="N574" s="708">
        <f t="shared" si="87"/>
        <v>300</v>
      </c>
      <c r="O574" s="708">
        <f t="shared" si="87"/>
        <v>0</v>
      </c>
      <c r="P574" s="708">
        <f t="shared" si="87"/>
        <v>300</v>
      </c>
      <c r="Q574" s="708">
        <f t="shared" si="87"/>
        <v>0</v>
      </c>
      <c r="R574" s="708">
        <f t="shared" si="87"/>
        <v>0</v>
      </c>
      <c r="S574" s="708">
        <f t="shared" si="87"/>
        <v>300</v>
      </c>
      <c r="T574" s="708">
        <f t="shared" si="87"/>
        <v>0</v>
      </c>
      <c r="U574" s="708">
        <f t="shared" si="87"/>
        <v>0</v>
      </c>
      <c r="V574" s="708">
        <f t="shared" si="87"/>
        <v>0</v>
      </c>
      <c r="W574" s="708">
        <f t="shared" si="87"/>
        <v>0</v>
      </c>
      <c r="X574" s="708">
        <f t="shared" si="87"/>
        <v>0</v>
      </c>
      <c r="Y574" s="708">
        <f t="shared" si="87"/>
        <v>0</v>
      </c>
      <c r="Z574" s="708">
        <f t="shared" si="87"/>
        <v>0</v>
      </c>
      <c r="AA574" s="708">
        <f t="shared" si="87"/>
        <v>3</v>
      </c>
      <c r="AB574" s="708">
        <f t="shared" si="87"/>
        <v>0</v>
      </c>
      <c r="AC574" s="708"/>
      <c r="AD574" s="146" t="s">
        <v>415</v>
      </c>
      <c r="AE574" s="146" t="s">
        <v>416</v>
      </c>
      <c r="AF574" s="146" t="s">
        <v>417</v>
      </c>
      <c r="AG574" s="708"/>
    </row>
    <row r="575" s="570" customFormat="1" ht="24.95" customHeight="1" spans="1:33">
      <c r="A575" s="705"/>
      <c r="B575" s="714" t="s">
        <v>78</v>
      </c>
      <c r="C575" s="146" t="s">
        <v>52</v>
      </c>
      <c r="D575" s="152" t="s">
        <v>45</v>
      </c>
      <c r="E575" s="708"/>
      <c r="F575" s="714"/>
      <c r="G575" s="92"/>
      <c r="H575" s="708"/>
      <c r="I575" s="152"/>
      <c r="J575" s="708"/>
      <c r="K575" s="708"/>
      <c r="L575" s="92"/>
      <c r="M575" s="92"/>
      <c r="N575" s="146"/>
      <c r="O575" s="726"/>
      <c r="P575" s="726"/>
      <c r="Q575" s="726"/>
      <c r="R575" s="726"/>
      <c r="S575" s="726"/>
      <c r="T575" s="726"/>
      <c r="U575" s="726"/>
      <c r="V575" s="726"/>
      <c r="W575" s="726"/>
      <c r="X575" s="726"/>
      <c r="Y575" s="152"/>
      <c r="Z575" s="152"/>
      <c r="AA575" s="708"/>
      <c r="AB575" s="708"/>
      <c r="AC575" s="708"/>
      <c r="AD575" s="86"/>
      <c r="AE575" s="71"/>
      <c r="AF575" s="146"/>
      <c r="AG575" s="708"/>
    </row>
    <row r="576" s="570" customFormat="1" ht="24.95" customHeight="1" spans="1:33">
      <c r="A576" s="705"/>
      <c r="B576" s="714" t="s">
        <v>55</v>
      </c>
      <c r="C576" s="715" t="s">
        <v>52</v>
      </c>
      <c r="D576" s="716" t="s">
        <v>45</v>
      </c>
      <c r="E576" s="708"/>
      <c r="F576" s="714"/>
      <c r="G576" s="92"/>
      <c r="H576" s="708"/>
      <c r="I576" s="152"/>
      <c r="J576" s="708"/>
      <c r="K576" s="708"/>
      <c r="L576" s="92"/>
      <c r="M576" s="92"/>
      <c r="N576" s="146"/>
      <c r="O576" s="726"/>
      <c r="P576" s="726"/>
      <c r="Q576" s="726"/>
      <c r="R576" s="726"/>
      <c r="S576" s="726"/>
      <c r="T576" s="726"/>
      <c r="U576" s="726"/>
      <c r="V576" s="726"/>
      <c r="W576" s="726"/>
      <c r="X576" s="726"/>
      <c r="Y576" s="152"/>
      <c r="Z576" s="152"/>
      <c r="AA576" s="708"/>
      <c r="AB576" s="708"/>
      <c r="AC576" s="708"/>
      <c r="AD576" s="146"/>
      <c r="AE576" s="146"/>
      <c r="AF576" s="146"/>
      <c r="AG576" s="708"/>
    </row>
    <row r="577" s="570" customFormat="1" ht="24.95" customHeight="1" spans="1:33">
      <c r="A577" s="705"/>
      <c r="B577" s="714" t="s">
        <v>91</v>
      </c>
      <c r="C577" s="146" t="s">
        <v>52</v>
      </c>
      <c r="D577" s="152" t="s">
        <v>45</v>
      </c>
      <c r="E577" s="708">
        <v>1</v>
      </c>
      <c r="F577" s="714" t="s">
        <v>91</v>
      </c>
      <c r="G577" s="92"/>
      <c r="H577" s="152">
        <v>1000</v>
      </c>
      <c r="I577" s="152"/>
      <c r="J577" s="152">
        <v>1000</v>
      </c>
      <c r="K577" s="708"/>
      <c r="L577" s="92">
        <v>2019.01</v>
      </c>
      <c r="M577" s="92">
        <v>2019.12</v>
      </c>
      <c r="N577" s="146">
        <v>150</v>
      </c>
      <c r="O577" s="726"/>
      <c r="P577" s="146">
        <v>150</v>
      </c>
      <c r="Q577" s="726"/>
      <c r="R577" s="726"/>
      <c r="S577" s="146">
        <v>150</v>
      </c>
      <c r="T577" s="726"/>
      <c r="U577" s="726"/>
      <c r="V577" s="726"/>
      <c r="W577" s="726"/>
      <c r="X577" s="726"/>
      <c r="Y577" s="152"/>
      <c r="Z577" s="152"/>
      <c r="AA577" s="708">
        <v>1</v>
      </c>
      <c r="AB577" s="708"/>
      <c r="AC577" s="708"/>
      <c r="AD577" s="146" t="s">
        <v>418</v>
      </c>
      <c r="AE577" s="146" t="s">
        <v>419</v>
      </c>
      <c r="AF577" s="146" t="s">
        <v>417</v>
      </c>
      <c r="AG577" s="708"/>
    </row>
    <row r="578" s="570" customFormat="1" ht="24.95" customHeight="1" spans="1:33">
      <c r="A578" s="705"/>
      <c r="B578" s="714" t="s">
        <v>92</v>
      </c>
      <c r="C578" s="146" t="s">
        <v>52</v>
      </c>
      <c r="D578" s="152" t="s">
        <v>45</v>
      </c>
      <c r="E578" s="708">
        <v>1</v>
      </c>
      <c r="F578" s="714" t="s">
        <v>92</v>
      </c>
      <c r="G578" s="92"/>
      <c r="H578" s="152">
        <v>500</v>
      </c>
      <c r="I578" s="152"/>
      <c r="J578" s="152">
        <v>500</v>
      </c>
      <c r="K578" s="708"/>
      <c r="L578" s="92">
        <v>2019.01</v>
      </c>
      <c r="M578" s="92">
        <v>2019.12</v>
      </c>
      <c r="N578" s="146">
        <v>75</v>
      </c>
      <c r="O578" s="726"/>
      <c r="P578" s="146">
        <v>75</v>
      </c>
      <c r="Q578" s="726"/>
      <c r="R578" s="726"/>
      <c r="S578" s="146">
        <v>75</v>
      </c>
      <c r="T578" s="726"/>
      <c r="U578" s="726"/>
      <c r="V578" s="726"/>
      <c r="W578" s="726"/>
      <c r="X578" s="726"/>
      <c r="Y578" s="152"/>
      <c r="Z578" s="152"/>
      <c r="AA578" s="708">
        <v>1</v>
      </c>
      <c r="AB578" s="708"/>
      <c r="AC578" s="708"/>
      <c r="AD578" s="86" t="s">
        <v>93</v>
      </c>
      <c r="AE578" s="86" t="s">
        <v>420</v>
      </c>
      <c r="AF578" s="146" t="s">
        <v>417</v>
      </c>
      <c r="AG578" s="708"/>
    </row>
    <row r="579" s="570" customFormat="1" ht="24.95" customHeight="1" spans="1:33">
      <c r="A579" s="705"/>
      <c r="B579" s="714" t="s">
        <v>61</v>
      </c>
      <c r="C579" s="146" t="s">
        <v>52</v>
      </c>
      <c r="D579" s="152" t="s">
        <v>45</v>
      </c>
      <c r="E579" s="708">
        <v>1</v>
      </c>
      <c r="F579" s="714" t="s">
        <v>61</v>
      </c>
      <c r="G579" s="92"/>
      <c r="H579" s="787">
        <v>500</v>
      </c>
      <c r="I579" s="152"/>
      <c r="J579" s="787">
        <v>500</v>
      </c>
      <c r="K579" s="708"/>
      <c r="L579" s="92">
        <v>2019.01</v>
      </c>
      <c r="M579" s="92">
        <v>2019.12</v>
      </c>
      <c r="N579" s="146">
        <v>75</v>
      </c>
      <c r="O579" s="726"/>
      <c r="P579" s="146">
        <v>75</v>
      </c>
      <c r="Q579" s="726"/>
      <c r="R579" s="726"/>
      <c r="S579" s="146">
        <v>75</v>
      </c>
      <c r="T579" s="726"/>
      <c r="U579" s="726"/>
      <c r="V579" s="726"/>
      <c r="W579" s="726"/>
      <c r="X579" s="726"/>
      <c r="Y579" s="152"/>
      <c r="Z579" s="152"/>
      <c r="AA579" s="708">
        <v>1</v>
      </c>
      <c r="AB579" s="708"/>
      <c r="AC579" s="708"/>
      <c r="AD579" s="146" t="s">
        <v>421</v>
      </c>
      <c r="AE579" s="146" t="s">
        <v>422</v>
      </c>
      <c r="AF579" s="146" t="s">
        <v>417</v>
      </c>
      <c r="AG579" s="708"/>
    </row>
    <row r="580" s="570" customFormat="1" ht="24.95" customHeight="1" spans="1:33">
      <c r="A580" s="705">
        <v>73</v>
      </c>
      <c r="B580" s="791" t="s">
        <v>423</v>
      </c>
      <c r="C580" s="708"/>
      <c r="D580" s="709" t="s">
        <v>147</v>
      </c>
      <c r="E580" s="708">
        <f>SUM(E581:E589)</f>
        <v>9</v>
      </c>
      <c r="F580" s="708">
        <f t="shared" ref="F580:AA580" si="88">SUM(F581:F589)</f>
        <v>0</v>
      </c>
      <c r="G580" s="708">
        <f t="shared" si="88"/>
        <v>0</v>
      </c>
      <c r="H580" s="708">
        <f t="shared" si="88"/>
        <v>575</v>
      </c>
      <c r="I580" s="708">
        <f t="shared" si="88"/>
        <v>0</v>
      </c>
      <c r="J580" s="708">
        <f t="shared" si="88"/>
        <v>575</v>
      </c>
      <c r="K580" s="708">
        <f t="shared" si="88"/>
        <v>0</v>
      </c>
      <c r="L580" s="708"/>
      <c r="M580" s="708"/>
      <c r="N580" s="708">
        <f t="shared" si="88"/>
        <v>460</v>
      </c>
      <c r="O580" s="708">
        <f t="shared" si="88"/>
        <v>0</v>
      </c>
      <c r="P580" s="708">
        <f t="shared" si="88"/>
        <v>460</v>
      </c>
      <c r="Q580" s="708">
        <f t="shared" si="88"/>
        <v>0</v>
      </c>
      <c r="R580" s="708">
        <f t="shared" si="88"/>
        <v>0</v>
      </c>
      <c r="S580" s="708">
        <f t="shared" si="88"/>
        <v>460</v>
      </c>
      <c r="T580" s="708">
        <f t="shared" si="88"/>
        <v>0</v>
      </c>
      <c r="U580" s="708">
        <f t="shared" si="88"/>
        <v>0</v>
      </c>
      <c r="V580" s="708">
        <f t="shared" si="88"/>
        <v>0</v>
      </c>
      <c r="W580" s="708">
        <f t="shared" si="88"/>
        <v>0</v>
      </c>
      <c r="X580" s="708">
        <f t="shared" si="88"/>
        <v>0</v>
      </c>
      <c r="Y580" s="708">
        <f t="shared" si="88"/>
        <v>575</v>
      </c>
      <c r="Z580" s="708">
        <f t="shared" si="88"/>
        <v>2472.5</v>
      </c>
      <c r="AA580" s="708">
        <f t="shared" si="88"/>
        <v>9</v>
      </c>
      <c r="AB580" s="708"/>
      <c r="AC580" s="708"/>
      <c r="AD580" s="146" t="s">
        <v>415</v>
      </c>
      <c r="AE580" s="146" t="s">
        <v>424</v>
      </c>
      <c r="AF580" s="146" t="s">
        <v>417</v>
      </c>
      <c r="AG580" s="708" t="s">
        <v>41</v>
      </c>
    </row>
    <row r="581" s="570" customFormat="1" ht="24.95" customHeight="1" spans="1:33">
      <c r="A581" s="705"/>
      <c r="B581" s="199" t="s">
        <v>69</v>
      </c>
      <c r="C581" s="146" t="s">
        <v>52</v>
      </c>
      <c r="D581" s="141" t="s">
        <v>147</v>
      </c>
      <c r="E581" s="708">
        <v>1</v>
      </c>
      <c r="F581" s="199" t="s">
        <v>69</v>
      </c>
      <c r="G581" s="708"/>
      <c r="H581" s="708">
        <v>134</v>
      </c>
      <c r="I581" s="708"/>
      <c r="J581" s="708">
        <v>134</v>
      </c>
      <c r="K581" s="708"/>
      <c r="L581" s="92">
        <v>2019.01</v>
      </c>
      <c r="M581" s="92">
        <v>2019.12</v>
      </c>
      <c r="N581" s="726">
        <v>107.2</v>
      </c>
      <c r="O581" s="726"/>
      <c r="P581" s="726">
        <v>107.2</v>
      </c>
      <c r="Q581" s="726"/>
      <c r="R581" s="726"/>
      <c r="S581" s="726">
        <v>107.2</v>
      </c>
      <c r="T581" s="726"/>
      <c r="U581" s="726"/>
      <c r="V581" s="726"/>
      <c r="W581" s="726"/>
      <c r="X581" s="726"/>
      <c r="Y581" s="708">
        <v>134</v>
      </c>
      <c r="Z581" s="763">
        <f t="shared" ref="Z581:Z589" si="89">Y581*4.3</f>
        <v>576.2</v>
      </c>
      <c r="AA581" s="708">
        <v>1</v>
      </c>
      <c r="AB581" s="708"/>
      <c r="AC581" s="708"/>
      <c r="AD581" s="146" t="s">
        <v>425</v>
      </c>
      <c r="AE581" s="146" t="s">
        <v>426</v>
      </c>
      <c r="AF581" s="146" t="s">
        <v>417</v>
      </c>
      <c r="AG581" s="708"/>
    </row>
    <row r="582" s="570" customFormat="1" ht="24.95" customHeight="1" spans="1:33">
      <c r="A582" s="705"/>
      <c r="B582" s="199" t="s">
        <v>51</v>
      </c>
      <c r="C582" s="146" t="s">
        <v>52</v>
      </c>
      <c r="D582" s="141" t="s">
        <v>147</v>
      </c>
      <c r="E582" s="708">
        <v>1</v>
      </c>
      <c r="F582" s="199" t="s">
        <v>51</v>
      </c>
      <c r="G582" s="708"/>
      <c r="H582" s="708">
        <v>84</v>
      </c>
      <c r="I582" s="708"/>
      <c r="J582" s="708">
        <v>84</v>
      </c>
      <c r="K582" s="708"/>
      <c r="L582" s="92">
        <v>2019.01</v>
      </c>
      <c r="M582" s="92">
        <v>2019.12</v>
      </c>
      <c r="N582" s="726">
        <v>67.2</v>
      </c>
      <c r="O582" s="726"/>
      <c r="P582" s="726">
        <v>67.2</v>
      </c>
      <c r="Q582" s="726"/>
      <c r="R582" s="726"/>
      <c r="S582" s="726">
        <v>67.2</v>
      </c>
      <c r="T582" s="726"/>
      <c r="U582" s="726"/>
      <c r="V582" s="726"/>
      <c r="W582" s="726"/>
      <c r="X582" s="726"/>
      <c r="Y582" s="708">
        <v>84</v>
      </c>
      <c r="Z582" s="763">
        <f t="shared" si="89"/>
        <v>361.2</v>
      </c>
      <c r="AA582" s="708">
        <v>1</v>
      </c>
      <c r="AB582" s="708"/>
      <c r="AC582" s="708"/>
      <c r="AD582" s="71" t="s">
        <v>53</v>
      </c>
      <c r="AE582" s="71" t="s">
        <v>427</v>
      </c>
      <c r="AF582" s="146" t="s">
        <v>417</v>
      </c>
      <c r="AG582" s="708"/>
    </row>
    <row r="583" s="570" customFormat="1" ht="24.95" customHeight="1" spans="1:33">
      <c r="A583" s="705"/>
      <c r="B583" s="199" t="s">
        <v>72</v>
      </c>
      <c r="C583" s="146" t="s">
        <v>52</v>
      </c>
      <c r="D583" s="141" t="s">
        <v>147</v>
      </c>
      <c r="E583" s="708">
        <v>1</v>
      </c>
      <c r="F583" s="199" t="s">
        <v>72</v>
      </c>
      <c r="G583" s="708"/>
      <c r="H583" s="708">
        <v>103</v>
      </c>
      <c r="I583" s="708"/>
      <c r="J583" s="708">
        <v>103</v>
      </c>
      <c r="K583" s="708"/>
      <c r="L583" s="92">
        <v>2019.01</v>
      </c>
      <c r="M583" s="92">
        <v>2019.12</v>
      </c>
      <c r="N583" s="726">
        <v>82.4</v>
      </c>
      <c r="O583" s="726"/>
      <c r="P583" s="726">
        <v>82.4</v>
      </c>
      <c r="Q583" s="726"/>
      <c r="R583" s="726"/>
      <c r="S583" s="726">
        <v>82.4</v>
      </c>
      <c r="T583" s="726"/>
      <c r="U583" s="726"/>
      <c r="V583" s="726"/>
      <c r="W583" s="726"/>
      <c r="X583" s="726"/>
      <c r="Y583" s="708">
        <v>103</v>
      </c>
      <c r="Z583" s="763">
        <f t="shared" si="89"/>
        <v>442.9</v>
      </c>
      <c r="AA583" s="708">
        <v>1</v>
      </c>
      <c r="AB583" s="708"/>
      <c r="AC583" s="708"/>
      <c r="AD583" s="146" t="s">
        <v>428</v>
      </c>
      <c r="AE583" s="146" t="s">
        <v>429</v>
      </c>
      <c r="AF583" s="146" t="s">
        <v>417</v>
      </c>
      <c r="AG583" s="708"/>
    </row>
    <row r="584" s="570" customFormat="1" ht="24.95" customHeight="1" spans="1:33">
      <c r="A584" s="705"/>
      <c r="B584" s="199" t="s">
        <v>58</v>
      </c>
      <c r="C584" s="146" t="s">
        <v>52</v>
      </c>
      <c r="D584" s="141" t="s">
        <v>147</v>
      </c>
      <c r="E584" s="708">
        <v>1</v>
      </c>
      <c r="F584" s="199" t="s">
        <v>58</v>
      </c>
      <c r="G584" s="708"/>
      <c r="H584" s="708">
        <v>7</v>
      </c>
      <c r="I584" s="708"/>
      <c r="J584" s="708">
        <v>7</v>
      </c>
      <c r="K584" s="708"/>
      <c r="L584" s="92">
        <v>2019.01</v>
      </c>
      <c r="M584" s="92">
        <v>2019.12</v>
      </c>
      <c r="N584" s="726">
        <v>5.6</v>
      </c>
      <c r="O584" s="726"/>
      <c r="P584" s="726">
        <v>5.6</v>
      </c>
      <c r="Q584" s="726"/>
      <c r="R584" s="726"/>
      <c r="S584" s="726">
        <v>5.6</v>
      </c>
      <c r="T584" s="726"/>
      <c r="U584" s="726"/>
      <c r="V584" s="726"/>
      <c r="W584" s="726"/>
      <c r="X584" s="726"/>
      <c r="Y584" s="708">
        <v>7</v>
      </c>
      <c r="Z584" s="763">
        <f t="shared" si="89"/>
        <v>30.1</v>
      </c>
      <c r="AA584" s="708">
        <v>1</v>
      </c>
      <c r="AB584" s="708"/>
      <c r="AC584" s="708"/>
      <c r="AD584" s="86" t="s">
        <v>399</v>
      </c>
      <c r="AE584" s="86" t="s">
        <v>430</v>
      </c>
      <c r="AF584" s="146" t="s">
        <v>417</v>
      </c>
      <c r="AG584" s="708"/>
    </row>
    <row r="585" s="570" customFormat="1" ht="24.95" customHeight="1" spans="1:33">
      <c r="A585" s="705"/>
      <c r="B585" s="199" t="s">
        <v>78</v>
      </c>
      <c r="C585" s="146" t="s">
        <v>52</v>
      </c>
      <c r="D585" s="141" t="s">
        <v>147</v>
      </c>
      <c r="E585" s="708">
        <v>1</v>
      </c>
      <c r="F585" s="199" t="s">
        <v>78</v>
      </c>
      <c r="G585" s="708"/>
      <c r="H585" s="708">
        <v>87</v>
      </c>
      <c r="I585" s="708"/>
      <c r="J585" s="708">
        <v>87</v>
      </c>
      <c r="K585" s="708"/>
      <c r="L585" s="92">
        <v>2019.01</v>
      </c>
      <c r="M585" s="92">
        <v>2019.12</v>
      </c>
      <c r="N585" s="726">
        <v>69.6</v>
      </c>
      <c r="O585" s="726"/>
      <c r="P585" s="726">
        <v>69.6</v>
      </c>
      <c r="Q585" s="726"/>
      <c r="R585" s="726"/>
      <c r="S585" s="726">
        <v>69.6</v>
      </c>
      <c r="T585" s="726"/>
      <c r="U585" s="726"/>
      <c r="V585" s="726"/>
      <c r="W585" s="726"/>
      <c r="X585" s="726"/>
      <c r="Y585" s="708">
        <v>87</v>
      </c>
      <c r="Z585" s="763">
        <f t="shared" si="89"/>
        <v>374.1</v>
      </c>
      <c r="AA585" s="708">
        <v>1</v>
      </c>
      <c r="AB585" s="708"/>
      <c r="AC585" s="708"/>
      <c r="AD585" s="86" t="s">
        <v>217</v>
      </c>
      <c r="AE585" s="71" t="s">
        <v>431</v>
      </c>
      <c r="AF585" s="146" t="s">
        <v>417</v>
      </c>
      <c r="AG585" s="708"/>
    </row>
    <row r="586" s="570" customFormat="1" ht="24.95" customHeight="1" spans="1:33">
      <c r="A586" s="705"/>
      <c r="B586" s="199" t="s">
        <v>92</v>
      </c>
      <c r="C586" s="146" t="s">
        <v>52</v>
      </c>
      <c r="D586" s="141" t="s">
        <v>147</v>
      </c>
      <c r="E586" s="708">
        <v>1</v>
      </c>
      <c r="F586" s="199" t="s">
        <v>92</v>
      </c>
      <c r="G586" s="708"/>
      <c r="H586" s="708">
        <v>10</v>
      </c>
      <c r="I586" s="708"/>
      <c r="J586" s="708">
        <v>10</v>
      </c>
      <c r="K586" s="708"/>
      <c r="L586" s="92">
        <v>2019.01</v>
      </c>
      <c r="M586" s="92">
        <v>2019.12</v>
      </c>
      <c r="N586" s="726">
        <v>8</v>
      </c>
      <c r="O586" s="726"/>
      <c r="P586" s="726">
        <v>8</v>
      </c>
      <c r="Q586" s="726"/>
      <c r="R586" s="726"/>
      <c r="S586" s="726">
        <v>8</v>
      </c>
      <c r="T586" s="726"/>
      <c r="U586" s="726"/>
      <c r="V586" s="726"/>
      <c r="W586" s="726"/>
      <c r="X586" s="726"/>
      <c r="Y586" s="708">
        <v>10</v>
      </c>
      <c r="Z586" s="763">
        <f t="shared" si="89"/>
        <v>43</v>
      </c>
      <c r="AA586" s="708">
        <v>1</v>
      </c>
      <c r="AB586" s="708"/>
      <c r="AC586" s="708"/>
      <c r="AD586" s="86" t="s">
        <v>93</v>
      </c>
      <c r="AE586" s="86" t="s">
        <v>420</v>
      </c>
      <c r="AF586" s="146" t="s">
        <v>417</v>
      </c>
      <c r="AG586" s="708"/>
    </row>
    <row r="587" s="570" customFormat="1" ht="24.95" customHeight="1" spans="1:33">
      <c r="A587" s="705"/>
      <c r="B587" s="199" t="s">
        <v>61</v>
      </c>
      <c r="C587" s="146" t="s">
        <v>52</v>
      </c>
      <c r="D587" s="141" t="s">
        <v>147</v>
      </c>
      <c r="E587" s="708">
        <v>1</v>
      </c>
      <c r="F587" s="199" t="s">
        <v>61</v>
      </c>
      <c r="G587" s="708"/>
      <c r="H587" s="708">
        <v>80</v>
      </c>
      <c r="I587" s="708"/>
      <c r="J587" s="708">
        <v>80</v>
      </c>
      <c r="K587" s="708"/>
      <c r="L587" s="92">
        <v>2019.01</v>
      </c>
      <c r="M587" s="92">
        <v>2019.12</v>
      </c>
      <c r="N587" s="726">
        <v>64</v>
      </c>
      <c r="O587" s="726"/>
      <c r="P587" s="726">
        <v>64</v>
      </c>
      <c r="Q587" s="726"/>
      <c r="R587" s="726"/>
      <c r="S587" s="726">
        <v>64</v>
      </c>
      <c r="T587" s="726"/>
      <c r="U587" s="726"/>
      <c r="V587" s="726"/>
      <c r="W587" s="726"/>
      <c r="X587" s="726"/>
      <c r="Y587" s="708">
        <v>80</v>
      </c>
      <c r="Z587" s="763">
        <f t="shared" si="89"/>
        <v>344</v>
      </c>
      <c r="AA587" s="708">
        <v>1</v>
      </c>
      <c r="AB587" s="708"/>
      <c r="AC587" s="708"/>
      <c r="AD587" s="146" t="s">
        <v>421</v>
      </c>
      <c r="AE587" s="146" t="s">
        <v>422</v>
      </c>
      <c r="AF587" s="146" t="s">
        <v>417</v>
      </c>
      <c r="AG587" s="708"/>
    </row>
    <row r="588" s="570" customFormat="1" ht="24.95" customHeight="1" spans="1:33">
      <c r="A588" s="705"/>
      <c r="B588" s="199" t="s">
        <v>64</v>
      </c>
      <c r="C588" s="146" t="s">
        <v>52</v>
      </c>
      <c r="D588" s="141" t="s">
        <v>147</v>
      </c>
      <c r="E588" s="708">
        <v>1</v>
      </c>
      <c r="F588" s="199" t="s">
        <v>64</v>
      </c>
      <c r="G588" s="708"/>
      <c r="H588" s="708">
        <v>60</v>
      </c>
      <c r="I588" s="708"/>
      <c r="J588" s="708">
        <v>60</v>
      </c>
      <c r="K588" s="708"/>
      <c r="L588" s="92">
        <v>2019.01</v>
      </c>
      <c r="M588" s="92">
        <v>2019.12</v>
      </c>
      <c r="N588" s="726">
        <v>48</v>
      </c>
      <c r="O588" s="726"/>
      <c r="P588" s="726">
        <v>48</v>
      </c>
      <c r="Q588" s="726"/>
      <c r="R588" s="726"/>
      <c r="S588" s="726">
        <v>48</v>
      </c>
      <c r="T588" s="726"/>
      <c r="U588" s="726"/>
      <c r="V588" s="726"/>
      <c r="W588" s="726"/>
      <c r="X588" s="726"/>
      <c r="Y588" s="708">
        <v>60</v>
      </c>
      <c r="Z588" s="763">
        <f t="shared" si="89"/>
        <v>258</v>
      </c>
      <c r="AA588" s="708">
        <v>1</v>
      </c>
      <c r="AB588" s="708"/>
      <c r="AC588" s="708"/>
      <c r="AD588" s="146" t="s">
        <v>185</v>
      </c>
      <c r="AE588" s="146" t="s">
        <v>432</v>
      </c>
      <c r="AF588" s="146" t="s">
        <v>417</v>
      </c>
      <c r="AG588" s="708"/>
    </row>
    <row r="589" s="570" customFormat="1" ht="24.95" customHeight="1" spans="1:33">
      <c r="A589" s="705"/>
      <c r="B589" s="199" t="s">
        <v>114</v>
      </c>
      <c r="C589" s="146" t="s">
        <v>52</v>
      </c>
      <c r="D589" s="141" t="s">
        <v>147</v>
      </c>
      <c r="E589" s="708">
        <v>1</v>
      </c>
      <c r="F589" s="199" t="s">
        <v>114</v>
      </c>
      <c r="G589" s="708"/>
      <c r="H589" s="708">
        <v>10</v>
      </c>
      <c r="I589" s="708"/>
      <c r="J589" s="708">
        <v>10</v>
      </c>
      <c r="K589" s="708"/>
      <c r="L589" s="92">
        <v>2019.01</v>
      </c>
      <c r="M589" s="92">
        <v>2019.12</v>
      </c>
      <c r="N589" s="726">
        <v>8</v>
      </c>
      <c r="O589" s="726"/>
      <c r="P589" s="726">
        <v>8</v>
      </c>
      <c r="Q589" s="726"/>
      <c r="R589" s="726"/>
      <c r="S589" s="726">
        <v>8</v>
      </c>
      <c r="T589" s="726"/>
      <c r="U589" s="726"/>
      <c r="V589" s="726"/>
      <c r="W589" s="726"/>
      <c r="X589" s="726"/>
      <c r="Y589" s="708">
        <v>10</v>
      </c>
      <c r="Z589" s="763">
        <f t="shared" si="89"/>
        <v>43</v>
      </c>
      <c r="AA589" s="708">
        <v>1</v>
      </c>
      <c r="AB589" s="708"/>
      <c r="AC589" s="708"/>
      <c r="AD589" s="146" t="s">
        <v>115</v>
      </c>
      <c r="AE589" s="146" t="s">
        <v>433</v>
      </c>
      <c r="AF589" s="146" t="s">
        <v>417</v>
      </c>
      <c r="AG589" s="708"/>
    </row>
    <row r="590" s="570" customFormat="1" ht="24.95" customHeight="1" spans="1:33">
      <c r="A590" s="705">
        <v>74</v>
      </c>
      <c r="B590" s="791" t="s">
        <v>434</v>
      </c>
      <c r="C590" s="708"/>
      <c r="D590" s="709" t="s">
        <v>147</v>
      </c>
      <c r="E590" s="708"/>
      <c r="F590" s="708"/>
      <c r="G590" s="708"/>
      <c r="H590" s="708"/>
      <c r="I590" s="708"/>
      <c r="J590" s="708"/>
      <c r="K590" s="708"/>
      <c r="L590" s="708"/>
      <c r="M590" s="708"/>
      <c r="N590" s="726"/>
      <c r="O590" s="726"/>
      <c r="P590" s="726"/>
      <c r="Q590" s="726"/>
      <c r="R590" s="726"/>
      <c r="S590" s="726"/>
      <c r="T590" s="726"/>
      <c r="U590" s="726"/>
      <c r="V590" s="726"/>
      <c r="W590" s="726"/>
      <c r="X590" s="726"/>
      <c r="Y590" s="726"/>
      <c r="Z590" s="726"/>
      <c r="AA590" s="708"/>
      <c r="AB590" s="708"/>
      <c r="AC590" s="708"/>
      <c r="AD590" s="708"/>
      <c r="AE590" s="708"/>
      <c r="AF590" s="708" t="s">
        <v>435</v>
      </c>
      <c r="AG590" s="708" t="s">
        <v>41</v>
      </c>
    </row>
    <row r="591" s="570" customFormat="1" ht="24.95" customHeight="1" spans="1:33">
      <c r="A591" s="705" t="s">
        <v>48</v>
      </c>
      <c r="B591" s="92" t="s">
        <v>148</v>
      </c>
      <c r="C591" s="92"/>
      <c r="D591" s="76"/>
      <c r="E591" s="92"/>
      <c r="F591" s="92"/>
      <c r="G591" s="92"/>
      <c r="H591" s="92"/>
      <c r="I591" s="92"/>
      <c r="J591" s="92"/>
      <c r="K591" s="92"/>
      <c r="L591" s="92"/>
      <c r="M591" s="92"/>
      <c r="N591" s="724"/>
      <c r="O591" s="724"/>
      <c r="P591" s="724"/>
      <c r="Q591" s="724"/>
      <c r="R591" s="724"/>
      <c r="S591" s="724"/>
      <c r="T591" s="724"/>
      <c r="U591" s="724"/>
      <c r="V591" s="92"/>
      <c r="W591" s="92"/>
      <c r="X591" s="92"/>
      <c r="Y591" s="92"/>
      <c r="Z591" s="92"/>
      <c r="AA591" s="92"/>
      <c r="AB591" s="92"/>
      <c r="AC591" s="92"/>
      <c r="AD591" s="92"/>
      <c r="AE591" s="92"/>
      <c r="AF591" s="92"/>
      <c r="AG591" s="92"/>
    </row>
    <row r="592" s="570" customFormat="1" ht="41" customHeight="1" spans="1:33">
      <c r="A592" s="705">
        <v>75</v>
      </c>
      <c r="B592" s="708" t="s">
        <v>436</v>
      </c>
      <c r="C592" s="708"/>
      <c r="D592" s="709" t="s">
        <v>150</v>
      </c>
      <c r="E592" s="708"/>
      <c r="F592" s="708"/>
      <c r="G592" s="708"/>
      <c r="H592" s="708"/>
      <c r="I592" s="708"/>
      <c r="J592" s="708"/>
      <c r="K592" s="708"/>
      <c r="L592" s="708"/>
      <c r="M592" s="708"/>
      <c r="N592" s="726"/>
      <c r="O592" s="726"/>
      <c r="P592" s="726"/>
      <c r="Q592" s="726"/>
      <c r="R592" s="726"/>
      <c r="S592" s="726"/>
      <c r="T592" s="726"/>
      <c r="U592" s="726"/>
      <c r="V592" s="726"/>
      <c r="W592" s="726"/>
      <c r="X592" s="726"/>
      <c r="Y592" s="726"/>
      <c r="Z592" s="726"/>
      <c r="AA592" s="708"/>
      <c r="AB592" s="708"/>
      <c r="AC592" s="708"/>
      <c r="AD592" s="708"/>
      <c r="AE592" s="708"/>
      <c r="AF592" s="708" t="s">
        <v>417</v>
      </c>
      <c r="AG592" s="708" t="s">
        <v>41</v>
      </c>
    </row>
    <row r="593" s="570" customFormat="1" ht="24.95" customHeight="1" spans="1:33">
      <c r="A593" s="705" t="s">
        <v>48</v>
      </c>
      <c r="B593" s="92" t="s">
        <v>148</v>
      </c>
      <c r="C593" s="92"/>
      <c r="D593" s="76"/>
      <c r="E593" s="92"/>
      <c r="F593" s="92"/>
      <c r="G593" s="92"/>
      <c r="H593" s="92"/>
      <c r="I593" s="92"/>
      <c r="J593" s="92"/>
      <c r="K593" s="92"/>
      <c r="L593" s="92"/>
      <c r="M593" s="92"/>
      <c r="N593" s="724"/>
      <c r="O593" s="724"/>
      <c r="P593" s="724"/>
      <c r="Q593" s="724"/>
      <c r="R593" s="724"/>
      <c r="S593" s="724"/>
      <c r="T593" s="724"/>
      <c r="U593" s="724"/>
      <c r="V593" s="724"/>
      <c r="W593" s="724"/>
      <c r="X593" s="724"/>
      <c r="Y593" s="724"/>
      <c r="Z593" s="724"/>
      <c r="AA593" s="92"/>
      <c r="AB593" s="92"/>
      <c r="AC593" s="92"/>
      <c r="AD593" s="92"/>
      <c r="AE593" s="92"/>
      <c r="AF593" s="92"/>
      <c r="AG593" s="92"/>
    </row>
    <row r="594" customFormat="1" ht="24.95" customHeight="1" spans="1:33">
      <c r="A594" s="705"/>
      <c r="B594" s="711" t="s">
        <v>437</v>
      </c>
      <c r="C594" s="141" t="s">
        <v>52</v>
      </c>
      <c r="D594" s="141" t="s">
        <v>438</v>
      </c>
      <c r="E594" s="92">
        <f>SUM(E595:E606)</f>
        <v>12</v>
      </c>
      <c r="F594" s="92">
        <f t="shared" ref="F594:AA594" si="90">SUM(F595:F606)</f>
        <v>0</v>
      </c>
      <c r="G594" s="92">
        <f t="shared" si="90"/>
        <v>0</v>
      </c>
      <c r="H594" s="92">
        <f t="shared" si="90"/>
        <v>3000</v>
      </c>
      <c r="I594" s="92">
        <f t="shared" si="90"/>
        <v>0</v>
      </c>
      <c r="J594" s="92">
        <f t="shared" si="90"/>
        <v>3000</v>
      </c>
      <c r="K594" s="92">
        <f t="shared" si="90"/>
        <v>0</v>
      </c>
      <c r="L594" s="92"/>
      <c r="M594" s="92"/>
      <c r="N594" s="92">
        <f t="shared" si="90"/>
        <v>300</v>
      </c>
      <c r="O594" s="92">
        <f t="shared" si="90"/>
        <v>0</v>
      </c>
      <c r="P594" s="92">
        <f t="shared" si="90"/>
        <v>300</v>
      </c>
      <c r="Q594" s="92">
        <f t="shared" si="90"/>
        <v>0</v>
      </c>
      <c r="R594" s="92">
        <f t="shared" si="90"/>
        <v>0</v>
      </c>
      <c r="S594" s="92">
        <f t="shared" si="90"/>
        <v>300</v>
      </c>
      <c r="T594" s="92">
        <f t="shared" si="90"/>
        <v>0</v>
      </c>
      <c r="U594" s="92">
        <f t="shared" si="90"/>
        <v>0</v>
      </c>
      <c r="V594" s="92">
        <f t="shared" si="90"/>
        <v>0</v>
      </c>
      <c r="W594" s="92">
        <f t="shared" si="90"/>
        <v>0</v>
      </c>
      <c r="X594" s="92">
        <f t="shared" si="90"/>
        <v>0</v>
      </c>
      <c r="Y594" s="92">
        <f t="shared" si="90"/>
        <v>3000</v>
      </c>
      <c r="Z594" s="92">
        <f t="shared" si="90"/>
        <v>12900</v>
      </c>
      <c r="AA594" s="92">
        <f t="shared" si="90"/>
        <v>12</v>
      </c>
      <c r="AB594" s="92"/>
      <c r="AC594" s="92"/>
      <c r="AD594" s="146" t="s">
        <v>415</v>
      </c>
      <c r="AE594" s="146" t="s">
        <v>440</v>
      </c>
      <c r="AF594" s="146" t="s">
        <v>417</v>
      </c>
      <c r="AG594" s="92"/>
    </row>
    <row r="595" customFormat="1" ht="24.95" customHeight="1" spans="1:33">
      <c r="A595" s="705"/>
      <c r="B595" s="199" t="s">
        <v>69</v>
      </c>
      <c r="C595" s="141" t="s">
        <v>52</v>
      </c>
      <c r="D595" s="141" t="s">
        <v>438</v>
      </c>
      <c r="E595" s="92">
        <v>1</v>
      </c>
      <c r="F595" s="199" t="s">
        <v>69</v>
      </c>
      <c r="G595" s="92"/>
      <c r="H595" s="92">
        <f t="shared" ref="H594:H606" si="91">N595/0.1</f>
        <v>200</v>
      </c>
      <c r="I595" s="92"/>
      <c r="J595" s="92">
        <v>200</v>
      </c>
      <c r="K595" s="92"/>
      <c r="L595" s="92">
        <v>2019.01</v>
      </c>
      <c r="M595" s="92">
        <v>2019.12</v>
      </c>
      <c r="N595" s="724">
        <v>20</v>
      </c>
      <c r="O595" s="724"/>
      <c r="P595" s="724">
        <v>20</v>
      </c>
      <c r="Q595" s="724"/>
      <c r="R595" s="724"/>
      <c r="S595" s="724">
        <v>20</v>
      </c>
      <c r="T595" s="724"/>
      <c r="U595" s="724"/>
      <c r="V595" s="724"/>
      <c r="W595" s="724"/>
      <c r="X595" s="724"/>
      <c r="Y595" s="92">
        <v>200</v>
      </c>
      <c r="Z595" s="738">
        <f t="shared" ref="Z594:Z606" si="92">Y595*4.3</f>
        <v>860</v>
      </c>
      <c r="AA595" s="92">
        <v>1</v>
      </c>
      <c r="AB595" s="92"/>
      <c r="AC595" s="92"/>
      <c r="AD595" s="146" t="s">
        <v>425</v>
      </c>
      <c r="AE595" s="146" t="s">
        <v>426</v>
      </c>
      <c r="AF595" s="146" t="s">
        <v>417</v>
      </c>
      <c r="AG595" s="92"/>
    </row>
    <row r="596" customFormat="1" ht="24.95" customHeight="1" spans="1:33">
      <c r="A596" s="705"/>
      <c r="B596" s="199" t="s">
        <v>51</v>
      </c>
      <c r="C596" s="141" t="s">
        <v>52</v>
      </c>
      <c r="D596" s="141" t="s">
        <v>438</v>
      </c>
      <c r="E596" s="92">
        <v>1</v>
      </c>
      <c r="F596" s="199" t="s">
        <v>51</v>
      </c>
      <c r="G596" s="92"/>
      <c r="H596" s="92">
        <f t="shared" si="91"/>
        <v>200</v>
      </c>
      <c r="I596" s="92"/>
      <c r="J596" s="92">
        <v>200</v>
      </c>
      <c r="K596" s="92"/>
      <c r="L596" s="92">
        <v>2019.01</v>
      </c>
      <c r="M596" s="92">
        <v>2019.12</v>
      </c>
      <c r="N596" s="724">
        <v>20</v>
      </c>
      <c r="O596" s="724"/>
      <c r="P596" s="724">
        <v>20</v>
      </c>
      <c r="Q596" s="724"/>
      <c r="R596" s="724"/>
      <c r="S596" s="724">
        <v>20</v>
      </c>
      <c r="T596" s="724"/>
      <c r="U596" s="724"/>
      <c r="V596" s="724"/>
      <c r="W596" s="724"/>
      <c r="X596" s="724"/>
      <c r="Y596" s="92">
        <v>200</v>
      </c>
      <c r="Z596" s="738">
        <f t="shared" si="92"/>
        <v>860</v>
      </c>
      <c r="AA596" s="92">
        <v>1</v>
      </c>
      <c r="AB596" s="92"/>
      <c r="AC596" s="92"/>
      <c r="AD596" s="71" t="s">
        <v>53</v>
      </c>
      <c r="AE596" s="71" t="s">
        <v>427</v>
      </c>
      <c r="AF596" s="146" t="s">
        <v>417</v>
      </c>
      <c r="AG596" s="92"/>
    </row>
    <row r="597" customFormat="1" ht="24.95" customHeight="1" spans="1:33">
      <c r="A597" s="705"/>
      <c r="B597" s="199" t="s">
        <v>72</v>
      </c>
      <c r="C597" s="141" t="s">
        <v>52</v>
      </c>
      <c r="D597" s="141" t="s">
        <v>438</v>
      </c>
      <c r="E597" s="92">
        <v>1</v>
      </c>
      <c r="F597" s="199" t="s">
        <v>72</v>
      </c>
      <c r="G597" s="92"/>
      <c r="H597" s="92">
        <f t="shared" si="91"/>
        <v>200</v>
      </c>
      <c r="I597" s="92"/>
      <c r="J597" s="92">
        <v>200</v>
      </c>
      <c r="K597" s="92"/>
      <c r="L597" s="92">
        <v>2019.01</v>
      </c>
      <c r="M597" s="92">
        <v>2019.12</v>
      </c>
      <c r="N597" s="724">
        <v>20</v>
      </c>
      <c r="O597" s="724"/>
      <c r="P597" s="724">
        <v>20</v>
      </c>
      <c r="Q597" s="724"/>
      <c r="R597" s="724"/>
      <c r="S597" s="724">
        <v>20</v>
      </c>
      <c r="T597" s="724"/>
      <c r="U597" s="724"/>
      <c r="V597" s="724"/>
      <c r="W597" s="724"/>
      <c r="X597" s="724"/>
      <c r="Y597" s="92">
        <v>200</v>
      </c>
      <c r="Z597" s="738">
        <f t="shared" si="92"/>
        <v>860</v>
      </c>
      <c r="AA597" s="92">
        <v>1</v>
      </c>
      <c r="AB597" s="92"/>
      <c r="AC597" s="92"/>
      <c r="AD597" s="146" t="s">
        <v>428</v>
      </c>
      <c r="AE597" s="146" t="s">
        <v>429</v>
      </c>
      <c r="AF597" s="146" t="s">
        <v>417</v>
      </c>
      <c r="AG597" s="92"/>
    </row>
    <row r="598" customFormat="1" ht="24.95" customHeight="1" spans="1:33">
      <c r="A598" s="705"/>
      <c r="B598" s="199" t="s">
        <v>55</v>
      </c>
      <c r="C598" s="141" t="s">
        <v>52</v>
      </c>
      <c r="D598" s="141" t="s">
        <v>438</v>
      </c>
      <c r="E598" s="92">
        <v>1</v>
      </c>
      <c r="F598" s="199" t="s">
        <v>55</v>
      </c>
      <c r="G598" s="92"/>
      <c r="H598" s="92">
        <f t="shared" si="91"/>
        <v>200</v>
      </c>
      <c r="I598" s="92"/>
      <c r="J598" s="92">
        <v>200</v>
      </c>
      <c r="K598" s="92"/>
      <c r="L598" s="92">
        <v>2019.01</v>
      </c>
      <c r="M598" s="92">
        <v>2019.12</v>
      </c>
      <c r="N598" s="724">
        <v>20</v>
      </c>
      <c r="O598" s="724"/>
      <c r="P598" s="724">
        <v>20</v>
      </c>
      <c r="Q598" s="724"/>
      <c r="R598" s="724"/>
      <c r="S598" s="724">
        <v>20</v>
      </c>
      <c r="T598" s="724"/>
      <c r="U598" s="724"/>
      <c r="V598" s="724"/>
      <c r="W598" s="724"/>
      <c r="X598" s="724"/>
      <c r="Y598" s="92">
        <v>200</v>
      </c>
      <c r="Z598" s="738">
        <f t="shared" si="92"/>
        <v>860</v>
      </c>
      <c r="AA598" s="92">
        <v>1</v>
      </c>
      <c r="AB598" s="92"/>
      <c r="AC598" s="92"/>
      <c r="AD598" s="146" t="s">
        <v>395</v>
      </c>
      <c r="AE598" s="146" t="s">
        <v>441</v>
      </c>
      <c r="AF598" s="146" t="s">
        <v>417</v>
      </c>
      <c r="AG598" s="92"/>
    </row>
    <row r="599" customFormat="1" ht="24.95" customHeight="1" spans="1:33">
      <c r="A599" s="705"/>
      <c r="B599" s="199" t="s">
        <v>91</v>
      </c>
      <c r="C599" s="141" t="s">
        <v>52</v>
      </c>
      <c r="D599" s="141" t="s">
        <v>438</v>
      </c>
      <c r="E599" s="92">
        <v>1</v>
      </c>
      <c r="F599" s="199" t="s">
        <v>91</v>
      </c>
      <c r="G599" s="92"/>
      <c r="H599" s="92">
        <f t="shared" si="91"/>
        <v>300</v>
      </c>
      <c r="I599" s="92"/>
      <c r="J599" s="92">
        <v>300</v>
      </c>
      <c r="K599" s="92"/>
      <c r="L599" s="92">
        <v>2019.01</v>
      </c>
      <c r="M599" s="92">
        <v>2019.12</v>
      </c>
      <c r="N599" s="724">
        <v>30</v>
      </c>
      <c r="O599" s="724"/>
      <c r="P599" s="724">
        <v>30</v>
      </c>
      <c r="Q599" s="724"/>
      <c r="R599" s="724"/>
      <c r="S599" s="724">
        <v>30</v>
      </c>
      <c r="T599" s="724"/>
      <c r="U599" s="724"/>
      <c r="V599" s="724"/>
      <c r="W599" s="724"/>
      <c r="X599" s="724"/>
      <c r="Y599" s="92">
        <v>300</v>
      </c>
      <c r="Z599" s="738">
        <f t="shared" si="92"/>
        <v>1290</v>
      </c>
      <c r="AA599" s="92">
        <v>1</v>
      </c>
      <c r="AB599" s="92"/>
      <c r="AC599" s="92"/>
      <c r="AD599" s="146" t="s">
        <v>418</v>
      </c>
      <c r="AE599" s="146" t="s">
        <v>419</v>
      </c>
      <c r="AF599" s="146" t="s">
        <v>417</v>
      </c>
      <c r="AG599" s="92"/>
    </row>
    <row r="600" customFormat="1" ht="24.95" customHeight="1" spans="1:33">
      <c r="A600" s="705"/>
      <c r="B600" s="199" t="s">
        <v>75</v>
      </c>
      <c r="C600" s="141" t="s">
        <v>52</v>
      </c>
      <c r="D600" s="141" t="s">
        <v>438</v>
      </c>
      <c r="E600" s="92">
        <v>1</v>
      </c>
      <c r="F600" s="199" t="s">
        <v>75</v>
      </c>
      <c r="G600" s="92"/>
      <c r="H600" s="92">
        <f t="shared" si="91"/>
        <v>200</v>
      </c>
      <c r="I600" s="92"/>
      <c r="J600" s="92">
        <v>200</v>
      </c>
      <c r="K600" s="92"/>
      <c r="L600" s="92">
        <v>2019.01</v>
      </c>
      <c r="M600" s="92">
        <v>2019.12</v>
      </c>
      <c r="N600" s="724">
        <v>20</v>
      </c>
      <c r="O600" s="724"/>
      <c r="P600" s="724">
        <v>20</v>
      </c>
      <c r="Q600" s="724"/>
      <c r="R600" s="724"/>
      <c r="S600" s="724">
        <v>20</v>
      </c>
      <c r="T600" s="724"/>
      <c r="U600" s="724"/>
      <c r="V600" s="724"/>
      <c r="W600" s="724"/>
      <c r="X600" s="724"/>
      <c r="Y600" s="92">
        <v>200</v>
      </c>
      <c r="Z600" s="738">
        <f t="shared" si="92"/>
        <v>860</v>
      </c>
      <c r="AA600" s="92">
        <v>1</v>
      </c>
      <c r="AB600" s="92"/>
      <c r="AC600" s="92"/>
      <c r="AD600" s="86" t="s">
        <v>76</v>
      </c>
      <c r="AE600" s="86"/>
      <c r="AF600" s="146" t="s">
        <v>417</v>
      </c>
      <c r="AG600" s="92"/>
    </row>
    <row r="601" customFormat="1" ht="24.95" customHeight="1" spans="1:33">
      <c r="A601" s="705"/>
      <c r="B601" s="199" t="s">
        <v>58</v>
      </c>
      <c r="C601" s="141" t="s">
        <v>52</v>
      </c>
      <c r="D601" s="141" t="s">
        <v>438</v>
      </c>
      <c r="E601" s="92">
        <v>1</v>
      </c>
      <c r="F601" s="199" t="s">
        <v>58</v>
      </c>
      <c r="G601" s="92"/>
      <c r="H601" s="92">
        <f t="shared" si="91"/>
        <v>300</v>
      </c>
      <c r="I601" s="92"/>
      <c r="J601" s="92">
        <v>300</v>
      </c>
      <c r="K601" s="92"/>
      <c r="L601" s="92">
        <v>2019.01</v>
      </c>
      <c r="M601" s="92">
        <v>2019.12</v>
      </c>
      <c r="N601" s="724">
        <v>30</v>
      </c>
      <c r="O601" s="724"/>
      <c r="P601" s="724">
        <v>30</v>
      </c>
      <c r="Q601" s="724"/>
      <c r="R601" s="724"/>
      <c r="S601" s="724">
        <v>30</v>
      </c>
      <c r="T601" s="724"/>
      <c r="U601" s="724"/>
      <c r="V601" s="724"/>
      <c r="W601" s="724"/>
      <c r="X601" s="724"/>
      <c r="Y601" s="92">
        <v>300</v>
      </c>
      <c r="Z601" s="738">
        <f t="shared" si="92"/>
        <v>1290</v>
      </c>
      <c r="AA601" s="92">
        <v>1</v>
      </c>
      <c r="AB601" s="92"/>
      <c r="AC601" s="92"/>
      <c r="AD601" s="86" t="s">
        <v>399</v>
      </c>
      <c r="AE601" s="86" t="s">
        <v>430</v>
      </c>
      <c r="AF601" s="146" t="s">
        <v>417</v>
      </c>
      <c r="AG601" s="92"/>
    </row>
    <row r="602" customFormat="1" ht="24.95" customHeight="1" spans="1:33">
      <c r="A602" s="705"/>
      <c r="B602" s="199" t="s">
        <v>61</v>
      </c>
      <c r="C602" s="141" t="s">
        <v>52</v>
      </c>
      <c r="D602" s="141" t="s">
        <v>438</v>
      </c>
      <c r="E602" s="92">
        <v>1</v>
      </c>
      <c r="F602" s="199" t="s">
        <v>61</v>
      </c>
      <c r="G602" s="92"/>
      <c r="H602" s="92">
        <f t="shared" si="91"/>
        <v>520</v>
      </c>
      <c r="I602" s="92"/>
      <c r="J602" s="92">
        <v>520</v>
      </c>
      <c r="K602" s="92"/>
      <c r="L602" s="92">
        <v>2019.01</v>
      </c>
      <c r="M602" s="92">
        <v>2019.12</v>
      </c>
      <c r="N602" s="724">
        <v>52</v>
      </c>
      <c r="O602" s="724"/>
      <c r="P602" s="724">
        <v>52</v>
      </c>
      <c r="Q602" s="724"/>
      <c r="R602" s="724"/>
      <c r="S602" s="724">
        <v>52</v>
      </c>
      <c r="T602" s="724"/>
      <c r="U602" s="724"/>
      <c r="V602" s="724"/>
      <c r="W602" s="724"/>
      <c r="X602" s="724"/>
      <c r="Y602" s="92">
        <v>520</v>
      </c>
      <c r="Z602" s="738">
        <f t="shared" si="92"/>
        <v>2236</v>
      </c>
      <c r="AA602" s="92">
        <v>1</v>
      </c>
      <c r="AB602" s="92"/>
      <c r="AC602" s="92"/>
      <c r="AD602" s="146" t="s">
        <v>421</v>
      </c>
      <c r="AE602" s="146" t="s">
        <v>422</v>
      </c>
      <c r="AF602" s="146" t="s">
        <v>417</v>
      </c>
      <c r="AG602" s="92"/>
    </row>
    <row r="603" customFormat="1" ht="24.95" customHeight="1" spans="1:33">
      <c r="A603" s="705"/>
      <c r="B603" s="199" t="s">
        <v>78</v>
      </c>
      <c r="C603" s="141" t="s">
        <v>52</v>
      </c>
      <c r="D603" s="141" t="s">
        <v>438</v>
      </c>
      <c r="E603" s="92">
        <v>1</v>
      </c>
      <c r="F603" s="199" t="s">
        <v>78</v>
      </c>
      <c r="G603" s="92"/>
      <c r="H603" s="92">
        <f t="shared" si="91"/>
        <v>200</v>
      </c>
      <c r="I603" s="92"/>
      <c r="J603" s="92">
        <v>200</v>
      </c>
      <c r="K603" s="92"/>
      <c r="L603" s="92">
        <v>2019.01</v>
      </c>
      <c r="M603" s="92">
        <v>2019.12</v>
      </c>
      <c r="N603" s="724">
        <v>20</v>
      </c>
      <c r="O603" s="724"/>
      <c r="P603" s="724">
        <v>20</v>
      </c>
      <c r="Q603" s="724"/>
      <c r="R603" s="724"/>
      <c r="S603" s="724">
        <v>20</v>
      </c>
      <c r="T603" s="724"/>
      <c r="U603" s="724"/>
      <c r="V603" s="724"/>
      <c r="W603" s="724"/>
      <c r="X603" s="724"/>
      <c r="Y603" s="92">
        <v>200</v>
      </c>
      <c r="Z603" s="738">
        <f t="shared" si="92"/>
        <v>860</v>
      </c>
      <c r="AA603" s="92">
        <v>1</v>
      </c>
      <c r="AB603" s="92"/>
      <c r="AC603" s="92"/>
      <c r="AD603" s="86" t="s">
        <v>217</v>
      </c>
      <c r="AE603" s="71" t="s">
        <v>431</v>
      </c>
      <c r="AF603" s="146" t="s">
        <v>417</v>
      </c>
      <c r="AG603" s="92"/>
    </row>
    <row r="604" customFormat="1" ht="24.95" customHeight="1" spans="1:33">
      <c r="A604" s="705"/>
      <c r="B604" s="199" t="s">
        <v>114</v>
      </c>
      <c r="C604" s="141" t="s">
        <v>52</v>
      </c>
      <c r="D604" s="141" t="s">
        <v>438</v>
      </c>
      <c r="E604" s="92">
        <v>1</v>
      </c>
      <c r="F604" s="199" t="s">
        <v>114</v>
      </c>
      <c r="G604" s="92"/>
      <c r="H604" s="92">
        <f t="shared" si="91"/>
        <v>180</v>
      </c>
      <c r="I604" s="92"/>
      <c r="J604" s="92">
        <v>180</v>
      </c>
      <c r="K604" s="92"/>
      <c r="L604" s="92">
        <v>2019.01</v>
      </c>
      <c r="M604" s="92">
        <v>2019.12</v>
      </c>
      <c r="N604" s="724">
        <v>18</v>
      </c>
      <c r="O604" s="724"/>
      <c r="P604" s="724">
        <v>18</v>
      </c>
      <c r="Q604" s="724"/>
      <c r="R604" s="724"/>
      <c r="S604" s="724">
        <v>18</v>
      </c>
      <c r="T604" s="724"/>
      <c r="U604" s="724"/>
      <c r="V604" s="724"/>
      <c r="W604" s="724"/>
      <c r="X604" s="724"/>
      <c r="Y604" s="92">
        <v>180</v>
      </c>
      <c r="Z604" s="738">
        <f t="shared" si="92"/>
        <v>774</v>
      </c>
      <c r="AA604" s="92">
        <v>1</v>
      </c>
      <c r="AB604" s="92"/>
      <c r="AC604" s="92"/>
      <c r="AD604" s="146" t="s">
        <v>115</v>
      </c>
      <c r="AE604" s="146" t="s">
        <v>433</v>
      </c>
      <c r="AF604" s="146" t="s">
        <v>417</v>
      </c>
      <c r="AG604" s="92"/>
    </row>
    <row r="605" customFormat="1" ht="24.95" customHeight="1" spans="1:33">
      <c r="A605" s="705"/>
      <c r="B605" s="199" t="s">
        <v>64</v>
      </c>
      <c r="C605" s="141" t="s">
        <v>52</v>
      </c>
      <c r="D605" s="141" t="s">
        <v>438</v>
      </c>
      <c r="E605" s="92">
        <v>1</v>
      </c>
      <c r="F605" s="199" t="s">
        <v>64</v>
      </c>
      <c r="G605" s="92"/>
      <c r="H605" s="92">
        <f t="shared" si="91"/>
        <v>300</v>
      </c>
      <c r="I605" s="92"/>
      <c r="J605" s="92">
        <v>300</v>
      </c>
      <c r="K605" s="92"/>
      <c r="L605" s="92">
        <v>2019.01</v>
      </c>
      <c r="M605" s="92">
        <v>2019.12</v>
      </c>
      <c r="N605" s="724">
        <v>30</v>
      </c>
      <c r="O605" s="724"/>
      <c r="P605" s="724">
        <v>30</v>
      </c>
      <c r="Q605" s="724"/>
      <c r="R605" s="724"/>
      <c r="S605" s="724">
        <v>30</v>
      </c>
      <c r="T605" s="724"/>
      <c r="U605" s="724"/>
      <c r="V605" s="724"/>
      <c r="W605" s="724"/>
      <c r="X605" s="724"/>
      <c r="Y605" s="92">
        <v>300</v>
      </c>
      <c r="Z605" s="738">
        <f t="shared" si="92"/>
        <v>1290</v>
      </c>
      <c r="AA605" s="92">
        <v>1</v>
      </c>
      <c r="AB605" s="92"/>
      <c r="AC605" s="92"/>
      <c r="AD605" s="146" t="s">
        <v>185</v>
      </c>
      <c r="AE605" s="146" t="s">
        <v>432</v>
      </c>
      <c r="AF605" s="146" t="s">
        <v>417</v>
      </c>
      <c r="AG605" s="92"/>
    </row>
    <row r="606" customFormat="1" ht="24.95" customHeight="1" spans="1:33">
      <c r="A606" s="705"/>
      <c r="B606" s="199" t="s">
        <v>92</v>
      </c>
      <c r="C606" s="141" t="s">
        <v>52</v>
      </c>
      <c r="D606" s="141" t="s">
        <v>438</v>
      </c>
      <c r="E606" s="92">
        <v>1</v>
      </c>
      <c r="F606" s="199" t="s">
        <v>92</v>
      </c>
      <c r="G606" s="92"/>
      <c r="H606" s="92">
        <f t="shared" si="91"/>
        <v>200</v>
      </c>
      <c r="I606" s="92"/>
      <c r="J606" s="92">
        <v>200</v>
      </c>
      <c r="K606" s="92"/>
      <c r="L606" s="92">
        <v>2019.01</v>
      </c>
      <c r="M606" s="92">
        <v>2019.12</v>
      </c>
      <c r="N606" s="724">
        <v>20</v>
      </c>
      <c r="O606" s="724"/>
      <c r="P606" s="724">
        <v>20</v>
      </c>
      <c r="Q606" s="724"/>
      <c r="R606" s="724"/>
      <c r="S606" s="724">
        <v>20</v>
      </c>
      <c r="T606" s="724"/>
      <c r="U606" s="724"/>
      <c r="V606" s="724"/>
      <c r="W606" s="724"/>
      <c r="X606" s="724"/>
      <c r="Y606" s="92">
        <v>200</v>
      </c>
      <c r="Z606" s="738">
        <f t="shared" si="92"/>
        <v>860</v>
      </c>
      <c r="AA606" s="92">
        <v>1</v>
      </c>
      <c r="AB606" s="92"/>
      <c r="AC606" s="92"/>
      <c r="AD606" s="86" t="s">
        <v>93</v>
      </c>
      <c r="AE606" s="86" t="s">
        <v>420</v>
      </c>
      <c r="AF606" s="146" t="s">
        <v>417</v>
      </c>
      <c r="AG606" s="92"/>
    </row>
    <row r="607" s="570" customFormat="1" ht="32.1" customHeight="1" spans="1:33">
      <c r="A607" s="705">
        <v>76</v>
      </c>
      <c r="B607" s="706" t="s">
        <v>442</v>
      </c>
      <c r="C607" s="706"/>
      <c r="D607" s="707"/>
      <c r="E607" s="706">
        <f>E608+E621+E637</f>
        <v>37</v>
      </c>
      <c r="F607" s="706">
        <f t="shared" ref="F607:AA607" si="93">F608+F621+F637</f>
        <v>0</v>
      </c>
      <c r="G607" s="706">
        <f t="shared" si="93"/>
        <v>0</v>
      </c>
      <c r="H607" s="706">
        <f t="shared" si="93"/>
        <v>7532</v>
      </c>
      <c r="I607" s="706">
        <f t="shared" si="93"/>
        <v>0</v>
      </c>
      <c r="J607" s="706">
        <f t="shared" si="93"/>
        <v>7532</v>
      </c>
      <c r="K607" s="706">
        <f t="shared" si="93"/>
        <v>0</v>
      </c>
      <c r="L607" s="706"/>
      <c r="M607" s="706"/>
      <c r="N607" s="706">
        <f t="shared" si="93"/>
        <v>151.668</v>
      </c>
      <c r="O607" s="706">
        <f t="shared" si="93"/>
        <v>0</v>
      </c>
      <c r="P607" s="706">
        <f t="shared" si="93"/>
        <v>151.668</v>
      </c>
      <c r="Q607" s="706">
        <f t="shared" si="93"/>
        <v>0</v>
      </c>
      <c r="R607" s="706">
        <f t="shared" si="93"/>
        <v>151.668</v>
      </c>
      <c r="S607" s="706">
        <f t="shared" si="93"/>
        <v>0</v>
      </c>
      <c r="T607" s="706">
        <f t="shared" si="93"/>
        <v>0</v>
      </c>
      <c r="U607" s="706">
        <f t="shared" si="93"/>
        <v>0</v>
      </c>
      <c r="V607" s="706">
        <f t="shared" si="93"/>
        <v>0</v>
      </c>
      <c r="W607" s="706">
        <f t="shared" si="93"/>
        <v>0</v>
      </c>
      <c r="X607" s="706">
        <f t="shared" si="93"/>
        <v>0</v>
      </c>
      <c r="Y607" s="706">
        <f t="shared" si="93"/>
        <v>7532</v>
      </c>
      <c r="Z607" s="706">
        <f t="shared" si="93"/>
        <v>21730</v>
      </c>
      <c r="AA607" s="706">
        <f t="shared" si="93"/>
        <v>37</v>
      </c>
      <c r="AB607" s="706"/>
      <c r="AC607" s="706"/>
      <c r="AD607" s="706"/>
      <c r="AE607" s="706"/>
      <c r="AF607" s="706"/>
      <c r="AG607" s="706" t="s">
        <v>41</v>
      </c>
    </row>
    <row r="608" s="570" customFormat="1" ht="24.95" customHeight="1" spans="1:33">
      <c r="A608" s="705">
        <v>77</v>
      </c>
      <c r="B608" s="708" t="s">
        <v>443</v>
      </c>
      <c r="C608" s="708"/>
      <c r="D608" s="709" t="s">
        <v>384</v>
      </c>
      <c r="E608" s="708">
        <f>SUM(E609:E620)</f>
        <v>12</v>
      </c>
      <c r="F608" s="708">
        <f t="shared" ref="F608:AA608" si="94">SUM(F609:F620)</f>
        <v>0</v>
      </c>
      <c r="G608" s="708">
        <f t="shared" si="94"/>
        <v>0</v>
      </c>
      <c r="H608" s="708">
        <f t="shared" si="94"/>
        <v>5968</v>
      </c>
      <c r="I608" s="708">
        <f t="shared" si="94"/>
        <v>0</v>
      </c>
      <c r="J608" s="708">
        <f t="shared" si="94"/>
        <v>5968</v>
      </c>
      <c r="K608" s="708">
        <f t="shared" si="94"/>
        <v>0</v>
      </c>
      <c r="L608" s="708"/>
      <c r="M608" s="708"/>
      <c r="N608" s="708">
        <f t="shared" si="94"/>
        <v>0</v>
      </c>
      <c r="O608" s="708">
        <f t="shared" si="94"/>
        <v>0</v>
      </c>
      <c r="P608" s="708">
        <f t="shared" si="94"/>
        <v>0</v>
      </c>
      <c r="Q608" s="708">
        <f t="shared" si="94"/>
        <v>0</v>
      </c>
      <c r="R608" s="708">
        <f t="shared" si="94"/>
        <v>0</v>
      </c>
      <c r="S608" s="708">
        <f t="shared" si="94"/>
        <v>0</v>
      </c>
      <c r="T608" s="708">
        <f t="shared" si="94"/>
        <v>0</v>
      </c>
      <c r="U608" s="708">
        <f t="shared" si="94"/>
        <v>0</v>
      </c>
      <c r="V608" s="708">
        <f t="shared" si="94"/>
        <v>0</v>
      </c>
      <c r="W608" s="708">
        <f t="shared" si="94"/>
        <v>0</v>
      </c>
      <c r="X608" s="708">
        <f t="shared" si="94"/>
        <v>0</v>
      </c>
      <c r="Y608" s="708">
        <f t="shared" si="94"/>
        <v>5968</v>
      </c>
      <c r="Z608" s="708">
        <f t="shared" si="94"/>
        <v>15806</v>
      </c>
      <c r="AA608" s="708">
        <f t="shared" si="94"/>
        <v>12</v>
      </c>
      <c r="AB608" s="708"/>
      <c r="AC608" s="708"/>
      <c r="AD608" s="146" t="s">
        <v>336</v>
      </c>
      <c r="AE608" s="146" t="s">
        <v>337</v>
      </c>
      <c r="AF608" s="146" t="s">
        <v>338</v>
      </c>
      <c r="AG608" s="708" t="s">
        <v>41</v>
      </c>
    </row>
    <row r="609" s="694" customFormat="1" ht="24.95" customHeight="1" spans="1:33">
      <c r="A609" s="705"/>
      <c r="B609" s="714" t="s">
        <v>101</v>
      </c>
      <c r="C609" s="146" t="s">
        <v>52</v>
      </c>
      <c r="D609" s="152" t="s">
        <v>384</v>
      </c>
      <c r="E609" s="708">
        <v>1</v>
      </c>
      <c r="F609" s="714" t="s">
        <v>101</v>
      </c>
      <c r="G609" s="708"/>
      <c r="H609" s="708">
        <v>225</v>
      </c>
      <c r="I609" s="92"/>
      <c r="J609" s="708">
        <v>225</v>
      </c>
      <c r="K609" s="708"/>
      <c r="L609" s="92">
        <v>2019.01</v>
      </c>
      <c r="M609" s="92">
        <v>2019.12</v>
      </c>
      <c r="N609" s="726"/>
      <c r="O609" s="726"/>
      <c r="P609" s="726"/>
      <c r="Q609" s="726"/>
      <c r="R609" s="726"/>
      <c r="S609" s="726"/>
      <c r="T609" s="726"/>
      <c r="U609" s="726"/>
      <c r="V609" s="726"/>
      <c r="W609" s="726"/>
      <c r="X609" s="726"/>
      <c r="Y609" s="763">
        <v>225</v>
      </c>
      <c r="Z609" s="763">
        <v>539</v>
      </c>
      <c r="AA609" s="708">
        <v>1</v>
      </c>
      <c r="AB609" s="708"/>
      <c r="AC609" s="708"/>
      <c r="AD609" s="146" t="s">
        <v>244</v>
      </c>
      <c r="AE609" s="146" t="s">
        <v>333</v>
      </c>
      <c r="AF609" s="146" t="s">
        <v>338</v>
      </c>
      <c r="AG609" s="708"/>
    </row>
    <row r="610" s="694" customFormat="1" ht="24.95" customHeight="1" spans="1:33">
      <c r="A610" s="705"/>
      <c r="B610" s="714" t="s">
        <v>151</v>
      </c>
      <c r="C610" s="146" t="s">
        <v>52</v>
      </c>
      <c r="D610" s="152" t="s">
        <v>384</v>
      </c>
      <c r="E610" s="708">
        <v>1</v>
      </c>
      <c r="F610" s="714" t="s">
        <v>151</v>
      </c>
      <c r="G610" s="708"/>
      <c r="H610" s="708">
        <v>282</v>
      </c>
      <c r="I610" s="92"/>
      <c r="J610" s="708">
        <v>282</v>
      </c>
      <c r="K610" s="708"/>
      <c r="L610" s="92">
        <v>2019.01</v>
      </c>
      <c r="M610" s="92">
        <v>2019.12</v>
      </c>
      <c r="N610" s="726"/>
      <c r="O610" s="726"/>
      <c r="P610" s="726"/>
      <c r="Q610" s="726"/>
      <c r="R610" s="726"/>
      <c r="S610" s="726"/>
      <c r="T610" s="726"/>
      <c r="U610" s="726"/>
      <c r="V610" s="726"/>
      <c r="W610" s="726"/>
      <c r="X610" s="726"/>
      <c r="Y610" s="763">
        <v>282</v>
      </c>
      <c r="Z610" s="763">
        <v>627</v>
      </c>
      <c r="AA610" s="708">
        <v>1</v>
      </c>
      <c r="AB610" s="708"/>
      <c r="AC610" s="708"/>
      <c r="AD610" s="146" t="s">
        <v>339</v>
      </c>
      <c r="AE610" s="146" t="s">
        <v>445</v>
      </c>
      <c r="AF610" s="146" t="s">
        <v>338</v>
      </c>
      <c r="AG610" s="708"/>
    </row>
    <row r="611" s="694" customFormat="1" ht="24.95" customHeight="1" spans="1:33">
      <c r="A611" s="705"/>
      <c r="B611" s="714" t="s">
        <v>154</v>
      </c>
      <c r="C611" s="146" t="s">
        <v>52</v>
      </c>
      <c r="D611" s="152" t="s">
        <v>384</v>
      </c>
      <c r="E611" s="708">
        <v>1</v>
      </c>
      <c r="F611" s="714" t="s">
        <v>154</v>
      </c>
      <c r="G611" s="708"/>
      <c r="H611" s="708">
        <v>748</v>
      </c>
      <c r="I611" s="92"/>
      <c r="J611" s="708">
        <v>748</v>
      </c>
      <c r="K611" s="708"/>
      <c r="L611" s="92">
        <v>2019.01</v>
      </c>
      <c r="M611" s="92">
        <v>2019.12</v>
      </c>
      <c r="N611" s="726"/>
      <c r="O611" s="726"/>
      <c r="P611" s="726"/>
      <c r="Q611" s="726"/>
      <c r="R611" s="726"/>
      <c r="S611" s="726"/>
      <c r="T611" s="726"/>
      <c r="U611" s="726"/>
      <c r="V611" s="726"/>
      <c r="W611" s="726"/>
      <c r="X611" s="726"/>
      <c r="Y611" s="763">
        <v>748</v>
      </c>
      <c r="Z611" s="763">
        <v>2172</v>
      </c>
      <c r="AA611" s="708">
        <v>1</v>
      </c>
      <c r="AB611" s="708"/>
      <c r="AC611" s="708"/>
      <c r="AD611" s="146" t="s">
        <v>247</v>
      </c>
      <c r="AE611" s="146" t="s">
        <v>341</v>
      </c>
      <c r="AF611" s="146" t="s">
        <v>338</v>
      </c>
      <c r="AG611" s="708"/>
    </row>
    <row r="612" s="694" customFormat="1" ht="24.95" customHeight="1" spans="1:33">
      <c r="A612" s="705"/>
      <c r="B612" s="714" t="s">
        <v>81</v>
      </c>
      <c r="C612" s="146" t="s">
        <v>52</v>
      </c>
      <c r="D612" s="152" t="s">
        <v>384</v>
      </c>
      <c r="E612" s="708">
        <v>1</v>
      </c>
      <c r="F612" s="714" t="s">
        <v>81</v>
      </c>
      <c r="G612" s="708"/>
      <c r="H612" s="708">
        <v>626</v>
      </c>
      <c r="I612" s="92"/>
      <c r="J612" s="708">
        <v>626</v>
      </c>
      <c r="K612" s="708"/>
      <c r="L612" s="92">
        <v>2019.01</v>
      </c>
      <c r="M612" s="92">
        <v>2019.12</v>
      </c>
      <c r="N612" s="726"/>
      <c r="O612" s="726"/>
      <c r="P612" s="726"/>
      <c r="Q612" s="726"/>
      <c r="R612" s="726"/>
      <c r="S612" s="726"/>
      <c r="T612" s="726"/>
      <c r="U612" s="726"/>
      <c r="V612" s="726"/>
      <c r="W612" s="726"/>
      <c r="X612" s="726"/>
      <c r="Y612" s="763">
        <v>626</v>
      </c>
      <c r="Z612" s="763">
        <v>1581</v>
      </c>
      <c r="AA612" s="708">
        <v>1</v>
      </c>
      <c r="AB612" s="708"/>
      <c r="AC612" s="708"/>
      <c r="AD612" s="146" t="s">
        <v>342</v>
      </c>
      <c r="AE612" s="146" t="s">
        <v>343</v>
      </c>
      <c r="AF612" s="146" t="s">
        <v>338</v>
      </c>
      <c r="AG612" s="708"/>
    </row>
    <row r="613" s="694" customFormat="1" ht="24.95" customHeight="1" spans="1:33">
      <c r="A613" s="705"/>
      <c r="B613" s="714" t="s">
        <v>98</v>
      </c>
      <c r="C613" s="146" t="s">
        <v>52</v>
      </c>
      <c r="D613" s="152" t="s">
        <v>384</v>
      </c>
      <c r="E613" s="708">
        <v>1</v>
      </c>
      <c r="F613" s="714" t="s">
        <v>98</v>
      </c>
      <c r="G613" s="708"/>
      <c r="H613" s="708">
        <v>965</v>
      </c>
      <c r="I613" s="92"/>
      <c r="J613" s="708">
        <v>965</v>
      </c>
      <c r="K613" s="708"/>
      <c r="L613" s="92">
        <v>2019.01</v>
      </c>
      <c r="M613" s="92">
        <v>2019.12</v>
      </c>
      <c r="N613" s="726"/>
      <c r="O613" s="726"/>
      <c r="P613" s="726"/>
      <c r="Q613" s="726"/>
      <c r="R613" s="726"/>
      <c r="S613" s="726"/>
      <c r="T613" s="726"/>
      <c r="U613" s="726"/>
      <c r="V613" s="726"/>
      <c r="W613" s="726"/>
      <c r="X613" s="726"/>
      <c r="Y613" s="763">
        <v>965</v>
      </c>
      <c r="Z613" s="763">
        <v>2505</v>
      </c>
      <c r="AA613" s="708">
        <v>1</v>
      </c>
      <c r="AB613" s="708"/>
      <c r="AC613" s="708"/>
      <c r="AD613" s="146" t="s">
        <v>344</v>
      </c>
      <c r="AE613" s="146" t="s">
        <v>345</v>
      </c>
      <c r="AF613" s="146" t="s">
        <v>338</v>
      </c>
      <c r="AG613" s="708"/>
    </row>
    <row r="614" s="694" customFormat="1" ht="24.95" customHeight="1" spans="1:33">
      <c r="A614" s="705"/>
      <c r="B614" s="714" t="s">
        <v>211</v>
      </c>
      <c r="C614" s="146" t="s">
        <v>52</v>
      </c>
      <c r="D614" s="152" t="s">
        <v>384</v>
      </c>
      <c r="E614" s="708">
        <v>1</v>
      </c>
      <c r="F614" s="714" t="s">
        <v>211</v>
      </c>
      <c r="G614" s="708"/>
      <c r="H614" s="708">
        <v>597</v>
      </c>
      <c r="I614" s="92"/>
      <c r="J614" s="708">
        <v>597</v>
      </c>
      <c r="K614" s="708"/>
      <c r="L614" s="92">
        <v>2019.01</v>
      </c>
      <c r="M614" s="92">
        <v>2019.12</v>
      </c>
      <c r="N614" s="726"/>
      <c r="O614" s="726"/>
      <c r="P614" s="726"/>
      <c r="Q614" s="726"/>
      <c r="R614" s="726"/>
      <c r="S614" s="726"/>
      <c r="T614" s="726"/>
      <c r="U614" s="726"/>
      <c r="V614" s="726"/>
      <c r="W614" s="726"/>
      <c r="X614" s="726"/>
      <c r="Y614" s="763">
        <v>597</v>
      </c>
      <c r="Z614" s="763">
        <v>1413</v>
      </c>
      <c r="AA614" s="708">
        <v>1</v>
      </c>
      <c r="AB614" s="708"/>
      <c r="AC614" s="708"/>
      <c r="AD614" s="146" t="s">
        <v>346</v>
      </c>
      <c r="AE614" s="146" t="s">
        <v>347</v>
      </c>
      <c r="AF614" s="146" t="s">
        <v>338</v>
      </c>
      <c r="AG614" s="708"/>
    </row>
    <row r="615" s="694" customFormat="1" ht="24.95" customHeight="1" spans="1:33">
      <c r="A615" s="705"/>
      <c r="B615" s="714" t="s">
        <v>155</v>
      </c>
      <c r="C615" s="146" t="s">
        <v>52</v>
      </c>
      <c r="D615" s="152" t="s">
        <v>384</v>
      </c>
      <c r="E615" s="708">
        <v>1</v>
      </c>
      <c r="F615" s="714" t="s">
        <v>155</v>
      </c>
      <c r="G615" s="708"/>
      <c r="H615" s="708">
        <v>228</v>
      </c>
      <c r="I615" s="92"/>
      <c r="J615" s="708">
        <v>228</v>
      </c>
      <c r="K615" s="708"/>
      <c r="L615" s="92">
        <v>2019.01</v>
      </c>
      <c r="M615" s="92">
        <v>2019.12</v>
      </c>
      <c r="N615" s="726"/>
      <c r="O615" s="726"/>
      <c r="P615" s="726"/>
      <c r="Q615" s="726"/>
      <c r="R615" s="726"/>
      <c r="S615" s="726"/>
      <c r="T615" s="726"/>
      <c r="U615" s="726"/>
      <c r="V615" s="726"/>
      <c r="W615" s="726"/>
      <c r="X615" s="726"/>
      <c r="Y615" s="763">
        <v>228</v>
      </c>
      <c r="Z615" s="763">
        <v>614</v>
      </c>
      <c r="AA615" s="708">
        <v>1</v>
      </c>
      <c r="AB615" s="708"/>
      <c r="AC615" s="708"/>
      <c r="AD615" s="146" t="s">
        <v>253</v>
      </c>
      <c r="AE615" s="146" t="s">
        <v>348</v>
      </c>
      <c r="AF615" s="146" t="s">
        <v>338</v>
      </c>
      <c r="AG615" s="708"/>
    </row>
    <row r="616" s="694" customFormat="1" ht="24.95" customHeight="1" spans="1:33">
      <c r="A616" s="705"/>
      <c r="B616" s="714" t="s">
        <v>102</v>
      </c>
      <c r="C616" s="146" t="s">
        <v>52</v>
      </c>
      <c r="D616" s="152" t="s">
        <v>384</v>
      </c>
      <c r="E616" s="708">
        <v>1</v>
      </c>
      <c r="F616" s="714" t="s">
        <v>102</v>
      </c>
      <c r="G616" s="708"/>
      <c r="H616" s="708">
        <v>810</v>
      </c>
      <c r="I616" s="92"/>
      <c r="J616" s="708">
        <v>810</v>
      </c>
      <c r="K616" s="708"/>
      <c r="L616" s="92">
        <v>2019.01</v>
      </c>
      <c r="M616" s="92">
        <v>2019.12</v>
      </c>
      <c r="N616" s="726"/>
      <c r="O616" s="726"/>
      <c r="P616" s="726"/>
      <c r="Q616" s="726"/>
      <c r="R616" s="726"/>
      <c r="S616" s="726"/>
      <c r="T616" s="726"/>
      <c r="U616" s="726"/>
      <c r="V616" s="726"/>
      <c r="W616" s="726"/>
      <c r="X616" s="726"/>
      <c r="Y616" s="763">
        <v>810</v>
      </c>
      <c r="Z616" s="763">
        <v>2440</v>
      </c>
      <c r="AA616" s="708">
        <v>1</v>
      </c>
      <c r="AB616" s="708"/>
      <c r="AC616" s="708"/>
      <c r="AD616" s="146" t="s">
        <v>255</v>
      </c>
      <c r="AE616" s="146" t="s">
        <v>349</v>
      </c>
      <c r="AF616" s="146" t="s">
        <v>338</v>
      </c>
      <c r="AG616" s="708"/>
    </row>
    <row r="617" s="694" customFormat="1" ht="24.95" customHeight="1" spans="1:33">
      <c r="A617" s="705"/>
      <c r="B617" s="714" t="s">
        <v>100</v>
      </c>
      <c r="C617" s="146" t="s">
        <v>52</v>
      </c>
      <c r="D617" s="152" t="s">
        <v>384</v>
      </c>
      <c r="E617" s="708">
        <v>1</v>
      </c>
      <c r="F617" s="714" t="s">
        <v>100</v>
      </c>
      <c r="G617" s="708"/>
      <c r="H617" s="708">
        <v>340</v>
      </c>
      <c r="I617" s="92"/>
      <c r="J617" s="708">
        <v>340</v>
      </c>
      <c r="K617" s="708"/>
      <c r="L617" s="92">
        <v>2019.01</v>
      </c>
      <c r="M617" s="92">
        <v>2019.12</v>
      </c>
      <c r="N617" s="726"/>
      <c r="O617" s="726"/>
      <c r="P617" s="726"/>
      <c r="Q617" s="726"/>
      <c r="R617" s="726"/>
      <c r="S617" s="726"/>
      <c r="T617" s="726"/>
      <c r="U617" s="726"/>
      <c r="V617" s="726"/>
      <c r="W617" s="726"/>
      <c r="X617" s="726"/>
      <c r="Y617" s="763">
        <v>340</v>
      </c>
      <c r="Z617" s="763">
        <v>797</v>
      </c>
      <c r="AA617" s="708">
        <v>1</v>
      </c>
      <c r="AB617" s="708"/>
      <c r="AC617" s="708"/>
      <c r="AD617" s="146" t="s">
        <v>312</v>
      </c>
      <c r="AE617" s="146" t="s">
        <v>352</v>
      </c>
      <c r="AF617" s="146" t="s">
        <v>338</v>
      </c>
      <c r="AG617" s="708"/>
    </row>
    <row r="618" s="694" customFormat="1" ht="24.95" customHeight="1" spans="1:33">
      <c r="A618" s="705"/>
      <c r="B618" s="714" t="s">
        <v>84</v>
      </c>
      <c r="C618" s="146" t="s">
        <v>52</v>
      </c>
      <c r="D618" s="152" t="s">
        <v>384</v>
      </c>
      <c r="E618" s="708">
        <v>1</v>
      </c>
      <c r="F618" s="714" t="s">
        <v>84</v>
      </c>
      <c r="G618" s="708"/>
      <c r="H618" s="708">
        <v>692</v>
      </c>
      <c r="I618" s="92"/>
      <c r="J618" s="708">
        <v>692</v>
      </c>
      <c r="K618" s="708"/>
      <c r="L618" s="92">
        <v>2019.01</v>
      </c>
      <c r="M618" s="92">
        <v>2019.12</v>
      </c>
      <c r="N618" s="726"/>
      <c r="O618" s="726"/>
      <c r="P618" s="726"/>
      <c r="Q618" s="726"/>
      <c r="R618" s="726"/>
      <c r="S618" s="726"/>
      <c r="T618" s="726"/>
      <c r="U618" s="726"/>
      <c r="V618" s="726"/>
      <c r="W618" s="726"/>
      <c r="X618" s="726"/>
      <c r="Y618" s="763">
        <v>692</v>
      </c>
      <c r="Z618" s="763">
        <v>1692</v>
      </c>
      <c r="AA618" s="708">
        <v>1</v>
      </c>
      <c r="AB618" s="708"/>
      <c r="AC618" s="708"/>
      <c r="AD618" s="146" t="s">
        <v>350</v>
      </c>
      <c r="AE618" s="146" t="s">
        <v>351</v>
      </c>
      <c r="AF618" s="146" t="s">
        <v>338</v>
      </c>
      <c r="AG618" s="708"/>
    </row>
    <row r="619" s="694" customFormat="1" ht="24.95" customHeight="1" spans="1:33">
      <c r="A619" s="705"/>
      <c r="B619" s="714" t="s">
        <v>259</v>
      </c>
      <c r="C619" s="146" t="s">
        <v>52</v>
      </c>
      <c r="D619" s="152" t="s">
        <v>384</v>
      </c>
      <c r="E619" s="708">
        <v>1</v>
      </c>
      <c r="F619" s="714" t="s">
        <v>259</v>
      </c>
      <c r="G619" s="708"/>
      <c r="H619" s="708">
        <v>91</v>
      </c>
      <c r="I619" s="92"/>
      <c r="J619" s="708">
        <v>91</v>
      </c>
      <c r="K619" s="708"/>
      <c r="L619" s="92">
        <v>2019.01</v>
      </c>
      <c r="M619" s="92">
        <v>2019.12</v>
      </c>
      <c r="N619" s="726"/>
      <c r="O619" s="726"/>
      <c r="P619" s="726"/>
      <c r="Q619" s="726"/>
      <c r="R619" s="726"/>
      <c r="S619" s="726"/>
      <c r="T619" s="726"/>
      <c r="U619" s="726"/>
      <c r="V619" s="726"/>
      <c r="W619" s="726"/>
      <c r="X619" s="726"/>
      <c r="Y619" s="763">
        <v>91</v>
      </c>
      <c r="Z619" s="763">
        <v>251</v>
      </c>
      <c r="AA619" s="708">
        <v>1</v>
      </c>
      <c r="AB619" s="708"/>
      <c r="AC619" s="708"/>
      <c r="AD619" s="146" t="s">
        <v>183</v>
      </c>
      <c r="AE619" s="146" t="s">
        <v>353</v>
      </c>
      <c r="AF619" s="146" t="s">
        <v>338</v>
      </c>
      <c r="AG619" s="708"/>
    </row>
    <row r="620" s="694" customFormat="1" ht="24.95" customHeight="1" spans="1:33">
      <c r="A620" s="705"/>
      <c r="B620" s="714" t="s">
        <v>143</v>
      </c>
      <c r="C620" s="146" t="s">
        <v>52</v>
      </c>
      <c r="D620" s="152" t="s">
        <v>384</v>
      </c>
      <c r="E620" s="708">
        <v>1</v>
      </c>
      <c r="F620" s="714" t="s">
        <v>143</v>
      </c>
      <c r="G620" s="708"/>
      <c r="H620" s="708">
        <v>364</v>
      </c>
      <c r="I620" s="92"/>
      <c r="J620" s="708">
        <v>364</v>
      </c>
      <c r="K620" s="708"/>
      <c r="L620" s="92">
        <v>2019.01</v>
      </c>
      <c r="M620" s="92">
        <v>2019.12</v>
      </c>
      <c r="N620" s="726"/>
      <c r="O620" s="726"/>
      <c r="P620" s="726"/>
      <c r="Q620" s="726"/>
      <c r="R620" s="726"/>
      <c r="S620" s="726"/>
      <c r="T620" s="726"/>
      <c r="U620" s="726"/>
      <c r="V620" s="726"/>
      <c r="W620" s="726"/>
      <c r="X620" s="726"/>
      <c r="Y620" s="763">
        <v>364</v>
      </c>
      <c r="Z620" s="763">
        <v>1175</v>
      </c>
      <c r="AA620" s="708">
        <v>1</v>
      </c>
      <c r="AB620" s="708"/>
      <c r="AC620" s="708"/>
      <c r="AD620" s="146" t="s">
        <v>354</v>
      </c>
      <c r="AE620" s="146" t="s">
        <v>263</v>
      </c>
      <c r="AF620" s="146" t="s">
        <v>338</v>
      </c>
      <c r="AG620" s="708"/>
    </row>
    <row r="621" s="570" customFormat="1" ht="51" customHeight="1" spans="1:33">
      <c r="A621" s="705">
        <v>78</v>
      </c>
      <c r="B621" s="708" t="s">
        <v>446</v>
      </c>
      <c r="C621" s="708"/>
      <c r="D621" s="709" t="s">
        <v>147</v>
      </c>
      <c r="E621" s="708">
        <f>E622+E634</f>
        <v>13</v>
      </c>
      <c r="F621" s="708">
        <f t="shared" ref="F621:AA621" si="95">F622+F634</f>
        <v>0</v>
      </c>
      <c r="G621" s="708">
        <f t="shared" si="95"/>
        <v>0</v>
      </c>
      <c r="H621" s="708">
        <f t="shared" si="95"/>
        <v>317</v>
      </c>
      <c r="I621" s="708">
        <f t="shared" si="95"/>
        <v>0</v>
      </c>
      <c r="J621" s="708">
        <f t="shared" si="95"/>
        <v>317</v>
      </c>
      <c r="K621" s="708">
        <f t="shared" si="95"/>
        <v>0</v>
      </c>
      <c r="L621" s="708"/>
      <c r="M621" s="708"/>
      <c r="N621" s="708">
        <f t="shared" si="95"/>
        <v>0</v>
      </c>
      <c r="O621" s="708">
        <f t="shared" si="95"/>
        <v>0</v>
      </c>
      <c r="P621" s="708">
        <f t="shared" si="95"/>
        <v>0</v>
      </c>
      <c r="Q621" s="708">
        <f t="shared" si="95"/>
        <v>0</v>
      </c>
      <c r="R621" s="708">
        <f t="shared" si="95"/>
        <v>0</v>
      </c>
      <c r="S621" s="708">
        <f t="shared" si="95"/>
        <v>0</v>
      </c>
      <c r="T621" s="708">
        <f t="shared" si="95"/>
        <v>0</v>
      </c>
      <c r="U621" s="708">
        <f t="shared" si="95"/>
        <v>0</v>
      </c>
      <c r="V621" s="708">
        <f t="shared" si="95"/>
        <v>0</v>
      </c>
      <c r="W621" s="708">
        <f t="shared" si="95"/>
        <v>0</v>
      </c>
      <c r="X621" s="708">
        <f t="shared" si="95"/>
        <v>0</v>
      </c>
      <c r="Y621" s="708">
        <f t="shared" si="95"/>
        <v>317</v>
      </c>
      <c r="Z621" s="708">
        <f t="shared" si="95"/>
        <v>317</v>
      </c>
      <c r="AA621" s="708">
        <f t="shared" si="95"/>
        <v>13</v>
      </c>
      <c r="AB621" s="708"/>
      <c r="AC621" s="708"/>
      <c r="AD621" s="708"/>
      <c r="AE621" s="708"/>
      <c r="AF621" s="708" t="s">
        <v>338</v>
      </c>
      <c r="AG621" s="708" t="s">
        <v>41</v>
      </c>
    </row>
    <row r="622" s="570" customFormat="1" ht="24.95" customHeight="1" spans="1:33">
      <c r="A622" s="705">
        <v>79</v>
      </c>
      <c r="B622" s="750" t="s">
        <v>447</v>
      </c>
      <c r="C622" s="146" t="s">
        <v>52</v>
      </c>
      <c r="D622" s="152" t="s">
        <v>147</v>
      </c>
      <c r="E622" s="92">
        <f>SUM(E623:E633)</f>
        <v>11</v>
      </c>
      <c r="F622" s="92">
        <f t="shared" ref="F622:AA622" si="96">SUM(F623:F633)</f>
        <v>0</v>
      </c>
      <c r="G622" s="92">
        <f t="shared" si="96"/>
        <v>0</v>
      </c>
      <c r="H622" s="92">
        <f t="shared" si="96"/>
        <v>314</v>
      </c>
      <c r="I622" s="92">
        <f t="shared" si="96"/>
        <v>0</v>
      </c>
      <c r="J622" s="92">
        <f t="shared" si="96"/>
        <v>314</v>
      </c>
      <c r="K622" s="92">
        <f t="shared" si="96"/>
        <v>0</v>
      </c>
      <c r="L622" s="92"/>
      <c r="M622" s="92"/>
      <c r="N622" s="92">
        <f t="shared" si="96"/>
        <v>0</v>
      </c>
      <c r="O622" s="92">
        <f t="shared" si="96"/>
        <v>0</v>
      </c>
      <c r="P622" s="92">
        <f t="shared" si="96"/>
        <v>0</v>
      </c>
      <c r="Q622" s="92">
        <f t="shared" si="96"/>
        <v>0</v>
      </c>
      <c r="R622" s="92">
        <f t="shared" si="96"/>
        <v>0</v>
      </c>
      <c r="S622" s="92">
        <f t="shared" si="96"/>
        <v>0</v>
      </c>
      <c r="T622" s="92">
        <f t="shared" si="96"/>
        <v>0</v>
      </c>
      <c r="U622" s="92">
        <f t="shared" si="96"/>
        <v>0</v>
      </c>
      <c r="V622" s="92">
        <f t="shared" si="96"/>
        <v>0</v>
      </c>
      <c r="W622" s="92">
        <f t="shared" si="96"/>
        <v>0</v>
      </c>
      <c r="X622" s="92">
        <f t="shared" si="96"/>
        <v>0</v>
      </c>
      <c r="Y622" s="92">
        <f t="shared" si="96"/>
        <v>314</v>
      </c>
      <c r="Z622" s="92">
        <f t="shared" si="96"/>
        <v>314</v>
      </c>
      <c r="AA622" s="92">
        <f t="shared" si="96"/>
        <v>11</v>
      </c>
      <c r="AB622" s="92"/>
      <c r="AC622" s="92"/>
      <c r="AD622" s="146" t="s">
        <v>336</v>
      </c>
      <c r="AE622" s="146" t="s">
        <v>337</v>
      </c>
      <c r="AF622" s="146" t="s">
        <v>338</v>
      </c>
      <c r="AG622" s="92" t="s">
        <v>41</v>
      </c>
    </row>
    <row r="623" s="694" customFormat="1" ht="24.95" customHeight="1" spans="1:33">
      <c r="A623" s="705"/>
      <c r="B623" s="714" t="s">
        <v>101</v>
      </c>
      <c r="C623" s="146" t="s">
        <v>52</v>
      </c>
      <c r="D623" s="152" t="s">
        <v>147</v>
      </c>
      <c r="E623" s="92">
        <v>1</v>
      </c>
      <c r="F623" s="714" t="s">
        <v>101</v>
      </c>
      <c r="G623" s="92"/>
      <c r="H623" s="92">
        <v>23</v>
      </c>
      <c r="I623" s="92"/>
      <c r="J623" s="76">
        <v>23</v>
      </c>
      <c r="K623" s="92"/>
      <c r="L623" s="92">
        <v>2019.01</v>
      </c>
      <c r="M623" s="92">
        <v>2019.12</v>
      </c>
      <c r="N623" s="724"/>
      <c r="O623" s="724"/>
      <c r="P623" s="724"/>
      <c r="Q623" s="724"/>
      <c r="R623" s="724"/>
      <c r="S623" s="724"/>
      <c r="T623" s="724"/>
      <c r="U623" s="724"/>
      <c r="V623" s="724"/>
      <c r="W623" s="724"/>
      <c r="X623" s="724"/>
      <c r="Y623" s="76">
        <v>23</v>
      </c>
      <c r="Z623" s="76">
        <v>23</v>
      </c>
      <c r="AA623" s="92">
        <v>1</v>
      </c>
      <c r="AB623" s="92"/>
      <c r="AC623" s="92"/>
      <c r="AD623" s="146" t="s">
        <v>244</v>
      </c>
      <c r="AE623" s="146" t="s">
        <v>333</v>
      </c>
      <c r="AF623" s="146" t="s">
        <v>338</v>
      </c>
      <c r="AG623" s="92"/>
    </row>
    <row r="624" s="694" customFormat="1" ht="24.95" customHeight="1" spans="1:33">
      <c r="A624" s="705"/>
      <c r="B624" s="714" t="s">
        <v>151</v>
      </c>
      <c r="C624" s="146" t="s">
        <v>52</v>
      </c>
      <c r="D624" s="152" t="s">
        <v>147</v>
      </c>
      <c r="E624" s="92">
        <v>1</v>
      </c>
      <c r="F624" s="714" t="s">
        <v>151</v>
      </c>
      <c r="G624" s="92"/>
      <c r="H624" s="92">
        <v>5</v>
      </c>
      <c r="I624" s="92"/>
      <c r="J624" s="76">
        <v>5</v>
      </c>
      <c r="K624" s="92"/>
      <c r="L624" s="92">
        <v>2019.01</v>
      </c>
      <c r="M624" s="92">
        <v>2019.12</v>
      </c>
      <c r="N624" s="724"/>
      <c r="O624" s="724"/>
      <c r="P624" s="724"/>
      <c r="Q624" s="724"/>
      <c r="R624" s="724"/>
      <c r="S624" s="724"/>
      <c r="T624" s="724"/>
      <c r="U624" s="724"/>
      <c r="V624" s="724"/>
      <c r="W624" s="724"/>
      <c r="X624" s="724"/>
      <c r="Y624" s="76">
        <v>5</v>
      </c>
      <c r="Z624" s="76">
        <v>5</v>
      </c>
      <c r="AA624" s="92">
        <v>1</v>
      </c>
      <c r="AB624" s="92"/>
      <c r="AC624" s="92"/>
      <c r="AD624" s="146" t="s">
        <v>339</v>
      </c>
      <c r="AE624" s="146" t="s">
        <v>445</v>
      </c>
      <c r="AF624" s="146" t="s">
        <v>338</v>
      </c>
      <c r="AG624" s="92"/>
    </row>
    <row r="625" s="694" customFormat="1" ht="24.95" customHeight="1" spans="1:33">
      <c r="A625" s="705"/>
      <c r="B625" s="714" t="s">
        <v>154</v>
      </c>
      <c r="C625" s="146" t="s">
        <v>52</v>
      </c>
      <c r="D625" s="152" t="s">
        <v>147</v>
      </c>
      <c r="E625" s="92">
        <v>1</v>
      </c>
      <c r="F625" s="714" t="s">
        <v>154</v>
      </c>
      <c r="G625" s="92"/>
      <c r="H625" s="92">
        <v>14</v>
      </c>
      <c r="I625" s="92"/>
      <c r="J625" s="76">
        <v>14</v>
      </c>
      <c r="K625" s="92"/>
      <c r="L625" s="92">
        <v>2019.01</v>
      </c>
      <c r="M625" s="92">
        <v>2019.12</v>
      </c>
      <c r="N625" s="724"/>
      <c r="O625" s="724"/>
      <c r="P625" s="724"/>
      <c r="Q625" s="724"/>
      <c r="R625" s="724"/>
      <c r="S625" s="724"/>
      <c r="T625" s="724"/>
      <c r="U625" s="724"/>
      <c r="V625" s="724"/>
      <c r="W625" s="724"/>
      <c r="X625" s="724"/>
      <c r="Y625" s="76">
        <v>14</v>
      </c>
      <c r="Z625" s="76">
        <v>14</v>
      </c>
      <c r="AA625" s="92">
        <v>1</v>
      </c>
      <c r="AB625" s="92"/>
      <c r="AC625" s="92"/>
      <c r="AD625" s="146" t="s">
        <v>247</v>
      </c>
      <c r="AE625" s="146" t="s">
        <v>341</v>
      </c>
      <c r="AF625" s="146" t="s">
        <v>338</v>
      </c>
      <c r="AG625" s="92"/>
    </row>
    <row r="626" s="694" customFormat="1" ht="24.95" customHeight="1" spans="1:33">
      <c r="A626" s="705"/>
      <c r="B626" s="714" t="s">
        <v>81</v>
      </c>
      <c r="C626" s="146" t="s">
        <v>52</v>
      </c>
      <c r="D626" s="152" t="s">
        <v>147</v>
      </c>
      <c r="E626" s="92">
        <v>1</v>
      </c>
      <c r="F626" s="714" t="s">
        <v>81</v>
      </c>
      <c r="G626" s="92"/>
      <c r="H626" s="92">
        <v>7</v>
      </c>
      <c r="I626" s="92"/>
      <c r="J626" s="76">
        <v>7</v>
      </c>
      <c r="K626" s="92"/>
      <c r="L626" s="92">
        <v>2019.01</v>
      </c>
      <c r="M626" s="92">
        <v>2019.12</v>
      </c>
      <c r="N626" s="724"/>
      <c r="O626" s="724"/>
      <c r="P626" s="724"/>
      <c r="Q626" s="724"/>
      <c r="R626" s="724"/>
      <c r="S626" s="724"/>
      <c r="T626" s="724"/>
      <c r="U626" s="724"/>
      <c r="V626" s="724"/>
      <c r="W626" s="724"/>
      <c r="X626" s="724"/>
      <c r="Y626" s="76">
        <v>7</v>
      </c>
      <c r="Z626" s="76">
        <v>7</v>
      </c>
      <c r="AA626" s="92">
        <v>1</v>
      </c>
      <c r="AB626" s="92"/>
      <c r="AC626" s="92"/>
      <c r="AD626" s="146" t="s">
        <v>342</v>
      </c>
      <c r="AE626" s="146" t="s">
        <v>343</v>
      </c>
      <c r="AF626" s="146" t="s">
        <v>338</v>
      </c>
      <c r="AG626" s="92"/>
    </row>
    <row r="627" s="694" customFormat="1" ht="24.95" customHeight="1" spans="1:33">
      <c r="A627" s="705"/>
      <c r="B627" s="714" t="s">
        <v>98</v>
      </c>
      <c r="C627" s="146" t="s">
        <v>52</v>
      </c>
      <c r="D627" s="152" t="s">
        <v>147</v>
      </c>
      <c r="E627" s="92">
        <v>1</v>
      </c>
      <c r="F627" s="714" t="s">
        <v>98</v>
      </c>
      <c r="G627" s="92"/>
      <c r="H627" s="92">
        <v>38</v>
      </c>
      <c r="I627" s="92"/>
      <c r="J627" s="76">
        <v>38</v>
      </c>
      <c r="K627" s="92"/>
      <c r="L627" s="92">
        <v>2019.01</v>
      </c>
      <c r="M627" s="92">
        <v>2019.12</v>
      </c>
      <c r="N627" s="724"/>
      <c r="O627" s="724"/>
      <c r="P627" s="724"/>
      <c r="Q627" s="724"/>
      <c r="R627" s="724"/>
      <c r="S627" s="724"/>
      <c r="T627" s="724"/>
      <c r="U627" s="724"/>
      <c r="V627" s="724"/>
      <c r="W627" s="724"/>
      <c r="X627" s="724"/>
      <c r="Y627" s="76">
        <v>38</v>
      </c>
      <c r="Z627" s="76">
        <v>38</v>
      </c>
      <c r="AA627" s="92">
        <v>1</v>
      </c>
      <c r="AB627" s="92"/>
      <c r="AC627" s="92"/>
      <c r="AD627" s="146" t="s">
        <v>344</v>
      </c>
      <c r="AE627" s="146" t="s">
        <v>345</v>
      </c>
      <c r="AF627" s="146" t="s">
        <v>338</v>
      </c>
      <c r="AG627" s="92"/>
    </row>
    <row r="628" s="694" customFormat="1" ht="24.95" customHeight="1" spans="1:33">
      <c r="A628" s="705"/>
      <c r="B628" s="714" t="s">
        <v>211</v>
      </c>
      <c r="C628" s="146" t="s">
        <v>52</v>
      </c>
      <c r="D628" s="152" t="s">
        <v>147</v>
      </c>
      <c r="E628" s="92">
        <v>1</v>
      </c>
      <c r="F628" s="714" t="s">
        <v>211</v>
      </c>
      <c r="G628" s="92"/>
      <c r="H628" s="92">
        <v>28</v>
      </c>
      <c r="I628" s="92"/>
      <c r="J628" s="76">
        <v>28</v>
      </c>
      <c r="K628" s="92"/>
      <c r="L628" s="92">
        <v>2019.01</v>
      </c>
      <c r="M628" s="92">
        <v>2019.12</v>
      </c>
      <c r="N628" s="724"/>
      <c r="O628" s="724"/>
      <c r="P628" s="724"/>
      <c r="Q628" s="724"/>
      <c r="R628" s="724"/>
      <c r="S628" s="724"/>
      <c r="T628" s="724"/>
      <c r="U628" s="724"/>
      <c r="V628" s="724"/>
      <c r="W628" s="724"/>
      <c r="X628" s="724"/>
      <c r="Y628" s="76">
        <v>28</v>
      </c>
      <c r="Z628" s="76">
        <v>28</v>
      </c>
      <c r="AA628" s="92">
        <v>1</v>
      </c>
      <c r="AB628" s="92"/>
      <c r="AC628" s="92"/>
      <c r="AD628" s="146" t="s">
        <v>346</v>
      </c>
      <c r="AE628" s="146" t="s">
        <v>347</v>
      </c>
      <c r="AF628" s="146" t="s">
        <v>338</v>
      </c>
      <c r="AG628" s="92"/>
    </row>
    <row r="629" s="694" customFormat="1" ht="24.95" customHeight="1" spans="1:33">
      <c r="A629" s="705"/>
      <c r="B629" s="714" t="s">
        <v>155</v>
      </c>
      <c r="C629" s="146" t="s">
        <v>52</v>
      </c>
      <c r="D629" s="152" t="s">
        <v>147</v>
      </c>
      <c r="E629" s="92">
        <v>1</v>
      </c>
      <c r="F629" s="714" t="s">
        <v>155</v>
      </c>
      <c r="G629" s="92"/>
      <c r="H629" s="92">
        <v>6</v>
      </c>
      <c r="I629" s="92"/>
      <c r="J629" s="76">
        <v>6</v>
      </c>
      <c r="K629" s="92"/>
      <c r="L629" s="92">
        <v>2019.01</v>
      </c>
      <c r="M629" s="92">
        <v>2019.12</v>
      </c>
      <c r="N629" s="724"/>
      <c r="O629" s="724"/>
      <c r="P629" s="724"/>
      <c r="Q629" s="724"/>
      <c r="R629" s="724"/>
      <c r="S629" s="724"/>
      <c r="T629" s="724"/>
      <c r="U629" s="724"/>
      <c r="V629" s="724"/>
      <c r="W629" s="724"/>
      <c r="X629" s="724"/>
      <c r="Y629" s="76">
        <v>6</v>
      </c>
      <c r="Z629" s="76">
        <v>6</v>
      </c>
      <c r="AA629" s="92">
        <v>1</v>
      </c>
      <c r="AB629" s="92"/>
      <c r="AC629" s="92"/>
      <c r="AD629" s="146" t="s">
        <v>253</v>
      </c>
      <c r="AE629" s="146" t="s">
        <v>348</v>
      </c>
      <c r="AF629" s="146" t="s">
        <v>338</v>
      </c>
      <c r="AG629" s="92"/>
    </row>
    <row r="630" s="694" customFormat="1" ht="24.95" customHeight="1" spans="1:33">
      <c r="A630" s="705"/>
      <c r="B630" s="714" t="s">
        <v>102</v>
      </c>
      <c r="C630" s="146" t="s">
        <v>52</v>
      </c>
      <c r="D630" s="152" t="s">
        <v>147</v>
      </c>
      <c r="E630" s="92">
        <v>1</v>
      </c>
      <c r="F630" s="714" t="s">
        <v>102</v>
      </c>
      <c r="G630" s="92"/>
      <c r="H630" s="92">
        <v>119</v>
      </c>
      <c r="I630" s="92"/>
      <c r="J630" s="76">
        <v>119</v>
      </c>
      <c r="K630" s="92"/>
      <c r="L630" s="92">
        <v>2019.01</v>
      </c>
      <c r="M630" s="92">
        <v>2019.12</v>
      </c>
      <c r="N630" s="724"/>
      <c r="O630" s="724"/>
      <c r="P630" s="724"/>
      <c r="Q630" s="724"/>
      <c r="R630" s="724"/>
      <c r="S630" s="724"/>
      <c r="T630" s="724"/>
      <c r="U630" s="724"/>
      <c r="V630" s="724"/>
      <c r="W630" s="724"/>
      <c r="X630" s="724"/>
      <c r="Y630" s="76">
        <v>119</v>
      </c>
      <c r="Z630" s="76">
        <v>119</v>
      </c>
      <c r="AA630" s="92">
        <v>1</v>
      </c>
      <c r="AB630" s="92"/>
      <c r="AC630" s="92"/>
      <c r="AD630" s="787" t="s">
        <v>255</v>
      </c>
      <c r="AE630" s="792" t="s">
        <v>349</v>
      </c>
      <c r="AF630" s="146" t="s">
        <v>338</v>
      </c>
      <c r="AG630" s="92"/>
    </row>
    <row r="631" s="694" customFormat="1" ht="24.95" customHeight="1" spans="1:33">
      <c r="A631" s="705"/>
      <c r="B631" s="714" t="s">
        <v>100</v>
      </c>
      <c r="C631" s="146" t="s">
        <v>52</v>
      </c>
      <c r="D631" s="152" t="s">
        <v>147</v>
      </c>
      <c r="E631" s="92">
        <v>1</v>
      </c>
      <c r="F631" s="714" t="s">
        <v>100</v>
      </c>
      <c r="G631" s="92"/>
      <c r="H631" s="92">
        <v>27</v>
      </c>
      <c r="I631" s="92"/>
      <c r="J631" s="76">
        <v>27</v>
      </c>
      <c r="K631" s="92"/>
      <c r="L631" s="92">
        <v>2019.01</v>
      </c>
      <c r="M631" s="92">
        <v>2019.12</v>
      </c>
      <c r="N631" s="724"/>
      <c r="O631" s="724"/>
      <c r="P631" s="724"/>
      <c r="Q631" s="724"/>
      <c r="R631" s="724"/>
      <c r="S631" s="724"/>
      <c r="T631" s="724"/>
      <c r="U631" s="724"/>
      <c r="V631" s="724"/>
      <c r="W631" s="724"/>
      <c r="X631" s="724"/>
      <c r="Y631" s="76">
        <v>27</v>
      </c>
      <c r="Z631" s="76">
        <v>27</v>
      </c>
      <c r="AA631" s="92">
        <v>1</v>
      </c>
      <c r="AB631" s="92"/>
      <c r="AC631" s="92"/>
      <c r="AD631" s="146" t="s">
        <v>312</v>
      </c>
      <c r="AE631" s="146" t="s">
        <v>352</v>
      </c>
      <c r="AF631" s="146" t="s">
        <v>338</v>
      </c>
      <c r="AG631" s="92"/>
    </row>
    <row r="632" s="694" customFormat="1" ht="24.95" customHeight="1" spans="1:33">
      <c r="A632" s="705"/>
      <c r="B632" s="714" t="s">
        <v>84</v>
      </c>
      <c r="C632" s="146" t="s">
        <v>52</v>
      </c>
      <c r="D632" s="152" t="s">
        <v>147</v>
      </c>
      <c r="E632" s="92">
        <v>1</v>
      </c>
      <c r="F632" s="714" t="s">
        <v>84</v>
      </c>
      <c r="G632" s="92"/>
      <c r="H632" s="92">
        <v>14</v>
      </c>
      <c r="I632" s="92"/>
      <c r="J632" s="76">
        <v>14</v>
      </c>
      <c r="K632" s="92"/>
      <c r="L632" s="92">
        <v>2019.01</v>
      </c>
      <c r="M632" s="92">
        <v>2019.12</v>
      </c>
      <c r="N632" s="724"/>
      <c r="O632" s="724"/>
      <c r="P632" s="724"/>
      <c r="Q632" s="724"/>
      <c r="R632" s="724"/>
      <c r="S632" s="724"/>
      <c r="T632" s="724"/>
      <c r="U632" s="724"/>
      <c r="V632" s="724"/>
      <c r="W632" s="724"/>
      <c r="X632" s="724"/>
      <c r="Y632" s="76">
        <v>14</v>
      </c>
      <c r="Z632" s="76">
        <v>14</v>
      </c>
      <c r="AA632" s="92">
        <v>1</v>
      </c>
      <c r="AB632" s="92"/>
      <c r="AC632" s="92"/>
      <c r="AD632" s="146" t="s">
        <v>350</v>
      </c>
      <c r="AE632" s="146" t="s">
        <v>351</v>
      </c>
      <c r="AF632" s="146" t="s">
        <v>338</v>
      </c>
      <c r="AG632" s="92"/>
    </row>
    <row r="633" s="694" customFormat="1" ht="24.95" customHeight="1" spans="1:33">
      <c r="A633" s="705"/>
      <c r="B633" s="714" t="s">
        <v>143</v>
      </c>
      <c r="C633" s="146" t="s">
        <v>52</v>
      </c>
      <c r="D633" s="152" t="s">
        <v>147</v>
      </c>
      <c r="E633" s="92">
        <v>1</v>
      </c>
      <c r="F633" s="714" t="s">
        <v>143</v>
      </c>
      <c r="G633" s="92"/>
      <c r="H633" s="92">
        <v>33</v>
      </c>
      <c r="I633" s="92"/>
      <c r="J633" s="76">
        <v>33</v>
      </c>
      <c r="K633" s="92"/>
      <c r="L633" s="92">
        <v>2019.01</v>
      </c>
      <c r="M633" s="92">
        <v>2019.12</v>
      </c>
      <c r="N633" s="724"/>
      <c r="O633" s="724"/>
      <c r="P633" s="724"/>
      <c r="Q633" s="724"/>
      <c r="R633" s="724"/>
      <c r="S633" s="724"/>
      <c r="T633" s="724"/>
      <c r="U633" s="724"/>
      <c r="V633" s="724"/>
      <c r="W633" s="724"/>
      <c r="X633" s="724"/>
      <c r="Y633" s="76">
        <v>33</v>
      </c>
      <c r="Z633" s="76">
        <v>33</v>
      </c>
      <c r="AA633" s="92">
        <v>1</v>
      </c>
      <c r="AB633" s="92"/>
      <c r="AC633" s="92"/>
      <c r="AD633" s="146" t="s">
        <v>354</v>
      </c>
      <c r="AE633" s="146" t="s">
        <v>263</v>
      </c>
      <c r="AF633" s="146" t="s">
        <v>338</v>
      </c>
      <c r="AG633" s="92"/>
    </row>
    <row r="634" s="570" customFormat="1" ht="24.95" customHeight="1" spans="1:33">
      <c r="A634" s="705">
        <v>80</v>
      </c>
      <c r="B634" s="750" t="s">
        <v>448</v>
      </c>
      <c r="C634" s="146" t="s">
        <v>52</v>
      </c>
      <c r="D634" s="152" t="s">
        <v>147</v>
      </c>
      <c r="E634" s="92">
        <f>SUM(E635:E636)</f>
        <v>2</v>
      </c>
      <c r="F634" s="92">
        <f t="shared" ref="F634:AA634" si="97">SUM(F635:F636)</f>
        <v>0</v>
      </c>
      <c r="G634" s="92">
        <f t="shared" si="97"/>
        <v>0</v>
      </c>
      <c r="H634" s="92">
        <f t="shared" si="97"/>
        <v>3</v>
      </c>
      <c r="I634" s="92">
        <f t="shared" si="97"/>
        <v>0</v>
      </c>
      <c r="J634" s="92">
        <f t="shared" si="97"/>
        <v>3</v>
      </c>
      <c r="K634" s="92">
        <f t="shared" si="97"/>
        <v>0</v>
      </c>
      <c r="L634" s="92"/>
      <c r="M634" s="92"/>
      <c r="N634" s="92">
        <f t="shared" si="97"/>
        <v>0</v>
      </c>
      <c r="O634" s="92">
        <f t="shared" si="97"/>
        <v>0</v>
      </c>
      <c r="P634" s="92">
        <f t="shared" si="97"/>
        <v>0</v>
      </c>
      <c r="Q634" s="92">
        <f t="shared" si="97"/>
        <v>0</v>
      </c>
      <c r="R634" s="92">
        <f t="shared" si="97"/>
        <v>0</v>
      </c>
      <c r="S634" s="92">
        <f t="shared" si="97"/>
        <v>0</v>
      </c>
      <c r="T634" s="92">
        <f t="shared" si="97"/>
        <v>0</v>
      </c>
      <c r="U634" s="92">
        <f t="shared" si="97"/>
        <v>0</v>
      </c>
      <c r="V634" s="92">
        <f t="shared" si="97"/>
        <v>0</v>
      </c>
      <c r="W634" s="92">
        <f t="shared" si="97"/>
        <v>0</v>
      </c>
      <c r="X634" s="92">
        <f t="shared" si="97"/>
        <v>0</v>
      </c>
      <c r="Y634" s="92">
        <f t="shared" si="97"/>
        <v>3</v>
      </c>
      <c r="Z634" s="92">
        <f t="shared" si="97"/>
        <v>3</v>
      </c>
      <c r="AA634" s="92">
        <f t="shared" si="97"/>
        <v>2</v>
      </c>
      <c r="AB634" s="92"/>
      <c r="AC634" s="92"/>
      <c r="AD634" s="146" t="s">
        <v>336</v>
      </c>
      <c r="AE634" s="146" t="s">
        <v>337</v>
      </c>
      <c r="AF634" s="146" t="s">
        <v>338</v>
      </c>
      <c r="AG634" s="92" t="s">
        <v>41</v>
      </c>
    </row>
    <row r="635" s="694" customFormat="1" ht="24.95" customHeight="1" spans="1:33">
      <c r="A635" s="705"/>
      <c r="B635" s="714" t="s">
        <v>101</v>
      </c>
      <c r="C635" s="146" t="s">
        <v>52</v>
      </c>
      <c r="D635" s="152" t="s">
        <v>147</v>
      </c>
      <c r="E635" s="92">
        <v>1</v>
      </c>
      <c r="F635" s="714" t="s">
        <v>101</v>
      </c>
      <c r="G635" s="92"/>
      <c r="H635" s="76">
        <v>1</v>
      </c>
      <c r="I635" s="92"/>
      <c r="J635" s="76">
        <v>1</v>
      </c>
      <c r="K635" s="92"/>
      <c r="L635" s="92">
        <v>2019.01</v>
      </c>
      <c r="M635" s="92">
        <v>2019.12</v>
      </c>
      <c r="N635" s="724"/>
      <c r="O635" s="724"/>
      <c r="P635" s="724"/>
      <c r="Q635" s="724"/>
      <c r="R635" s="724"/>
      <c r="S635" s="724"/>
      <c r="T635" s="724"/>
      <c r="U635" s="724"/>
      <c r="V635" s="724"/>
      <c r="W635" s="724"/>
      <c r="X635" s="724"/>
      <c r="Y635" s="76">
        <v>1</v>
      </c>
      <c r="Z635" s="76">
        <v>1</v>
      </c>
      <c r="AA635" s="92">
        <v>1</v>
      </c>
      <c r="AB635" s="92"/>
      <c r="AC635" s="92"/>
      <c r="AD635" s="146" t="s">
        <v>244</v>
      </c>
      <c r="AE635" s="146" t="s">
        <v>333</v>
      </c>
      <c r="AF635" s="146" t="s">
        <v>338</v>
      </c>
      <c r="AG635" s="92"/>
    </row>
    <row r="636" s="694" customFormat="1" ht="24.95" customHeight="1" spans="1:33">
      <c r="A636" s="705"/>
      <c r="B636" s="714" t="s">
        <v>143</v>
      </c>
      <c r="C636" s="146" t="s">
        <v>52</v>
      </c>
      <c r="D636" s="152" t="s">
        <v>147</v>
      </c>
      <c r="E636" s="92">
        <v>1</v>
      </c>
      <c r="F636" s="714" t="s">
        <v>143</v>
      </c>
      <c r="G636" s="92"/>
      <c r="H636" s="76">
        <v>2</v>
      </c>
      <c r="I636" s="92"/>
      <c r="J636" s="76">
        <v>2</v>
      </c>
      <c r="K636" s="92"/>
      <c r="L636" s="92">
        <v>2019.01</v>
      </c>
      <c r="M636" s="92">
        <v>2019.12</v>
      </c>
      <c r="N636" s="724"/>
      <c r="O636" s="724"/>
      <c r="P636" s="724"/>
      <c r="Q636" s="724"/>
      <c r="R636" s="724"/>
      <c r="S636" s="724"/>
      <c r="T636" s="724"/>
      <c r="U636" s="724"/>
      <c r="V636" s="724"/>
      <c r="W636" s="724"/>
      <c r="X636" s="724"/>
      <c r="Y636" s="76">
        <v>2</v>
      </c>
      <c r="Z636" s="76">
        <v>2</v>
      </c>
      <c r="AA636" s="92">
        <v>1</v>
      </c>
      <c r="AB636" s="92"/>
      <c r="AC636" s="92"/>
      <c r="AD636" s="146" t="s">
        <v>354</v>
      </c>
      <c r="AE636" s="146" t="s">
        <v>263</v>
      </c>
      <c r="AF636" s="146" t="s">
        <v>338</v>
      </c>
      <c r="AG636" s="92"/>
    </row>
    <row r="637" s="570" customFormat="1" ht="24.95" customHeight="1" spans="1:33">
      <c r="A637" s="705">
        <v>81</v>
      </c>
      <c r="B637" s="708" t="s">
        <v>449</v>
      </c>
      <c r="C637" s="708"/>
      <c r="D637" s="709" t="s">
        <v>147</v>
      </c>
      <c r="E637" s="708">
        <f>SUM(E638:E649)</f>
        <v>12</v>
      </c>
      <c r="F637" s="708">
        <f t="shared" ref="F637:AA637" si="98">SUM(F638:F649)</f>
        <v>0</v>
      </c>
      <c r="G637" s="708">
        <f t="shared" si="98"/>
        <v>0</v>
      </c>
      <c r="H637" s="708">
        <f t="shared" si="98"/>
        <v>1247</v>
      </c>
      <c r="I637" s="708">
        <f t="shared" si="98"/>
        <v>0</v>
      </c>
      <c r="J637" s="708">
        <f t="shared" si="98"/>
        <v>1247</v>
      </c>
      <c r="K637" s="708">
        <f t="shared" si="98"/>
        <v>0</v>
      </c>
      <c r="L637" s="708"/>
      <c r="M637" s="708"/>
      <c r="N637" s="708">
        <f t="shared" si="98"/>
        <v>151.668</v>
      </c>
      <c r="O637" s="708">
        <f t="shared" si="98"/>
        <v>0</v>
      </c>
      <c r="P637" s="708">
        <f t="shared" si="98"/>
        <v>151.668</v>
      </c>
      <c r="Q637" s="708">
        <f t="shared" si="98"/>
        <v>0</v>
      </c>
      <c r="R637" s="708">
        <f t="shared" si="98"/>
        <v>151.668</v>
      </c>
      <c r="S637" s="708">
        <f t="shared" si="98"/>
        <v>0</v>
      </c>
      <c r="T637" s="708">
        <f t="shared" si="98"/>
        <v>0</v>
      </c>
      <c r="U637" s="708">
        <f t="shared" si="98"/>
        <v>0</v>
      </c>
      <c r="V637" s="708">
        <f t="shared" si="98"/>
        <v>0</v>
      </c>
      <c r="W637" s="708">
        <f t="shared" si="98"/>
        <v>0</v>
      </c>
      <c r="X637" s="708">
        <f t="shared" si="98"/>
        <v>0</v>
      </c>
      <c r="Y637" s="708">
        <f t="shared" si="98"/>
        <v>1247</v>
      </c>
      <c r="Z637" s="708">
        <f t="shared" si="98"/>
        <v>5607</v>
      </c>
      <c r="AA637" s="708">
        <f t="shared" si="98"/>
        <v>12</v>
      </c>
      <c r="AB637" s="708"/>
      <c r="AC637" s="708"/>
      <c r="AD637" s="146" t="s">
        <v>450</v>
      </c>
      <c r="AE637" s="146" t="s">
        <v>451</v>
      </c>
      <c r="AF637" s="146" t="s">
        <v>452</v>
      </c>
      <c r="AG637" s="708" t="s">
        <v>41</v>
      </c>
    </row>
    <row r="638" s="694" customFormat="1" ht="24.95" customHeight="1" spans="1:33">
      <c r="A638" s="705"/>
      <c r="B638" s="714" t="s">
        <v>101</v>
      </c>
      <c r="C638" s="146" t="s">
        <v>52</v>
      </c>
      <c r="D638" s="152" t="s">
        <v>147</v>
      </c>
      <c r="E638" s="92">
        <v>1</v>
      </c>
      <c r="F638" s="714" t="s">
        <v>101</v>
      </c>
      <c r="G638" s="708"/>
      <c r="H638" s="708">
        <v>77</v>
      </c>
      <c r="I638" s="92"/>
      <c r="J638" s="708">
        <v>77</v>
      </c>
      <c r="K638" s="708"/>
      <c r="L638" s="92">
        <v>2019.01</v>
      </c>
      <c r="M638" s="92">
        <v>2019.12</v>
      </c>
      <c r="N638" s="726">
        <v>9.036</v>
      </c>
      <c r="O638" s="92"/>
      <c r="P638" s="726">
        <v>9.036</v>
      </c>
      <c r="Q638" s="726"/>
      <c r="R638" s="726">
        <v>9.036</v>
      </c>
      <c r="S638" s="726"/>
      <c r="T638" s="726"/>
      <c r="U638" s="726"/>
      <c r="V638" s="726"/>
      <c r="W638" s="726"/>
      <c r="X638" s="726"/>
      <c r="Y638" s="763">
        <v>77</v>
      </c>
      <c r="Z638" s="763">
        <v>346</v>
      </c>
      <c r="AA638" s="92">
        <v>1</v>
      </c>
      <c r="AB638" s="708"/>
      <c r="AC638" s="708"/>
      <c r="AD638" s="146" t="s">
        <v>244</v>
      </c>
      <c r="AE638" s="146" t="s">
        <v>333</v>
      </c>
      <c r="AF638" s="146" t="s">
        <v>452</v>
      </c>
      <c r="AG638" s="708"/>
    </row>
    <row r="639" s="694" customFormat="1" ht="24.95" customHeight="1" spans="1:33">
      <c r="A639" s="705"/>
      <c r="B639" s="714" t="s">
        <v>151</v>
      </c>
      <c r="C639" s="146" t="s">
        <v>52</v>
      </c>
      <c r="D639" s="152" t="s">
        <v>147</v>
      </c>
      <c r="E639" s="92">
        <v>1</v>
      </c>
      <c r="F639" s="714" t="s">
        <v>151</v>
      </c>
      <c r="G639" s="708"/>
      <c r="H639" s="708">
        <v>93</v>
      </c>
      <c r="I639" s="92"/>
      <c r="J639" s="708">
        <v>93</v>
      </c>
      <c r="K639" s="708"/>
      <c r="L639" s="92">
        <v>2019.01</v>
      </c>
      <c r="M639" s="92">
        <v>2019.12</v>
      </c>
      <c r="N639" s="726">
        <v>11.268</v>
      </c>
      <c r="O639" s="92"/>
      <c r="P639" s="726">
        <v>11.268</v>
      </c>
      <c r="Q639" s="726"/>
      <c r="R639" s="726">
        <v>11.268</v>
      </c>
      <c r="S639" s="726"/>
      <c r="T639" s="726"/>
      <c r="U639" s="726"/>
      <c r="V639" s="726"/>
      <c r="W639" s="726"/>
      <c r="X639" s="726"/>
      <c r="Y639" s="763">
        <v>93</v>
      </c>
      <c r="Z639" s="763">
        <v>418</v>
      </c>
      <c r="AA639" s="92">
        <v>1</v>
      </c>
      <c r="AB639" s="708"/>
      <c r="AC639" s="708"/>
      <c r="AD639" s="146" t="s">
        <v>339</v>
      </c>
      <c r="AE639" s="146" t="s">
        <v>340</v>
      </c>
      <c r="AF639" s="146" t="s">
        <v>452</v>
      </c>
      <c r="AG639" s="708"/>
    </row>
    <row r="640" s="694" customFormat="1" ht="24.95" customHeight="1" spans="1:33">
      <c r="A640" s="705"/>
      <c r="B640" s="714" t="s">
        <v>154</v>
      </c>
      <c r="C640" s="146" t="s">
        <v>52</v>
      </c>
      <c r="D640" s="152" t="s">
        <v>147</v>
      </c>
      <c r="E640" s="92">
        <v>1</v>
      </c>
      <c r="F640" s="714" t="s">
        <v>154</v>
      </c>
      <c r="G640" s="708"/>
      <c r="H640" s="708">
        <v>135</v>
      </c>
      <c r="I640" s="92"/>
      <c r="J640" s="708">
        <v>135</v>
      </c>
      <c r="K640" s="708"/>
      <c r="L640" s="92">
        <v>2019.01</v>
      </c>
      <c r="M640" s="92">
        <v>2019.12</v>
      </c>
      <c r="N640" s="726">
        <v>16.236</v>
      </c>
      <c r="O640" s="92"/>
      <c r="P640" s="726">
        <v>16.236</v>
      </c>
      <c r="Q640" s="726"/>
      <c r="R640" s="726">
        <v>16.236</v>
      </c>
      <c r="S640" s="726"/>
      <c r="T640" s="726"/>
      <c r="U640" s="726"/>
      <c r="V640" s="726"/>
      <c r="W640" s="726"/>
      <c r="X640" s="726"/>
      <c r="Y640" s="763">
        <v>135</v>
      </c>
      <c r="Z640" s="763">
        <v>607</v>
      </c>
      <c r="AA640" s="92">
        <v>1</v>
      </c>
      <c r="AB640" s="708"/>
      <c r="AC640" s="708"/>
      <c r="AD640" s="146" t="s">
        <v>453</v>
      </c>
      <c r="AE640" s="146" t="s">
        <v>454</v>
      </c>
      <c r="AF640" s="146" t="s">
        <v>452</v>
      </c>
      <c r="AG640" s="708"/>
    </row>
    <row r="641" s="694" customFormat="1" ht="24.95" customHeight="1" spans="1:33">
      <c r="A641" s="705"/>
      <c r="B641" s="714" t="s">
        <v>81</v>
      </c>
      <c r="C641" s="146" t="s">
        <v>52</v>
      </c>
      <c r="D641" s="152" t="s">
        <v>147</v>
      </c>
      <c r="E641" s="92">
        <v>1</v>
      </c>
      <c r="F641" s="714" t="s">
        <v>81</v>
      </c>
      <c r="G641" s="708"/>
      <c r="H641" s="708">
        <v>95</v>
      </c>
      <c r="I641" s="92"/>
      <c r="J641" s="708">
        <v>95</v>
      </c>
      <c r="K641" s="708"/>
      <c r="L641" s="92">
        <v>2019.01</v>
      </c>
      <c r="M641" s="92">
        <v>2019.12</v>
      </c>
      <c r="N641" s="726">
        <v>12.06</v>
      </c>
      <c r="O641" s="92"/>
      <c r="P641" s="726">
        <v>12.06</v>
      </c>
      <c r="Q641" s="726"/>
      <c r="R641" s="726">
        <v>12.06</v>
      </c>
      <c r="S641" s="726"/>
      <c r="T641" s="726"/>
      <c r="U641" s="726"/>
      <c r="V641" s="726"/>
      <c r="W641" s="726"/>
      <c r="X641" s="726"/>
      <c r="Y641" s="763">
        <v>95</v>
      </c>
      <c r="Z641" s="763">
        <v>427</v>
      </c>
      <c r="AA641" s="92">
        <v>1</v>
      </c>
      <c r="AB641" s="708"/>
      <c r="AC641" s="708"/>
      <c r="AD641" s="146" t="s">
        <v>305</v>
      </c>
      <c r="AE641" s="146" t="s">
        <v>362</v>
      </c>
      <c r="AF641" s="146" t="s">
        <v>452</v>
      </c>
      <c r="AG641" s="708"/>
    </row>
    <row r="642" s="694" customFormat="1" ht="24.95" customHeight="1" spans="1:33">
      <c r="A642" s="705"/>
      <c r="B642" s="714" t="s">
        <v>98</v>
      </c>
      <c r="C642" s="146" t="s">
        <v>52</v>
      </c>
      <c r="D642" s="152" t="s">
        <v>147</v>
      </c>
      <c r="E642" s="92">
        <v>1</v>
      </c>
      <c r="F642" s="714" t="s">
        <v>98</v>
      </c>
      <c r="G642" s="708"/>
      <c r="H642" s="708">
        <v>187</v>
      </c>
      <c r="I642" s="92"/>
      <c r="J642" s="708">
        <v>187</v>
      </c>
      <c r="K642" s="708"/>
      <c r="L642" s="92">
        <v>2019.01</v>
      </c>
      <c r="M642" s="92">
        <v>2019.12</v>
      </c>
      <c r="N642" s="726">
        <v>22.212</v>
      </c>
      <c r="O642" s="92"/>
      <c r="P642" s="726">
        <v>22.212</v>
      </c>
      <c r="Q642" s="726"/>
      <c r="R642" s="726">
        <v>22.212</v>
      </c>
      <c r="S642" s="726"/>
      <c r="T642" s="726"/>
      <c r="U642" s="726"/>
      <c r="V642" s="726"/>
      <c r="W642" s="726"/>
      <c r="X642" s="726"/>
      <c r="Y642" s="763">
        <v>187</v>
      </c>
      <c r="Z642" s="763">
        <v>841</v>
      </c>
      <c r="AA642" s="92">
        <v>1</v>
      </c>
      <c r="AB642" s="708"/>
      <c r="AC642" s="708"/>
      <c r="AD642" s="146" t="s">
        <v>344</v>
      </c>
      <c r="AE642" s="146" t="s">
        <v>455</v>
      </c>
      <c r="AF642" s="146" t="s">
        <v>452</v>
      </c>
      <c r="AG642" s="708"/>
    </row>
    <row r="643" s="694" customFormat="1" ht="24.95" customHeight="1" spans="1:33">
      <c r="A643" s="705"/>
      <c r="B643" s="714" t="s">
        <v>211</v>
      </c>
      <c r="C643" s="146" t="s">
        <v>52</v>
      </c>
      <c r="D643" s="152" t="s">
        <v>147</v>
      </c>
      <c r="E643" s="92">
        <v>1</v>
      </c>
      <c r="F643" s="714" t="s">
        <v>211</v>
      </c>
      <c r="G643" s="708"/>
      <c r="H643" s="708">
        <v>112</v>
      </c>
      <c r="I643" s="92"/>
      <c r="J643" s="708">
        <v>112</v>
      </c>
      <c r="K643" s="708"/>
      <c r="L643" s="92">
        <v>2019.01</v>
      </c>
      <c r="M643" s="92">
        <v>2019.12</v>
      </c>
      <c r="N643" s="726">
        <v>13.68</v>
      </c>
      <c r="O643" s="92"/>
      <c r="P643" s="726">
        <v>13.68</v>
      </c>
      <c r="Q643" s="726"/>
      <c r="R643" s="726">
        <v>13.68</v>
      </c>
      <c r="S643" s="726"/>
      <c r="T643" s="726"/>
      <c r="U643" s="726"/>
      <c r="V643" s="726"/>
      <c r="W643" s="726"/>
      <c r="X643" s="726"/>
      <c r="Y643" s="763">
        <v>112</v>
      </c>
      <c r="Z643" s="763">
        <v>504</v>
      </c>
      <c r="AA643" s="92">
        <v>1</v>
      </c>
      <c r="AB643" s="708"/>
      <c r="AC643" s="708"/>
      <c r="AD643" s="146" t="s">
        <v>346</v>
      </c>
      <c r="AE643" s="146" t="s">
        <v>347</v>
      </c>
      <c r="AF643" s="146" t="s">
        <v>452</v>
      </c>
      <c r="AG643" s="708"/>
    </row>
    <row r="644" s="694" customFormat="1" ht="24.95" customHeight="1" spans="1:33">
      <c r="A644" s="705"/>
      <c r="B644" s="714" t="s">
        <v>155</v>
      </c>
      <c r="C644" s="146" t="s">
        <v>52</v>
      </c>
      <c r="D644" s="152" t="s">
        <v>147</v>
      </c>
      <c r="E644" s="92">
        <v>1</v>
      </c>
      <c r="F644" s="714" t="s">
        <v>155</v>
      </c>
      <c r="G644" s="708"/>
      <c r="H644" s="708">
        <v>27</v>
      </c>
      <c r="I644" s="92"/>
      <c r="J644" s="708">
        <v>27</v>
      </c>
      <c r="K644" s="708"/>
      <c r="L644" s="92">
        <v>2019.01</v>
      </c>
      <c r="M644" s="92">
        <v>2019.12</v>
      </c>
      <c r="N644" s="726">
        <v>3.348</v>
      </c>
      <c r="O644" s="92"/>
      <c r="P644" s="726">
        <v>3.348</v>
      </c>
      <c r="Q644" s="726"/>
      <c r="R644" s="726">
        <v>3.348</v>
      </c>
      <c r="S644" s="726"/>
      <c r="T644" s="726"/>
      <c r="U644" s="726"/>
      <c r="V644" s="726"/>
      <c r="W644" s="726"/>
      <c r="X644" s="726"/>
      <c r="Y644" s="763">
        <v>27</v>
      </c>
      <c r="Z644" s="763">
        <v>121</v>
      </c>
      <c r="AA644" s="92">
        <v>1</v>
      </c>
      <c r="AB644" s="708"/>
      <c r="AC644" s="708"/>
      <c r="AD644" s="146" t="s">
        <v>253</v>
      </c>
      <c r="AE644" s="146" t="s">
        <v>348</v>
      </c>
      <c r="AF644" s="146" t="s">
        <v>452</v>
      </c>
      <c r="AG644" s="708"/>
    </row>
    <row r="645" s="694" customFormat="1" ht="24.95" customHeight="1" spans="1:33">
      <c r="A645" s="705"/>
      <c r="B645" s="714" t="s">
        <v>102</v>
      </c>
      <c r="C645" s="146" t="s">
        <v>52</v>
      </c>
      <c r="D645" s="152" t="s">
        <v>147</v>
      </c>
      <c r="E645" s="92">
        <v>1</v>
      </c>
      <c r="F645" s="714" t="s">
        <v>102</v>
      </c>
      <c r="G645" s="708"/>
      <c r="H645" s="708">
        <v>173</v>
      </c>
      <c r="I645" s="92"/>
      <c r="J645" s="708">
        <v>173</v>
      </c>
      <c r="K645" s="708"/>
      <c r="L645" s="92">
        <v>2019.01</v>
      </c>
      <c r="M645" s="92">
        <v>2019.12</v>
      </c>
      <c r="N645" s="726">
        <v>21.564</v>
      </c>
      <c r="O645" s="92"/>
      <c r="P645" s="726">
        <v>21.564</v>
      </c>
      <c r="Q645" s="726"/>
      <c r="R645" s="726">
        <v>21.564</v>
      </c>
      <c r="S645" s="726"/>
      <c r="T645" s="726"/>
      <c r="U645" s="726"/>
      <c r="V645" s="726"/>
      <c r="W645" s="726"/>
      <c r="X645" s="726"/>
      <c r="Y645" s="763">
        <v>173</v>
      </c>
      <c r="Z645" s="763">
        <v>778</v>
      </c>
      <c r="AA645" s="92">
        <v>1</v>
      </c>
      <c r="AB645" s="708"/>
      <c r="AC645" s="708"/>
      <c r="AD645" s="146" t="s">
        <v>255</v>
      </c>
      <c r="AE645" s="146" t="s">
        <v>456</v>
      </c>
      <c r="AF645" s="146" t="s">
        <v>452</v>
      </c>
      <c r="AG645" s="708"/>
    </row>
    <row r="646" s="694" customFormat="1" ht="24.95" customHeight="1" spans="1:33">
      <c r="A646" s="705"/>
      <c r="B646" s="714" t="s">
        <v>100</v>
      </c>
      <c r="C646" s="146" t="s">
        <v>52</v>
      </c>
      <c r="D646" s="152" t="s">
        <v>147</v>
      </c>
      <c r="E646" s="92">
        <v>1</v>
      </c>
      <c r="F646" s="714" t="s">
        <v>100</v>
      </c>
      <c r="G646" s="708"/>
      <c r="H646" s="708">
        <v>153</v>
      </c>
      <c r="I646" s="92"/>
      <c r="J646" s="708">
        <v>153</v>
      </c>
      <c r="K646" s="708"/>
      <c r="L646" s="92">
        <v>2019.01</v>
      </c>
      <c r="M646" s="92">
        <v>2019.12</v>
      </c>
      <c r="N646" s="726">
        <v>18.504</v>
      </c>
      <c r="O646" s="92"/>
      <c r="P646" s="726">
        <v>18.504</v>
      </c>
      <c r="Q646" s="726"/>
      <c r="R646" s="726">
        <v>18.504</v>
      </c>
      <c r="S646" s="726"/>
      <c r="T646" s="726"/>
      <c r="U646" s="726"/>
      <c r="V646" s="726"/>
      <c r="W646" s="726"/>
      <c r="X646" s="726"/>
      <c r="Y646" s="763">
        <v>153</v>
      </c>
      <c r="Z646" s="763">
        <v>688</v>
      </c>
      <c r="AA646" s="92">
        <v>1</v>
      </c>
      <c r="AB646" s="708"/>
      <c r="AC646" s="708"/>
      <c r="AD646" s="146" t="s">
        <v>312</v>
      </c>
      <c r="AE646" s="146" t="s">
        <v>352</v>
      </c>
      <c r="AF646" s="146" t="s">
        <v>452</v>
      </c>
      <c r="AG646" s="708"/>
    </row>
    <row r="647" s="694" customFormat="1" ht="24.95" customHeight="1" spans="1:33">
      <c r="A647" s="705"/>
      <c r="B647" s="714" t="s">
        <v>259</v>
      </c>
      <c r="C647" s="146" t="s">
        <v>52</v>
      </c>
      <c r="D647" s="152" t="s">
        <v>147</v>
      </c>
      <c r="E647" s="92">
        <v>1</v>
      </c>
      <c r="F647" s="714" t="s">
        <v>259</v>
      </c>
      <c r="G647" s="708"/>
      <c r="H647" s="708">
        <v>11</v>
      </c>
      <c r="I647" s="92"/>
      <c r="J647" s="708">
        <v>11</v>
      </c>
      <c r="K647" s="708"/>
      <c r="L647" s="92">
        <v>2019.01</v>
      </c>
      <c r="M647" s="92">
        <v>2019.12</v>
      </c>
      <c r="N647" s="726">
        <v>1.26</v>
      </c>
      <c r="O647" s="92"/>
      <c r="P647" s="726">
        <v>1.26</v>
      </c>
      <c r="Q647" s="726"/>
      <c r="R647" s="726">
        <v>1.26</v>
      </c>
      <c r="S647" s="726"/>
      <c r="T647" s="726"/>
      <c r="U647" s="726"/>
      <c r="V647" s="726"/>
      <c r="W647" s="726"/>
      <c r="X647" s="726"/>
      <c r="Y647" s="763">
        <v>11</v>
      </c>
      <c r="Z647" s="763">
        <v>49</v>
      </c>
      <c r="AA647" s="92">
        <v>1</v>
      </c>
      <c r="AB647" s="708"/>
      <c r="AC647" s="708"/>
      <c r="AD647" s="146" t="s">
        <v>183</v>
      </c>
      <c r="AE647" s="146" t="s">
        <v>184</v>
      </c>
      <c r="AF647" s="146" t="s">
        <v>452</v>
      </c>
      <c r="AG647" s="708"/>
    </row>
    <row r="648" s="694" customFormat="1" ht="24.95" customHeight="1" spans="1:33">
      <c r="A648" s="705"/>
      <c r="B648" s="714" t="s">
        <v>84</v>
      </c>
      <c r="C648" s="146" t="s">
        <v>52</v>
      </c>
      <c r="D648" s="152" t="s">
        <v>147</v>
      </c>
      <c r="E648" s="92">
        <v>1</v>
      </c>
      <c r="F648" s="714" t="s">
        <v>84</v>
      </c>
      <c r="G648" s="708"/>
      <c r="H648" s="708">
        <v>136</v>
      </c>
      <c r="I648" s="92"/>
      <c r="J648" s="708">
        <v>136</v>
      </c>
      <c r="K648" s="708"/>
      <c r="L648" s="92">
        <v>2019.01</v>
      </c>
      <c r="M648" s="92">
        <v>2019.12</v>
      </c>
      <c r="N648" s="726">
        <v>16.704</v>
      </c>
      <c r="O648" s="92"/>
      <c r="P648" s="726">
        <v>16.704</v>
      </c>
      <c r="Q648" s="726"/>
      <c r="R648" s="726">
        <v>16.704</v>
      </c>
      <c r="S648" s="726"/>
      <c r="T648" s="726"/>
      <c r="U648" s="726"/>
      <c r="V648" s="726"/>
      <c r="W648" s="726"/>
      <c r="X648" s="726"/>
      <c r="Y648" s="763">
        <v>136</v>
      </c>
      <c r="Z648" s="763">
        <v>612</v>
      </c>
      <c r="AA648" s="92">
        <v>1</v>
      </c>
      <c r="AB648" s="708"/>
      <c r="AC648" s="708"/>
      <c r="AD648" s="146" t="s">
        <v>350</v>
      </c>
      <c r="AE648" s="146" t="s">
        <v>351</v>
      </c>
      <c r="AF648" s="146" t="s">
        <v>452</v>
      </c>
      <c r="AG648" s="708"/>
    </row>
    <row r="649" s="694" customFormat="1" ht="24.95" customHeight="1" spans="1:33">
      <c r="A649" s="705"/>
      <c r="B649" s="714" t="s">
        <v>143</v>
      </c>
      <c r="C649" s="146" t="s">
        <v>52</v>
      </c>
      <c r="D649" s="152" t="s">
        <v>147</v>
      </c>
      <c r="E649" s="92">
        <v>1</v>
      </c>
      <c r="F649" s="714" t="s">
        <v>143</v>
      </c>
      <c r="G649" s="708"/>
      <c r="H649" s="708">
        <v>48</v>
      </c>
      <c r="I649" s="92"/>
      <c r="J649" s="708">
        <v>48</v>
      </c>
      <c r="K649" s="708"/>
      <c r="L649" s="92">
        <v>2019.01</v>
      </c>
      <c r="M649" s="92">
        <v>2019.12</v>
      </c>
      <c r="N649" s="726">
        <v>5.796</v>
      </c>
      <c r="O649" s="92"/>
      <c r="P649" s="726">
        <v>5.796</v>
      </c>
      <c r="Q649" s="726"/>
      <c r="R649" s="726">
        <v>5.796</v>
      </c>
      <c r="S649" s="726"/>
      <c r="T649" s="726"/>
      <c r="U649" s="726"/>
      <c r="V649" s="726"/>
      <c r="W649" s="726"/>
      <c r="X649" s="726"/>
      <c r="Y649" s="763">
        <v>48</v>
      </c>
      <c r="Z649" s="763">
        <v>216</v>
      </c>
      <c r="AA649" s="92">
        <v>1</v>
      </c>
      <c r="AB649" s="708"/>
      <c r="AC649" s="708"/>
      <c r="AD649" s="777" t="s">
        <v>262</v>
      </c>
      <c r="AE649" s="777" t="s">
        <v>263</v>
      </c>
      <c r="AF649" s="146" t="s">
        <v>452</v>
      </c>
      <c r="AG649" s="708"/>
    </row>
    <row r="650" s="570" customFormat="1" ht="24.95" customHeight="1" spans="1:33">
      <c r="A650" s="705">
        <v>82</v>
      </c>
      <c r="B650" s="708" t="s">
        <v>457</v>
      </c>
      <c r="C650" s="708"/>
      <c r="D650" s="709"/>
      <c r="E650" s="708"/>
      <c r="F650" s="708"/>
      <c r="G650" s="708"/>
      <c r="H650" s="708"/>
      <c r="I650" s="708"/>
      <c r="J650" s="708"/>
      <c r="K650" s="708"/>
      <c r="L650" s="708"/>
      <c r="M650" s="708"/>
      <c r="N650" s="726"/>
      <c r="O650" s="726"/>
      <c r="P650" s="726"/>
      <c r="Q650" s="726"/>
      <c r="R650" s="726"/>
      <c r="S650" s="726"/>
      <c r="T650" s="726"/>
      <c r="U650" s="726"/>
      <c r="V650" s="726"/>
      <c r="W650" s="726"/>
      <c r="X650" s="726"/>
      <c r="Y650" s="726"/>
      <c r="Z650" s="726"/>
      <c r="AA650" s="708"/>
      <c r="AB650" s="708"/>
      <c r="AC650" s="708"/>
      <c r="AD650" s="708"/>
      <c r="AE650" s="708"/>
      <c r="AF650" s="708"/>
      <c r="AG650" s="708" t="s">
        <v>41</v>
      </c>
    </row>
    <row r="651" s="570" customFormat="1" ht="24.95" customHeight="1" spans="1:33">
      <c r="A651" s="705">
        <v>83</v>
      </c>
      <c r="B651" s="92" t="s">
        <v>458</v>
      </c>
      <c r="C651" s="92"/>
      <c r="D651" s="76" t="s">
        <v>147</v>
      </c>
      <c r="E651" s="92"/>
      <c r="F651" s="92"/>
      <c r="G651" s="92"/>
      <c r="H651" s="92"/>
      <c r="I651" s="92"/>
      <c r="J651" s="92"/>
      <c r="K651" s="92"/>
      <c r="L651" s="92"/>
      <c r="M651" s="92"/>
      <c r="N651" s="724"/>
      <c r="O651" s="724"/>
      <c r="P651" s="724"/>
      <c r="Q651" s="724"/>
      <c r="R651" s="724"/>
      <c r="S651" s="724"/>
      <c r="T651" s="724"/>
      <c r="U651" s="724"/>
      <c r="V651" s="724"/>
      <c r="W651" s="724"/>
      <c r="X651" s="724"/>
      <c r="Y651" s="724"/>
      <c r="Z651" s="724"/>
      <c r="AA651" s="92"/>
      <c r="AB651" s="92"/>
      <c r="AC651" s="92"/>
      <c r="AD651" s="92"/>
      <c r="AE651" s="92"/>
      <c r="AF651" s="92" t="s">
        <v>338</v>
      </c>
      <c r="AG651" s="92" t="s">
        <v>41</v>
      </c>
    </row>
    <row r="652" s="570" customFormat="1" ht="24.95" customHeight="1" spans="1:33">
      <c r="A652" s="705" t="s">
        <v>48</v>
      </c>
      <c r="B652" s="92" t="s">
        <v>148</v>
      </c>
      <c r="C652" s="92"/>
      <c r="D652" s="76"/>
      <c r="E652" s="92"/>
      <c r="F652" s="92"/>
      <c r="G652" s="92"/>
      <c r="H652" s="92"/>
      <c r="I652" s="92"/>
      <c r="J652" s="92"/>
      <c r="K652" s="92"/>
      <c r="L652" s="92"/>
      <c r="M652" s="92"/>
      <c r="N652" s="724"/>
      <c r="O652" s="724"/>
      <c r="P652" s="724"/>
      <c r="Q652" s="724"/>
      <c r="R652" s="724"/>
      <c r="S652" s="724"/>
      <c r="T652" s="724"/>
      <c r="U652" s="724"/>
      <c r="V652" s="724"/>
      <c r="W652" s="724"/>
      <c r="X652" s="724"/>
      <c r="Y652" s="724"/>
      <c r="Z652" s="724"/>
      <c r="AA652" s="92"/>
      <c r="AB652" s="92"/>
      <c r="AC652" s="92"/>
      <c r="AD652" s="92"/>
      <c r="AE652" s="92"/>
      <c r="AF652" s="92"/>
      <c r="AG652" s="92"/>
    </row>
    <row r="653" s="570" customFormat="1" ht="24.95" customHeight="1" spans="1:33">
      <c r="A653" s="705">
        <v>84</v>
      </c>
      <c r="B653" s="92" t="s">
        <v>459</v>
      </c>
      <c r="C653" s="92"/>
      <c r="D653" s="76" t="s">
        <v>147</v>
      </c>
      <c r="E653" s="92"/>
      <c r="F653" s="92"/>
      <c r="G653" s="92"/>
      <c r="H653" s="92"/>
      <c r="I653" s="92"/>
      <c r="J653" s="92"/>
      <c r="K653" s="92"/>
      <c r="L653" s="92"/>
      <c r="M653" s="92"/>
      <c r="N653" s="724"/>
      <c r="O653" s="724"/>
      <c r="P653" s="724"/>
      <c r="Q653" s="724"/>
      <c r="R653" s="724"/>
      <c r="S653" s="724"/>
      <c r="T653" s="724"/>
      <c r="U653" s="724"/>
      <c r="V653" s="724"/>
      <c r="W653" s="724"/>
      <c r="X653" s="724"/>
      <c r="Y653" s="724"/>
      <c r="Z653" s="724"/>
      <c r="AA653" s="92"/>
      <c r="AB653" s="92"/>
      <c r="AC653" s="92"/>
      <c r="AD653" s="92"/>
      <c r="AE653" s="92"/>
      <c r="AF653" s="92" t="s">
        <v>338</v>
      </c>
      <c r="AG653" s="92" t="s">
        <v>41</v>
      </c>
    </row>
    <row r="654" s="570" customFormat="1" ht="24.95" customHeight="1" spans="1:33">
      <c r="A654" s="705" t="s">
        <v>48</v>
      </c>
      <c r="B654" s="92" t="s">
        <v>148</v>
      </c>
      <c r="C654" s="92"/>
      <c r="D654" s="76"/>
      <c r="E654" s="92"/>
      <c r="F654" s="92"/>
      <c r="G654" s="92"/>
      <c r="H654" s="92"/>
      <c r="I654" s="92"/>
      <c r="J654" s="92"/>
      <c r="K654" s="92"/>
      <c r="L654" s="92"/>
      <c r="M654" s="92"/>
      <c r="N654" s="724"/>
      <c r="O654" s="724"/>
      <c r="P654" s="724"/>
      <c r="Q654" s="724"/>
      <c r="R654" s="724"/>
      <c r="S654" s="724"/>
      <c r="T654" s="724"/>
      <c r="U654" s="724"/>
      <c r="V654" s="724"/>
      <c r="W654" s="724"/>
      <c r="X654" s="724"/>
      <c r="Y654" s="724"/>
      <c r="Z654" s="724"/>
      <c r="AA654" s="92"/>
      <c r="AB654" s="92"/>
      <c r="AC654" s="92"/>
      <c r="AD654" s="92"/>
      <c r="AE654" s="92"/>
      <c r="AF654" s="92"/>
      <c r="AG654" s="92"/>
    </row>
    <row r="655" ht="32.1" customHeight="1" spans="1:33">
      <c r="A655" s="705">
        <v>85</v>
      </c>
      <c r="B655" s="706" t="s">
        <v>460</v>
      </c>
      <c r="C655" s="706"/>
      <c r="D655" s="707"/>
      <c r="E655" s="706">
        <f>E658+E707+E729+E755+E780+E826</f>
        <v>169</v>
      </c>
      <c r="F655" s="706"/>
      <c r="G655" s="706"/>
      <c r="H655" s="706">
        <f t="shared" ref="F655:AA655" si="99">H658+H707+H729+H755+H780+H826</f>
        <v>52009.38</v>
      </c>
      <c r="I655" s="706">
        <f t="shared" si="99"/>
        <v>0</v>
      </c>
      <c r="J655" s="706">
        <f t="shared" si="99"/>
        <v>54276.38</v>
      </c>
      <c r="K655" s="706">
        <f t="shared" si="99"/>
        <v>0</v>
      </c>
      <c r="L655" s="706"/>
      <c r="M655" s="706"/>
      <c r="N655" s="706">
        <f t="shared" si="99"/>
        <v>24622.64</v>
      </c>
      <c r="O655" s="706">
        <f t="shared" si="99"/>
        <v>0</v>
      </c>
      <c r="P655" s="706">
        <f t="shared" si="99"/>
        <v>24622.64</v>
      </c>
      <c r="Q655" s="706">
        <f t="shared" si="99"/>
        <v>0</v>
      </c>
      <c r="R655" s="706">
        <f t="shared" si="99"/>
        <v>4840.94</v>
      </c>
      <c r="S655" s="706">
        <f t="shared" si="99"/>
        <v>17981.7</v>
      </c>
      <c r="T655" s="706">
        <f t="shared" si="99"/>
        <v>0</v>
      </c>
      <c r="U655" s="706">
        <f t="shared" si="99"/>
        <v>1800</v>
      </c>
      <c r="V655" s="706">
        <f t="shared" si="99"/>
        <v>0</v>
      </c>
      <c r="W655" s="706">
        <f t="shared" si="99"/>
        <v>0</v>
      </c>
      <c r="X655" s="706">
        <f t="shared" si="99"/>
        <v>0</v>
      </c>
      <c r="Y655" s="739">
        <f t="shared" si="99"/>
        <v>74591.2105263158</v>
      </c>
      <c r="Z655" s="706">
        <f t="shared" si="99"/>
        <v>316704</v>
      </c>
      <c r="AA655" s="706">
        <f t="shared" si="99"/>
        <v>169</v>
      </c>
      <c r="AB655" s="706"/>
      <c r="AC655" s="706"/>
      <c r="AD655" s="706"/>
      <c r="AE655" s="706"/>
      <c r="AF655" s="706"/>
      <c r="AG655" s="706" t="s">
        <v>41</v>
      </c>
    </row>
    <row r="656" s="570" customFormat="1" ht="24.95" customHeight="1" spans="1:33">
      <c r="A656" s="705">
        <v>86</v>
      </c>
      <c r="B656" s="791" t="s">
        <v>461</v>
      </c>
      <c r="C656" s="708"/>
      <c r="D656" s="709"/>
      <c r="E656" s="708"/>
      <c r="F656" s="708"/>
      <c r="G656" s="708"/>
      <c r="H656" s="708"/>
      <c r="I656" s="708"/>
      <c r="J656" s="708"/>
      <c r="K656" s="708"/>
      <c r="L656" s="708"/>
      <c r="M656" s="708"/>
      <c r="N656" s="708"/>
      <c r="O656" s="708"/>
      <c r="P656" s="708"/>
      <c r="Q656" s="708"/>
      <c r="R656" s="708"/>
      <c r="S656" s="708"/>
      <c r="T656" s="708"/>
      <c r="U656" s="708"/>
      <c r="V656" s="708"/>
      <c r="W656" s="708"/>
      <c r="X656" s="708"/>
      <c r="Y656" s="708"/>
      <c r="Z656" s="708"/>
      <c r="AA656" s="708"/>
      <c r="AB656" s="708"/>
      <c r="AC656" s="708"/>
      <c r="AD656" s="708"/>
      <c r="AE656" s="708"/>
      <c r="AF656" s="708"/>
      <c r="AG656" s="708"/>
    </row>
    <row r="657" s="570" customFormat="1" ht="24.95" customHeight="1" spans="1:33">
      <c r="A657" s="705" t="s">
        <v>48</v>
      </c>
      <c r="B657" s="92" t="s">
        <v>148</v>
      </c>
      <c r="C657" s="92"/>
      <c r="D657" s="76"/>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row>
    <row r="658" s="570" customFormat="1" ht="24.95" customHeight="1" spans="1:33">
      <c r="A658" s="705">
        <v>87</v>
      </c>
      <c r="B658" s="791" t="s">
        <v>462</v>
      </c>
      <c r="C658" s="708"/>
      <c r="D658" s="709" t="s">
        <v>192</v>
      </c>
      <c r="E658" s="708">
        <f>E659+E672+E689+E702+E706</f>
        <v>28</v>
      </c>
      <c r="F658" s="708"/>
      <c r="G658" s="708"/>
      <c r="H658" s="708">
        <f t="shared" ref="F658:AA658" si="100">H659+H672+H689+H702+H706</f>
        <v>573.38</v>
      </c>
      <c r="I658" s="708">
        <f t="shared" si="100"/>
        <v>0</v>
      </c>
      <c r="J658" s="708">
        <f t="shared" si="100"/>
        <v>573.38</v>
      </c>
      <c r="K658" s="708">
        <f t="shared" si="100"/>
        <v>0</v>
      </c>
      <c r="L658" s="708"/>
      <c r="M658" s="708"/>
      <c r="N658" s="708">
        <f t="shared" si="100"/>
        <v>12374</v>
      </c>
      <c r="O658" s="708">
        <f t="shared" si="100"/>
        <v>0</v>
      </c>
      <c r="P658" s="708">
        <f t="shared" si="100"/>
        <v>12374</v>
      </c>
      <c r="Q658" s="708">
        <f t="shared" si="100"/>
        <v>0</v>
      </c>
      <c r="R658" s="708">
        <f t="shared" si="100"/>
        <v>0</v>
      </c>
      <c r="S658" s="708">
        <f t="shared" si="100"/>
        <v>12374</v>
      </c>
      <c r="T658" s="708">
        <f t="shared" si="100"/>
        <v>0</v>
      </c>
      <c r="U658" s="708">
        <f t="shared" si="100"/>
        <v>0</v>
      </c>
      <c r="V658" s="708">
        <f t="shared" si="100"/>
        <v>0</v>
      </c>
      <c r="W658" s="708">
        <f t="shared" si="100"/>
        <v>0</v>
      </c>
      <c r="X658" s="708">
        <f t="shared" si="100"/>
        <v>0</v>
      </c>
      <c r="Y658" s="708">
        <f t="shared" si="100"/>
        <v>30214</v>
      </c>
      <c r="Z658" s="708">
        <f t="shared" si="100"/>
        <v>129451</v>
      </c>
      <c r="AA658" s="708">
        <f t="shared" si="100"/>
        <v>28</v>
      </c>
      <c r="AB658" s="708"/>
      <c r="AC658" s="708"/>
      <c r="AD658" s="708"/>
      <c r="AE658" s="708"/>
      <c r="AF658" s="708" t="s">
        <v>271</v>
      </c>
      <c r="AG658" s="708" t="s">
        <v>41</v>
      </c>
    </row>
    <row r="659" s="570" customFormat="1" ht="36" spans="1:33">
      <c r="A659" s="705">
        <v>88</v>
      </c>
      <c r="B659" s="95" t="s">
        <v>464</v>
      </c>
      <c r="C659" s="92"/>
      <c r="D659" s="76" t="s">
        <v>192</v>
      </c>
      <c r="E659" s="92">
        <f>SUM(E660:E671)</f>
        <v>12</v>
      </c>
      <c r="F659" s="92">
        <f t="shared" ref="F659:AA659" si="101">SUM(F660:F671)</f>
        <v>0</v>
      </c>
      <c r="G659" s="92">
        <f t="shared" si="101"/>
        <v>0</v>
      </c>
      <c r="H659" s="92">
        <f t="shared" si="101"/>
        <v>358</v>
      </c>
      <c r="I659" s="92">
        <f t="shared" si="101"/>
        <v>0</v>
      </c>
      <c r="J659" s="92">
        <f t="shared" si="101"/>
        <v>358</v>
      </c>
      <c r="K659" s="92">
        <f t="shared" si="101"/>
        <v>0</v>
      </c>
      <c r="L659" s="92"/>
      <c r="M659" s="92"/>
      <c r="N659" s="92">
        <f t="shared" si="101"/>
        <v>2506</v>
      </c>
      <c r="O659" s="92">
        <f t="shared" si="101"/>
        <v>0</v>
      </c>
      <c r="P659" s="92">
        <f t="shared" si="101"/>
        <v>2506</v>
      </c>
      <c r="Q659" s="92">
        <f t="shared" si="101"/>
        <v>0</v>
      </c>
      <c r="R659" s="92">
        <f t="shared" si="101"/>
        <v>0</v>
      </c>
      <c r="S659" s="92">
        <f t="shared" si="101"/>
        <v>2506</v>
      </c>
      <c r="T659" s="92">
        <f t="shared" si="101"/>
        <v>0</v>
      </c>
      <c r="U659" s="92">
        <f t="shared" si="101"/>
        <v>0</v>
      </c>
      <c r="V659" s="92">
        <f t="shared" si="101"/>
        <v>0</v>
      </c>
      <c r="W659" s="92">
        <f t="shared" si="101"/>
        <v>0</v>
      </c>
      <c r="X659" s="92">
        <f t="shared" si="101"/>
        <v>0</v>
      </c>
      <c r="Y659" s="92">
        <f t="shared" si="101"/>
        <v>14445</v>
      </c>
      <c r="Z659" s="92">
        <f t="shared" si="101"/>
        <v>62353</v>
      </c>
      <c r="AA659" s="92">
        <f t="shared" si="101"/>
        <v>12</v>
      </c>
      <c r="AB659" s="92"/>
      <c r="AC659" s="92"/>
      <c r="AD659" s="753" t="s">
        <v>465</v>
      </c>
      <c r="AE659" s="753" t="s">
        <v>466</v>
      </c>
      <c r="AF659" s="712" t="s">
        <v>271</v>
      </c>
      <c r="AG659" s="92" t="s">
        <v>41</v>
      </c>
    </row>
    <row r="660" s="570" customFormat="1" ht="29" customHeight="1" spans="1:33">
      <c r="A660" s="705"/>
      <c r="B660" s="97" t="s">
        <v>69</v>
      </c>
      <c r="C660" s="71" t="s">
        <v>52</v>
      </c>
      <c r="D660" s="71" t="s">
        <v>192</v>
      </c>
      <c r="E660" s="92">
        <v>1</v>
      </c>
      <c r="F660" s="97" t="s">
        <v>69</v>
      </c>
      <c r="G660" s="92"/>
      <c r="H660" s="92">
        <v>24.01</v>
      </c>
      <c r="I660" s="92"/>
      <c r="J660" s="92">
        <v>24.01</v>
      </c>
      <c r="K660" s="92"/>
      <c r="L660" s="92">
        <v>2019.01</v>
      </c>
      <c r="M660" s="92">
        <v>2019.12</v>
      </c>
      <c r="N660" s="724">
        <v>168.063</v>
      </c>
      <c r="O660" s="92"/>
      <c r="P660" s="724">
        <v>168.063</v>
      </c>
      <c r="Q660" s="724"/>
      <c r="R660" s="724"/>
      <c r="S660" s="724">
        <v>168.063</v>
      </c>
      <c r="T660" s="724"/>
      <c r="U660" s="724"/>
      <c r="V660" s="724"/>
      <c r="W660" s="724"/>
      <c r="X660" s="724"/>
      <c r="Y660" s="738">
        <v>2416</v>
      </c>
      <c r="Z660" s="738">
        <v>10430</v>
      </c>
      <c r="AA660" s="92">
        <v>1</v>
      </c>
      <c r="AB660" s="92"/>
      <c r="AC660" s="92"/>
      <c r="AD660" s="146" t="s">
        <v>425</v>
      </c>
      <c r="AE660" s="146" t="s">
        <v>467</v>
      </c>
      <c r="AF660" s="712" t="s">
        <v>271</v>
      </c>
      <c r="AG660" s="92"/>
    </row>
    <row r="661" s="570" customFormat="1" ht="29" customHeight="1" spans="1:33">
      <c r="A661" s="705"/>
      <c r="B661" s="97" t="s">
        <v>51</v>
      </c>
      <c r="C661" s="71" t="s">
        <v>52</v>
      </c>
      <c r="D661" s="71" t="s">
        <v>192</v>
      </c>
      <c r="E661" s="92">
        <v>1</v>
      </c>
      <c r="F661" s="97" t="s">
        <v>51</v>
      </c>
      <c r="G661" s="92"/>
      <c r="H661" s="92">
        <v>6.8</v>
      </c>
      <c r="I661" s="92"/>
      <c r="J661" s="92">
        <v>6.8</v>
      </c>
      <c r="K661" s="92"/>
      <c r="L661" s="92">
        <v>2019.01</v>
      </c>
      <c r="M661" s="92">
        <v>2019.12</v>
      </c>
      <c r="N661" s="724">
        <v>47.6</v>
      </c>
      <c r="O661" s="92"/>
      <c r="P661" s="724">
        <v>47.6</v>
      </c>
      <c r="Q661" s="724"/>
      <c r="R661" s="724"/>
      <c r="S661" s="724">
        <v>47.6</v>
      </c>
      <c r="T661" s="724"/>
      <c r="U661" s="724"/>
      <c r="V661" s="724"/>
      <c r="W661" s="724"/>
      <c r="X661" s="724"/>
      <c r="Y661" s="738">
        <v>315</v>
      </c>
      <c r="Z661" s="738">
        <v>1303</v>
      </c>
      <c r="AA661" s="92">
        <v>1</v>
      </c>
      <c r="AB661" s="92"/>
      <c r="AC661" s="92"/>
      <c r="AD661" s="146" t="s">
        <v>389</v>
      </c>
      <c r="AE661" s="146" t="s">
        <v>468</v>
      </c>
      <c r="AF661" s="712" t="s">
        <v>271</v>
      </c>
      <c r="AG661" s="92"/>
    </row>
    <row r="662" s="570" customFormat="1" ht="29" customHeight="1" spans="1:33">
      <c r="A662" s="705"/>
      <c r="B662" s="97" t="s">
        <v>72</v>
      </c>
      <c r="C662" s="71" t="s">
        <v>52</v>
      </c>
      <c r="D662" s="71" t="s">
        <v>192</v>
      </c>
      <c r="E662" s="92">
        <v>1</v>
      </c>
      <c r="F662" s="97" t="s">
        <v>72</v>
      </c>
      <c r="G662" s="92"/>
      <c r="H662" s="92">
        <v>17.89</v>
      </c>
      <c r="I662" s="92"/>
      <c r="J662" s="92">
        <v>17.89</v>
      </c>
      <c r="K662" s="92"/>
      <c r="L662" s="92">
        <v>2019.01</v>
      </c>
      <c r="M662" s="92">
        <v>2019.12</v>
      </c>
      <c r="N662" s="724">
        <v>125.23</v>
      </c>
      <c r="O662" s="92"/>
      <c r="P662" s="724">
        <v>125.23</v>
      </c>
      <c r="Q662" s="724"/>
      <c r="R662" s="724"/>
      <c r="S662" s="724">
        <v>125.23</v>
      </c>
      <c r="T662" s="724"/>
      <c r="U662" s="724"/>
      <c r="V662" s="724"/>
      <c r="W662" s="724"/>
      <c r="X662" s="724"/>
      <c r="Y662" s="738">
        <v>711</v>
      </c>
      <c r="Z662" s="738">
        <v>2994</v>
      </c>
      <c r="AA662" s="92">
        <v>1</v>
      </c>
      <c r="AB662" s="92"/>
      <c r="AC662" s="92"/>
      <c r="AD662" s="146" t="s">
        <v>469</v>
      </c>
      <c r="AE662" s="146" t="s">
        <v>470</v>
      </c>
      <c r="AF662" s="712" t="s">
        <v>271</v>
      </c>
      <c r="AG662" s="92"/>
    </row>
    <row r="663" s="570" customFormat="1" ht="29" customHeight="1" spans="1:33">
      <c r="A663" s="705"/>
      <c r="B663" s="97" t="s">
        <v>91</v>
      </c>
      <c r="C663" s="71" t="s">
        <v>52</v>
      </c>
      <c r="D663" s="71" t="s">
        <v>192</v>
      </c>
      <c r="E663" s="92">
        <v>1</v>
      </c>
      <c r="F663" s="97" t="s">
        <v>91</v>
      </c>
      <c r="G663" s="92"/>
      <c r="H663" s="92">
        <v>61.31</v>
      </c>
      <c r="I663" s="92"/>
      <c r="J663" s="92">
        <v>61.31</v>
      </c>
      <c r="K663" s="92"/>
      <c r="L663" s="92">
        <v>2019.01</v>
      </c>
      <c r="M663" s="92">
        <v>2019.12</v>
      </c>
      <c r="N663" s="724">
        <v>429.191</v>
      </c>
      <c r="O663" s="92"/>
      <c r="P663" s="724">
        <v>429.191</v>
      </c>
      <c r="Q663" s="724"/>
      <c r="R663" s="724"/>
      <c r="S663" s="724">
        <v>429.191</v>
      </c>
      <c r="T663" s="724"/>
      <c r="U663" s="724"/>
      <c r="V663" s="724"/>
      <c r="W663" s="724"/>
      <c r="X663" s="724"/>
      <c r="Y663" s="738">
        <v>1045</v>
      </c>
      <c r="Z663" s="738">
        <v>4154</v>
      </c>
      <c r="AA663" s="92">
        <v>1</v>
      </c>
      <c r="AB663" s="92"/>
      <c r="AC663" s="92"/>
      <c r="AD663" s="146" t="s">
        <v>471</v>
      </c>
      <c r="AE663" s="146" t="s">
        <v>472</v>
      </c>
      <c r="AF663" s="712" t="s">
        <v>271</v>
      </c>
      <c r="AG663" s="92"/>
    </row>
    <row r="664" s="570" customFormat="1" ht="29" customHeight="1" spans="1:33">
      <c r="A664" s="705"/>
      <c r="B664" s="97" t="s">
        <v>55</v>
      </c>
      <c r="C664" s="71" t="s">
        <v>52</v>
      </c>
      <c r="D664" s="71" t="s">
        <v>192</v>
      </c>
      <c r="E664" s="92">
        <v>1</v>
      </c>
      <c r="F664" s="97" t="s">
        <v>55</v>
      </c>
      <c r="G664" s="92"/>
      <c r="H664" s="92">
        <v>48.57</v>
      </c>
      <c r="I664" s="92"/>
      <c r="J664" s="92">
        <v>48.57</v>
      </c>
      <c r="K664" s="92"/>
      <c r="L664" s="92">
        <v>2019.01</v>
      </c>
      <c r="M664" s="92">
        <v>2019.12</v>
      </c>
      <c r="N664" s="724">
        <v>339.962</v>
      </c>
      <c r="O664" s="92"/>
      <c r="P664" s="724">
        <v>339.962</v>
      </c>
      <c r="Q664" s="724"/>
      <c r="R664" s="724"/>
      <c r="S664" s="724">
        <v>339.962</v>
      </c>
      <c r="T664" s="724"/>
      <c r="U664" s="724"/>
      <c r="V664" s="724"/>
      <c r="W664" s="724"/>
      <c r="X664" s="724"/>
      <c r="Y664" s="738">
        <v>2920</v>
      </c>
      <c r="Z664" s="738">
        <v>12305</v>
      </c>
      <c r="AA664" s="92">
        <v>1</v>
      </c>
      <c r="AB664" s="92"/>
      <c r="AC664" s="92"/>
      <c r="AD664" s="146" t="s">
        <v>473</v>
      </c>
      <c r="AE664" s="146" t="s">
        <v>474</v>
      </c>
      <c r="AF664" s="712" t="s">
        <v>271</v>
      </c>
      <c r="AG664" s="92"/>
    </row>
    <row r="665" s="570" customFormat="1" ht="29" customHeight="1" spans="1:33">
      <c r="A665" s="705"/>
      <c r="B665" s="97" t="s">
        <v>75</v>
      </c>
      <c r="C665" s="71" t="s">
        <v>52</v>
      </c>
      <c r="D665" s="71" t="s">
        <v>192</v>
      </c>
      <c r="E665" s="92">
        <v>1</v>
      </c>
      <c r="F665" s="97" t="s">
        <v>75</v>
      </c>
      <c r="G665" s="92"/>
      <c r="H665" s="92">
        <v>52.78</v>
      </c>
      <c r="I665" s="92"/>
      <c r="J665" s="92">
        <v>52.78</v>
      </c>
      <c r="K665" s="92"/>
      <c r="L665" s="92">
        <v>2019.01</v>
      </c>
      <c r="M665" s="92">
        <v>2019.12</v>
      </c>
      <c r="N665" s="724">
        <v>369.432</v>
      </c>
      <c r="O665" s="92"/>
      <c r="P665" s="724">
        <v>369.432</v>
      </c>
      <c r="Q665" s="724"/>
      <c r="R665" s="724"/>
      <c r="S665" s="724">
        <v>369.432</v>
      </c>
      <c r="T665" s="724"/>
      <c r="U665" s="724"/>
      <c r="V665" s="724"/>
      <c r="W665" s="724"/>
      <c r="X665" s="724"/>
      <c r="Y665" s="738">
        <v>2818</v>
      </c>
      <c r="Z665" s="738">
        <v>12718</v>
      </c>
      <c r="AA665" s="92">
        <v>1</v>
      </c>
      <c r="AB665" s="92"/>
      <c r="AC665" s="92"/>
      <c r="AD665" s="146" t="s">
        <v>329</v>
      </c>
      <c r="AE665" s="146" t="s">
        <v>475</v>
      </c>
      <c r="AF665" s="712" t="s">
        <v>271</v>
      </c>
      <c r="AG665" s="92"/>
    </row>
    <row r="666" s="570" customFormat="1" ht="29" customHeight="1" spans="1:33">
      <c r="A666" s="705"/>
      <c r="B666" s="97" t="s">
        <v>58</v>
      </c>
      <c r="C666" s="71" t="s">
        <v>52</v>
      </c>
      <c r="D666" s="71" t="s">
        <v>192</v>
      </c>
      <c r="E666" s="92">
        <v>1</v>
      </c>
      <c r="F666" s="97" t="s">
        <v>58</v>
      </c>
      <c r="G666" s="92"/>
      <c r="H666" s="92">
        <v>38.41</v>
      </c>
      <c r="I666" s="92"/>
      <c r="J666" s="92">
        <v>38.41</v>
      </c>
      <c r="K666" s="92"/>
      <c r="L666" s="92">
        <v>2019.01</v>
      </c>
      <c r="M666" s="92">
        <v>2019.12</v>
      </c>
      <c r="N666" s="724">
        <v>268.877</v>
      </c>
      <c r="O666" s="92"/>
      <c r="P666" s="724">
        <v>268.877</v>
      </c>
      <c r="Q666" s="724"/>
      <c r="R666" s="724"/>
      <c r="S666" s="724">
        <v>268.877</v>
      </c>
      <c r="T666" s="724"/>
      <c r="U666" s="724"/>
      <c r="V666" s="724"/>
      <c r="W666" s="724"/>
      <c r="X666" s="724"/>
      <c r="Y666" s="738">
        <v>624</v>
      </c>
      <c r="Z666" s="738">
        <v>2650</v>
      </c>
      <c r="AA666" s="92">
        <v>1</v>
      </c>
      <c r="AB666" s="92"/>
      <c r="AC666" s="92"/>
      <c r="AD666" s="146" t="s">
        <v>476</v>
      </c>
      <c r="AE666" s="146" t="s">
        <v>477</v>
      </c>
      <c r="AF666" s="712" t="s">
        <v>271</v>
      </c>
      <c r="AG666" s="92"/>
    </row>
    <row r="667" s="570" customFormat="1" ht="29" customHeight="1" spans="1:33">
      <c r="A667" s="705"/>
      <c r="B667" s="97" t="s">
        <v>61</v>
      </c>
      <c r="C667" s="71" t="s">
        <v>52</v>
      </c>
      <c r="D667" s="71" t="s">
        <v>192</v>
      </c>
      <c r="E667" s="92">
        <v>1</v>
      </c>
      <c r="F667" s="97" t="s">
        <v>61</v>
      </c>
      <c r="G667" s="92"/>
      <c r="H667" s="92">
        <v>43.59</v>
      </c>
      <c r="I667" s="92"/>
      <c r="J667" s="92">
        <v>43.59</v>
      </c>
      <c r="K667" s="92"/>
      <c r="L667" s="92">
        <v>2019.01</v>
      </c>
      <c r="M667" s="92">
        <v>2019.12</v>
      </c>
      <c r="N667" s="724">
        <v>305.144</v>
      </c>
      <c r="O667" s="92"/>
      <c r="P667" s="724">
        <v>305.144</v>
      </c>
      <c r="Q667" s="724"/>
      <c r="R667" s="724"/>
      <c r="S667" s="724">
        <v>305.144</v>
      </c>
      <c r="T667" s="724"/>
      <c r="U667" s="724"/>
      <c r="V667" s="724"/>
      <c r="W667" s="724"/>
      <c r="X667" s="724"/>
      <c r="Y667" s="738">
        <v>1271</v>
      </c>
      <c r="Z667" s="738">
        <v>5750</v>
      </c>
      <c r="AA667" s="92">
        <v>1</v>
      </c>
      <c r="AB667" s="92"/>
      <c r="AC667" s="92"/>
      <c r="AD667" s="146" t="s">
        <v>478</v>
      </c>
      <c r="AE667" s="146" t="s">
        <v>479</v>
      </c>
      <c r="AF667" s="712" t="s">
        <v>271</v>
      </c>
      <c r="AG667" s="92"/>
    </row>
    <row r="668" s="570" customFormat="1" ht="29" customHeight="1" spans="1:33">
      <c r="A668" s="705"/>
      <c r="B668" s="97" t="s">
        <v>92</v>
      </c>
      <c r="C668" s="71" t="s">
        <v>52</v>
      </c>
      <c r="D668" s="71" t="s">
        <v>192</v>
      </c>
      <c r="E668" s="92">
        <v>1</v>
      </c>
      <c r="F668" s="97" t="s">
        <v>92</v>
      </c>
      <c r="G668" s="92"/>
      <c r="H668" s="92">
        <v>30.6</v>
      </c>
      <c r="I668" s="92"/>
      <c r="J668" s="92">
        <v>30.6</v>
      </c>
      <c r="K668" s="92"/>
      <c r="L668" s="92">
        <v>2019.01</v>
      </c>
      <c r="M668" s="92">
        <v>2019.12</v>
      </c>
      <c r="N668" s="724">
        <v>214.2</v>
      </c>
      <c r="O668" s="92"/>
      <c r="P668" s="724">
        <v>214.2</v>
      </c>
      <c r="Q668" s="724"/>
      <c r="R668" s="724"/>
      <c r="S668" s="724">
        <v>214.2</v>
      </c>
      <c r="T668" s="724"/>
      <c r="U668" s="724"/>
      <c r="V668" s="724"/>
      <c r="W668" s="724"/>
      <c r="X668" s="724"/>
      <c r="Y668" s="738">
        <v>927</v>
      </c>
      <c r="Z668" s="738">
        <v>4326</v>
      </c>
      <c r="AA668" s="92">
        <v>1</v>
      </c>
      <c r="AB668" s="92"/>
      <c r="AC668" s="92"/>
      <c r="AD668" s="146" t="s">
        <v>480</v>
      </c>
      <c r="AE668" s="146" t="s">
        <v>481</v>
      </c>
      <c r="AF668" s="712" t="s">
        <v>271</v>
      </c>
      <c r="AG668" s="92"/>
    </row>
    <row r="669" s="570" customFormat="1" ht="29" customHeight="1" spans="1:33">
      <c r="A669" s="705"/>
      <c r="B669" s="97" t="s">
        <v>114</v>
      </c>
      <c r="C669" s="71" t="s">
        <v>52</v>
      </c>
      <c r="D669" s="71" t="s">
        <v>192</v>
      </c>
      <c r="E669" s="92">
        <v>1</v>
      </c>
      <c r="F669" s="97" t="s">
        <v>114</v>
      </c>
      <c r="G669" s="92"/>
      <c r="H669" s="92">
        <v>2.11</v>
      </c>
      <c r="I669" s="92"/>
      <c r="J669" s="92">
        <v>2.11</v>
      </c>
      <c r="K669" s="92"/>
      <c r="L669" s="92">
        <v>2019.01</v>
      </c>
      <c r="M669" s="92">
        <v>2019.12</v>
      </c>
      <c r="N669" s="724">
        <v>14.77</v>
      </c>
      <c r="O669" s="92"/>
      <c r="P669" s="724">
        <v>14.77</v>
      </c>
      <c r="Q669" s="724"/>
      <c r="R669" s="724"/>
      <c r="S669" s="724">
        <v>14.77</v>
      </c>
      <c r="T669" s="724"/>
      <c r="U669" s="724"/>
      <c r="V669" s="724"/>
      <c r="W669" s="724"/>
      <c r="X669" s="724"/>
      <c r="Y669" s="738">
        <v>570</v>
      </c>
      <c r="Z669" s="738">
        <v>2354</v>
      </c>
      <c r="AA669" s="92">
        <v>1</v>
      </c>
      <c r="AB669" s="92"/>
      <c r="AC669" s="92"/>
      <c r="AD669" s="146" t="s">
        <v>315</v>
      </c>
      <c r="AE669" s="146" t="s">
        <v>482</v>
      </c>
      <c r="AF669" s="712" t="s">
        <v>271</v>
      </c>
      <c r="AG669" s="92"/>
    </row>
    <row r="670" s="570" customFormat="1" ht="29" customHeight="1" spans="1:33">
      <c r="A670" s="705"/>
      <c r="B670" s="97" t="s">
        <v>78</v>
      </c>
      <c r="C670" s="71" t="s">
        <v>52</v>
      </c>
      <c r="D670" s="71" t="s">
        <v>192</v>
      </c>
      <c r="E670" s="92">
        <v>1</v>
      </c>
      <c r="F670" s="97" t="s">
        <v>78</v>
      </c>
      <c r="G670" s="92"/>
      <c r="H670" s="92">
        <v>7.88</v>
      </c>
      <c r="I670" s="92"/>
      <c r="J670" s="92">
        <v>7.88</v>
      </c>
      <c r="K670" s="92"/>
      <c r="L670" s="92">
        <v>2019.01</v>
      </c>
      <c r="M670" s="92">
        <v>2019.12</v>
      </c>
      <c r="N670" s="724">
        <v>55.153</v>
      </c>
      <c r="O670" s="92"/>
      <c r="P670" s="724">
        <v>55.153</v>
      </c>
      <c r="Q670" s="724"/>
      <c r="R670" s="724"/>
      <c r="S670" s="724">
        <v>55.153</v>
      </c>
      <c r="T670" s="724"/>
      <c r="U670" s="724"/>
      <c r="V670" s="724"/>
      <c r="W670" s="724"/>
      <c r="X670" s="724"/>
      <c r="Y670" s="738">
        <v>144</v>
      </c>
      <c r="Z670" s="738">
        <v>689</v>
      </c>
      <c r="AA670" s="92">
        <v>1</v>
      </c>
      <c r="AB670" s="92"/>
      <c r="AC670" s="92"/>
      <c r="AD670" s="146" t="s">
        <v>483</v>
      </c>
      <c r="AE670" s="146" t="s">
        <v>484</v>
      </c>
      <c r="AF670" s="712" t="s">
        <v>271</v>
      </c>
      <c r="AG670" s="92"/>
    </row>
    <row r="671" s="570" customFormat="1" ht="29" customHeight="1" spans="1:33">
      <c r="A671" s="705"/>
      <c r="B671" s="793" t="s">
        <v>64</v>
      </c>
      <c r="C671" s="71" t="s">
        <v>52</v>
      </c>
      <c r="D671" s="71" t="s">
        <v>192</v>
      </c>
      <c r="E671" s="92">
        <v>1</v>
      </c>
      <c r="F671" s="793" t="s">
        <v>64</v>
      </c>
      <c r="G671" s="92"/>
      <c r="H671" s="95">
        <v>24.05</v>
      </c>
      <c r="I671" s="95"/>
      <c r="J671" s="95">
        <v>24.05</v>
      </c>
      <c r="K671" s="92"/>
      <c r="L671" s="92">
        <v>2019.01</v>
      </c>
      <c r="M671" s="92">
        <v>2019.12</v>
      </c>
      <c r="N671" s="724">
        <v>168.378</v>
      </c>
      <c r="O671" s="92"/>
      <c r="P671" s="724">
        <v>168.378</v>
      </c>
      <c r="Q671" s="724"/>
      <c r="R671" s="724"/>
      <c r="S671" s="724">
        <v>168.378</v>
      </c>
      <c r="T671" s="724"/>
      <c r="U671" s="724"/>
      <c r="V671" s="724"/>
      <c r="W671" s="724"/>
      <c r="X671" s="724"/>
      <c r="Y671" s="738">
        <v>684</v>
      </c>
      <c r="Z671" s="738">
        <v>2680</v>
      </c>
      <c r="AA671" s="92">
        <v>1</v>
      </c>
      <c r="AB671" s="92"/>
      <c r="AC671" s="92"/>
      <c r="AD671" s="146" t="s">
        <v>485</v>
      </c>
      <c r="AE671" s="146" t="s">
        <v>486</v>
      </c>
      <c r="AF671" s="712" t="s">
        <v>271</v>
      </c>
      <c r="AG671" s="92"/>
    </row>
    <row r="672" s="570" customFormat="1" ht="24.95" customHeight="1" spans="1:33">
      <c r="A672" s="794">
        <v>89</v>
      </c>
      <c r="B672" s="95" t="s">
        <v>487</v>
      </c>
      <c r="C672" s="95"/>
      <c r="D672" s="795"/>
      <c r="E672" s="95">
        <f>SUM(E673:E684)</f>
        <v>12</v>
      </c>
      <c r="F672" s="95">
        <f t="shared" ref="F672:AA672" si="102">SUM(F673:F684)</f>
        <v>0</v>
      </c>
      <c r="G672" s="95">
        <f t="shared" si="102"/>
        <v>0</v>
      </c>
      <c r="H672" s="95">
        <f t="shared" si="102"/>
        <v>190.48</v>
      </c>
      <c r="I672" s="95">
        <f t="shared" si="102"/>
        <v>0</v>
      </c>
      <c r="J672" s="95">
        <f t="shared" si="102"/>
        <v>190.48</v>
      </c>
      <c r="K672" s="95">
        <f t="shared" si="102"/>
        <v>0</v>
      </c>
      <c r="L672" s="95"/>
      <c r="M672" s="95"/>
      <c r="N672" s="95">
        <f t="shared" si="102"/>
        <v>9522</v>
      </c>
      <c r="O672" s="95">
        <f t="shared" si="102"/>
        <v>0</v>
      </c>
      <c r="P672" s="95">
        <f t="shared" si="102"/>
        <v>9522</v>
      </c>
      <c r="Q672" s="95">
        <f t="shared" si="102"/>
        <v>0</v>
      </c>
      <c r="R672" s="95">
        <f t="shared" si="102"/>
        <v>0</v>
      </c>
      <c r="S672" s="95">
        <f t="shared" si="102"/>
        <v>9522</v>
      </c>
      <c r="T672" s="95">
        <f t="shared" si="102"/>
        <v>0</v>
      </c>
      <c r="U672" s="95">
        <f t="shared" si="102"/>
        <v>0</v>
      </c>
      <c r="V672" s="95">
        <f t="shared" si="102"/>
        <v>0</v>
      </c>
      <c r="W672" s="95">
        <f t="shared" si="102"/>
        <v>0</v>
      </c>
      <c r="X672" s="95">
        <f t="shared" si="102"/>
        <v>0</v>
      </c>
      <c r="Y672" s="95">
        <f t="shared" si="102"/>
        <v>14764</v>
      </c>
      <c r="Z672" s="95">
        <f t="shared" si="102"/>
        <v>62682</v>
      </c>
      <c r="AA672" s="95">
        <f t="shared" si="102"/>
        <v>12</v>
      </c>
      <c r="AB672" s="92"/>
      <c r="AC672" s="95"/>
      <c r="AD672" s="753" t="s">
        <v>465</v>
      </c>
      <c r="AE672" s="753" t="s">
        <v>466</v>
      </c>
      <c r="AF672" s="712" t="s">
        <v>271</v>
      </c>
      <c r="AG672" s="95"/>
    </row>
    <row r="673" s="570" customFormat="1" ht="24.95" customHeight="1" spans="1:33">
      <c r="A673" s="794"/>
      <c r="B673" s="785" t="s">
        <v>69</v>
      </c>
      <c r="C673" s="71" t="s">
        <v>488</v>
      </c>
      <c r="D673" s="71" t="s">
        <v>192</v>
      </c>
      <c r="E673" s="92">
        <v>1</v>
      </c>
      <c r="F673" s="785" t="s">
        <v>69</v>
      </c>
      <c r="G673" s="95"/>
      <c r="H673" s="95">
        <v>17</v>
      </c>
      <c r="I673" s="95"/>
      <c r="J673" s="95">
        <v>17</v>
      </c>
      <c r="K673" s="95"/>
      <c r="L673" s="92">
        <v>2019.01</v>
      </c>
      <c r="M673" s="92">
        <v>2019.12</v>
      </c>
      <c r="N673" s="95">
        <v>852</v>
      </c>
      <c r="O673" s="95"/>
      <c r="P673" s="95">
        <v>852</v>
      </c>
      <c r="Q673" s="95"/>
      <c r="R673" s="95"/>
      <c r="S673" s="95">
        <v>852</v>
      </c>
      <c r="T673" s="95"/>
      <c r="U673" s="95"/>
      <c r="V673" s="95"/>
      <c r="W673" s="95"/>
      <c r="X673" s="95"/>
      <c r="Y673" s="95">
        <v>1492</v>
      </c>
      <c r="Z673" s="95">
        <v>6469</v>
      </c>
      <c r="AA673" s="92">
        <v>1</v>
      </c>
      <c r="AB673" s="92"/>
      <c r="AC673" s="95"/>
      <c r="AD673" s="146" t="s">
        <v>425</v>
      </c>
      <c r="AE673" s="146" t="s">
        <v>467</v>
      </c>
      <c r="AF673" s="712" t="s">
        <v>271</v>
      </c>
      <c r="AG673" s="95"/>
    </row>
    <row r="674" s="570" customFormat="1" ht="24.95" customHeight="1" spans="1:33">
      <c r="A674" s="794"/>
      <c r="B674" s="785" t="s">
        <v>51</v>
      </c>
      <c r="C674" s="71" t="s">
        <v>488</v>
      </c>
      <c r="D674" s="71" t="s">
        <v>192</v>
      </c>
      <c r="E674" s="92">
        <v>1</v>
      </c>
      <c r="F674" s="785" t="s">
        <v>51</v>
      </c>
      <c r="G674" s="95"/>
      <c r="H674" s="95">
        <v>12.7</v>
      </c>
      <c r="I674" s="95"/>
      <c r="J674" s="95">
        <v>12.7</v>
      </c>
      <c r="K674" s="95"/>
      <c r="L674" s="92">
        <v>2019.01</v>
      </c>
      <c r="M674" s="92">
        <v>2019.12</v>
      </c>
      <c r="N674" s="95">
        <v>636</v>
      </c>
      <c r="O674" s="95"/>
      <c r="P674" s="95">
        <v>636</v>
      </c>
      <c r="Q674" s="95"/>
      <c r="R674" s="95"/>
      <c r="S674" s="95">
        <v>636</v>
      </c>
      <c r="T674" s="95"/>
      <c r="U674" s="95"/>
      <c r="V674" s="95"/>
      <c r="W674" s="95"/>
      <c r="X674" s="95"/>
      <c r="Y674" s="95">
        <v>1760</v>
      </c>
      <c r="Z674" s="95">
        <v>7269</v>
      </c>
      <c r="AA674" s="92">
        <v>1</v>
      </c>
      <c r="AB674" s="92"/>
      <c r="AC674" s="95"/>
      <c r="AD674" s="146" t="s">
        <v>389</v>
      </c>
      <c r="AE674" s="146" t="s">
        <v>468</v>
      </c>
      <c r="AF674" s="712" t="s">
        <v>271</v>
      </c>
      <c r="AG674" s="95"/>
    </row>
    <row r="675" s="570" customFormat="1" ht="24.95" customHeight="1" spans="1:33">
      <c r="A675" s="794"/>
      <c r="B675" s="785" t="s">
        <v>72</v>
      </c>
      <c r="C675" s="71" t="s">
        <v>488</v>
      </c>
      <c r="D675" s="71" t="s">
        <v>192</v>
      </c>
      <c r="E675" s="92">
        <v>1</v>
      </c>
      <c r="F675" s="785" t="s">
        <v>72</v>
      </c>
      <c r="G675" s="95"/>
      <c r="H675" s="95">
        <v>30.24</v>
      </c>
      <c r="I675" s="95"/>
      <c r="J675" s="95">
        <v>30.24</v>
      </c>
      <c r="K675" s="95"/>
      <c r="L675" s="92">
        <v>2019.01</v>
      </c>
      <c r="M675" s="92">
        <v>2019.12</v>
      </c>
      <c r="N675" s="95">
        <v>1512</v>
      </c>
      <c r="O675" s="95"/>
      <c r="P675" s="95">
        <v>1512</v>
      </c>
      <c r="Q675" s="95"/>
      <c r="R675" s="95"/>
      <c r="S675" s="95">
        <v>1512</v>
      </c>
      <c r="T675" s="95"/>
      <c r="U675" s="95"/>
      <c r="V675" s="95"/>
      <c r="W675" s="95"/>
      <c r="X675" s="95"/>
      <c r="Y675" s="95">
        <v>454</v>
      </c>
      <c r="Z675" s="95">
        <v>1922</v>
      </c>
      <c r="AA675" s="92">
        <v>1</v>
      </c>
      <c r="AB675" s="92"/>
      <c r="AC675" s="95"/>
      <c r="AD675" s="146" t="s">
        <v>469</v>
      </c>
      <c r="AE675" s="146" t="s">
        <v>470</v>
      </c>
      <c r="AF675" s="712" t="s">
        <v>271</v>
      </c>
      <c r="AG675" s="95"/>
    </row>
    <row r="676" s="570" customFormat="1" ht="24.95" customHeight="1" spans="1:33">
      <c r="A676" s="794"/>
      <c r="B676" s="785" t="s">
        <v>91</v>
      </c>
      <c r="C676" s="71" t="s">
        <v>488</v>
      </c>
      <c r="D676" s="71" t="s">
        <v>192</v>
      </c>
      <c r="E676" s="92">
        <v>1</v>
      </c>
      <c r="F676" s="785" t="s">
        <v>91</v>
      </c>
      <c r="G676" s="95"/>
      <c r="H676" s="95">
        <v>18.4</v>
      </c>
      <c r="I676" s="95"/>
      <c r="J676" s="95">
        <v>18.4</v>
      </c>
      <c r="K676" s="95"/>
      <c r="L676" s="92">
        <v>2019.01</v>
      </c>
      <c r="M676" s="92">
        <v>2019.12</v>
      </c>
      <c r="N676" s="95">
        <v>924</v>
      </c>
      <c r="O676" s="95"/>
      <c r="P676" s="95">
        <v>924</v>
      </c>
      <c r="Q676" s="95"/>
      <c r="R676" s="95"/>
      <c r="S676" s="95">
        <v>924</v>
      </c>
      <c r="T676" s="95"/>
      <c r="U676" s="95"/>
      <c r="V676" s="95"/>
      <c r="W676" s="95"/>
      <c r="X676" s="95"/>
      <c r="Y676" s="95">
        <v>730</v>
      </c>
      <c r="Z676" s="95">
        <v>2352</v>
      </c>
      <c r="AA676" s="92">
        <v>1</v>
      </c>
      <c r="AB676" s="92"/>
      <c r="AC676" s="95"/>
      <c r="AD676" s="146" t="s">
        <v>471</v>
      </c>
      <c r="AE676" s="146" t="s">
        <v>472</v>
      </c>
      <c r="AF676" s="712" t="s">
        <v>271</v>
      </c>
      <c r="AG676" s="95"/>
    </row>
    <row r="677" s="570" customFormat="1" ht="24.95" customHeight="1" spans="1:33">
      <c r="A677" s="794"/>
      <c r="B677" s="785" t="s">
        <v>55</v>
      </c>
      <c r="C677" s="71" t="s">
        <v>488</v>
      </c>
      <c r="D677" s="71" t="s">
        <v>192</v>
      </c>
      <c r="E677" s="92">
        <v>1</v>
      </c>
      <c r="F677" s="785" t="s">
        <v>55</v>
      </c>
      <c r="G677" s="95"/>
      <c r="H677" s="95">
        <v>10.8</v>
      </c>
      <c r="I677" s="95"/>
      <c r="J677" s="95">
        <v>10.8</v>
      </c>
      <c r="K677" s="95"/>
      <c r="L677" s="92">
        <v>2019.01</v>
      </c>
      <c r="M677" s="92">
        <v>2019.12</v>
      </c>
      <c r="N677" s="95">
        <v>540</v>
      </c>
      <c r="O677" s="95"/>
      <c r="P677" s="95">
        <v>540</v>
      </c>
      <c r="Q677" s="95"/>
      <c r="R677" s="95"/>
      <c r="S677" s="95">
        <v>540</v>
      </c>
      <c r="T677" s="95"/>
      <c r="U677" s="95"/>
      <c r="V677" s="95"/>
      <c r="W677" s="95"/>
      <c r="X677" s="95"/>
      <c r="Y677" s="95">
        <v>3379</v>
      </c>
      <c r="Z677" s="95">
        <v>14263</v>
      </c>
      <c r="AA677" s="92">
        <v>1</v>
      </c>
      <c r="AB677" s="92"/>
      <c r="AC677" s="95"/>
      <c r="AD677" s="146" t="s">
        <v>473</v>
      </c>
      <c r="AE677" s="146" t="s">
        <v>474</v>
      </c>
      <c r="AF677" s="712" t="s">
        <v>271</v>
      </c>
      <c r="AG677" s="95"/>
    </row>
    <row r="678" s="570" customFormat="1" ht="24.95" customHeight="1" spans="1:33">
      <c r="A678" s="794"/>
      <c r="B678" s="785" t="s">
        <v>75</v>
      </c>
      <c r="C678" s="71" t="s">
        <v>488</v>
      </c>
      <c r="D678" s="71" t="s">
        <v>192</v>
      </c>
      <c r="E678" s="92">
        <v>1</v>
      </c>
      <c r="F678" s="785" t="s">
        <v>75</v>
      </c>
      <c r="G678" s="95"/>
      <c r="H678" s="95">
        <v>16.44</v>
      </c>
      <c r="I678" s="95"/>
      <c r="J678" s="95">
        <v>16.44</v>
      </c>
      <c r="K678" s="95"/>
      <c r="L678" s="92">
        <v>2019.01</v>
      </c>
      <c r="M678" s="92">
        <v>2019.12</v>
      </c>
      <c r="N678" s="95">
        <v>822</v>
      </c>
      <c r="O678" s="95"/>
      <c r="P678" s="95">
        <v>822</v>
      </c>
      <c r="Q678" s="95"/>
      <c r="R678" s="95"/>
      <c r="S678" s="95">
        <v>822</v>
      </c>
      <c r="T678" s="95"/>
      <c r="U678" s="95"/>
      <c r="V678" s="95"/>
      <c r="W678" s="95"/>
      <c r="X678" s="95"/>
      <c r="Y678" s="95">
        <v>837</v>
      </c>
      <c r="Z678" s="95">
        <v>3719</v>
      </c>
      <c r="AA678" s="92">
        <v>1</v>
      </c>
      <c r="AB678" s="92"/>
      <c r="AC678" s="95"/>
      <c r="AD678" s="146" t="s">
        <v>329</v>
      </c>
      <c r="AE678" s="146" t="s">
        <v>475</v>
      </c>
      <c r="AF678" s="712" t="s">
        <v>271</v>
      </c>
      <c r="AG678" s="95"/>
    </row>
    <row r="679" s="570" customFormat="1" ht="24.95" customHeight="1" spans="1:33">
      <c r="A679" s="794"/>
      <c r="B679" s="785" t="s">
        <v>58</v>
      </c>
      <c r="C679" s="71" t="s">
        <v>488</v>
      </c>
      <c r="D679" s="71" t="s">
        <v>192</v>
      </c>
      <c r="E679" s="92">
        <v>1</v>
      </c>
      <c r="F679" s="785" t="s">
        <v>58</v>
      </c>
      <c r="G679" s="95"/>
      <c r="H679" s="95">
        <v>6.6</v>
      </c>
      <c r="I679" s="95"/>
      <c r="J679" s="95">
        <v>6.6</v>
      </c>
      <c r="K679" s="95"/>
      <c r="L679" s="92">
        <v>2019.01</v>
      </c>
      <c r="M679" s="92">
        <v>2019.12</v>
      </c>
      <c r="N679" s="95">
        <v>330</v>
      </c>
      <c r="O679" s="95"/>
      <c r="P679" s="95">
        <v>330</v>
      </c>
      <c r="Q679" s="95"/>
      <c r="R679" s="95"/>
      <c r="S679" s="95">
        <v>330</v>
      </c>
      <c r="T679" s="95"/>
      <c r="U679" s="95"/>
      <c r="V679" s="95"/>
      <c r="W679" s="95"/>
      <c r="X679" s="95"/>
      <c r="Y679" s="95">
        <v>438</v>
      </c>
      <c r="Z679" s="95">
        <v>1922</v>
      </c>
      <c r="AA679" s="92">
        <v>1</v>
      </c>
      <c r="AB679" s="92"/>
      <c r="AC679" s="95"/>
      <c r="AD679" s="146" t="s">
        <v>476</v>
      </c>
      <c r="AE679" s="146" t="s">
        <v>477</v>
      </c>
      <c r="AF679" s="712" t="s">
        <v>271</v>
      </c>
      <c r="AG679" s="95"/>
    </row>
    <row r="680" s="570" customFormat="1" ht="24.95" customHeight="1" spans="1:33">
      <c r="A680" s="794"/>
      <c r="B680" s="785" t="s">
        <v>61</v>
      </c>
      <c r="C680" s="71" t="s">
        <v>488</v>
      </c>
      <c r="D680" s="71" t="s">
        <v>192</v>
      </c>
      <c r="E680" s="92">
        <v>1</v>
      </c>
      <c r="F680" s="785" t="s">
        <v>61</v>
      </c>
      <c r="G680" s="95"/>
      <c r="H680" s="95">
        <v>18.48</v>
      </c>
      <c r="I680" s="95"/>
      <c r="J680" s="95">
        <v>18.48</v>
      </c>
      <c r="K680" s="95"/>
      <c r="L680" s="92">
        <v>2019.01</v>
      </c>
      <c r="M680" s="92">
        <v>2019.12</v>
      </c>
      <c r="N680" s="95">
        <v>924</v>
      </c>
      <c r="O680" s="95"/>
      <c r="P680" s="95">
        <v>924</v>
      </c>
      <c r="Q680" s="95"/>
      <c r="R680" s="95"/>
      <c r="S680" s="95">
        <v>924</v>
      </c>
      <c r="T680" s="95"/>
      <c r="U680" s="95"/>
      <c r="V680" s="95"/>
      <c r="W680" s="95"/>
      <c r="X680" s="95"/>
      <c r="Y680" s="95">
        <v>2701</v>
      </c>
      <c r="Z680" s="95">
        <v>12044</v>
      </c>
      <c r="AA680" s="92">
        <v>1</v>
      </c>
      <c r="AB680" s="92"/>
      <c r="AC680" s="95"/>
      <c r="AD680" s="146" t="s">
        <v>478</v>
      </c>
      <c r="AE680" s="146" t="s">
        <v>479</v>
      </c>
      <c r="AF680" s="712" t="s">
        <v>271</v>
      </c>
      <c r="AG680" s="95"/>
    </row>
    <row r="681" s="570" customFormat="1" ht="24.95" customHeight="1" spans="1:33">
      <c r="A681" s="794"/>
      <c r="B681" s="785" t="s">
        <v>92</v>
      </c>
      <c r="C681" s="71" t="s">
        <v>488</v>
      </c>
      <c r="D681" s="71" t="s">
        <v>192</v>
      </c>
      <c r="E681" s="92">
        <v>1</v>
      </c>
      <c r="F681" s="785" t="s">
        <v>92</v>
      </c>
      <c r="G681" s="95"/>
      <c r="H681" s="95">
        <v>18.96</v>
      </c>
      <c r="I681" s="95"/>
      <c r="J681" s="95">
        <v>18.96</v>
      </c>
      <c r="K681" s="95"/>
      <c r="L681" s="92">
        <v>2019.01</v>
      </c>
      <c r="M681" s="92">
        <v>2019.12</v>
      </c>
      <c r="N681" s="95">
        <v>948</v>
      </c>
      <c r="O681" s="95"/>
      <c r="P681" s="95">
        <v>948</v>
      </c>
      <c r="Q681" s="95"/>
      <c r="R681" s="95"/>
      <c r="S681" s="95">
        <v>948</v>
      </c>
      <c r="T681" s="95"/>
      <c r="U681" s="95"/>
      <c r="V681" s="95"/>
      <c r="W681" s="95"/>
      <c r="X681" s="95"/>
      <c r="Y681" s="95">
        <v>1244</v>
      </c>
      <c r="Z681" s="95">
        <v>5815</v>
      </c>
      <c r="AA681" s="92">
        <v>1</v>
      </c>
      <c r="AB681" s="92"/>
      <c r="AC681" s="95"/>
      <c r="AD681" s="146" t="s">
        <v>480</v>
      </c>
      <c r="AE681" s="146" t="s">
        <v>481</v>
      </c>
      <c r="AF681" s="712" t="s">
        <v>271</v>
      </c>
      <c r="AG681" s="95"/>
    </row>
    <row r="682" s="570" customFormat="1" ht="24.95" customHeight="1" spans="1:33">
      <c r="A682" s="794"/>
      <c r="B682" s="785" t="s">
        <v>114</v>
      </c>
      <c r="C682" s="71" t="s">
        <v>488</v>
      </c>
      <c r="D682" s="71" t="s">
        <v>192</v>
      </c>
      <c r="E682" s="92">
        <v>1</v>
      </c>
      <c r="F682" s="785" t="s">
        <v>114</v>
      </c>
      <c r="G682" s="95"/>
      <c r="H682" s="95">
        <v>7.5</v>
      </c>
      <c r="I682" s="95"/>
      <c r="J682" s="95">
        <v>7.5</v>
      </c>
      <c r="K682" s="95"/>
      <c r="L682" s="92">
        <v>2019.01</v>
      </c>
      <c r="M682" s="92">
        <v>2019.12</v>
      </c>
      <c r="N682" s="95">
        <v>366</v>
      </c>
      <c r="O682" s="95"/>
      <c r="P682" s="95">
        <v>366</v>
      </c>
      <c r="Q682" s="95"/>
      <c r="R682" s="95"/>
      <c r="S682" s="95">
        <v>366</v>
      </c>
      <c r="T682" s="95"/>
      <c r="U682" s="95"/>
      <c r="V682" s="95"/>
      <c r="W682" s="95"/>
      <c r="X682" s="95"/>
      <c r="Y682" s="95">
        <v>368</v>
      </c>
      <c r="Z682" s="95">
        <v>1523</v>
      </c>
      <c r="AA682" s="92">
        <v>1</v>
      </c>
      <c r="AB682" s="92"/>
      <c r="AC682" s="95"/>
      <c r="AD682" s="146" t="s">
        <v>315</v>
      </c>
      <c r="AE682" s="146" t="s">
        <v>482</v>
      </c>
      <c r="AF682" s="712" t="s">
        <v>271</v>
      </c>
      <c r="AG682" s="95"/>
    </row>
    <row r="683" s="570" customFormat="1" ht="24.95" customHeight="1" spans="1:33">
      <c r="A683" s="794"/>
      <c r="B683" s="785" t="s">
        <v>78</v>
      </c>
      <c r="C683" s="71" t="s">
        <v>488</v>
      </c>
      <c r="D683" s="71" t="s">
        <v>192</v>
      </c>
      <c r="E683" s="92">
        <v>1</v>
      </c>
      <c r="F683" s="785" t="s">
        <v>78</v>
      </c>
      <c r="G683" s="95"/>
      <c r="H683" s="95">
        <v>7.44</v>
      </c>
      <c r="I683" s="95"/>
      <c r="J683" s="95">
        <v>7.44</v>
      </c>
      <c r="K683" s="95"/>
      <c r="L683" s="92">
        <v>2019.01</v>
      </c>
      <c r="M683" s="92">
        <v>2019.12</v>
      </c>
      <c r="N683" s="95">
        <v>372</v>
      </c>
      <c r="O683" s="95"/>
      <c r="P683" s="95">
        <v>372</v>
      </c>
      <c r="Q683" s="95"/>
      <c r="R683" s="95"/>
      <c r="S683" s="95">
        <v>372</v>
      </c>
      <c r="T683" s="95"/>
      <c r="U683" s="95"/>
      <c r="V683" s="95"/>
      <c r="W683" s="95"/>
      <c r="X683" s="95"/>
      <c r="Y683" s="95">
        <v>396</v>
      </c>
      <c r="Z683" s="95">
        <v>1842</v>
      </c>
      <c r="AA683" s="92">
        <v>1</v>
      </c>
      <c r="AB683" s="92"/>
      <c r="AC683" s="95"/>
      <c r="AD683" s="146" t="s">
        <v>483</v>
      </c>
      <c r="AE683" s="146" t="s">
        <v>484</v>
      </c>
      <c r="AF683" s="712" t="s">
        <v>271</v>
      </c>
      <c r="AG683" s="95"/>
    </row>
    <row r="684" s="570" customFormat="1" ht="24.95" customHeight="1" spans="1:33">
      <c r="A684" s="794"/>
      <c r="B684" s="785" t="s">
        <v>84</v>
      </c>
      <c r="C684" s="71" t="s">
        <v>488</v>
      </c>
      <c r="D684" s="71" t="s">
        <v>192</v>
      </c>
      <c r="E684" s="92">
        <v>1</v>
      </c>
      <c r="F684" s="785" t="s">
        <v>84</v>
      </c>
      <c r="G684" s="95"/>
      <c r="H684" s="95">
        <v>25.92</v>
      </c>
      <c r="I684" s="95"/>
      <c r="J684" s="95">
        <v>25.92</v>
      </c>
      <c r="K684" s="95"/>
      <c r="L684" s="92">
        <v>2019.01</v>
      </c>
      <c r="M684" s="92">
        <v>2019.12</v>
      </c>
      <c r="N684" s="796">
        <v>1296</v>
      </c>
      <c r="O684" s="796"/>
      <c r="P684" s="95">
        <v>1296</v>
      </c>
      <c r="Q684" s="95"/>
      <c r="R684" s="95"/>
      <c r="S684" s="95">
        <v>1296</v>
      </c>
      <c r="T684" s="95"/>
      <c r="U684" s="95"/>
      <c r="V684" s="95"/>
      <c r="W684" s="95"/>
      <c r="X684" s="95"/>
      <c r="Y684" s="95">
        <v>965</v>
      </c>
      <c r="Z684" s="95">
        <v>3542</v>
      </c>
      <c r="AA684" s="92">
        <v>1</v>
      </c>
      <c r="AB684" s="92"/>
      <c r="AC684" s="95"/>
      <c r="AD684" s="146" t="s">
        <v>485</v>
      </c>
      <c r="AE684" s="146" t="s">
        <v>486</v>
      </c>
      <c r="AF684" s="712" t="s">
        <v>271</v>
      </c>
      <c r="AG684" s="95"/>
    </row>
    <row r="685" s="570" customFormat="1" ht="24.95" customHeight="1" spans="1:33">
      <c r="A685" s="794">
        <v>90</v>
      </c>
      <c r="B685" s="95" t="s">
        <v>489</v>
      </c>
      <c r="C685" s="92"/>
      <c r="D685" s="795" t="s">
        <v>192</v>
      </c>
      <c r="E685" s="95"/>
      <c r="F685" s="95"/>
      <c r="G685" s="95"/>
      <c r="H685" s="95"/>
      <c r="I685" s="95"/>
      <c r="J685" s="95"/>
      <c r="K685" s="95"/>
      <c r="L685" s="95"/>
      <c r="M685" s="95"/>
      <c r="N685" s="696"/>
      <c r="O685" s="796"/>
      <c r="P685" s="796"/>
      <c r="Q685" s="796"/>
      <c r="R685" s="796"/>
      <c r="S685" s="796"/>
      <c r="T685" s="796"/>
      <c r="U685" s="796"/>
      <c r="V685" s="797"/>
      <c r="W685" s="797"/>
      <c r="X685" s="797"/>
      <c r="Y685" s="797"/>
      <c r="Z685" s="797"/>
      <c r="AA685" s="92"/>
      <c r="AB685" s="92"/>
      <c r="AC685" s="95"/>
      <c r="AD685" s="92"/>
      <c r="AE685" s="92"/>
      <c r="AF685" s="92" t="s">
        <v>271</v>
      </c>
      <c r="AG685" s="95"/>
    </row>
    <row r="686" s="570" customFormat="1" ht="24.95" customHeight="1" spans="1:33">
      <c r="A686" s="705" t="s">
        <v>48</v>
      </c>
      <c r="B686" s="92" t="s">
        <v>148</v>
      </c>
      <c r="C686" s="92"/>
      <c r="D686" s="76"/>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row>
    <row r="687" s="570" customFormat="1" ht="26" customHeight="1" spans="1:33">
      <c r="A687" s="705">
        <v>91</v>
      </c>
      <c r="B687" s="92" t="s">
        <v>490</v>
      </c>
      <c r="C687" s="73"/>
      <c r="D687" s="71" t="s">
        <v>192</v>
      </c>
      <c r="E687" s="73"/>
      <c r="F687" s="73"/>
      <c r="G687" s="73"/>
      <c r="H687" s="92"/>
      <c r="I687" s="92"/>
      <c r="J687" s="92"/>
      <c r="K687" s="92"/>
      <c r="L687" s="92"/>
      <c r="M687" s="92"/>
      <c r="N687" s="724"/>
      <c r="O687" s="724"/>
      <c r="P687" s="724"/>
      <c r="Q687" s="724"/>
      <c r="R687" s="724"/>
      <c r="S687" s="724"/>
      <c r="T687" s="724"/>
      <c r="U687" s="724"/>
      <c r="V687" s="724"/>
      <c r="W687" s="724"/>
      <c r="X687" s="724"/>
      <c r="Y687" s="724"/>
      <c r="Z687" s="724"/>
      <c r="AA687" s="92"/>
      <c r="AB687" s="92"/>
      <c r="AC687" s="92"/>
      <c r="AD687" s="92"/>
      <c r="AE687" s="92"/>
      <c r="AF687" s="92" t="s">
        <v>271</v>
      </c>
      <c r="AG687" s="92"/>
    </row>
    <row r="688" s="570" customFormat="1" ht="24.95" customHeight="1" spans="1:33">
      <c r="A688" s="705" t="s">
        <v>48</v>
      </c>
      <c r="B688" s="92" t="s">
        <v>148</v>
      </c>
      <c r="C688" s="73"/>
      <c r="D688" s="71"/>
      <c r="E688" s="73"/>
      <c r="F688" s="73"/>
      <c r="G688" s="73"/>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row>
    <row r="689" s="570" customFormat="1" ht="24.95" customHeight="1" spans="1:33">
      <c r="A689" s="705"/>
      <c r="B689" s="92" t="s">
        <v>491</v>
      </c>
      <c r="C689" s="73"/>
      <c r="D689" s="141" t="s">
        <v>492</v>
      </c>
      <c r="E689" s="73"/>
      <c r="F689" s="73"/>
      <c r="G689" s="73"/>
      <c r="H689" s="724"/>
      <c r="I689" s="724"/>
      <c r="J689" s="92"/>
      <c r="K689" s="92"/>
      <c r="L689" s="92"/>
      <c r="M689" s="92"/>
      <c r="N689" s="724"/>
      <c r="O689" s="724"/>
      <c r="P689" s="92"/>
      <c r="Q689" s="92"/>
      <c r="R689" s="92"/>
      <c r="S689" s="724"/>
      <c r="T689" s="92"/>
      <c r="U689" s="92"/>
      <c r="V689" s="92"/>
      <c r="W689" s="92"/>
      <c r="X689" s="92"/>
      <c r="Y689" s="92"/>
      <c r="Z689" s="92"/>
      <c r="AA689" s="92"/>
      <c r="AB689" s="92"/>
      <c r="AC689" s="92"/>
      <c r="AD689" s="753"/>
      <c r="AE689" s="753"/>
      <c r="AF689" s="712"/>
      <c r="AG689" s="92"/>
    </row>
    <row r="690" s="570" customFormat="1" ht="24.95" customHeight="1" spans="1:33">
      <c r="A690" s="705"/>
      <c r="B690" s="199" t="s">
        <v>101</v>
      </c>
      <c r="C690" s="141" t="s">
        <v>52</v>
      </c>
      <c r="D690" s="141" t="s">
        <v>492</v>
      </c>
      <c r="E690" s="92"/>
      <c r="F690" s="199"/>
      <c r="G690" s="73"/>
      <c r="H690" s="724"/>
      <c r="I690" s="724"/>
      <c r="J690" s="92"/>
      <c r="K690" s="92"/>
      <c r="L690" s="708"/>
      <c r="M690" s="708"/>
      <c r="N690" s="724"/>
      <c r="O690" s="724"/>
      <c r="P690" s="92"/>
      <c r="Q690" s="92"/>
      <c r="R690" s="92"/>
      <c r="S690" s="724"/>
      <c r="T690" s="92"/>
      <c r="U690" s="92"/>
      <c r="V690" s="92"/>
      <c r="W690" s="92"/>
      <c r="X690" s="92"/>
      <c r="Y690" s="92"/>
      <c r="Z690" s="92"/>
      <c r="AA690" s="92"/>
      <c r="AB690" s="92"/>
      <c r="AC690" s="92"/>
      <c r="AD690" s="146"/>
      <c r="AE690" s="146"/>
      <c r="AF690" s="712"/>
      <c r="AG690" s="92"/>
    </row>
    <row r="691" s="570" customFormat="1" ht="24.95" customHeight="1" spans="1:33">
      <c r="A691" s="705"/>
      <c r="B691" s="199" t="s">
        <v>151</v>
      </c>
      <c r="C691" s="141" t="s">
        <v>52</v>
      </c>
      <c r="D691" s="141" t="s">
        <v>492</v>
      </c>
      <c r="E691" s="92"/>
      <c r="F691" s="199"/>
      <c r="G691" s="73"/>
      <c r="H691" s="724"/>
      <c r="I691" s="724"/>
      <c r="J691" s="92"/>
      <c r="K691" s="92"/>
      <c r="L691" s="708"/>
      <c r="M691" s="708"/>
      <c r="N691" s="724"/>
      <c r="O691" s="724"/>
      <c r="P691" s="92"/>
      <c r="Q691" s="92"/>
      <c r="R691" s="92"/>
      <c r="S691" s="724"/>
      <c r="T691" s="92"/>
      <c r="U691" s="92"/>
      <c r="V691" s="92"/>
      <c r="W691" s="92"/>
      <c r="X691" s="92"/>
      <c r="Y691" s="92"/>
      <c r="Z691" s="92"/>
      <c r="AA691" s="92"/>
      <c r="AB691" s="92"/>
      <c r="AC691" s="92"/>
      <c r="AD691" s="146"/>
      <c r="AE691" s="146"/>
      <c r="AF691" s="712"/>
      <c r="AG691" s="92"/>
    </row>
    <row r="692" s="570" customFormat="1" ht="24.95" customHeight="1" spans="1:33">
      <c r="A692" s="705"/>
      <c r="B692" s="199" t="s">
        <v>154</v>
      </c>
      <c r="C692" s="141" t="s">
        <v>52</v>
      </c>
      <c r="D692" s="141" t="s">
        <v>492</v>
      </c>
      <c r="E692" s="92"/>
      <c r="F692" s="199"/>
      <c r="G692" s="73"/>
      <c r="H692" s="724"/>
      <c r="I692" s="724"/>
      <c r="J692" s="92"/>
      <c r="K692" s="92"/>
      <c r="L692" s="708"/>
      <c r="M692" s="708"/>
      <c r="N692" s="724"/>
      <c r="O692" s="724"/>
      <c r="P692" s="92"/>
      <c r="Q692" s="92"/>
      <c r="R692" s="92"/>
      <c r="S692" s="724"/>
      <c r="T692" s="92"/>
      <c r="U692" s="92"/>
      <c r="V692" s="92"/>
      <c r="W692" s="92"/>
      <c r="X692" s="92"/>
      <c r="Y692" s="92"/>
      <c r="Z692" s="92"/>
      <c r="AA692" s="92"/>
      <c r="AB692" s="92"/>
      <c r="AC692" s="92"/>
      <c r="AD692" s="146"/>
      <c r="AE692" s="146"/>
      <c r="AF692" s="712"/>
      <c r="AG692" s="92"/>
    </row>
    <row r="693" s="570" customFormat="1" ht="24.95" customHeight="1" spans="1:33">
      <c r="A693" s="705"/>
      <c r="B693" s="199" t="s">
        <v>81</v>
      </c>
      <c r="C693" s="141" t="s">
        <v>52</v>
      </c>
      <c r="D693" s="141" t="s">
        <v>492</v>
      </c>
      <c r="E693" s="92"/>
      <c r="F693" s="199"/>
      <c r="G693" s="73"/>
      <c r="H693" s="724"/>
      <c r="I693" s="724"/>
      <c r="J693" s="92"/>
      <c r="K693" s="92"/>
      <c r="L693" s="708"/>
      <c r="M693" s="708"/>
      <c r="N693" s="724"/>
      <c r="O693" s="724"/>
      <c r="P693" s="92"/>
      <c r="Q693" s="92"/>
      <c r="R693" s="92"/>
      <c r="S693" s="724"/>
      <c r="T693" s="92"/>
      <c r="U693" s="92"/>
      <c r="V693" s="92"/>
      <c r="W693" s="92"/>
      <c r="X693" s="92"/>
      <c r="Y693" s="92"/>
      <c r="Z693" s="92"/>
      <c r="AA693" s="92"/>
      <c r="AB693" s="92"/>
      <c r="AC693" s="92"/>
      <c r="AD693" s="146"/>
      <c r="AE693" s="146"/>
      <c r="AF693" s="712"/>
      <c r="AG693" s="92"/>
    </row>
    <row r="694" s="570" customFormat="1" ht="24.95" customHeight="1" spans="1:33">
      <c r="A694" s="705"/>
      <c r="B694" s="199" t="s">
        <v>98</v>
      </c>
      <c r="C694" s="141" t="s">
        <v>52</v>
      </c>
      <c r="D694" s="141" t="s">
        <v>492</v>
      </c>
      <c r="E694" s="92"/>
      <c r="F694" s="199"/>
      <c r="G694" s="73"/>
      <c r="H694" s="724"/>
      <c r="I694" s="724"/>
      <c r="J694" s="92"/>
      <c r="K694" s="92"/>
      <c r="L694" s="708"/>
      <c r="M694" s="708"/>
      <c r="N694" s="724"/>
      <c r="O694" s="724"/>
      <c r="P694" s="92"/>
      <c r="Q694" s="92"/>
      <c r="R694" s="92"/>
      <c r="S694" s="724"/>
      <c r="T694" s="92"/>
      <c r="U694" s="92"/>
      <c r="V694" s="92"/>
      <c r="W694" s="92"/>
      <c r="X694" s="92"/>
      <c r="Y694" s="92"/>
      <c r="Z694" s="92"/>
      <c r="AA694" s="92"/>
      <c r="AB694" s="92"/>
      <c r="AC694" s="92"/>
      <c r="AD694" s="146"/>
      <c r="AE694" s="146"/>
      <c r="AF694" s="712"/>
      <c r="AG694" s="92"/>
    </row>
    <row r="695" s="570" customFormat="1" ht="24.95" customHeight="1" spans="1:33">
      <c r="A695" s="705"/>
      <c r="B695" s="199" t="s">
        <v>211</v>
      </c>
      <c r="C695" s="141" t="s">
        <v>52</v>
      </c>
      <c r="D695" s="141" t="s">
        <v>492</v>
      </c>
      <c r="E695" s="92"/>
      <c r="F695" s="199"/>
      <c r="G695" s="73"/>
      <c r="H695" s="724"/>
      <c r="I695" s="724"/>
      <c r="J695" s="92"/>
      <c r="K695" s="92"/>
      <c r="L695" s="708"/>
      <c r="M695" s="708"/>
      <c r="N695" s="724"/>
      <c r="O695" s="724"/>
      <c r="P695" s="92"/>
      <c r="Q695" s="92"/>
      <c r="R695" s="92"/>
      <c r="S695" s="724"/>
      <c r="T695" s="92"/>
      <c r="U695" s="92"/>
      <c r="V695" s="92"/>
      <c r="W695" s="92"/>
      <c r="X695" s="92"/>
      <c r="Y695" s="92"/>
      <c r="Z695" s="92"/>
      <c r="AA695" s="92"/>
      <c r="AB695" s="92"/>
      <c r="AC695" s="92"/>
      <c r="AD695" s="146"/>
      <c r="AE695" s="146"/>
      <c r="AF695" s="712"/>
      <c r="AG695" s="92"/>
    </row>
    <row r="696" s="570" customFormat="1" ht="24.95" customHeight="1" spans="1:33">
      <c r="A696" s="705"/>
      <c r="B696" s="199" t="s">
        <v>155</v>
      </c>
      <c r="C696" s="141" t="s">
        <v>52</v>
      </c>
      <c r="D696" s="141" t="s">
        <v>492</v>
      </c>
      <c r="E696" s="92"/>
      <c r="F696" s="199"/>
      <c r="G696" s="73"/>
      <c r="H696" s="724"/>
      <c r="I696" s="724"/>
      <c r="J696" s="92"/>
      <c r="K696" s="92"/>
      <c r="L696" s="708"/>
      <c r="M696" s="708"/>
      <c r="N696" s="724"/>
      <c r="O696" s="724"/>
      <c r="P696" s="92"/>
      <c r="Q696" s="92"/>
      <c r="R696" s="92"/>
      <c r="S696" s="724"/>
      <c r="T696" s="92"/>
      <c r="U696" s="92"/>
      <c r="V696" s="92"/>
      <c r="W696" s="92"/>
      <c r="X696" s="92"/>
      <c r="Y696" s="92"/>
      <c r="Z696" s="92"/>
      <c r="AA696" s="92"/>
      <c r="AB696" s="92"/>
      <c r="AC696" s="92"/>
      <c r="AD696" s="146"/>
      <c r="AE696" s="146"/>
      <c r="AF696" s="712"/>
      <c r="AG696" s="92"/>
    </row>
    <row r="697" s="570" customFormat="1" ht="24.95" customHeight="1" spans="1:33">
      <c r="A697" s="705"/>
      <c r="B697" s="199" t="s">
        <v>102</v>
      </c>
      <c r="C697" s="141" t="s">
        <v>52</v>
      </c>
      <c r="D697" s="141" t="s">
        <v>492</v>
      </c>
      <c r="E697" s="92"/>
      <c r="F697" s="199"/>
      <c r="G697" s="73"/>
      <c r="H697" s="724"/>
      <c r="I697" s="724"/>
      <c r="J697" s="92"/>
      <c r="K697" s="92"/>
      <c r="L697" s="708"/>
      <c r="M697" s="708"/>
      <c r="N697" s="724"/>
      <c r="O697" s="724"/>
      <c r="P697" s="92"/>
      <c r="Q697" s="92"/>
      <c r="R697" s="92"/>
      <c r="S697" s="724"/>
      <c r="T697" s="92"/>
      <c r="U697" s="92"/>
      <c r="V697" s="92"/>
      <c r="W697" s="92"/>
      <c r="X697" s="92"/>
      <c r="Y697" s="92"/>
      <c r="Z697" s="92"/>
      <c r="AA697" s="92"/>
      <c r="AB697" s="92"/>
      <c r="AC697" s="92"/>
      <c r="AD697" s="146"/>
      <c r="AE697" s="146"/>
      <c r="AF697" s="712"/>
      <c r="AG697" s="92"/>
    </row>
    <row r="698" s="570" customFormat="1" ht="24.95" customHeight="1" spans="1:33">
      <c r="A698" s="705"/>
      <c r="B698" s="199" t="s">
        <v>100</v>
      </c>
      <c r="C698" s="141" t="s">
        <v>52</v>
      </c>
      <c r="D698" s="141" t="s">
        <v>492</v>
      </c>
      <c r="E698" s="92"/>
      <c r="F698" s="199"/>
      <c r="G698" s="73"/>
      <c r="H698" s="724"/>
      <c r="I698" s="724"/>
      <c r="J698" s="92"/>
      <c r="K698" s="92"/>
      <c r="L698" s="708"/>
      <c r="M698" s="708"/>
      <c r="N698" s="724"/>
      <c r="O698" s="724"/>
      <c r="P698" s="92"/>
      <c r="Q698" s="92"/>
      <c r="R698" s="92"/>
      <c r="S698" s="724"/>
      <c r="T698" s="92"/>
      <c r="U698" s="92"/>
      <c r="V698" s="92"/>
      <c r="W698" s="92"/>
      <c r="X698" s="92"/>
      <c r="Y698" s="92"/>
      <c r="Z698" s="92"/>
      <c r="AA698" s="92"/>
      <c r="AB698" s="92"/>
      <c r="AC698" s="92"/>
      <c r="AD698" s="146"/>
      <c r="AE698" s="146"/>
      <c r="AF698" s="712"/>
      <c r="AG698" s="92"/>
    </row>
    <row r="699" s="570" customFormat="1" ht="24.95" customHeight="1" spans="1:33">
      <c r="A699" s="705"/>
      <c r="B699" s="199" t="s">
        <v>84</v>
      </c>
      <c r="C699" s="141" t="s">
        <v>52</v>
      </c>
      <c r="D699" s="141" t="s">
        <v>492</v>
      </c>
      <c r="E699" s="92"/>
      <c r="F699" s="199"/>
      <c r="G699" s="73"/>
      <c r="H699" s="724"/>
      <c r="I699" s="724"/>
      <c r="J699" s="92"/>
      <c r="K699" s="92"/>
      <c r="L699" s="708"/>
      <c r="M699" s="708"/>
      <c r="N699" s="724"/>
      <c r="O699" s="724"/>
      <c r="P699" s="92"/>
      <c r="Q699" s="92"/>
      <c r="R699" s="92"/>
      <c r="S699" s="724"/>
      <c r="T699" s="92"/>
      <c r="U699" s="92"/>
      <c r="V699" s="92"/>
      <c r="W699" s="92"/>
      <c r="X699" s="92"/>
      <c r="Y699" s="92"/>
      <c r="Z699" s="92"/>
      <c r="AA699" s="92"/>
      <c r="AB699" s="92"/>
      <c r="AC699" s="92"/>
      <c r="AD699" s="146"/>
      <c r="AE699" s="146"/>
      <c r="AF699" s="712"/>
      <c r="AG699" s="92"/>
    </row>
    <row r="700" s="570" customFormat="1" ht="24.95" customHeight="1" spans="1:33">
      <c r="A700" s="705"/>
      <c r="B700" s="199" t="s">
        <v>259</v>
      </c>
      <c r="C700" s="141" t="s">
        <v>52</v>
      </c>
      <c r="D700" s="141" t="s">
        <v>492</v>
      </c>
      <c r="E700" s="92"/>
      <c r="F700" s="199"/>
      <c r="G700" s="73"/>
      <c r="H700" s="724"/>
      <c r="I700" s="724"/>
      <c r="J700" s="92"/>
      <c r="K700" s="92"/>
      <c r="L700" s="708"/>
      <c r="M700" s="708"/>
      <c r="N700" s="724"/>
      <c r="O700" s="724"/>
      <c r="P700" s="92"/>
      <c r="Q700" s="92"/>
      <c r="R700" s="92"/>
      <c r="S700" s="724"/>
      <c r="T700" s="92"/>
      <c r="U700" s="92"/>
      <c r="V700" s="92"/>
      <c r="W700" s="92"/>
      <c r="X700" s="92"/>
      <c r="Y700" s="92"/>
      <c r="Z700" s="92"/>
      <c r="AA700" s="92"/>
      <c r="AB700" s="92"/>
      <c r="AC700" s="92"/>
      <c r="AD700" s="146"/>
      <c r="AE700" s="146"/>
      <c r="AF700" s="712"/>
      <c r="AG700" s="92"/>
    </row>
    <row r="701" s="570" customFormat="1" ht="24.95" customHeight="1" spans="1:33">
      <c r="A701" s="705"/>
      <c r="B701" s="199" t="s">
        <v>143</v>
      </c>
      <c r="C701" s="141" t="s">
        <v>52</v>
      </c>
      <c r="D701" s="141" t="s">
        <v>492</v>
      </c>
      <c r="E701" s="92"/>
      <c r="F701" s="199"/>
      <c r="G701" s="73"/>
      <c r="H701" s="724"/>
      <c r="I701" s="724"/>
      <c r="J701" s="92"/>
      <c r="K701" s="92"/>
      <c r="L701" s="708"/>
      <c r="M701" s="708"/>
      <c r="N701" s="724"/>
      <c r="O701" s="724"/>
      <c r="P701" s="92"/>
      <c r="Q701" s="92"/>
      <c r="R701" s="92"/>
      <c r="S701" s="724"/>
      <c r="T701" s="92"/>
      <c r="U701" s="92"/>
      <c r="V701" s="92"/>
      <c r="W701" s="92"/>
      <c r="X701" s="92"/>
      <c r="Y701" s="92"/>
      <c r="Z701" s="92"/>
      <c r="AA701" s="92"/>
      <c r="AB701" s="92"/>
      <c r="AC701" s="92"/>
      <c r="AD701" s="146"/>
      <c r="AE701" s="146"/>
      <c r="AF701" s="712"/>
      <c r="AG701" s="92"/>
    </row>
    <row r="702" s="694" customFormat="1" ht="24.95" customHeight="1" spans="1:33">
      <c r="A702" s="705"/>
      <c r="B702" s="711" t="s">
        <v>493</v>
      </c>
      <c r="C702" s="71" t="s">
        <v>488</v>
      </c>
      <c r="D702" s="71" t="s">
        <v>192</v>
      </c>
      <c r="E702" s="92">
        <f>SUM(E703:E705)</f>
        <v>3</v>
      </c>
      <c r="F702" s="92">
        <f t="shared" ref="F702:AA702" si="103">SUM(F703:F705)</f>
        <v>0</v>
      </c>
      <c r="G702" s="92">
        <f t="shared" si="103"/>
        <v>0</v>
      </c>
      <c r="H702" s="92">
        <f t="shared" si="103"/>
        <v>23.9</v>
      </c>
      <c r="I702" s="92">
        <f t="shared" si="103"/>
        <v>0</v>
      </c>
      <c r="J702" s="92">
        <f t="shared" si="103"/>
        <v>23.9</v>
      </c>
      <c r="K702" s="92">
        <f t="shared" si="103"/>
        <v>0</v>
      </c>
      <c r="L702" s="92"/>
      <c r="M702" s="92"/>
      <c r="N702" s="724">
        <f t="shared" si="103"/>
        <v>312</v>
      </c>
      <c r="O702" s="724">
        <f t="shared" si="103"/>
        <v>0</v>
      </c>
      <c r="P702" s="724">
        <f t="shared" si="103"/>
        <v>312</v>
      </c>
      <c r="Q702" s="724">
        <f t="shared" si="103"/>
        <v>0</v>
      </c>
      <c r="R702" s="724">
        <f t="shared" si="103"/>
        <v>0</v>
      </c>
      <c r="S702" s="724">
        <f t="shared" si="103"/>
        <v>312</v>
      </c>
      <c r="T702" s="724">
        <f t="shared" si="103"/>
        <v>0</v>
      </c>
      <c r="U702" s="724">
        <f t="shared" si="103"/>
        <v>0</v>
      </c>
      <c r="V702" s="724">
        <f t="shared" si="103"/>
        <v>0</v>
      </c>
      <c r="W702" s="92">
        <f t="shared" si="103"/>
        <v>0</v>
      </c>
      <c r="X702" s="92">
        <f t="shared" si="103"/>
        <v>0</v>
      </c>
      <c r="Y702" s="92">
        <f t="shared" si="103"/>
        <v>860</v>
      </c>
      <c r="Z702" s="92">
        <f t="shared" si="103"/>
        <v>3832</v>
      </c>
      <c r="AA702" s="92">
        <f t="shared" si="103"/>
        <v>3</v>
      </c>
      <c r="AB702" s="92"/>
      <c r="AC702" s="92"/>
      <c r="AD702" s="753" t="s">
        <v>465</v>
      </c>
      <c r="AE702" s="753" t="s">
        <v>466</v>
      </c>
      <c r="AF702" s="712" t="s">
        <v>271</v>
      </c>
      <c r="AG702" s="92"/>
    </row>
    <row r="703" s="694" customFormat="1" ht="24.95" customHeight="1" spans="1:33">
      <c r="A703" s="705"/>
      <c r="B703" s="793" t="s">
        <v>64</v>
      </c>
      <c r="C703" s="71" t="s">
        <v>488</v>
      </c>
      <c r="D703" s="71" t="s">
        <v>192</v>
      </c>
      <c r="E703" s="92">
        <v>1</v>
      </c>
      <c r="F703" s="793" t="s">
        <v>64</v>
      </c>
      <c r="G703" s="73"/>
      <c r="H703" s="92">
        <v>10.132</v>
      </c>
      <c r="I703" s="92"/>
      <c r="J703" s="92">
        <v>10.132</v>
      </c>
      <c r="K703" s="92"/>
      <c r="L703" s="92">
        <v>2019.01</v>
      </c>
      <c r="M703" s="92">
        <v>2019.12</v>
      </c>
      <c r="N703" s="724">
        <v>133</v>
      </c>
      <c r="O703" s="724"/>
      <c r="P703" s="724">
        <v>133</v>
      </c>
      <c r="Q703" s="92"/>
      <c r="R703" s="92"/>
      <c r="S703" s="724">
        <v>133</v>
      </c>
      <c r="T703" s="92"/>
      <c r="U703" s="92"/>
      <c r="V703" s="92"/>
      <c r="W703" s="92"/>
      <c r="X703" s="92"/>
      <c r="Y703" s="92">
        <v>204</v>
      </c>
      <c r="Z703" s="92">
        <v>826</v>
      </c>
      <c r="AA703" s="92">
        <v>1</v>
      </c>
      <c r="AB703" s="92"/>
      <c r="AC703" s="92"/>
      <c r="AD703" s="146" t="s">
        <v>485</v>
      </c>
      <c r="AE703" s="146" t="s">
        <v>486</v>
      </c>
      <c r="AF703" s="712" t="s">
        <v>271</v>
      </c>
      <c r="AG703" s="92"/>
    </row>
    <row r="704" s="694" customFormat="1" ht="24.95" customHeight="1" spans="1:33">
      <c r="A704" s="705"/>
      <c r="B704" s="793" t="s">
        <v>78</v>
      </c>
      <c r="C704" s="71" t="s">
        <v>488</v>
      </c>
      <c r="D704" s="71" t="s">
        <v>192</v>
      </c>
      <c r="E704" s="92">
        <v>1</v>
      </c>
      <c r="F704" s="793" t="s">
        <v>78</v>
      </c>
      <c r="G704" s="73"/>
      <c r="H704" s="92">
        <v>8.605</v>
      </c>
      <c r="I704" s="92"/>
      <c r="J704" s="92">
        <v>8.605</v>
      </c>
      <c r="K704" s="92"/>
      <c r="L704" s="92">
        <v>2019.01</v>
      </c>
      <c r="M704" s="92">
        <v>2019.12</v>
      </c>
      <c r="N704" s="724">
        <v>112</v>
      </c>
      <c r="O704" s="724"/>
      <c r="P704" s="724">
        <v>112</v>
      </c>
      <c r="Q704" s="92"/>
      <c r="R704" s="92"/>
      <c r="S704" s="724">
        <v>112</v>
      </c>
      <c r="T704" s="92"/>
      <c r="U704" s="92"/>
      <c r="V704" s="92"/>
      <c r="W704" s="92"/>
      <c r="X704" s="92"/>
      <c r="Y704" s="92">
        <v>303</v>
      </c>
      <c r="Z704" s="92">
        <v>1466</v>
      </c>
      <c r="AA704" s="92">
        <v>1</v>
      </c>
      <c r="AB704" s="92"/>
      <c r="AC704" s="92"/>
      <c r="AD704" s="146" t="s">
        <v>483</v>
      </c>
      <c r="AE704" s="146" t="s">
        <v>484</v>
      </c>
      <c r="AF704" s="712" t="s">
        <v>271</v>
      </c>
      <c r="AG704" s="92"/>
    </row>
    <row r="705" s="694" customFormat="1" ht="24.95" customHeight="1" spans="1:33">
      <c r="A705" s="705"/>
      <c r="B705" s="793" t="s">
        <v>75</v>
      </c>
      <c r="C705" s="71" t="s">
        <v>488</v>
      </c>
      <c r="D705" s="71" t="s">
        <v>192</v>
      </c>
      <c r="E705" s="92">
        <v>1</v>
      </c>
      <c r="F705" s="793" t="s">
        <v>75</v>
      </c>
      <c r="G705" s="73"/>
      <c r="H705" s="92">
        <v>5.163</v>
      </c>
      <c r="I705" s="92"/>
      <c r="J705" s="92">
        <v>5.163</v>
      </c>
      <c r="K705" s="92"/>
      <c r="L705" s="92">
        <v>2019.01</v>
      </c>
      <c r="M705" s="92">
        <v>2019.12</v>
      </c>
      <c r="N705" s="724">
        <v>67</v>
      </c>
      <c r="O705" s="724"/>
      <c r="P705" s="724">
        <v>67</v>
      </c>
      <c r="Q705" s="92"/>
      <c r="R705" s="92"/>
      <c r="S705" s="724">
        <v>67</v>
      </c>
      <c r="T705" s="92"/>
      <c r="U705" s="92"/>
      <c r="V705" s="92"/>
      <c r="W705" s="92"/>
      <c r="X705" s="92"/>
      <c r="Y705" s="92">
        <v>353</v>
      </c>
      <c r="Z705" s="92">
        <v>1540</v>
      </c>
      <c r="AA705" s="92">
        <v>1</v>
      </c>
      <c r="AB705" s="92"/>
      <c r="AC705" s="92"/>
      <c r="AD705" s="146" t="s">
        <v>329</v>
      </c>
      <c r="AE705" s="146" t="s">
        <v>475</v>
      </c>
      <c r="AF705" s="712" t="s">
        <v>271</v>
      </c>
      <c r="AG705" s="92"/>
    </row>
    <row r="706" s="694" customFormat="1" ht="41" customHeight="1" spans="1:33">
      <c r="A706" s="705"/>
      <c r="B706" s="710" t="s">
        <v>494</v>
      </c>
      <c r="C706" s="71" t="s">
        <v>52</v>
      </c>
      <c r="D706" s="71" t="s">
        <v>202</v>
      </c>
      <c r="E706" s="92">
        <v>1</v>
      </c>
      <c r="F706" s="199" t="s">
        <v>72</v>
      </c>
      <c r="G706" s="199" t="s">
        <v>619</v>
      </c>
      <c r="H706" s="92">
        <v>1</v>
      </c>
      <c r="I706" s="92"/>
      <c r="J706" s="92">
        <v>1</v>
      </c>
      <c r="K706" s="92"/>
      <c r="L706" s="92">
        <v>2019.01</v>
      </c>
      <c r="M706" s="92">
        <v>2019.12</v>
      </c>
      <c r="N706" s="724">
        <v>34</v>
      </c>
      <c r="O706" s="724"/>
      <c r="P706" s="724">
        <v>34</v>
      </c>
      <c r="Q706" s="92"/>
      <c r="R706" s="92"/>
      <c r="S706" s="724">
        <v>34</v>
      </c>
      <c r="T706" s="92"/>
      <c r="U706" s="92"/>
      <c r="V706" s="92"/>
      <c r="W706" s="92"/>
      <c r="X706" s="92"/>
      <c r="Y706" s="151">
        <v>145</v>
      </c>
      <c r="Z706" s="151">
        <v>584</v>
      </c>
      <c r="AA706" s="92">
        <v>1</v>
      </c>
      <c r="AB706" s="92"/>
      <c r="AC706" s="92"/>
      <c r="AD706" s="753" t="s">
        <v>465</v>
      </c>
      <c r="AE706" s="753" t="s">
        <v>466</v>
      </c>
      <c r="AF706" s="712" t="s">
        <v>271</v>
      </c>
      <c r="AG706" s="92"/>
    </row>
    <row r="707" ht="24" spans="1:33">
      <c r="A707" s="705">
        <v>92</v>
      </c>
      <c r="B707" s="791" t="s">
        <v>495</v>
      </c>
      <c r="C707" s="708"/>
      <c r="D707" s="709" t="s">
        <v>496</v>
      </c>
      <c r="E707" s="708"/>
      <c r="F707" s="708"/>
      <c r="G707" s="708"/>
      <c r="H707" s="708"/>
      <c r="I707" s="708"/>
      <c r="J707" s="708"/>
      <c r="K707" s="708"/>
      <c r="L707" s="708"/>
      <c r="M707" s="708"/>
      <c r="N707" s="726"/>
      <c r="O707" s="726"/>
      <c r="P707" s="726"/>
      <c r="Q707" s="726"/>
      <c r="R707" s="726"/>
      <c r="S707" s="726"/>
      <c r="T707" s="726"/>
      <c r="U707" s="726"/>
      <c r="V707" s="726"/>
      <c r="W707" s="726"/>
      <c r="X707" s="726"/>
      <c r="Y707" s="726"/>
      <c r="Z707" s="726"/>
      <c r="AA707" s="708"/>
      <c r="AB707" s="708"/>
      <c r="AC707" s="708"/>
      <c r="AD707" s="708"/>
      <c r="AE707" s="708"/>
      <c r="AF707" s="708" t="s">
        <v>497</v>
      </c>
      <c r="AG707" s="708" t="s">
        <v>41</v>
      </c>
    </row>
    <row r="708" s="570" customFormat="1" ht="29" customHeight="1" spans="1:33">
      <c r="A708" s="705"/>
      <c r="B708" s="714" t="s">
        <v>101</v>
      </c>
      <c r="C708" s="146" t="s">
        <v>52</v>
      </c>
      <c r="D708" s="152" t="s">
        <v>498</v>
      </c>
      <c r="E708" s="92"/>
      <c r="F708" s="714"/>
      <c r="G708" s="708"/>
      <c r="H708" s="708"/>
      <c r="I708" s="708"/>
      <c r="J708" s="708"/>
      <c r="K708" s="708"/>
      <c r="L708" s="708"/>
      <c r="M708" s="708"/>
      <c r="N708" s="726"/>
      <c r="O708" s="726"/>
      <c r="P708" s="726"/>
      <c r="Q708" s="726"/>
      <c r="R708" s="726"/>
      <c r="S708" s="726"/>
      <c r="T708" s="726"/>
      <c r="U708" s="726"/>
      <c r="V708" s="726"/>
      <c r="W708" s="726"/>
      <c r="X708" s="726"/>
      <c r="Y708" s="763"/>
      <c r="Z708" s="763"/>
      <c r="AA708" s="708"/>
      <c r="AB708" s="708"/>
      <c r="AC708" s="708"/>
      <c r="AD708" s="146"/>
      <c r="AE708" s="146"/>
      <c r="AF708" s="146"/>
      <c r="AG708" s="708"/>
    </row>
    <row r="709" s="570" customFormat="1" ht="29" customHeight="1" spans="1:33">
      <c r="A709" s="705"/>
      <c r="B709" s="714" t="s">
        <v>151</v>
      </c>
      <c r="C709" s="146" t="s">
        <v>52</v>
      </c>
      <c r="D709" s="152" t="s">
        <v>498</v>
      </c>
      <c r="E709" s="92"/>
      <c r="F709" s="714"/>
      <c r="G709" s="708"/>
      <c r="H709" s="708"/>
      <c r="I709" s="708"/>
      <c r="J709" s="708"/>
      <c r="K709" s="708"/>
      <c r="L709" s="708"/>
      <c r="M709" s="708"/>
      <c r="N709" s="726"/>
      <c r="O709" s="726"/>
      <c r="P709" s="726"/>
      <c r="Q709" s="726"/>
      <c r="R709" s="726"/>
      <c r="S709" s="726"/>
      <c r="T709" s="726"/>
      <c r="U709" s="726"/>
      <c r="V709" s="726"/>
      <c r="W709" s="726"/>
      <c r="X709" s="726"/>
      <c r="Y709" s="763"/>
      <c r="Z709" s="763"/>
      <c r="AA709" s="708"/>
      <c r="AB709" s="708"/>
      <c r="AC709" s="708"/>
      <c r="AD709" s="146"/>
      <c r="AE709" s="146"/>
      <c r="AF709" s="146"/>
      <c r="AG709" s="708"/>
    </row>
    <row r="710" s="570" customFormat="1" ht="29" customHeight="1" spans="1:33">
      <c r="A710" s="705"/>
      <c r="B710" s="714" t="s">
        <v>154</v>
      </c>
      <c r="C710" s="146" t="s">
        <v>52</v>
      </c>
      <c r="D710" s="152" t="s">
        <v>498</v>
      </c>
      <c r="E710" s="92"/>
      <c r="F710" s="714"/>
      <c r="G710" s="708"/>
      <c r="H710" s="708"/>
      <c r="I710" s="708"/>
      <c r="J710" s="708"/>
      <c r="K710" s="708"/>
      <c r="L710" s="708"/>
      <c r="M710" s="708"/>
      <c r="N710" s="726"/>
      <c r="O710" s="726"/>
      <c r="P710" s="726"/>
      <c r="Q710" s="726"/>
      <c r="R710" s="726"/>
      <c r="S710" s="726"/>
      <c r="T710" s="726"/>
      <c r="U710" s="726"/>
      <c r="V710" s="726"/>
      <c r="W710" s="726"/>
      <c r="X710" s="726"/>
      <c r="Y710" s="763"/>
      <c r="Z710" s="763"/>
      <c r="AA710" s="708"/>
      <c r="AB710" s="708"/>
      <c r="AC710" s="708"/>
      <c r="AD710" s="146"/>
      <c r="AE710" s="146"/>
      <c r="AF710" s="146"/>
      <c r="AG710" s="708"/>
    </row>
    <row r="711" s="570" customFormat="1" ht="29" customHeight="1" spans="1:33">
      <c r="A711" s="705"/>
      <c r="B711" s="714" t="s">
        <v>81</v>
      </c>
      <c r="C711" s="146" t="s">
        <v>52</v>
      </c>
      <c r="D711" s="152" t="s">
        <v>498</v>
      </c>
      <c r="E711" s="92"/>
      <c r="F711" s="714"/>
      <c r="G711" s="708"/>
      <c r="H711" s="708"/>
      <c r="I711" s="708"/>
      <c r="J711" s="708"/>
      <c r="K711" s="708"/>
      <c r="L711" s="708"/>
      <c r="M711" s="708"/>
      <c r="N711" s="726"/>
      <c r="O711" s="726"/>
      <c r="P711" s="726"/>
      <c r="Q711" s="726"/>
      <c r="R711" s="726"/>
      <c r="S711" s="726"/>
      <c r="T711" s="726"/>
      <c r="U711" s="726"/>
      <c r="V711" s="726"/>
      <c r="W711" s="726"/>
      <c r="X711" s="726"/>
      <c r="Y711" s="763"/>
      <c r="Z711" s="763"/>
      <c r="AA711" s="708"/>
      <c r="AB711" s="708"/>
      <c r="AC711" s="708"/>
      <c r="AD711" s="146"/>
      <c r="AE711" s="146"/>
      <c r="AF711" s="146"/>
      <c r="AG711" s="708"/>
    </row>
    <row r="712" s="570" customFormat="1" ht="29" customHeight="1" spans="1:33">
      <c r="A712" s="705"/>
      <c r="B712" s="714" t="s">
        <v>98</v>
      </c>
      <c r="C712" s="146" t="s">
        <v>52</v>
      </c>
      <c r="D712" s="152" t="s">
        <v>498</v>
      </c>
      <c r="E712" s="92"/>
      <c r="F712" s="714"/>
      <c r="G712" s="708"/>
      <c r="H712" s="708"/>
      <c r="I712" s="708"/>
      <c r="J712" s="708"/>
      <c r="K712" s="708"/>
      <c r="L712" s="708"/>
      <c r="M712" s="708"/>
      <c r="N712" s="726"/>
      <c r="O712" s="726"/>
      <c r="P712" s="726"/>
      <c r="Q712" s="726"/>
      <c r="R712" s="726"/>
      <c r="S712" s="726"/>
      <c r="T712" s="726"/>
      <c r="U712" s="726"/>
      <c r="V712" s="726"/>
      <c r="W712" s="726"/>
      <c r="X712" s="726"/>
      <c r="Y712" s="763"/>
      <c r="Z712" s="763"/>
      <c r="AA712" s="708"/>
      <c r="AB712" s="708"/>
      <c r="AC712" s="708"/>
      <c r="AD712" s="146"/>
      <c r="AE712" s="146"/>
      <c r="AF712" s="146"/>
      <c r="AG712" s="708"/>
    </row>
    <row r="713" s="570" customFormat="1" ht="29" customHeight="1" spans="1:33">
      <c r="A713" s="705"/>
      <c r="B713" s="714" t="s">
        <v>211</v>
      </c>
      <c r="C713" s="146" t="s">
        <v>52</v>
      </c>
      <c r="D713" s="152" t="s">
        <v>498</v>
      </c>
      <c r="E713" s="92"/>
      <c r="F713" s="714"/>
      <c r="G713" s="708"/>
      <c r="H713" s="708"/>
      <c r="I713" s="708"/>
      <c r="J713" s="708"/>
      <c r="K713" s="708"/>
      <c r="L713" s="708"/>
      <c r="M713" s="708"/>
      <c r="N713" s="726"/>
      <c r="O713" s="726"/>
      <c r="P713" s="726"/>
      <c r="Q713" s="726"/>
      <c r="R713" s="726"/>
      <c r="S713" s="726"/>
      <c r="T713" s="726"/>
      <c r="U713" s="726"/>
      <c r="V713" s="726"/>
      <c r="W713" s="726"/>
      <c r="X713" s="726"/>
      <c r="Y713" s="763"/>
      <c r="Z713" s="763"/>
      <c r="AA713" s="708"/>
      <c r="AB713" s="708"/>
      <c r="AC713" s="708"/>
      <c r="AD713" s="146"/>
      <c r="AE713" s="146"/>
      <c r="AF713" s="146"/>
      <c r="AG713" s="708"/>
    </row>
    <row r="714" s="570" customFormat="1" ht="29" customHeight="1" spans="1:33">
      <c r="A714" s="705"/>
      <c r="B714" s="714" t="s">
        <v>155</v>
      </c>
      <c r="C714" s="146" t="s">
        <v>52</v>
      </c>
      <c r="D714" s="152" t="s">
        <v>498</v>
      </c>
      <c r="E714" s="92"/>
      <c r="F714" s="714"/>
      <c r="G714" s="708"/>
      <c r="H714" s="708"/>
      <c r="I714" s="708"/>
      <c r="J714" s="708"/>
      <c r="K714" s="708"/>
      <c r="L714" s="708"/>
      <c r="M714" s="708"/>
      <c r="N714" s="726"/>
      <c r="O714" s="726"/>
      <c r="P714" s="726"/>
      <c r="Q714" s="726"/>
      <c r="R714" s="726"/>
      <c r="S714" s="726"/>
      <c r="T714" s="726"/>
      <c r="U714" s="726"/>
      <c r="V714" s="726"/>
      <c r="W714" s="726"/>
      <c r="X714" s="726"/>
      <c r="Y714" s="763"/>
      <c r="Z714" s="763"/>
      <c r="AA714" s="708"/>
      <c r="AB714" s="708"/>
      <c r="AC714" s="708"/>
      <c r="AD714" s="146"/>
      <c r="AE714" s="146"/>
      <c r="AF714" s="146"/>
      <c r="AG714" s="708"/>
    </row>
    <row r="715" s="570" customFormat="1" ht="29" customHeight="1" spans="1:33">
      <c r="A715" s="705"/>
      <c r="B715" s="714" t="s">
        <v>102</v>
      </c>
      <c r="C715" s="146" t="s">
        <v>52</v>
      </c>
      <c r="D715" s="152" t="s">
        <v>498</v>
      </c>
      <c r="E715" s="92"/>
      <c r="F715" s="714"/>
      <c r="G715" s="708"/>
      <c r="H715" s="708"/>
      <c r="I715" s="708"/>
      <c r="J715" s="708"/>
      <c r="K715" s="708"/>
      <c r="L715" s="708"/>
      <c r="M715" s="708"/>
      <c r="N715" s="726"/>
      <c r="O715" s="726"/>
      <c r="P715" s="726"/>
      <c r="Q715" s="726"/>
      <c r="R715" s="726"/>
      <c r="S715" s="726"/>
      <c r="T715" s="726"/>
      <c r="U715" s="726"/>
      <c r="V715" s="726"/>
      <c r="W715" s="726"/>
      <c r="X715" s="726"/>
      <c r="Y715" s="763"/>
      <c r="Z715" s="763"/>
      <c r="AA715" s="708"/>
      <c r="AB715" s="708"/>
      <c r="AC715" s="708"/>
      <c r="AD715" s="146"/>
      <c r="AE715" s="146"/>
      <c r="AF715" s="146"/>
      <c r="AG715" s="708"/>
    </row>
    <row r="716" s="570" customFormat="1" ht="29" customHeight="1" spans="1:33">
      <c r="A716" s="705"/>
      <c r="B716" s="714" t="s">
        <v>100</v>
      </c>
      <c r="C716" s="146" t="s">
        <v>52</v>
      </c>
      <c r="D716" s="152" t="s">
        <v>498</v>
      </c>
      <c r="E716" s="92"/>
      <c r="F716" s="714"/>
      <c r="G716" s="708"/>
      <c r="H716" s="708"/>
      <c r="I716" s="708"/>
      <c r="J716" s="708"/>
      <c r="K716" s="708"/>
      <c r="L716" s="708"/>
      <c r="M716" s="708"/>
      <c r="N716" s="726"/>
      <c r="O716" s="726"/>
      <c r="P716" s="726"/>
      <c r="Q716" s="726"/>
      <c r="R716" s="726"/>
      <c r="S716" s="726"/>
      <c r="T716" s="726"/>
      <c r="U716" s="726"/>
      <c r="V716" s="726"/>
      <c r="W716" s="726"/>
      <c r="X716" s="726"/>
      <c r="Y716" s="763"/>
      <c r="Z716" s="763"/>
      <c r="AA716" s="708"/>
      <c r="AB716" s="708"/>
      <c r="AC716" s="708"/>
      <c r="AD716" s="146"/>
      <c r="AE716" s="146"/>
      <c r="AF716" s="146"/>
      <c r="AG716" s="708"/>
    </row>
    <row r="717" s="570" customFormat="1" ht="29" customHeight="1" spans="1:33">
      <c r="A717" s="705"/>
      <c r="B717" s="714" t="s">
        <v>259</v>
      </c>
      <c r="C717" s="146" t="s">
        <v>52</v>
      </c>
      <c r="D717" s="152" t="s">
        <v>498</v>
      </c>
      <c r="E717" s="92"/>
      <c r="F717" s="714"/>
      <c r="G717" s="708"/>
      <c r="H717" s="708"/>
      <c r="I717" s="708"/>
      <c r="J717" s="708"/>
      <c r="K717" s="708"/>
      <c r="L717" s="708"/>
      <c r="M717" s="708"/>
      <c r="N717" s="726"/>
      <c r="O717" s="726"/>
      <c r="P717" s="726"/>
      <c r="Q717" s="726"/>
      <c r="R717" s="726"/>
      <c r="S717" s="726"/>
      <c r="T717" s="726"/>
      <c r="U717" s="726"/>
      <c r="V717" s="726"/>
      <c r="W717" s="726"/>
      <c r="X717" s="726"/>
      <c r="Y717" s="763"/>
      <c r="Z717" s="763"/>
      <c r="AA717" s="708"/>
      <c r="AB717" s="708"/>
      <c r="AC717" s="708"/>
      <c r="AD717" s="146"/>
      <c r="AE717" s="146"/>
      <c r="AF717" s="146"/>
      <c r="AG717" s="708"/>
    </row>
    <row r="718" s="570" customFormat="1" ht="29" customHeight="1" spans="1:33">
      <c r="A718" s="705"/>
      <c r="B718" s="714" t="s">
        <v>84</v>
      </c>
      <c r="C718" s="146" t="s">
        <v>52</v>
      </c>
      <c r="D718" s="152" t="s">
        <v>498</v>
      </c>
      <c r="E718" s="92"/>
      <c r="F718" s="714"/>
      <c r="G718" s="708"/>
      <c r="H718" s="708"/>
      <c r="I718" s="708"/>
      <c r="J718" s="708"/>
      <c r="K718" s="708"/>
      <c r="L718" s="708"/>
      <c r="M718" s="708"/>
      <c r="N718" s="726"/>
      <c r="O718" s="726"/>
      <c r="P718" s="726"/>
      <c r="Q718" s="726"/>
      <c r="R718" s="726"/>
      <c r="S718" s="726"/>
      <c r="T718" s="726"/>
      <c r="U718" s="726"/>
      <c r="V718" s="726"/>
      <c r="W718" s="726"/>
      <c r="X718" s="726"/>
      <c r="Y718" s="763"/>
      <c r="Z718" s="763"/>
      <c r="AA718" s="708"/>
      <c r="AB718" s="708"/>
      <c r="AC718" s="708"/>
      <c r="AD718" s="146"/>
      <c r="AE718" s="146"/>
      <c r="AF718" s="146"/>
      <c r="AG718" s="708"/>
    </row>
    <row r="719" s="570" customFormat="1" ht="29" customHeight="1" spans="1:33">
      <c r="A719" s="705"/>
      <c r="B719" s="714" t="s">
        <v>143</v>
      </c>
      <c r="C719" s="146" t="s">
        <v>52</v>
      </c>
      <c r="D719" s="152" t="s">
        <v>498</v>
      </c>
      <c r="E719" s="92"/>
      <c r="F719" s="714"/>
      <c r="G719" s="708"/>
      <c r="H719" s="708"/>
      <c r="I719" s="708"/>
      <c r="J719" s="708"/>
      <c r="K719" s="708"/>
      <c r="L719" s="708"/>
      <c r="M719" s="708"/>
      <c r="N719" s="726"/>
      <c r="O719" s="726"/>
      <c r="P719" s="726"/>
      <c r="Q719" s="726"/>
      <c r="R719" s="726"/>
      <c r="S719" s="726"/>
      <c r="T719" s="726"/>
      <c r="U719" s="726"/>
      <c r="V719" s="726"/>
      <c r="W719" s="726"/>
      <c r="X719" s="726"/>
      <c r="Y719" s="763"/>
      <c r="Z719" s="763"/>
      <c r="AA719" s="708"/>
      <c r="AB719" s="708"/>
      <c r="AC719" s="708"/>
      <c r="AD719" s="146"/>
      <c r="AE719" s="146"/>
      <c r="AF719" s="146"/>
      <c r="AG719" s="708"/>
    </row>
    <row r="720" ht="24" spans="1:33">
      <c r="A720" s="705">
        <v>93</v>
      </c>
      <c r="B720" s="791" t="s">
        <v>499</v>
      </c>
      <c r="C720" s="708"/>
      <c r="D720" s="709" t="s">
        <v>384</v>
      </c>
      <c r="E720" s="708"/>
      <c r="F720" s="708"/>
      <c r="G720" s="708"/>
      <c r="H720" s="708"/>
      <c r="I720" s="708"/>
      <c r="J720" s="708"/>
      <c r="K720" s="708"/>
      <c r="L720" s="708"/>
      <c r="M720" s="708"/>
      <c r="N720" s="726"/>
      <c r="O720" s="726"/>
      <c r="P720" s="726"/>
      <c r="Q720" s="726"/>
      <c r="R720" s="726"/>
      <c r="S720" s="726"/>
      <c r="T720" s="726"/>
      <c r="U720" s="726"/>
      <c r="V720" s="726"/>
      <c r="W720" s="726"/>
      <c r="X720" s="726"/>
      <c r="Y720" s="726"/>
      <c r="Z720" s="726"/>
      <c r="AA720" s="708"/>
      <c r="AB720" s="708"/>
      <c r="AC720" s="708"/>
      <c r="AD720" s="708"/>
      <c r="AE720" s="708"/>
      <c r="AF720" s="708" t="s">
        <v>500</v>
      </c>
      <c r="AG720" s="708" t="s">
        <v>41</v>
      </c>
    </row>
    <row r="721" ht="24.95" customHeight="1" spans="1:33">
      <c r="A721" s="705" t="s">
        <v>48</v>
      </c>
      <c r="B721" s="92" t="s">
        <v>148</v>
      </c>
      <c r="C721" s="92"/>
      <c r="D721" s="76"/>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row>
    <row r="722" ht="24.95" customHeight="1" spans="1:33">
      <c r="A722" s="705">
        <v>94</v>
      </c>
      <c r="B722" s="791" t="s">
        <v>501</v>
      </c>
      <c r="C722" s="708"/>
      <c r="D722" s="709" t="s">
        <v>496</v>
      </c>
      <c r="E722" s="708"/>
      <c r="F722" s="708"/>
      <c r="G722" s="708"/>
      <c r="H722" s="708"/>
      <c r="I722" s="708"/>
      <c r="J722" s="708"/>
      <c r="K722" s="708"/>
      <c r="L722" s="708"/>
      <c r="M722" s="708"/>
      <c r="N722" s="726"/>
      <c r="O722" s="726"/>
      <c r="P722" s="726"/>
      <c r="Q722" s="726"/>
      <c r="R722" s="726"/>
      <c r="S722" s="726"/>
      <c r="T722" s="726"/>
      <c r="U722" s="726"/>
      <c r="V722" s="726"/>
      <c r="W722" s="726"/>
      <c r="X722" s="726"/>
      <c r="Y722" s="726"/>
      <c r="Z722" s="726"/>
      <c r="AA722" s="708"/>
      <c r="AB722" s="708"/>
      <c r="AC722" s="708"/>
      <c r="AD722" s="708"/>
      <c r="AE722" s="708"/>
      <c r="AF722" s="708" t="s">
        <v>497</v>
      </c>
      <c r="AG722" s="708" t="s">
        <v>41</v>
      </c>
    </row>
    <row r="723" ht="24.95" customHeight="1" spans="1:33">
      <c r="A723" s="705">
        <v>95</v>
      </c>
      <c r="B723" s="95" t="s">
        <v>502</v>
      </c>
      <c r="C723" s="92"/>
      <c r="D723" s="76" t="s">
        <v>496</v>
      </c>
      <c r="E723" s="92"/>
      <c r="F723" s="92"/>
      <c r="G723" s="92"/>
      <c r="H723" s="92"/>
      <c r="I723" s="92"/>
      <c r="J723" s="92"/>
      <c r="K723" s="92"/>
      <c r="L723" s="92"/>
      <c r="M723" s="92"/>
      <c r="N723" s="724"/>
      <c r="O723" s="724"/>
      <c r="P723" s="724"/>
      <c r="Q723" s="724"/>
      <c r="R723" s="724"/>
      <c r="S723" s="724"/>
      <c r="T723" s="724"/>
      <c r="U723" s="724"/>
      <c r="V723" s="724"/>
      <c r="W723" s="724"/>
      <c r="X723" s="724"/>
      <c r="Y723" s="724"/>
      <c r="Z723" s="724"/>
      <c r="AA723" s="92"/>
      <c r="AB723" s="92"/>
      <c r="AC723" s="92"/>
      <c r="AD723" s="92"/>
      <c r="AE723" s="92"/>
      <c r="AF723" s="92" t="s">
        <v>497</v>
      </c>
      <c r="AG723" s="92" t="s">
        <v>41</v>
      </c>
    </row>
    <row r="724" ht="24.95" customHeight="1" spans="1:33">
      <c r="A724" s="705" t="s">
        <v>48</v>
      </c>
      <c r="B724" s="92" t="s">
        <v>148</v>
      </c>
      <c r="C724" s="92"/>
      <c r="D724" s="76"/>
      <c r="E724" s="92"/>
      <c r="F724" s="92"/>
      <c r="G724" s="92"/>
      <c r="H724" s="92"/>
      <c r="I724" s="92"/>
      <c r="J724" s="92"/>
      <c r="K724" s="92"/>
      <c r="L724" s="92"/>
      <c r="M724" s="92"/>
      <c r="N724" s="724"/>
      <c r="O724" s="724"/>
      <c r="P724" s="724"/>
      <c r="Q724" s="724"/>
      <c r="R724" s="724"/>
      <c r="S724" s="724"/>
      <c r="T724" s="724"/>
      <c r="U724" s="724"/>
      <c r="V724" s="724"/>
      <c r="W724" s="724"/>
      <c r="X724" s="724"/>
      <c r="Y724" s="724"/>
      <c r="Z724" s="724"/>
      <c r="AA724" s="92"/>
      <c r="AB724" s="92"/>
      <c r="AC724" s="92"/>
      <c r="AD724" s="92"/>
      <c r="AE724" s="92"/>
      <c r="AF724" s="92"/>
      <c r="AG724" s="92"/>
    </row>
    <row r="725" ht="24.95" customHeight="1" spans="1:33">
      <c r="A725" s="705">
        <v>96</v>
      </c>
      <c r="B725" s="95" t="s">
        <v>503</v>
      </c>
      <c r="C725" s="92"/>
      <c r="D725" s="76" t="s">
        <v>496</v>
      </c>
      <c r="E725" s="92"/>
      <c r="F725" s="92"/>
      <c r="G725" s="92"/>
      <c r="H725" s="92"/>
      <c r="I725" s="92"/>
      <c r="J725" s="92"/>
      <c r="K725" s="92"/>
      <c r="L725" s="92"/>
      <c r="M725" s="92"/>
      <c r="N725" s="724"/>
      <c r="O725" s="724"/>
      <c r="P725" s="724"/>
      <c r="Q725" s="724"/>
      <c r="R725" s="724"/>
      <c r="S725" s="724"/>
      <c r="T725" s="724"/>
      <c r="U725" s="724"/>
      <c r="V725" s="724"/>
      <c r="W725" s="724"/>
      <c r="X725" s="724"/>
      <c r="Y725" s="724"/>
      <c r="Z725" s="724"/>
      <c r="AA725" s="92"/>
      <c r="AB725" s="92"/>
      <c r="AC725" s="92"/>
      <c r="AD725" s="92"/>
      <c r="AE725" s="92"/>
      <c r="AF725" s="92" t="s">
        <v>497</v>
      </c>
      <c r="AG725" s="92" t="s">
        <v>41</v>
      </c>
    </row>
    <row r="726" ht="24.95" customHeight="1" spans="1:33">
      <c r="A726" s="705" t="s">
        <v>48</v>
      </c>
      <c r="B726" s="92" t="s">
        <v>148</v>
      </c>
      <c r="C726" s="92"/>
      <c r="D726" s="76"/>
      <c r="E726" s="92"/>
      <c r="F726" s="92"/>
      <c r="G726" s="92"/>
      <c r="H726" s="92"/>
      <c r="I726" s="92"/>
      <c r="J726" s="92"/>
      <c r="K726" s="92"/>
      <c r="L726" s="92"/>
      <c r="M726" s="92"/>
      <c r="N726" s="724"/>
      <c r="O726" s="724"/>
      <c r="P726" s="724"/>
      <c r="Q726" s="724"/>
      <c r="R726" s="724"/>
      <c r="S726" s="724"/>
      <c r="T726" s="724"/>
      <c r="U726" s="724"/>
      <c r="V726" s="724"/>
      <c r="W726" s="724"/>
      <c r="X726" s="724"/>
      <c r="Y726" s="724"/>
      <c r="Z726" s="724"/>
      <c r="AA726" s="92"/>
      <c r="AB726" s="92"/>
      <c r="AC726" s="92"/>
      <c r="AD726" s="92"/>
      <c r="AE726" s="92"/>
      <c r="AF726" s="92"/>
      <c r="AG726" s="92"/>
    </row>
    <row r="727" ht="24.95" customHeight="1" spans="1:33">
      <c r="A727" s="705">
        <v>97</v>
      </c>
      <c r="B727" s="95" t="s">
        <v>504</v>
      </c>
      <c r="C727" s="92"/>
      <c r="D727" s="76" t="s">
        <v>496</v>
      </c>
      <c r="E727" s="92"/>
      <c r="F727" s="92"/>
      <c r="G727" s="92"/>
      <c r="H727" s="92"/>
      <c r="I727" s="92"/>
      <c r="J727" s="92"/>
      <c r="K727" s="92"/>
      <c r="L727" s="92"/>
      <c r="M727" s="92"/>
      <c r="N727" s="724"/>
      <c r="O727" s="724"/>
      <c r="P727" s="724"/>
      <c r="Q727" s="724"/>
      <c r="R727" s="724"/>
      <c r="S727" s="724"/>
      <c r="T727" s="724"/>
      <c r="U727" s="724"/>
      <c r="V727" s="724"/>
      <c r="W727" s="724"/>
      <c r="X727" s="724"/>
      <c r="Y727" s="724"/>
      <c r="Z727" s="724"/>
      <c r="AA727" s="92"/>
      <c r="AB727" s="92"/>
      <c r="AC727" s="92"/>
      <c r="AD727" s="92"/>
      <c r="AE727" s="92"/>
      <c r="AF727" s="92" t="s">
        <v>497</v>
      </c>
      <c r="AG727" s="92" t="s">
        <v>41</v>
      </c>
    </row>
    <row r="728" ht="24.95" customHeight="1" spans="1:33">
      <c r="A728" s="705" t="s">
        <v>48</v>
      </c>
      <c r="B728" s="92" t="s">
        <v>148</v>
      </c>
      <c r="C728" s="92"/>
      <c r="D728" s="76"/>
      <c r="E728" s="92"/>
      <c r="F728" s="92"/>
      <c r="G728" s="92"/>
      <c r="H728" s="92"/>
      <c r="I728" s="92"/>
      <c r="J728" s="92"/>
      <c r="K728" s="92"/>
      <c r="L728" s="92"/>
      <c r="M728" s="92"/>
      <c r="N728" s="724"/>
      <c r="O728" s="724"/>
      <c r="P728" s="724"/>
      <c r="Q728" s="724"/>
      <c r="R728" s="724"/>
      <c r="S728" s="724"/>
      <c r="T728" s="724"/>
      <c r="U728" s="724"/>
      <c r="V728" s="724"/>
      <c r="W728" s="724"/>
      <c r="X728" s="724"/>
      <c r="Y728" s="724"/>
      <c r="Z728" s="724"/>
      <c r="AA728" s="92"/>
      <c r="AB728" s="92"/>
      <c r="AC728" s="92"/>
      <c r="AD728" s="92"/>
      <c r="AE728" s="92"/>
      <c r="AF728" s="92"/>
      <c r="AG728" s="92"/>
    </row>
    <row r="729" s="570" customFormat="1" ht="24.95" customHeight="1" spans="1:33">
      <c r="A729" s="705">
        <v>98</v>
      </c>
      <c r="B729" s="708" t="s">
        <v>505</v>
      </c>
      <c r="C729" s="708"/>
      <c r="D729" s="709"/>
      <c r="E729" s="708">
        <f>SUM(E730:E742)</f>
        <v>95</v>
      </c>
      <c r="F729" s="708">
        <f t="shared" ref="F729:AA729" si="104">SUM(F730:F742)</f>
        <v>0</v>
      </c>
      <c r="G729" s="708">
        <f t="shared" si="104"/>
        <v>0</v>
      </c>
      <c r="H729" s="708">
        <f t="shared" si="104"/>
        <v>31216</v>
      </c>
      <c r="I729" s="708">
        <f t="shared" si="104"/>
        <v>0</v>
      </c>
      <c r="J729" s="708">
        <f t="shared" si="104"/>
        <v>33483</v>
      </c>
      <c r="K729" s="708">
        <f t="shared" si="104"/>
        <v>0</v>
      </c>
      <c r="L729" s="708"/>
      <c r="M729" s="708"/>
      <c r="N729" s="726">
        <f t="shared" si="104"/>
        <v>3783</v>
      </c>
      <c r="O729" s="726">
        <f t="shared" si="104"/>
        <v>0</v>
      </c>
      <c r="P729" s="726">
        <f t="shared" si="104"/>
        <v>3783</v>
      </c>
      <c r="Q729" s="726">
        <f t="shared" si="104"/>
        <v>0</v>
      </c>
      <c r="R729" s="726">
        <f t="shared" si="104"/>
        <v>0</v>
      </c>
      <c r="S729" s="726">
        <f t="shared" si="104"/>
        <v>3783</v>
      </c>
      <c r="T729" s="726">
        <f t="shared" si="104"/>
        <v>0</v>
      </c>
      <c r="U729" s="726">
        <f t="shared" si="104"/>
        <v>0</v>
      </c>
      <c r="V729" s="726">
        <f t="shared" si="104"/>
        <v>0</v>
      </c>
      <c r="W729" s="726">
        <f t="shared" si="104"/>
        <v>0</v>
      </c>
      <c r="X729" s="708">
        <f t="shared" si="104"/>
        <v>0</v>
      </c>
      <c r="Y729" s="763">
        <f t="shared" si="104"/>
        <v>10339.2105263158</v>
      </c>
      <c r="Z729" s="708">
        <f t="shared" si="104"/>
        <v>40300</v>
      </c>
      <c r="AA729" s="708">
        <f t="shared" si="104"/>
        <v>95</v>
      </c>
      <c r="AB729" s="708"/>
      <c r="AC729" s="708"/>
      <c r="AD729" s="146" t="s">
        <v>507</v>
      </c>
      <c r="AE729" s="146" t="s">
        <v>508</v>
      </c>
      <c r="AF729" s="146" t="s">
        <v>275</v>
      </c>
      <c r="AG729" s="708" t="s">
        <v>41</v>
      </c>
    </row>
    <row r="730" s="570" customFormat="1" ht="24.95" customHeight="1" spans="1:33">
      <c r="A730" s="705"/>
      <c r="B730" s="798" t="s">
        <v>69</v>
      </c>
      <c r="C730" s="146" t="s">
        <v>52</v>
      </c>
      <c r="D730" s="152" t="s">
        <v>509</v>
      </c>
      <c r="E730" s="708">
        <v>17</v>
      </c>
      <c r="F730" s="798" t="s">
        <v>69</v>
      </c>
      <c r="G730" s="708"/>
      <c r="H730" s="708">
        <v>17</v>
      </c>
      <c r="I730" s="708"/>
      <c r="J730" s="708">
        <v>17</v>
      </c>
      <c r="K730" s="708"/>
      <c r="L730" s="92">
        <v>2019.01</v>
      </c>
      <c r="M730" s="92">
        <v>2019.12</v>
      </c>
      <c r="N730" s="726">
        <v>219</v>
      </c>
      <c r="O730" s="726"/>
      <c r="P730" s="726">
        <v>219</v>
      </c>
      <c r="Q730" s="726"/>
      <c r="R730" s="726"/>
      <c r="S730" s="726">
        <v>219</v>
      </c>
      <c r="T730" s="726"/>
      <c r="U730" s="726"/>
      <c r="V730" s="726"/>
      <c r="W730" s="726"/>
      <c r="X730" s="726"/>
      <c r="Y730" s="763">
        <v>682.789473684211</v>
      </c>
      <c r="Z730" s="763">
        <v>2456</v>
      </c>
      <c r="AA730" s="708">
        <v>17</v>
      </c>
      <c r="AB730" s="708"/>
      <c r="AC730" s="708"/>
      <c r="AD730" s="146" t="s">
        <v>510</v>
      </c>
      <c r="AE730" s="146" t="s">
        <v>511</v>
      </c>
      <c r="AF730" s="146" t="s">
        <v>275</v>
      </c>
      <c r="AG730" s="708"/>
    </row>
    <row r="731" s="570" customFormat="1" ht="24.95" customHeight="1" spans="1:33">
      <c r="A731" s="705"/>
      <c r="B731" s="798" t="s">
        <v>51</v>
      </c>
      <c r="C731" s="146" t="s">
        <v>52</v>
      </c>
      <c r="D731" s="152" t="s">
        <v>509</v>
      </c>
      <c r="E731" s="708">
        <v>9</v>
      </c>
      <c r="F731" s="798" t="s">
        <v>51</v>
      </c>
      <c r="G731" s="708"/>
      <c r="H731" s="708">
        <v>9</v>
      </c>
      <c r="I731" s="708"/>
      <c r="J731" s="708">
        <v>9</v>
      </c>
      <c r="K731" s="708"/>
      <c r="L731" s="92">
        <v>2019.01</v>
      </c>
      <c r="M731" s="92">
        <v>2019.12</v>
      </c>
      <c r="N731" s="726">
        <v>441.5</v>
      </c>
      <c r="O731" s="726"/>
      <c r="P731" s="726">
        <v>441.5</v>
      </c>
      <c r="Q731" s="726"/>
      <c r="R731" s="726"/>
      <c r="S731" s="726">
        <v>441.5</v>
      </c>
      <c r="T731" s="726"/>
      <c r="U731" s="726"/>
      <c r="V731" s="726"/>
      <c r="W731" s="726"/>
      <c r="X731" s="726"/>
      <c r="Y731" s="763">
        <v>950.105263157895</v>
      </c>
      <c r="Z731" s="763">
        <v>3622</v>
      </c>
      <c r="AA731" s="708">
        <v>9</v>
      </c>
      <c r="AB731" s="708"/>
      <c r="AC731" s="708"/>
      <c r="AD731" s="146" t="s">
        <v>53</v>
      </c>
      <c r="AE731" s="146" t="s">
        <v>512</v>
      </c>
      <c r="AF731" s="146" t="s">
        <v>275</v>
      </c>
      <c r="AG731" s="708"/>
    </row>
    <row r="732" s="570" customFormat="1" ht="24.95" customHeight="1" spans="1:33">
      <c r="A732" s="705"/>
      <c r="B732" s="798" t="s">
        <v>72</v>
      </c>
      <c r="C732" s="146" t="s">
        <v>52</v>
      </c>
      <c r="D732" s="152" t="s">
        <v>509</v>
      </c>
      <c r="E732" s="708">
        <v>1</v>
      </c>
      <c r="F732" s="798" t="s">
        <v>72</v>
      </c>
      <c r="G732" s="708"/>
      <c r="H732" s="708">
        <v>1</v>
      </c>
      <c r="I732" s="708"/>
      <c r="J732" s="708">
        <v>1</v>
      </c>
      <c r="K732" s="708"/>
      <c r="L732" s="92">
        <v>2019.01</v>
      </c>
      <c r="M732" s="92">
        <v>2019.12</v>
      </c>
      <c r="N732" s="726">
        <v>94</v>
      </c>
      <c r="O732" s="726"/>
      <c r="P732" s="726">
        <v>94</v>
      </c>
      <c r="Q732" s="726"/>
      <c r="R732" s="726"/>
      <c r="S732" s="726">
        <v>94</v>
      </c>
      <c r="T732" s="726"/>
      <c r="U732" s="726"/>
      <c r="V732" s="726"/>
      <c r="W732" s="726"/>
      <c r="X732" s="726"/>
      <c r="Y732" s="763">
        <v>650.789473684211</v>
      </c>
      <c r="Z732" s="763">
        <v>2482</v>
      </c>
      <c r="AA732" s="708">
        <v>1</v>
      </c>
      <c r="AB732" s="708"/>
      <c r="AC732" s="708"/>
      <c r="AD732" s="146" t="s">
        <v>73</v>
      </c>
      <c r="AE732" s="146" t="s">
        <v>513</v>
      </c>
      <c r="AF732" s="146" t="s">
        <v>275</v>
      </c>
      <c r="AG732" s="708"/>
    </row>
    <row r="733" s="570" customFormat="1" ht="24.95" customHeight="1" spans="1:33">
      <c r="A733" s="705"/>
      <c r="B733" s="798" t="s">
        <v>91</v>
      </c>
      <c r="C733" s="146" t="s">
        <v>52</v>
      </c>
      <c r="D733" s="152" t="s">
        <v>509</v>
      </c>
      <c r="E733" s="708">
        <v>13</v>
      </c>
      <c r="F733" s="798" t="s">
        <v>91</v>
      </c>
      <c r="G733" s="708"/>
      <c r="H733" s="708">
        <v>13</v>
      </c>
      <c r="I733" s="708"/>
      <c r="J733" s="708">
        <v>13</v>
      </c>
      <c r="K733" s="708"/>
      <c r="L733" s="92">
        <v>2019.01</v>
      </c>
      <c r="M733" s="92">
        <v>2019.12</v>
      </c>
      <c r="N733" s="726">
        <v>354</v>
      </c>
      <c r="O733" s="726"/>
      <c r="P733" s="726">
        <v>354</v>
      </c>
      <c r="Q733" s="726"/>
      <c r="R733" s="726"/>
      <c r="S733" s="726">
        <v>354</v>
      </c>
      <c r="T733" s="726"/>
      <c r="U733" s="726"/>
      <c r="V733" s="726"/>
      <c r="W733" s="726"/>
      <c r="X733" s="726"/>
      <c r="Y733" s="763">
        <v>553.842105263158</v>
      </c>
      <c r="Z733" s="763">
        <v>2042</v>
      </c>
      <c r="AA733" s="708">
        <v>13</v>
      </c>
      <c r="AB733" s="708"/>
      <c r="AC733" s="708"/>
      <c r="AD733" s="146" t="s">
        <v>82</v>
      </c>
      <c r="AE733" s="146" t="s">
        <v>346</v>
      </c>
      <c r="AF733" s="146" t="s">
        <v>275</v>
      </c>
      <c r="AG733" s="708"/>
    </row>
    <row r="734" s="570" customFormat="1" ht="24.95" customHeight="1" spans="1:33">
      <c r="A734" s="705"/>
      <c r="B734" s="798" t="s">
        <v>55</v>
      </c>
      <c r="C734" s="146" t="s">
        <v>52</v>
      </c>
      <c r="D734" s="152" t="s">
        <v>509</v>
      </c>
      <c r="E734" s="708">
        <v>8</v>
      </c>
      <c r="F734" s="798" t="s">
        <v>55</v>
      </c>
      <c r="G734" s="708"/>
      <c r="H734" s="708">
        <v>8</v>
      </c>
      <c r="I734" s="708"/>
      <c r="J734" s="708">
        <v>8</v>
      </c>
      <c r="K734" s="708"/>
      <c r="L734" s="92">
        <v>2019.01</v>
      </c>
      <c r="M734" s="92">
        <v>2019.12</v>
      </c>
      <c r="N734" s="726">
        <v>689.7</v>
      </c>
      <c r="O734" s="726"/>
      <c r="P734" s="726">
        <v>689.7</v>
      </c>
      <c r="Q734" s="726"/>
      <c r="R734" s="726"/>
      <c r="S734" s="726">
        <v>689.7</v>
      </c>
      <c r="T734" s="726"/>
      <c r="U734" s="726"/>
      <c r="V734" s="726"/>
      <c r="W734" s="726"/>
      <c r="X734" s="726"/>
      <c r="Y734" s="763">
        <v>1180.78947368421</v>
      </c>
      <c r="Z734" s="763">
        <v>4582</v>
      </c>
      <c r="AA734" s="708">
        <v>8</v>
      </c>
      <c r="AB734" s="708"/>
      <c r="AC734" s="708"/>
      <c r="AD734" s="146" t="s">
        <v>56</v>
      </c>
      <c r="AE734" s="146" t="s">
        <v>514</v>
      </c>
      <c r="AF734" s="146" t="s">
        <v>275</v>
      </c>
      <c r="AG734" s="708"/>
    </row>
    <row r="735" s="570" customFormat="1" ht="24.95" customHeight="1" spans="1:33">
      <c r="A735" s="705"/>
      <c r="B735" s="798" t="s">
        <v>75</v>
      </c>
      <c r="C735" s="146" t="s">
        <v>52</v>
      </c>
      <c r="D735" s="152" t="s">
        <v>509</v>
      </c>
      <c r="E735" s="708">
        <v>4</v>
      </c>
      <c r="F735" s="798" t="s">
        <v>75</v>
      </c>
      <c r="G735" s="708"/>
      <c r="H735" s="708">
        <v>4</v>
      </c>
      <c r="I735" s="708"/>
      <c r="J735" s="708">
        <v>4</v>
      </c>
      <c r="K735" s="708"/>
      <c r="L735" s="92">
        <v>2019.01</v>
      </c>
      <c r="M735" s="92">
        <v>2019.12</v>
      </c>
      <c r="N735" s="726">
        <v>169.6</v>
      </c>
      <c r="O735" s="726"/>
      <c r="P735" s="726">
        <v>169.6</v>
      </c>
      <c r="Q735" s="726"/>
      <c r="R735" s="726"/>
      <c r="S735" s="726">
        <v>169.6</v>
      </c>
      <c r="T735" s="726"/>
      <c r="U735" s="726"/>
      <c r="V735" s="726"/>
      <c r="W735" s="726"/>
      <c r="X735" s="726"/>
      <c r="Y735" s="763">
        <v>1138</v>
      </c>
      <c r="Z735" s="763">
        <v>5107</v>
      </c>
      <c r="AA735" s="708">
        <v>4</v>
      </c>
      <c r="AB735" s="708"/>
      <c r="AC735" s="708"/>
      <c r="AD735" s="146" t="s">
        <v>397</v>
      </c>
      <c r="AE735" s="146" t="s">
        <v>515</v>
      </c>
      <c r="AF735" s="146" t="s">
        <v>275</v>
      </c>
      <c r="AG735" s="708"/>
    </row>
    <row r="736" s="570" customFormat="1" ht="24.95" customHeight="1" spans="1:33">
      <c r="A736" s="705"/>
      <c r="B736" s="798" t="s">
        <v>58</v>
      </c>
      <c r="C736" s="146" t="s">
        <v>52</v>
      </c>
      <c r="D736" s="152" t="s">
        <v>509</v>
      </c>
      <c r="E736" s="708">
        <v>3</v>
      </c>
      <c r="F736" s="798" t="s">
        <v>58</v>
      </c>
      <c r="G736" s="708"/>
      <c r="H736" s="708">
        <v>3</v>
      </c>
      <c r="I736" s="708"/>
      <c r="J736" s="708">
        <v>3</v>
      </c>
      <c r="K736" s="708"/>
      <c r="L736" s="92">
        <v>2019.01</v>
      </c>
      <c r="M736" s="92">
        <v>2019.12</v>
      </c>
      <c r="N736" s="726">
        <v>95</v>
      </c>
      <c r="O736" s="726"/>
      <c r="P736" s="726">
        <v>95</v>
      </c>
      <c r="Q736" s="726"/>
      <c r="R736" s="726"/>
      <c r="S736" s="726">
        <v>95</v>
      </c>
      <c r="T736" s="726"/>
      <c r="U736" s="726"/>
      <c r="V736" s="726"/>
      <c r="W736" s="726"/>
      <c r="X736" s="726"/>
      <c r="Y736" s="763">
        <v>671.157894736842</v>
      </c>
      <c r="Z736" s="763">
        <v>2606</v>
      </c>
      <c r="AA736" s="708">
        <v>3</v>
      </c>
      <c r="AB736" s="708"/>
      <c r="AC736" s="708"/>
      <c r="AD736" s="146" t="s">
        <v>476</v>
      </c>
      <c r="AE736" s="146" t="s">
        <v>516</v>
      </c>
      <c r="AF736" s="146" t="s">
        <v>275</v>
      </c>
      <c r="AG736" s="708"/>
    </row>
    <row r="737" s="570" customFormat="1" ht="24.95" customHeight="1" spans="1:33">
      <c r="A737" s="705"/>
      <c r="B737" s="798" t="s">
        <v>61</v>
      </c>
      <c r="C737" s="146" t="s">
        <v>52</v>
      </c>
      <c r="D737" s="152" t="s">
        <v>509</v>
      </c>
      <c r="E737" s="708">
        <v>7</v>
      </c>
      <c r="F737" s="798" t="s">
        <v>61</v>
      </c>
      <c r="G737" s="708"/>
      <c r="H737" s="708">
        <v>7</v>
      </c>
      <c r="I737" s="708"/>
      <c r="J737" s="708">
        <v>7</v>
      </c>
      <c r="K737" s="708"/>
      <c r="L737" s="92">
        <v>2019.01</v>
      </c>
      <c r="M737" s="92">
        <v>2019.12</v>
      </c>
      <c r="N737" s="726">
        <v>286</v>
      </c>
      <c r="O737" s="726"/>
      <c r="P737" s="726">
        <v>286</v>
      </c>
      <c r="Q737" s="726"/>
      <c r="R737" s="726"/>
      <c r="S737" s="726">
        <v>286</v>
      </c>
      <c r="T737" s="726"/>
      <c r="U737" s="726"/>
      <c r="V737" s="726"/>
      <c r="W737" s="726"/>
      <c r="X737" s="726"/>
      <c r="Y737" s="763">
        <v>1715.42105263158</v>
      </c>
      <c r="Z737" s="763">
        <v>6553</v>
      </c>
      <c r="AA737" s="708">
        <v>7</v>
      </c>
      <c r="AB737" s="708"/>
      <c r="AC737" s="708"/>
      <c r="AD737" s="146" t="s">
        <v>215</v>
      </c>
      <c r="AE737" s="146" t="s">
        <v>517</v>
      </c>
      <c r="AF737" s="146" t="s">
        <v>275</v>
      </c>
      <c r="AG737" s="708"/>
    </row>
    <row r="738" s="570" customFormat="1" ht="24.95" customHeight="1" spans="1:33">
      <c r="A738" s="705"/>
      <c r="B738" s="798" t="s">
        <v>78</v>
      </c>
      <c r="C738" s="146" t="s">
        <v>52</v>
      </c>
      <c r="D738" s="152" t="s">
        <v>509</v>
      </c>
      <c r="E738" s="708">
        <v>1</v>
      </c>
      <c r="F738" s="798" t="s">
        <v>78</v>
      </c>
      <c r="G738" s="708"/>
      <c r="H738" s="708">
        <v>1</v>
      </c>
      <c r="I738" s="708"/>
      <c r="J738" s="708">
        <v>1</v>
      </c>
      <c r="K738" s="708"/>
      <c r="L738" s="92">
        <v>2019.01</v>
      </c>
      <c r="M738" s="92">
        <v>2019.12</v>
      </c>
      <c r="N738" s="726">
        <v>88</v>
      </c>
      <c r="O738" s="726"/>
      <c r="P738" s="726">
        <v>88</v>
      </c>
      <c r="Q738" s="726"/>
      <c r="R738" s="726"/>
      <c r="S738" s="726">
        <v>88</v>
      </c>
      <c r="T738" s="726"/>
      <c r="U738" s="726"/>
      <c r="V738" s="726"/>
      <c r="W738" s="726"/>
      <c r="X738" s="726"/>
      <c r="Y738" s="763">
        <v>664.473684210526</v>
      </c>
      <c r="Z738" s="763">
        <v>2525</v>
      </c>
      <c r="AA738" s="708">
        <v>1</v>
      </c>
      <c r="AB738" s="708"/>
      <c r="AC738" s="708"/>
      <c r="AD738" s="146" t="s">
        <v>518</v>
      </c>
      <c r="AE738" s="146" t="s">
        <v>519</v>
      </c>
      <c r="AF738" s="146" t="s">
        <v>275</v>
      </c>
      <c r="AG738" s="708"/>
    </row>
    <row r="739" s="570" customFormat="1" ht="24.95" customHeight="1" spans="1:33">
      <c r="A739" s="705"/>
      <c r="B739" s="798" t="s">
        <v>114</v>
      </c>
      <c r="C739" s="146" t="s">
        <v>52</v>
      </c>
      <c r="D739" s="152" t="s">
        <v>509</v>
      </c>
      <c r="E739" s="708">
        <v>1</v>
      </c>
      <c r="F739" s="798" t="s">
        <v>114</v>
      </c>
      <c r="G739" s="708"/>
      <c r="H739" s="708">
        <v>1</v>
      </c>
      <c r="I739" s="708"/>
      <c r="J739" s="708">
        <v>1</v>
      </c>
      <c r="K739" s="708"/>
      <c r="L739" s="92">
        <v>2019.01</v>
      </c>
      <c r="M739" s="92">
        <v>2019.12</v>
      </c>
      <c r="N739" s="726">
        <v>22</v>
      </c>
      <c r="O739" s="726"/>
      <c r="P739" s="726">
        <v>22</v>
      </c>
      <c r="Q739" s="726"/>
      <c r="R739" s="726"/>
      <c r="S739" s="726">
        <v>22</v>
      </c>
      <c r="T739" s="726"/>
      <c r="U739" s="726"/>
      <c r="V739" s="726"/>
      <c r="W739" s="726"/>
      <c r="X739" s="726"/>
      <c r="Y739" s="763">
        <v>228.684210526316</v>
      </c>
      <c r="Z739" s="763">
        <v>867</v>
      </c>
      <c r="AA739" s="708">
        <v>1</v>
      </c>
      <c r="AB739" s="708"/>
      <c r="AC739" s="708"/>
      <c r="AD739" s="146" t="s">
        <v>520</v>
      </c>
      <c r="AE739" s="146" t="s">
        <v>521</v>
      </c>
      <c r="AF739" s="146" t="s">
        <v>275</v>
      </c>
      <c r="AG739" s="708"/>
    </row>
    <row r="740" s="570" customFormat="1" ht="24.95" customHeight="1" spans="1:33">
      <c r="A740" s="705"/>
      <c r="B740" s="798" t="s">
        <v>64</v>
      </c>
      <c r="C740" s="146" t="s">
        <v>52</v>
      </c>
      <c r="D740" s="152" t="s">
        <v>509</v>
      </c>
      <c r="E740" s="708">
        <v>12</v>
      </c>
      <c r="F740" s="798" t="s">
        <v>64</v>
      </c>
      <c r="G740" s="708"/>
      <c r="H740" s="708">
        <v>12</v>
      </c>
      <c r="I740" s="708"/>
      <c r="J740" s="708">
        <v>12</v>
      </c>
      <c r="K740" s="708"/>
      <c r="L740" s="92">
        <v>2019.01</v>
      </c>
      <c r="M740" s="92">
        <v>2019.12</v>
      </c>
      <c r="N740" s="726">
        <v>233.2</v>
      </c>
      <c r="O740" s="726"/>
      <c r="P740" s="726">
        <v>233.2</v>
      </c>
      <c r="Q740" s="726"/>
      <c r="R740" s="726"/>
      <c r="S740" s="726">
        <v>233.2</v>
      </c>
      <c r="T740" s="726"/>
      <c r="U740" s="726"/>
      <c r="V740" s="726"/>
      <c r="W740" s="726"/>
      <c r="X740" s="726"/>
      <c r="Y740" s="763">
        <v>708.526315789474</v>
      </c>
      <c r="Z740" s="763">
        <v>2847</v>
      </c>
      <c r="AA740" s="708">
        <v>12</v>
      </c>
      <c r="AB740" s="708"/>
      <c r="AC740" s="708"/>
      <c r="AD740" s="146" t="s">
        <v>115</v>
      </c>
      <c r="AE740" s="146" t="s">
        <v>522</v>
      </c>
      <c r="AF740" s="146" t="s">
        <v>275</v>
      </c>
      <c r="AG740" s="708"/>
    </row>
    <row r="741" s="570" customFormat="1" ht="24.95" customHeight="1" spans="1:33">
      <c r="A741" s="705"/>
      <c r="B741" s="798" t="s">
        <v>92</v>
      </c>
      <c r="C741" s="146" t="s">
        <v>52</v>
      </c>
      <c r="D741" s="152" t="s">
        <v>509</v>
      </c>
      <c r="E741" s="708">
        <v>7</v>
      </c>
      <c r="F741" s="798" t="s">
        <v>92</v>
      </c>
      <c r="G741" s="708"/>
      <c r="H741" s="708">
        <v>7</v>
      </c>
      <c r="I741" s="708"/>
      <c r="J741" s="708">
        <v>7</v>
      </c>
      <c r="K741" s="708"/>
      <c r="L741" s="92">
        <v>2019.01</v>
      </c>
      <c r="M741" s="92">
        <v>2019.12</v>
      </c>
      <c r="N741" s="726">
        <v>91</v>
      </c>
      <c r="O741" s="726"/>
      <c r="P741" s="726">
        <v>91</v>
      </c>
      <c r="Q741" s="726"/>
      <c r="R741" s="726"/>
      <c r="S741" s="726">
        <v>91</v>
      </c>
      <c r="T741" s="726"/>
      <c r="U741" s="726"/>
      <c r="V741" s="726"/>
      <c r="W741" s="726"/>
      <c r="X741" s="726"/>
      <c r="Y741" s="763">
        <v>669.631578947368</v>
      </c>
      <c r="Z741" s="763">
        <v>2607</v>
      </c>
      <c r="AA741" s="708">
        <v>7</v>
      </c>
      <c r="AB741" s="708"/>
      <c r="AC741" s="708"/>
      <c r="AD741" s="146" t="s">
        <v>93</v>
      </c>
      <c r="AE741" s="146" t="s">
        <v>523</v>
      </c>
      <c r="AF741" s="146" t="s">
        <v>275</v>
      </c>
      <c r="AG741" s="708"/>
    </row>
    <row r="742" s="694" customFormat="1" ht="24.95" customHeight="1" spans="1:33">
      <c r="A742" s="705"/>
      <c r="B742" s="799" t="s">
        <v>524</v>
      </c>
      <c r="C742" s="800"/>
      <c r="D742" s="152"/>
      <c r="E742" s="708">
        <v>12</v>
      </c>
      <c r="F742" s="798"/>
      <c r="G742" s="708"/>
      <c r="H742" s="708">
        <f>SUM(H743:H753)</f>
        <v>31133</v>
      </c>
      <c r="I742" s="708"/>
      <c r="J742" s="708">
        <v>33400</v>
      </c>
      <c r="K742" s="708"/>
      <c r="L742" s="92"/>
      <c r="M742" s="92"/>
      <c r="N742" s="726">
        <v>1000</v>
      </c>
      <c r="O742" s="726"/>
      <c r="P742" s="726">
        <v>1000</v>
      </c>
      <c r="Q742" s="726"/>
      <c r="R742" s="726"/>
      <c r="S742" s="726">
        <v>1000</v>
      </c>
      <c r="T742" s="726"/>
      <c r="U742" s="726"/>
      <c r="V742" s="726"/>
      <c r="W742" s="726"/>
      <c r="X742" s="726"/>
      <c r="Y742" s="763">
        <v>525</v>
      </c>
      <c r="Z742" s="763">
        <v>2004</v>
      </c>
      <c r="AA742" s="708">
        <v>12</v>
      </c>
      <c r="AB742" s="708"/>
      <c r="AC742" s="708"/>
      <c r="AD742" s="146" t="s">
        <v>507</v>
      </c>
      <c r="AE742" s="146" t="s">
        <v>508</v>
      </c>
      <c r="AF742" s="146" t="s">
        <v>275</v>
      </c>
      <c r="AG742" s="708"/>
    </row>
    <row r="743" s="694" customFormat="1" ht="24.95" customHeight="1" spans="1:33">
      <c r="A743" s="705"/>
      <c r="B743" s="132" t="s">
        <v>525</v>
      </c>
      <c r="C743" s="212" t="s">
        <v>162</v>
      </c>
      <c r="D743" s="71" t="s">
        <v>147</v>
      </c>
      <c r="E743" s="708">
        <v>1</v>
      </c>
      <c r="F743" s="801" t="s">
        <v>69</v>
      </c>
      <c r="G743" s="801" t="s">
        <v>716</v>
      </c>
      <c r="H743" s="708">
        <v>1600</v>
      </c>
      <c r="I743" s="708"/>
      <c r="J743" s="708">
        <v>1600</v>
      </c>
      <c r="K743" s="708"/>
      <c r="L743" s="92">
        <v>2019.01</v>
      </c>
      <c r="M743" s="92">
        <v>2019.12</v>
      </c>
      <c r="N743" s="726">
        <v>48</v>
      </c>
      <c r="O743" s="726"/>
      <c r="P743" s="726">
        <v>48</v>
      </c>
      <c r="Q743" s="726"/>
      <c r="R743" s="726"/>
      <c r="S743" s="726">
        <v>48</v>
      </c>
      <c r="T743" s="726"/>
      <c r="U743" s="726"/>
      <c r="V743" s="726"/>
      <c r="W743" s="726"/>
      <c r="X743" s="769" t="s">
        <v>717</v>
      </c>
      <c r="Y743" s="763">
        <v>25</v>
      </c>
      <c r="Z743" s="763">
        <v>96</v>
      </c>
      <c r="AA743" s="708">
        <v>1</v>
      </c>
      <c r="AB743" s="708"/>
      <c r="AC743" s="708"/>
      <c r="AD743" s="146" t="s">
        <v>510</v>
      </c>
      <c r="AE743" s="146" t="s">
        <v>511</v>
      </c>
      <c r="AF743" s="146" t="s">
        <v>275</v>
      </c>
      <c r="AG743" s="708"/>
    </row>
    <row r="744" s="694" customFormat="1" ht="24.95" customHeight="1" spans="1:33">
      <c r="A744" s="705"/>
      <c r="B744" s="132" t="s">
        <v>526</v>
      </c>
      <c r="C744" s="212" t="s">
        <v>162</v>
      </c>
      <c r="D744" s="71" t="s">
        <v>147</v>
      </c>
      <c r="E744" s="708">
        <v>1</v>
      </c>
      <c r="F744" s="801" t="s">
        <v>51</v>
      </c>
      <c r="G744" s="801" t="s">
        <v>718</v>
      </c>
      <c r="H744" s="708">
        <v>1400</v>
      </c>
      <c r="I744" s="708"/>
      <c r="J744" s="708">
        <v>1400</v>
      </c>
      <c r="K744" s="708"/>
      <c r="L744" s="92">
        <v>2019.01</v>
      </c>
      <c r="M744" s="92">
        <v>2019.12</v>
      </c>
      <c r="N744" s="726">
        <v>42</v>
      </c>
      <c r="O744" s="726"/>
      <c r="P744" s="726">
        <v>42</v>
      </c>
      <c r="Q744" s="726"/>
      <c r="R744" s="726"/>
      <c r="S744" s="726">
        <v>42</v>
      </c>
      <c r="T744" s="726"/>
      <c r="U744" s="726"/>
      <c r="V744" s="726"/>
      <c r="W744" s="726"/>
      <c r="X744" s="769" t="s">
        <v>717</v>
      </c>
      <c r="Y744" s="763">
        <v>22</v>
      </c>
      <c r="Z744" s="763">
        <v>84</v>
      </c>
      <c r="AA744" s="708">
        <v>1</v>
      </c>
      <c r="AB744" s="708"/>
      <c r="AC744" s="708"/>
      <c r="AD744" s="146" t="s">
        <v>53</v>
      </c>
      <c r="AE744" s="146" t="s">
        <v>512</v>
      </c>
      <c r="AF744" s="146" t="s">
        <v>275</v>
      </c>
      <c r="AG744" s="708"/>
    </row>
    <row r="745" s="694" customFormat="1" ht="24.95" customHeight="1" spans="1:33">
      <c r="A745" s="705"/>
      <c r="B745" s="132" t="s">
        <v>527</v>
      </c>
      <c r="C745" s="212" t="s">
        <v>162</v>
      </c>
      <c r="D745" s="71" t="s">
        <v>147</v>
      </c>
      <c r="E745" s="708">
        <v>1</v>
      </c>
      <c r="F745" s="801" t="s">
        <v>72</v>
      </c>
      <c r="G745" s="801" t="s">
        <v>719</v>
      </c>
      <c r="H745" s="708">
        <v>3133</v>
      </c>
      <c r="I745" s="708"/>
      <c r="J745" s="708">
        <v>3133</v>
      </c>
      <c r="K745" s="708"/>
      <c r="L745" s="92">
        <v>2019.01</v>
      </c>
      <c r="M745" s="92">
        <v>2019.12</v>
      </c>
      <c r="N745" s="726">
        <v>94</v>
      </c>
      <c r="O745" s="726"/>
      <c r="P745" s="726">
        <v>94</v>
      </c>
      <c r="Q745" s="726"/>
      <c r="R745" s="726"/>
      <c r="S745" s="726">
        <v>94</v>
      </c>
      <c r="T745" s="726"/>
      <c r="U745" s="726"/>
      <c r="V745" s="726"/>
      <c r="W745" s="726"/>
      <c r="X745" s="769" t="s">
        <v>717</v>
      </c>
      <c r="Y745" s="763">
        <v>49</v>
      </c>
      <c r="Z745" s="763">
        <v>188</v>
      </c>
      <c r="AA745" s="708">
        <v>1</v>
      </c>
      <c r="AB745" s="708"/>
      <c r="AC745" s="708"/>
      <c r="AD745" s="146" t="s">
        <v>73</v>
      </c>
      <c r="AE745" s="146" t="s">
        <v>513</v>
      </c>
      <c r="AF745" s="146" t="s">
        <v>275</v>
      </c>
      <c r="AG745" s="708"/>
    </row>
    <row r="746" s="694" customFormat="1" ht="24.95" customHeight="1" spans="1:33">
      <c r="A746" s="705"/>
      <c r="B746" s="132" t="s">
        <v>528</v>
      </c>
      <c r="C746" s="212" t="s">
        <v>162</v>
      </c>
      <c r="D746" s="71" t="s">
        <v>147</v>
      </c>
      <c r="E746" s="708">
        <v>1</v>
      </c>
      <c r="F746" s="801" t="s">
        <v>91</v>
      </c>
      <c r="G746" s="801" t="s">
        <v>720</v>
      </c>
      <c r="H746" s="708">
        <v>3000</v>
      </c>
      <c r="I746" s="708"/>
      <c r="J746" s="708">
        <v>3000</v>
      </c>
      <c r="K746" s="708"/>
      <c r="L746" s="92">
        <v>2019.01</v>
      </c>
      <c r="M746" s="92">
        <v>2019.12</v>
      </c>
      <c r="N746" s="726">
        <v>90</v>
      </c>
      <c r="O746" s="726"/>
      <c r="P746" s="726">
        <v>90</v>
      </c>
      <c r="Q746" s="726"/>
      <c r="R746" s="726"/>
      <c r="S746" s="726">
        <v>90</v>
      </c>
      <c r="T746" s="726"/>
      <c r="U746" s="726"/>
      <c r="V746" s="726"/>
      <c r="W746" s="726"/>
      <c r="X746" s="769" t="s">
        <v>717</v>
      </c>
      <c r="Y746" s="763">
        <v>47</v>
      </c>
      <c r="Z746" s="763">
        <v>180</v>
      </c>
      <c r="AA746" s="708">
        <v>1</v>
      </c>
      <c r="AB746" s="708"/>
      <c r="AC746" s="708"/>
      <c r="AD746" s="146" t="s">
        <v>82</v>
      </c>
      <c r="AE746" s="146" t="s">
        <v>346</v>
      </c>
      <c r="AF746" s="146" t="s">
        <v>275</v>
      </c>
      <c r="AG746" s="708"/>
    </row>
    <row r="747" s="694" customFormat="1" ht="24.95" customHeight="1" spans="1:33">
      <c r="A747" s="705"/>
      <c r="B747" s="132" t="s">
        <v>529</v>
      </c>
      <c r="C747" s="212" t="s">
        <v>162</v>
      </c>
      <c r="D747" s="71" t="s">
        <v>147</v>
      </c>
      <c r="E747" s="708">
        <v>1</v>
      </c>
      <c r="F747" s="801" t="s">
        <v>55</v>
      </c>
      <c r="G747" s="801" t="s">
        <v>721</v>
      </c>
      <c r="H747" s="708">
        <v>4267</v>
      </c>
      <c r="I747" s="708"/>
      <c r="J747" s="708">
        <v>4267</v>
      </c>
      <c r="K747" s="708"/>
      <c r="L747" s="92">
        <v>2019.01</v>
      </c>
      <c r="M747" s="92">
        <v>2019.12</v>
      </c>
      <c r="N747" s="726">
        <v>128</v>
      </c>
      <c r="O747" s="726"/>
      <c r="P747" s="726">
        <v>128</v>
      </c>
      <c r="Q747" s="726"/>
      <c r="R747" s="726"/>
      <c r="S747" s="726">
        <v>128</v>
      </c>
      <c r="T747" s="726"/>
      <c r="U747" s="726"/>
      <c r="V747" s="726"/>
      <c r="W747" s="726"/>
      <c r="X747" s="769" t="s">
        <v>717</v>
      </c>
      <c r="Y747" s="763">
        <v>67</v>
      </c>
      <c r="Z747" s="763">
        <v>256</v>
      </c>
      <c r="AA747" s="708">
        <v>1</v>
      </c>
      <c r="AB747" s="708"/>
      <c r="AC747" s="708"/>
      <c r="AD747" s="146" t="s">
        <v>56</v>
      </c>
      <c r="AE747" s="146" t="s">
        <v>514</v>
      </c>
      <c r="AF747" s="146" t="s">
        <v>275</v>
      </c>
      <c r="AG747" s="708"/>
    </row>
    <row r="748" s="694" customFormat="1" ht="24.95" customHeight="1" spans="1:33">
      <c r="A748" s="705"/>
      <c r="B748" s="132" t="s">
        <v>530</v>
      </c>
      <c r="C748" s="212" t="s">
        <v>162</v>
      </c>
      <c r="D748" s="71" t="s">
        <v>147</v>
      </c>
      <c r="E748" s="708">
        <v>1</v>
      </c>
      <c r="F748" s="801" t="s">
        <v>75</v>
      </c>
      <c r="G748" s="801" t="s">
        <v>722</v>
      </c>
      <c r="H748" s="708">
        <v>3700</v>
      </c>
      <c r="I748" s="708"/>
      <c r="J748" s="708">
        <v>3700</v>
      </c>
      <c r="K748" s="708"/>
      <c r="L748" s="92">
        <v>2019.01</v>
      </c>
      <c r="M748" s="92">
        <v>2019.12</v>
      </c>
      <c r="N748" s="726">
        <v>111</v>
      </c>
      <c r="O748" s="726"/>
      <c r="P748" s="726">
        <v>111</v>
      </c>
      <c r="Q748" s="726"/>
      <c r="R748" s="726"/>
      <c r="S748" s="726">
        <v>111</v>
      </c>
      <c r="T748" s="726"/>
      <c r="U748" s="726"/>
      <c r="V748" s="726"/>
      <c r="W748" s="726"/>
      <c r="X748" s="769" t="s">
        <v>717</v>
      </c>
      <c r="Y748" s="763">
        <v>58</v>
      </c>
      <c r="Z748" s="763">
        <v>222</v>
      </c>
      <c r="AA748" s="708">
        <v>1</v>
      </c>
      <c r="AB748" s="708"/>
      <c r="AC748" s="708"/>
      <c r="AD748" s="146" t="s">
        <v>397</v>
      </c>
      <c r="AE748" s="146" t="s">
        <v>515</v>
      </c>
      <c r="AF748" s="146" t="s">
        <v>275</v>
      </c>
      <c r="AG748" s="708"/>
    </row>
    <row r="749" s="694" customFormat="1" ht="24.95" customHeight="1" spans="1:33">
      <c r="A749" s="705"/>
      <c r="B749" s="132" t="s">
        <v>531</v>
      </c>
      <c r="C749" s="212" t="s">
        <v>162</v>
      </c>
      <c r="D749" s="71" t="s">
        <v>147</v>
      </c>
      <c r="E749" s="708">
        <v>1</v>
      </c>
      <c r="F749" s="801" t="s">
        <v>58</v>
      </c>
      <c r="G749" s="801" t="s">
        <v>723</v>
      </c>
      <c r="H749" s="708">
        <v>2500</v>
      </c>
      <c r="I749" s="708"/>
      <c r="J749" s="708">
        <v>2500</v>
      </c>
      <c r="K749" s="708"/>
      <c r="L749" s="92">
        <v>2019.01</v>
      </c>
      <c r="M749" s="92">
        <v>2019.12</v>
      </c>
      <c r="N749" s="726">
        <v>75</v>
      </c>
      <c r="O749" s="726"/>
      <c r="P749" s="726">
        <v>75</v>
      </c>
      <c r="Q749" s="726"/>
      <c r="R749" s="726"/>
      <c r="S749" s="726">
        <v>75</v>
      </c>
      <c r="T749" s="726"/>
      <c r="U749" s="726"/>
      <c r="V749" s="726"/>
      <c r="W749" s="726"/>
      <c r="X749" s="769" t="s">
        <v>717</v>
      </c>
      <c r="Y749" s="763">
        <v>39</v>
      </c>
      <c r="Z749" s="763">
        <v>150</v>
      </c>
      <c r="AA749" s="708">
        <v>1</v>
      </c>
      <c r="AB749" s="708"/>
      <c r="AC749" s="708"/>
      <c r="AD749" s="146" t="s">
        <v>476</v>
      </c>
      <c r="AE749" s="146" t="s">
        <v>516</v>
      </c>
      <c r="AF749" s="146" t="s">
        <v>275</v>
      </c>
      <c r="AG749" s="708"/>
    </row>
    <row r="750" s="694" customFormat="1" ht="24.95" customHeight="1" spans="1:33">
      <c r="A750" s="705"/>
      <c r="B750" s="132" t="s">
        <v>532</v>
      </c>
      <c r="C750" s="212" t="s">
        <v>162</v>
      </c>
      <c r="D750" s="71" t="s">
        <v>147</v>
      </c>
      <c r="E750" s="708">
        <v>1</v>
      </c>
      <c r="F750" s="801" t="s">
        <v>61</v>
      </c>
      <c r="G750" s="801" t="s">
        <v>724</v>
      </c>
      <c r="H750" s="708">
        <v>4700</v>
      </c>
      <c r="I750" s="708"/>
      <c r="J750" s="708">
        <v>4700</v>
      </c>
      <c r="K750" s="708"/>
      <c r="L750" s="92">
        <v>2019.01</v>
      </c>
      <c r="M750" s="92">
        <v>2019.12</v>
      </c>
      <c r="N750" s="726">
        <v>141</v>
      </c>
      <c r="O750" s="726"/>
      <c r="P750" s="726">
        <v>141</v>
      </c>
      <c r="Q750" s="726"/>
      <c r="R750" s="726"/>
      <c r="S750" s="726">
        <v>141</v>
      </c>
      <c r="T750" s="726"/>
      <c r="U750" s="726"/>
      <c r="V750" s="726"/>
      <c r="W750" s="726"/>
      <c r="X750" s="769" t="s">
        <v>717</v>
      </c>
      <c r="Y750" s="763">
        <v>74</v>
      </c>
      <c r="Z750" s="763">
        <v>282</v>
      </c>
      <c r="AA750" s="708">
        <v>1</v>
      </c>
      <c r="AB750" s="708"/>
      <c r="AC750" s="708"/>
      <c r="AD750" s="146" t="s">
        <v>215</v>
      </c>
      <c r="AE750" s="146" t="s">
        <v>517</v>
      </c>
      <c r="AF750" s="146" t="s">
        <v>275</v>
      </c>
      <c r="AG750" s="708"/>
    </row>
    <row r="751" s="694" customFormat="1" ht="24.95" customHeight="1" spans="1:33">
      <c r="A751" s="705"/>
      <c r="B751" s="132" t="s">
        <v>533</v>
      </c>
      <c r="C751" s="212" t="s">
        <v>162</v>
      </c>
      <c r="D751" s="71" t="s">
        <v>147</v>
      </c>
      <c r="E751" s="708">
        <v>1</v>
      </c>
      <c r="F751" s="801" t="s">
        <v>78</v>
      </c>
      <c r="G751" s="801" t="s">
        <v>725</v>
      </c>
      <c r="H751" s="708">
        <v>2933</v>
      </c>
      <c r="I751" s="708"/>
      <c r="J751" s="708">
        <v>2933</v>
      </c>
      <c r="K751" s="708"/>
      <c r="L751" s="92">
        <v>2019.01</v>
      </c>
      <c r="M751" s="92">
        <v>2019.12</v>
      </c>
      <c r="N751" s="726">
        <v>88</v>
      </c>
      <c r="O751" s="726"/>
      <c r="P751" s="726">
        <v>88</v>
      </c>
      <c r="Q751" s="726"/>
      <c r="R751" s="726"/>
      <c r="S751" s="726">
        <v>88</v>
      </c>
      <c r="T751" s="726"/>
      <c r="U751" s="726"/>
      <c r="V751" s="726"/>
      <c r="W751" s="726"/>
      <c r="X751" s="769" t="s">
        <v>717</v>
      </c>
      <c r="Y751" s="763">
        <v>46</v>
      </c>
      <c r="Z751" s="763">
        <v>176</v>
      </c>
      <c r="AA751" s="708">
        <v>1</v>
      </c>
      <c r="AB751" s="708"/>
      <c r="AC751" s="708"/>
      <c r="AD751" s="146" t="s">
        <v>518</v>
      </c>
      <c r="AE751" s="146" t="s">
        <v>519</v>
      </c>
      <c r="AF751" s="146" t="s">
        <v>275</v>
      </c>
      <c r="AG751" s="708"/>
    </row>
    <row r="752" s="694" customFormat="1" ht="24.95" customHeight="1" spans="1:33">
      <c r="A752" s="705"/>
      <c r="B752" s="132" t="s">
        <v>534</v>
      </c>
      <c r="C752" s="212" t="s">
        <v>162</v>
      </c>
      <c r="D752" s="71" t="s">
        <v>147</v>
      </c>
      <c r="E752" s="708">
        <v>1</v>
      </c>
      <c r="F752" s="801" t="s">
        <v>114</v>
      </c>
      <c r="G752" s="801" t="s">
        <v>726</v>
      </c>
      <c r="H752" s="708">
        <v>733</v>
      </c>
      <c r="I752" s="708"/>
      <c r="J752" s="708">
        <v>733</v>
      </c>
      <c r="K752" s="708"/>
      <c r="L752" s="92">
        <v>2019.01</v>
      </c>
      <c r="M752" s="92">
        <v>2019.12</v>
      </c>
      <c r="N752" s="726">
        <v>22</v>
      </c>
      <c r="O752" s="726"/>
      <c r="P752" s="726">
        <v>22</v>
      </c>
      <c r="Q752" s="726"/>
      <c r="R752" s="726"/>
      <c r="S752" s="726">
        <v>22</v>
      </c>
      <c r="T752" s="726"/>
      <c r="U752" s="726"/>
      <c r="V752" s="726"/>
      <c r="W752" s="726"/>
      <c r="X752" s="769" t="s">
        <v>717</v>
      </c>
      <c r="Y752" s="763">
        <v>12</v>
      </c>
      <c r="Z752" s="763">
        <v>44</v>
      </c>
      <c r="AA752" s="708">
        <v>1</v>
      </c>
      <c r="AB752" s="708"/>
      <c r="AC752" s="708"/>
      <c r="AD752" s="146" t="s">
        <v>520</v>
      </c>
      <c r="AE752" s="146" t="s">
        <v>521</v>
      </c>
      <c r="AF752" s="146" t="s">
        <v>275</v>
      </c>
      <c r="AG752" s="708"/>
    </row>
    <row r="753" s="694" customFormat="1" ht="24.95" customHeight="1" spans="1:33">
      <c r="A753" s="705"/>
      <c r="B753" s="132" t="s">
        <v>535</v>
      </c>
      <c r="C753" s="212" t="s">
        <v>162</v>
      </c>
      <c r="D753" s="71" t="s">
        <v>147</v>
      </c>
      <c r="E753" s="708">
        <v>1</v>
      </c>
      <c r="F753" s="801" t="s">
        <v>64</v>
      </c>
      <c r="G753" s="801" t="s">
        <v>727</v>
      </c>
      <c r="H753" s="708">
        <v>3167</v>
      </c>
      <c r="I753" s="708"/>
      <c r="J753" s="708">
        <v>3167</v>
      </c>
      <c r="K753" s="708"/>
      <c r="L753" s="92">
        <v>2019.01</v>
      </c>
      <c r="M753" s="92">
        <v>2019.12</v>
      </c>
      <c r="N753" s="726">
        <v>95</v>
      </c>
      <c r="O753" s="726"/>
      <c r="P753" s="726">
        <v>95</v>
      </c>
      <c r="Q753" s="726"/>
      <c r="R753" s="726"/>
      <c r="S753" s="726">
        <v>95</v>
      </c>
      <c r="T753" s="726"/>
      <c r="U753" s="726"/>
      <c r="V753" s="726"/>
      <c r="W753" s="726"/>
      <c r="X753" s="769" t="s">
        <v>717</v>
      </c>
      <c r="Y753" s="763">
        <v>50</v>
      </c>
      <c r="Z753" s="763">
        <v>190</v>
      </c>
      <c r="AA753" s="708">
        <v>1</v>
      </c>
      <c r="AB753" s="708"/>
      <c r="AC753" s="708"/>
      <c r="AD753" s="146" t="s">
        <v>115</v>
      </c>
      <c r="AE753" s="146" t="s">
        <v>522</v>
      </c>
      <c r="AF753" s="146" t="s">
        <v>275</v>
      </c>
      <c r="AG753" s="708"/>
    </row>
    <row r="754" s="694" customFormat="1" ht="24.95" customHeight="1" spans="1:33">
      <c r="A754" s="705"/>
      <c r="B754" s="132" t="s">
        <v>536</v>
      </c>
      <c r="C754" s="212" t="s">
        <v>162</v>
      </c>
      <c r="D754" s="71" t="s">
        <v>147</v>
      </c>
      <c r="E754" s="708">
        <v>1</v>
      </c>
      <c r="F754" s="801" t="s">
        <v>92</v>
      </c>
      <c r="G754" s="801" t="s">
        <v>728</v>
      </c>
      <c r="H754" s="708">
        <v>2267</v>
      </c>
      <c r="I754" s="708"/>
      <c r="J754" s="708">
        <v>2267</v>
      </c>
      <c r="K754" s="708"/>
      <c r="L754" s="92">
        <v>2019.01</v>
      </c>
      <c r="M754" s="92">
        <v>2019.12</v>
      </c>
      <c r="N754" s="726">
        <v>66</v>
      </c>
      <c r="O754" s="726"/>
      <c r="P754" s="726">
        <v>66</v>
      </c>
      <c r="Q754" s="726"/>
      <c r="R754" s="726"/>
      <c r="S754" s="726">
        <v>66</v>
      </c>
      <c r="T754" s="726"/>
      <c r="U754" s="726"/>
      <c r="V754" s="726"/>
      <c r="W754" s="726"/>
      <c r="X754" s="769" t="s">
        <v>717</v>
      </c>
      <c r="Y754" s="763">
        <v>36</v>
      </c>
      <c r="Z754" s="763">
        <v>136</v>
      </c>
      <c r="AA754" s="708">
        <v>1</v>
      </c>
      <c r="AB754" s="708"/>
      <c r="AC754" s="708"/>
      <c r="AD754" s="146" t="s">
        <v>93</v>
      </c>
      <c r="AE754" s="146" t="s">
        <v>523</v>
      </c>
      <c r="AF754" s="146" t="s">
        <v>275</v>
      </c>
      <c r="AG754" s="708"/>
    </row>
    <row r="755" ht="24.95" customHeight="1" spans="1:33">
      <c r="A755" s="705">
        <v>99</v>
      </c>
      <c r="B755" s="791" t="s">
        <v>537</v>
      </c>
      <c r="C755" s="708"/>
      <c r="D755" s="709" t="s">
        <v>150</v>
      </c>
      <c r="E755" s="708">
        <f>E756+E768</f>
        <v>1</v>
      </c>
      <c r="F755" s="708">
        <f t="shared" ref="F755:AA755" si="105">F756+F768</f>
        <v>0</v>
      </c>
      <c r="G755" s="708">
        <f t="shared" si="105"/>
        <v>0</v>
      </c>
      <c r="H755" s="708">
        <f t="shared" si="105"/>
        <v>1</v>
      </c>
      <c r="I755" s="708">
        <f t="shared" si="105"/>
        <v>0</v>
      </c>
      <c r="J755" s="708">
        <f t="shared" si="105"/>
        <v>1</v>
      </c>
      <c r="K755" s="708">
        <f t="shared" si="105"/>
        <v>0</v>
      </c>
      <c r="L755" s="708"/>
      <c r="M755" s="708"/>
      <c r="N755" s="708">
        <f t="shared" si="105"/>
        <v>200</v>
      </c>
      <c r="O755" s="708">
        <f t="shared" si="105"/>
        <v>0</v>
      </c>
      <c r="P755" s="708">
        <f t="shared" si="105"/>
        <v>200</v>
      </c>
      <c r="Q755" s="708">
        <f t="shared" si="105"/>
        <v>0</v>
      </c>
      <c r="R755" s="708">
        <f t="shared" si="105"/>
        <v>0</v>
      </c>
      <c r="S755" s="708">
        <f t="shared" si="105"/>
        <v>0</v>
      </c>
      <c r="T755" s="708">
        <f t="shared" si="105"/>
        <v>0</v>
      </c>
      <c r="U755" s="708">
        <f t="shared" si="105"/>
        <v>200</v>
      </c>
      <c r="V755" s="708">
        <f t="shared" si="105"/>
        <v>0</v>
      </c>
      <c r="W755" s="708">
        <f t="shared" si="105"/>
        <v>0</v>
      </c>
      <c r="X755" s="708">
        <f t="shared" si="105"/>
        <v>0</v>
      </c>
      <c r="Y755" s="708">
        <f t="shared" si="105"/>
        <v>829</v>
      </c>
      <c r="Z755" s="708">
        <f t="shared" si="105"/>
        <v>3543</v>
      </c>
      <c r="AA755" s="708">
        <f t="shared" si="105"/>
        <v>1</v>
      </c>
      <c r="AB755" s="708"/>
      <c r="AC755" s="708"/>
      <c r="AD755" s="708"/>
      <c r="AE755" s="708"/>
      <c r="AF755" s="708" t="s">
        <v>358</v>
      </c>
      <c r="AG755" s="708" t="s">
        <v>41</v>
      </c>
    </row>
    <row r="756" s="570" customFormat="1" ht="24.95" customHeight="1" spans="1:33">
      <c r="A756" s="705"/>
      <c r="B756" s="750" t="s">
        <v>538</v>
      </c>
      <c r="C756" s="146" t="s">
        <v>539</v>
      </c>
      <c r="D756" s="76" t="s">
        <v>150</v>
      </c>
      <c r="E756" s="92">
        <f>SUM(E757:E767)</f>
        <v>1</v>
      </c>
      <c r="F756" s="92">
        <f t="shared" ref="F756:AA756" si="106">SUM(F757:F767)</f>
        <v>0</v>
      </c>
      <c r="G756" s="92">
        <f t="shared" si="106"/>
        <v>0</v>
      </c>
      <c r="H756" s="92">
        <f t="shared" si="106"/>
        <v>1</v>
      </c>
      <c r="I756" s="92">
        <f t="shared" si="106"/>
        <v>0</v>
      </c>
      <c r="J756" s="92">
        <f t="shared" si="106"/>
        <v>1</v>
      </c>
      <c r="K756" s="92">
        <f t="shared" si="106"/>
        <v>0</v>
      </c>
      <c r="L756" s="92"/>
      <c r="M756" s="92"/>
      <c r="N756" s="92">
        <f t="shared" si="106"/>
        <v>200</v>
      </c>
      <c r="O756" s="92">
        <f t="shared" si="106"/>
        <v>0</v>
      </c>
      <c r="P756" s="92">
        <f t="shared" si="106"/>
        <v>200</v>
      </c>
      <c r="Q756" s="92">
        <f t="shared" si="106"/>
        <v>0</v>
      </c>
      <c r="R756" s="92">
        <f t="shared" si="106"/>
        <v>0</v>
      </c>
      <c r="S756" s="92">
        <f t="shared" si="106"/>
        <v>0</v>
      </c>
      <c r="T756" s="92">
        <f t="shared" si="106"/>
        <v>0</v>
      </c>
      <c r="U756" s="92">
        <f t="shared" si="106"/>
        <v>200</v>
      </c>
      <c r="V756" s="92">
        <f t="shared" si="106"/>
        <v>0</v>
      </c>
      <c r="W756" s="92">
        <f t="shared" si="106"/>
        <v>0</v>
      </c>
      <c r="X756" s="92">
        <f t="shared" si="106"/>
        <v>0</v>
      </c>
      <c r="Y756" s="92">
        <f t="shared" si="106"/>
        <v>829</v>
      </c>
      <c r="Z756" s="92">
        <f t="shared" si="106"/>
        <v>3543</v>
      </c>
      <c r="AA756" s="92">
        <f t="shared" si="106"/>
        <v>1</v>
      </c>
      <c r="AB756" s="92"/>
      <c r="AC756" s="92"/>
      <c r="AD756" s="146" t="s">
        <v>356</v>
      </c>
      <c r="AE756" s="146" t="s">
        <v>540</v>
      </c>
      <c r="AF756" s="146" t="s">
        <v>358</v>
      </c>
      <c r="AG756" s="92"/>
    </row>
    <row r="757" s="570" customFormat="1" ht="24.95" customHeight="1" spans="1:33">
      <c r="A757" s="705"/>
      <c r="B757" s="714" t="s">
        <v>151</v>
      </c>
      <c r="C757" s="146" t="s">
        <v>539</v>
      </c>
      <c r="D757" s="76" t="s">
        <v>150</v>
      </c>
      <c r="E757" s="92">
        <v>1</v>
      </c>
      <c r="F757" s="714" t="s">
        <v>729</v>
      </c>
      <c r="G757" s="92"/>
      <c r="H757" s="92">
        <v>1</v>
      </c>
      <c r="I757" s="92"/>
      <c r="J757" s="92">
        <v>1</v>
      </c>
      <c r="K757" s="92"/>
      <c r="L757" s="92">
        <v>2019.01</v>
      </c>
      <c r="M757" s="92">
        <v>2019.12</v>
      </c>
      <c r="N757" s="146">
        <v>200</v>
      </c>
      <c r="O757" s="146"/>
      <c r="P757" s="146">
        <v>200</v>
      </c>
      <c r="Q757" s="724"/>
      <c r="R757" s="146"/>
      <c r="S757" s="724"/>
      <c r="T757" s="724"/>
      <c r="U757" s="724">
        <v>200</v>
      </c>
      <c r="V757" s="724"/>
      <c r="W757" s="724"/>
      <c r="X757" s="724"/>
      <c r="Y757" s="738">
        <v>829</v>
      </c>
      <c r="Z757" s="738">
        <v>3543</v>
      </c>
      <c r="AA757" s="92">
        <v>1</v>
      </c>
      <c r="AB757" s="92"/>
      <c r="AC757" s="92"/>
      <c r="AD757" s="146" t="s">
        <v>373</v>
      </c>
      <c r="AE757" s="146" t="s">
        <v>374</v>
      </c>
      <c r="AF757" s="146" t="s">
        <v>358</v>
      </c>
      <c r="AG757" s="92"/>
    </row>
    <row r="758" s="570" customFormat="1" ht="24.95" customHeight="1" spans="1:33">
      <c r="A758" s="705"/>
      <c r="B758" s="714" t="s">
        <v>154</v>
      </c>
      <c r="C758" s="146" t="s">
        <v>539</v>
      </c>
      <c r="D758" s="76" t="s">
        <v>150</v>
      </c>
      <c r="E758" s="92"/>
      <c r="F758" s="714"/>
      <c r="G758" s="92"/>
      <c r="H758" s="92"/>
      <c r="I758" s="92"/>
      <c r="J758" s="92"/>
      <c r="K758" s="92"/>
      <c r="L758" s="708"/>
      <c r="M758" s="708"/>
      <c r="N758" s="724"/>
      <c r="O758" s="724"/>
      <c r="P758" s="724"/>
      <c r="Q758" s="724"/>
      <c r="R758" s="724"/>
      <c r="S758" s="724"/>
      <c r="T758" s="724"/>
      <c r="U758" s="724"/>
      <c r="V758" s="724"/>
      <c r="W758" s="724"/>
      <c r="X758" s="724"/>
      <c r="Y758" s="738"/>
      <c r="Z758" s="738"/>
      <c r="AA758" s="92"/>
      <c r="AB758" s="92"/>
      <c r="AC758" s="92"/>
      <c r="AD758" s="146"/>
      <c r="AE758" s="146"/>
      <c r="AF758" s="146"/>
      <c r="AG758" s="92"/>
    </row>
    <row r="759" s="570" customFormat="1" ht="24.95" customHeight="1" spans="1:33">
      <c r="A759" s="705"/>
      <c r="B759" s="714" t="s">
        <v>81</v>
      </c>
      <c r="C759" s="146" t="s">
        <v>539</v>
      </c>
      <c r="D759" s="76" t="s">
        <v>150</v>
      </c>
      <c r="E759" s="92"/>
      <c r="F759" s="714"/>
      <c r="G759" s="92"/>
      <c r="H759" s="92"/>
      <c r="I759" s="92"/>
      <c r="J759" s="92"/>
      <c r="K759" s="92"/>
      <c r="L759" s="708"/>
      <c r="M759" s="708"/>
      <c r="N759" s="724"/>
      <c r="O759" s="724"/>
      <c r="P759" s="724"/>
      <c r="Q759" s="724"/>
      <c r="R759" s="724"/>
      <c r="S759" s="724"/>
      <c r="T759" s="724"/>
      <c r="U759" s="724"/>
      <c r="V759" s="724"/>
      <c r="W759" s="724"/>
      <c r="X759" s="724"/>
      <c r="Y759" s="738"/>
      <c r="Z759" s="738"/>
      <c r="AA759" s="92"/>
      <c r="AB759" s="92"/>
      <c r="AC759" s="92"/>
      <c r="AD759" s="146"/>
      <c r="AE759" s="146"/>
      <c r="AF759" s="146"/>
      <c r="AG759" s="92"/>
    </row>
    <row r="760" s="570" customFormat="1" ht="24.95" customHeight="1" spans="1:33">
      <c r="A760" s="705"/>
      <c r="B760" s="714" t="s">
        <v>98</v>
      </c>
      <c r="C760" s="146" t="s">
        <v>539</v>
      </c>
      <c r="D760" s="76" t="s">
        <v>150</v>
      </c>
      <c r="E760" s="92"/>
      <c r="F760" s="714"/>
      <c r="G760" s="92"/>
      <c r="H760" s="92"/>
      <c r="I760" s="92"/>
      <c r="J760" s="92"/>
      <c r="K760" s="92"/>
      <c r="L760" s="708"/>
      <c r="M760" s="708"/>
      <c r="N760" s="724"/>
      <c r="O760" s="724"/>
      <c r="P760" s="724"/>
      <c r="Q760" s="724"/>
      <c r="R760" s="724"/>
      <c r="S760" s="724"/>
      <c r="T760" s="724"/>
      <c r="U760" s="724"/>
      <c r="V760" s="724"/>
      <c r="W760" s="724"/>
      <c r="X760" s="724"/>
      <c r="Y760" s="738"/>
      <c r="Z760" s="738"/>
      <c r="AA760" s="92"/>
      <c r="AB760" s="92"/>
      <c r="AC760" s="92"/>
      <c r="AD760" s="146"/>
      <c r="AE760" s="146"/>
      <c r="AF760" s="146"/>
      <c r="AG760" s="92"/>
    </row>
    <row r="761" s="570" customFormat="1" ht="24.95" customHeight="1" spans="1:33">
      <c r="A761" s="705"/>
      <c r="B761" s="714" t="s">
        <v>211</v>
      </c>
      <c r="C761" s="146" t="s">
        <v>539</v>
      </c>
      <c r="D761" s="76" t="s">
        <v>150</v>
      </c>
      <c r="E761" s="92"/>
      <c r="F761" s="714"/>
      <c r="G761" s="92"/>
      <c r="H761" s="92"/>
      <c r="I761" s="92"/>
      <c r="J761" s="92"/>
      <c r="K761" s="92"/>
      <c r="L761" s="708"/>
      <c r="M761" s="708"/>
      <c r="N761" s="724"/>
      <c r="O761" s="724"/>
      <c r="P761" s="724"/>
      <c r="Q761" s="724"/>
      <c r="R761" s="724"/>
      <c r="S761" s="724"/>
      <c r="T761" s="724"/>
      <c r="U761" s="724"/>
      <c r="V761" s="724"/>
      <c r="W761" s="724"/>
      <c r="X761" s="724"/>
      <c r="Y761" s="738"/>
      <c r="Z761" s="738"/>
      <c r="AA761" s="92"/>
      <c r="AB761" s="92"/>
      <c r="AC761" s="92"/>
      <c r="AD761" s="146"/>
      <c r="AE761" s="146"/>
      <c r="AF761" s="146"/>
      <c r="AG761" s="92"/>
    </row>
    <row r="762" s="570" customFormat="1" ht="24.95" customHeight="1" spans="1:33">
      <c r="A762" s="705"/>
      <c r="B762" s="714" t="s">
        <v>155</v>
      </c>
      <c r="C762" s="146" t="s">
        <v>539</v>
      </c>
      <c r="D762" s="76" t="s">
        <v>150</v>
      </c>
      <c r="E762" s="92"/>
      <c r="F762" s="714"/>
      <c r="G762" s="92"/>
      <c r="H762" s="92"/>
      <c r="I762" s="92"/>
      <c r="J762" s="92"/>
      <c r="K762" s="92"/>
      <c r="L762" s="708"/>
      <c r="M762" s="708"/>
      <c r="N762" s="724"/>
      <c r="O762" s="724"/>
      <c r="P762" s="724"/>
      <c r="Q762" s="724"/>
      <c r="R762" s="724"/>
      <c r="S762" s="724"/>
      <c r="T762" s="724"/>
      <c r="U762" s="724"/>
      <c r="V762" s="724"/>
      <c r="W762" s="724"/>
      <c r="X762" s="724"/>
      <c r="Y762" s="738"/>
      <c r="Z762" s="738"/>
      <c r="AA762" s="92"/>
      <c r="AB762" s="92"/>
      <c r="AC762" s="92"/>
      <c r="AD762" s="146"/>
      <c r="AE762" s="146"/>
      <c r="AF762" s="146"/>
      <c r="AG762" s="92"/>
    </row>
    <row r="763" s="570" customFormat="1" ht="24.95" customHeight="1" spans="1:33">
      <c r="A763" s="705"/>
      <c r="B763" s="714" t="s">
        <v>102</v>
      </c>
      <c r="C763" s="146" t="s">
        <v>539</v>
      </c>
      <c r="D763" s="76" t="s">
        <v>150</v>
      </c>
      <c r="E763" s="92"/>
      <c r="F763" s="714"/>
      <c r="G763" s="92"/>
      <c r="H763" s="92"/>
      <c r="I763" s="92"/>
      <c r="J763" s="92"/>
      <c r="K763" s="92"/>
      <c r="L763" s="708"/>
      <c r="M763" s="708"/>
      <c r="N763" s="724"/>
      <c r="O763" s="724"/>
      <c r="P763" s="724"/>
      <c r="Q763" s="724"/>
      <c r="R763" s="724"/>
      <c r="S763" s="724"/>
      <c r="T763" s="724"/>
      <c r="U763" s="724"/>
      <c r="V763" s="724"/>
      <c r="W763" s="724"/>
      <c r="X763" s="724"/>
      <c r="Y763" s="738"/>
      <c r="Z763" s="738"/>
      <c r="AA763" s="92"/>
      <c r="AB763" s="92"/>
      <c r="AC763" s="92"/>
      <c r="AD763" s="146"/>
      <c r="AE763" s="146"/>
      <c r="AF763" s="146"/>
      <c r="AG763" s="92"/>
    </row>
    <row r="764" s="570" customFormat="1" ht="24.95" customHeight="1" spans="1:33">
      <c r="A764" s="705"/>
      <c r="B764" s="714" t="s">
        <v>100</v>
      </c>
      <c r="C764" s="146" t="s">
        <v>539</v>
      </c>
      <c r="D764" s="76" t="s">
        <v>150</v>
      </c>
      <c r="E764" s="92"/>
      <c r="F764" s="714"/>
      <c r="G764" s="92"/>
      <c r="H764" s="92"/>
      <c r="I764" s="92"/>
      <c r="J764" s="92"/>
      <c r="K764" s="92"/>
      <c r="L764" s="708"/>
      <c r="M764" s="708"/>
      <c r="N764" s="724"/>
      <c r="O764" s="724"/>
      <c r="P764" s="724"/>
      <c r="Q764" s="724"/>
      <c r="R764" s="724"/>
      <c r="S764" s="724"/>
      <c r="T764" s="724"/>
      <c r="U764" s="724"/>
      <c r="V764" s="724"/>
      <c r="W764" s="724"/>
      <c r="X764" s="724"/>
      <c r="Y764" s="738"/>
      <c r="Z764" s="738"/>
      <c r="AA764" s="92"/>
      <c r="AB764" s="92"/>
      <c r="AC764" s="92"/>
      <c r="AD764" s="146"/>
      <c r="AE764" s="146"/>
      <c r="AF764" s="146"/>
      <c r="AG764" s="92"/>
    </row>
    <row r="765" s="570" customFormat="1" ht="24.95" customHeight="1" spans="1:33">
      <c r="A765" s="705"/>
      <c r="B765" s="714" t="s">
        <v>84</v>
      </c>
      <c r="C765" s="146" t="s">
        <v>539</v>
      </c>
      <c r="D765" s="76" t="s">
        <v>150</v>
      </c>
      <c r="E765" s="92"/>
      <c r="F765" s="714"/>
      <c r="G765" s="92"/>
      <c r="H765" s="92"/>
      <c r="I765" s="92"/>
      <c r="J765" s="92"/>
      <c r="K765" s="92"/>
      <c r="L765" s="708"/>
      <c r="M765" s="708"/>
      <c r="N765" s="724"/>
      <c r="O765" s="724"/>
      <c r="P765" s="724"/>
      <c r="Q765" s="724"/>
      <c r="R765" s="724"/>
      <c r="S765" s="724"/>
      <c r="T765" s="724"/>
      <c r="U765" s="724"/>
      <c r="V765" s="724"/>
      <c r="W765" s="724"/>
      <c r="X765" s="724"/>
      <c r="Y765" s="738"/>
      <c r="Z765" s="738"/>
      <c r="AA765" s="92"/>
      <c r="AB765" s="92"/>
      <c r="AC765" s="92"/>
      <c r="AD765" s="146"/>
      <c r="AE765" s="146"/>
      <c r="AF765" s="146"/>
      <c r="AG765" s="92"/>
    </row>
    <row r="766" s="570" customFormat="1" ht="24.95" customHeight="1" spans="1:33">
      <c r="A766" s="705"/>
      <c r="B766" s="714" t="s">
        <v>259</v>
      </c>
      <c r="C766" s="146" t="s">
        <v>539</v>
      </c>
      <c r="D766" s="76" t="s">
        <v>150</v>
      </c>
      <c r="E766" s="92"/>
      <c r="F766" s="714"/>
      <c r="G766" s="92"/>
      <c r="H766" s="92"/>
      <c r="I766" s="92"/>
      <c r="J766" s="92"/>
      <c r="K766" s="92"/>
      <c r="L766" s="708"/>
      <c r="M766" s="708"/>
      <c r="N766" s="724"/>
      <c r="O766" s="724"/>
      <c r="P766" s="724"/>
      <c r="Q766" s="724"/>
      <c r="R766" s="724"/>
      <c r="S766" s="724"/>
      <c r="T766" s="724"/>
      <c r="U766" s="724"/>
      <c r="V766" s="724"/>
      <c r="W766" s="724"/>
      <c r="X766" s="724"/>
      <c r="Y766" s="738"/>
      <c r="Z766" s="738"/>
      <c r="AA766" s="92"/>
      <c r="AB766" s="92"/>
      <c r="AC766" s="92"/>
      <c r="AD766" s="146"/>
      <c r="AE766" s="146"/>
      <c r="AF766" s="146"/>
      <c r="AG766" s="92"/>
    </row>
    <row r="767" s="570" customFormat="1" ht="24.95" customHeight="1" spans="1:33">
      <c r="A767" s="705"/>
      <c r="B767" s="714" t="s">
        <v>143</v>
      </c>
      <c r="C767" s="146" t="s">
        <v>539</v>
      </c>
      <c r="D767" s="76" t="s">
        <v>150</v>
      </c>
      <c r="E767" s="92"/>
      <c r="F767" s="714"/>
      <c r="G767" s="92"/>
      <c r="H767" s="92"/>
      <c r="I767" s="92"/>
      <c r="J767" s="92"/>
      <c r="K767" s="92"/>
      <c r="L767" s="708"/>
      <c r="M767" s="708"/>
      <c r="N767" s="724"/>
      <c r="O767" s="724"/>
      <c r="P767" s="724"/>
      <c r="Q767" s="724"/>
      <c r="R767" s="724"/>
      <c r="S767" s="724"/>
      <c r="T767" s="724"/>
      <c r="U767" s="724"/>
      <c r="V767" s="724"/>
      <c r="W767" s="724"/>
      <c r="X767" s="724"/>
      <c r="Y767" s="738"/>
      <c r="Z767" s="738"/>
      <c r="AA767" s="92"/>
      <c r="AB767" s="92"/>
      <c r="AC767" s="92"/>
      <c r="AD767" s="146"/>
      <c r="AE767" s="146"/>
      <c r="AF767" s="146"/>
      <c r="AG767" s="92"/>
    </row>
    <row r="768" s="570" customFormat="1" ht="24.95" customHeight="1" spans="1:33">
      <c r="A768" s="705"/>
      <c r="B768" s="750" t="s">
        <v>541</v>
      </c>
      <c r="C768" s="146" t="s">
        <v>542</v>
      </c>
      <c r="D768" s="76" t="s">
        <v>150</v>
      </c>
      <c r="E768" s="92"/>
      <c r="F768" s="92"/>
      <c r="G768" s="92"/>
      <c r="H768" s="92"/>
      <c r="I768" s="92"/>
      <c r="J768" s="92"/>
      <c r="K768" s="92"/>
      <c r="L768" s="708"/>
      <c r="M768" s="708"/>
      <c r="N768" s="724"/>
      <c r="O768" s="724"/>
      <c r="P768" s="724"/>
      <c r="Q768" s="724"/>
      <c r="R768" s="724"/>
      <c r="S768" s="724"/>
      <c r="T768" s="724"/>
      <c r="U768" s="724"/>
      <c r="V768" s="724"/>
      <c r="W768" s="724"/>
      <c r="X768" s="724"/>
      <c r="Y768" s="738"/>
      <c r="Z768" s="738"/>
      <c r="AA768" s="92"/>
      <c r="AB768" s="92"/>
      <c r="AC768" s="92"/>
      <c r="AD768" s="146"/>
      <c r="AE768" s="146"/>
      <c r="AF768" s="146"/>
      <c r="AG768" s="92"/>
    </row>
    <row r="769" s="570" customFormat="1" ht="24.95" customHeight="1" spans="1:33">
      <c r="A769" s="705"/>
      <c r="B769" s="714" t="s">
        <v>543</v>
      </c>
      <c r="C769" s="146" t="s">
        <v>162</v>
      </c>
      <c r="D769" s="76" t="s">
        <v>150</v>
      </c>
      <c r="E769" s="92"/>
      <c r="F769" s="714"/>
      <c r="G769" s="92"/>
      <c r="H769" s="92"/>
      <c r="I769" s="92"/>
      <c r="J769" s="92"/>
      <c r="K769" s="92"/>
      <c r="L769" s="708"/>
      <c r="M769" s="708"/>
      <c r="N769" s="724"/>
      <c r="O769" s="724"/>
      <c r="P769" s="724"/>
      <c r="Q769" s="724"/>
      <c r="R769" s="724"/>
      <c r="S769" s="724"/>
      <c r="T769" s="724"/>
      <c r="U769" s="724"/>
      <c r="V769" s="724"/>
      <c r="W769" s="724"/>
      <c r="X769" s="724"/>
      <c r="Y769" s="738"/>
      <c r="Z769" s="738"/>
      <c r="AA769" s="92"/>
      <c r="AB769" s="92"/>
      <c r="AC769" s="92"/>
      <c r="AD769" s="146"/>
      <c r="AE769" s="146"/>
      <c r="AF769" s="146"/>
      <c r="AG769" s="92"/>
    </row>
    <row r="770" s="570" customFormat="1" ht="24.95" customHeight="1" spans="1:33">
      <c r="A770" s="705"/>
      <c r="B770" s="714" t="s">
        <v>544</v>
      </c>
      <c r="C770" s="146" t="s">
        <v>52</v>
      </c>
      <c r="D770" s="76" t="s">
        <v>150</v>
      </c>
      <c r="E770" s="92"/>
      <c r="F770" s="714"/>
      <c r="G770" s="92"/>
      <c r="H770" s="92"/>
      <c r="I770" s="92"/>
      <c r="J770" s="92"/>
      <c r="K770" s="92"/>
      <c r="L770" s="708"/>
      <c r="M770" s="708"/>
      <c r="N770" s="724"/>
      <c r="O770" s="724"/>
      <c r="P770" s="724"/>
      <c r="Q770" s="724"/>
      <c r="R770" s="724"/>
      <c r="S770" s="724"/>
      <c r="T770" s="724"/>
      <c r="U770" s="724"/>
      <c r="V770" s="724"/>
      <c r="W770" s="724"/>
      <c r="X770" s="724"/>
      <c r="Y770" s="738"/>
      <c r="Z770" s="738"/>
      <c r="AA770" s="92"/>
      <c r="AB770" s="92"/>
      <c r="AC770" s="92"/>
      <c r="AD770" s="146"/>
      <c r="AE770" s="146"/>
      <c r="AF770" s="146"/>
      <c r="AG770" s="92"/>
    </row>
    <row r="771" s="570" customFormat="1" ht="24.95" customHeight="1" spans="1:33">
      <c r="A771" s="705"/>
      <c r="B771" s="714" t="s">
        <v>545</v>
      </c>
      <c r="C771" s="146" t="s">
        <v>546</v>
      </c>
      <c r="D771" s="76" t="s">
        <v>150</v>
      </c>
      <c r="E771" s="92"/>
      <c r="F771" s="714"/>
      <c r="G771" s="92"/>
      <c r="H771" s="92"/>
      <c r="I771" s="92"/>
      <c r="J771" s="92"/>
      <c r="K771" s="92"/>
      <c r="L771" s="708"/>
      <c r="M771" s="708"/>
      <c r="N771" s="724"/>
      <c r="O771" s="724"/>
      <c r="P771" s="724"/>
      <c r="Q771" s="724"/>
      <c r="R771" s="724"/>
      <c r="S771" s="724"/>
      <c r="T771" s="724"/>
      <c r="U771" s="724"/>
      <c r="V771" s="724"/>
      <c r="W771" s="724"/>
      <c r="X771" s="724"/>
      <c r="Y771" s="738"/>
      <c r="Z771" s="738"/>
      <c r="AA771" s="92"/>
      <c r="AB771" s="92"/>
      <c r="AC771" s="92"/>
      <c r="AD771" s="146"/>
      <c r="AE771" s="146"/>
      <c r="AF771" s="146"/>
      <c r="AG771" s="92"/>
    </row>
    <row r="772" s="570" customFormat="1" ht="24.95" customHeight="1" spans="1:33">
      <c r="A772" s="705"/>
      <c r="B772" s="714" t="s">
        <v>547</v>
      </c>
      <c r="C772" s="146" t="s">
        <v>52</v>
      </c>
      <c r="D772" s="76" t="s">
        <v>150</v>
      </c>
      <c r="E772" s="92"/>
      <c r="F772" s="714"/>
      <c r="G772" s="92"/>
      <c r="H772" s="92"/>
      <c r="I772" s="92"/>
      <c r="J772" s="92"/>
      <c r="K772" s="92"/>
      <c r="L772" s="708"/>
      <c r="M772" s="708"/>
      <c r="N772" s="724"/>
      <c r="O772" s="724"/>
      <c r="P772" s="724"/>
      <c r="Q772" s="724"/>
      <c r="R772" s="724"/>
      <c r="S772" s="724"/>
      <c r="T772" s="724"/>
      <c r="U772" s="724"/>
      <c r="V772" s="724"/>
      <c r="W772" s="724"/>
      <c r="X772" s="724"/>
      <c r="Y772" s="738"/>
      <c r="Z772" s="738"/>
      <c r="AA772" s="92"/>
      <c r="AB772" s="92"/>
      <c r="AC772" s="92"/>
      <c r="AD772" s="146"/>
      <c r="AE772" s="146"/>
      <c r="AF772" s="146"/>
      <c r="AG772" s="92"/>
    </row>
    <row r="773" s="570" customFormat="1" ht="24.95" customHeight="1" spans="1:33">
      <c r="A773" s="705"/>
      <c r="B773" s="714" t="s">
        <v>548</v>
      </c>
      <c r="C773" s="146" t="s">
        <v>546</v>
      </c>
      <c r="D773" s="76" t="s">
        <v>150</v>
      </c>
      <c r="E773" s="92"/>
      <c r="F773" s="714"/>
      <c r="G773" s="92"/>
      <c r="H773" s="92"/>
      <c r="I773" s="92"/>
      <c r="J773" s="92"/>
      <c r="K773" s="92"/>
      <c r="L773" s="708"/>
      <c r="M773" s="708"/>
      <c r="N773" s="724"/>
      <c r="O773" s="724"/>
      <c r="P773" s="724"/>
      <c r="Q773" s="724"/>
      <c r="R773" s="724"/>
      <c r="S773" s="724"/>
      <c r="T773" s="724"/>
      <c r="U773" s="724"/>
      <c r="V773" s="724"/>
      <c r="W773" s="724"/>
      <c r="X773" s="724"/>
      <c r="Y773" s="738"/>
      <c r="Z773" s="738"/>
      <c r="AA773" s="92"/>
      <c r="AB773" s="92"/>
      <c r="AC773" s="92"/>
      <c r="AD773" s="146"/>
      <c r="AE773" s="146"/>
      <c r="AF773" s="146"/>
      <c r="AG773" s="92"/>
    </row>
    <row r="774" s="570" customFormat="1" ht="24.95" customHeight="1" spans="1:33">
      <c r="A774" s="705"/>
      <c r="B774" s="714" t="s">
        <v>549</v>
      </c>
      <c r="C774" s="146" t="s">
        <v>546</v>
      </c>
      <c r="D774" s="76" t="s">
        <v>150</v>
      </c>
      <c r="E774" s="92"/>
      <c r="F774" s="714"/>
      <c r="G774" s="92"/>
      <c r="H774" s="92"/>
      <c r="I774" s="92"/>
      <c r="J774" s="92"/>
      <c r="K774" s="92"/>
      <c r="L774" s="708"/>
      <c r="M774" s="708"/>
      <c r="N774" s="724"/>
      <c r="O774" s="724"/>
      <c r="P774" s="724"/>
      <c r="Q774" s="724"/>
      <c r="R774" s="724"/>
      <c r="S774" s="724"/>
      <c r="T774" s="724"/>
      <c r="U774" s="724"/>
      <c r="V774" s="724"/>
      <c r="W774" s="724"/>
      <c r="X774" s="724"/>
      <c r="Y774" s="738"/>
      <c r="Z774" s="738"/>
      <c r="AA774" s="92"/>
      <c r="AB774" s="92"/>
      <c r="AC774" s="92"/>
      <c r="AD774" s="146"/>
      <c r="AE774" s="146"/>
      <c r="AF774" s="146"/>
      <c r="AG774" s="92"/>
    </row>
    <row r="775" s="570" customFormat="1" ht="24.95" customHeight="1" spans="1:33">
      <c r="A775" s="705"/>
      <c r="B775" s="714" t="s">
        <v>550</v>
      </c>
      <c r="C775" s="146" t="s">
        <v>546</v>
      </c>
      <c r="D775" s="76" t="s">
        <v>150</v>
      </c>
      <c r="E775" s="92"/>
      <c r="F775" s="714"/>
      <c r="G775" s="92"/>
      <c r="H775" s="92"/>
      <c r="I775" s="92"/>
      <c r="J775" s="92"/>
      <c r="K775" s="92"/>
      <c r="L775" s="708"/>
      <c r="M775" s="708"/>
      <c r="N775" s="724"/>
      <c r="O775" s="724"/>
      <c r="P775" s="724"/>
      <c r="Q775" s="724"/>
      <c r="R775" s="724"/>
      <c r="S775" s="724"/>
      <c r="T775" s="724"/>
      <c r="U775" s="724"/>
      <c r="V775" s="724"/>
      <c r="W775" s="724"/>
      <c r="X775" s="724"/>
      <c r="Y775" s="738"/>
      <c r="Z775" s="738"/>
      <c r="AA775" s="92"/>
      <c r="AB775" s="92"/>
      <c r="AC775" s="92"/>
      <c r="AD775" s="146"/>
      <c r="AE775" s="146"/>
      <c r="AF775" s="146"/>
      <c r="AG775" s="92"/>
    </row>
    <row r="776" s="570" customFormat="1" ht="24.95" customHeight="1" spans="1:33">
      <c r="A776" s="705"/>
      <c r="B776" s="714" t="s">
        <v>551</v>
      </c>
      <c r="C776" s="146" t="s">
        <v>546</v>
      </c>
      <c r="D776" s="76" t="s">
        <v>150</v>
      </c>
      <c r="E776" s="92"/>
      <c r="F776" s="714"/>
      <c r="G776" s="92"/>
      <c r="H776" s="92"/>
      <c r="I776" s="92"/>
      <c r="J776" s="92"/>
      <c r="K776" s="92"/>
      <c r="L776" s="708"/>
      <c r="M776" s="708"/>
      <c r="N776" s="724"/>
      <c r="O776" s="724"/>
      <c r="P776" s="724"/>
      <c r="Q776" s="724"/>
      <c r="R776" s="724"/>
      <c r="S776" s="724"/>
      <c r="T776" s="724"/>
      <c r="U776" s="724"/>
      <c r="V776" s="724"/>
      <c r="W776" s="724"/>
      <c r="X776" s="724"/>
      <c r="Y776" s="738"/>
      <c r="Z776" s="738"/>
      <c r="AA776" s="92"/>
      <c r="AB776" s="92"/>
      <c r="AC776" s="92"/>
      <c r="AD776" s="146"/>
      <c r="AE776" s="146"/>
      <c r="AF776" s="146"/>
      <c r="AG776" s="92"/>
    </row>
    <row r="777" ht="24.95" customHeight="1" spans="1:33">
      <c r="A777" s="705">
        <v>101</v>
      </c>
      <c r="B777" s="791" t="s">
        <v>552</v>
      </c>
      <c r="C777" s="708"/>
      <c r="D777" s="709" t="s">
        <v>150</v>
      </c>
      <c r="E777" s="708"/>
      <c r="F777" s="708"/>
      <c r="G777" s="708"/>
      <c r="H777" s="708"/>
      <c r="I777" s="708"/>
      <c r="J777" s="708"/>
      <c r="K777" s="708"/>
      <c r="L777" s="708"/>
      <c r="M777" s="708"/>
      <c r="N777" s="726"/>
      <c r="O777" s="726"/>
      <c r="P777" s="726"/>
      <c r="Q777" s="726"/>
      <c r="R777" s="726"/>
      <c r="S777" s="726"/>
      <c r="T777" s="726"/>
      <c r="U777" s="726"/>
      <c r="V777" s="726"/>
      <c r="W777" s="726"/>
      <c r="X777" s="726"/>
      <c r="Y777" s="726"/>
      <c r="Z777" s="726"/>
      <c r="AA777" s="708"/>
      <c r="AB777" s="708"/>
      <c r="AC777" s="708"/>
      <c r="AD777" s="708"/>
      <c r="AE777" s="708"/>
      <c r="AF777" s="708" t="s">
        <v>553</v>
      </c>
      <c r="AG777" s="708" t="s">
        <v>41</v>
      </c>
    </row>
    <row r="778" ht="24.95" customHeight="1" spans="1:33">
      <c r="A778" s="705">
        <v>102</v>
      </c>
      <c r="B778" s="95" t="s">
        <v>554</v>
      </c>
      <c r="C778" s="92"/>
      <c r="D778" s="76" t="s">
        <v>150</v>
      </c>
      <c r="E778" s="92"/>
      <c r="F778" s="92"/>
      <c r="G778" s="92"/>
      <c r="H778" s="92"/>
      <c r="I778" s="92"/>
      <c r="J778" s="92"/>
      <c r="K778" s="92"/>
      <c r="L778" s="92"/>
      <c r="M778" s="92"/>
      <c r="N778" s="724"/>
      <c r="O778" s="724"/>
      <c r="P778" s="724"/>
      <c r="Q778" s="724"/>
      <c r="R778" s="724"/>
      <c r="S778" s="724"/>
      <c r="T778" s="724"/>
      <c r="U778" s="724"/>
      <c r="V778" s="724"/>
      <c r="W778" s="724"/>
      <c r="X778" s="724"/>
      <c r="Y778" s="724"/>
      <c r="Z778" s="724"/>
      <c r="AA778" s="92"/>
      <c r="AB778" s="92"/>
      <c r="AC778" s="92"/>
      <c r="AD778" s="92"/>
      <c r="AE778" s="92"/>
      <c r="AF778" s="92" t="s">
        <v>553</v>
      </c>
      <c r="AG778" s="92" t="s">
        <v>41</v>
      </c>
    </row>
    <row r="779" ht="24.95" customHeight="1" spans="1:33">
      <c r="A779" s="705" t="s">
        <v>48</v>
      </c>
      <c r="B779" s="92" t="s">
        <v>148</v>
      </c>
      <c r="C779" s="92"/>
      <c r="D779" s="76"/>
      <c r="E779" s="92"/>
      <c r="F779" s="92"/>
      <c r="G779" s="9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row>
    <row r="780" ht="24.95" customHeight="1" spans="1:33">
      <c r="A780" s="705">
        <v>103</v>
      </c>
      <c r="B780" s="791" t="s">
        <v>555</v>
      </c>
      <c r="C780" s="708"/>
      <c r="D780" s="709"/>
      <c r="E780" s="708">
        <f>E783</f>
        <v>14</v>
      </c>
      <c r="F780" s="708">
        <f t="shared" ref="F780:AA780" si="107">F783</f>
        <v>0</v>
      </c>
      <c r="G780" s="708">
        <f t="shared" si="107"/>
        <v>0</v>
      </c>
      <c r="H780" s="708">
        <f t="shared" si="107"/>
        <v>20188</v>
      </c>
      <c r="I780" s="708">
        <f t="shared" si="107"/>
        <v>0</v>
      </c>
      <c r="J780" s="708">
        <f t="shared" si="107"/>
        <v>20188</v>
      </c>
      <c r="K780" s="708">
        <f t="shared" si="107"/>
        <v>0</v>
      </c>
      <c r="L780" s="708"/>
      <c r="M780" s="708"/>
      <c r="N780" s="708">
        <f t="shared" si="107"/>
        <v>4840.94</v>
      </c>
      <c r="O780" s="708">
        <f t="shared" si="107"/>
        <v>0</v>
      </c>
      <c r="P780" s="708">
        <f t="shared" si="107"/>
        <v>4840.94</v>
      </c>
      <c r="Q780" s="708">
        <f t="shared" si="107"/>
        <v>0</v>
      </c>
      <c r="R780" s="708">
        <f t="shared" si="107"/>
        <v>4840.94</v>
      </c>
      <c r="S780" s="708">
        <f t="shared" si="107"/>
        <v>0</v>
      </c>
      <c r="T780" s="708">
        <f t="shared" si="107"/>
        <v>0</v>
      </c>
      <c r="U780" s="708">
        <f t="shared" si="107"/>
        <v>0</v>
      </c>
      <c r="V780" s="708">
        <f t="shared" si="107"/>
        <v>0</v>
      </c>
      <c r="W780" s="708">
        <f t="shared" si="107"/>
        <v>0</v>
      </c>
      <c r="X780" s="708">
        <f t="shared" si="107"/>
        <v>0</v>
      </c>
      <c r="Y780" s="708">
        <f t="shared" si="107"/>
        <v>5360</v>
      </c>
      <c r="Z780" s="708">
        <f t="shared" si="107"/>
        <v>23843</v>
      </c>
      <c r="AA780" s="708">
        <f t="shared" si="107"/>
        <v>14</v>
      </c>
      <c r="AB780" s="708"/>
      <c r="AC780" s="708"/>
      <c r="AD780" s="708"/>
      <c r="AE780" s="708"/>
      <c r="AF780" s="708"/>
      <c r="AG780" s="708" t="s">
        <v>41</v>
      </c>
    </row>
    <row r="781" ht="60" spans="1:33">
      <c r="A781" s="705">
        <v>104</v>
      </c>
      <c r="B781" s="95" t="s">
        <v>556</v>
      </c>
      <c r="C781" s="92"/>
      <c r="D781" s="76" t="s">
        <v>147</v>
      </c>
      <c r="E781" s="92"/>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t="s">
        <v>294</v>
      </c>
      <c r="AG781" s="92" t="s">
        <v>41</v>
      </c>
    </row>
    <row r="782" ht="24.95" customHeight="1" spans="1:33">
      <c r="A782" s="705" t="s">
        <v>48</v>
      </c>
      <c r="B782" s="92" t="s">
        <v>148</v>
      </c>
      <c r="C782" s="92"/>
      <c r="D782" s="76"/>
      <c r="E782" s="92"/>
      <c r="F782" s="92"/>
      <c r="G782" s="9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row>
    <row r="783" s="570" customFormat="1" ht="24.95" customHeight="1" spans="1:33">
      <c r="A783" s="705"/>
      <c r="B783" s="92" t="s">
        <v>557</v>
      </c>
      <c r="C783" s="92"/>
      <c r="D783" s="76"/>
      <c r="E783" s="92">
        <f>E784+E796+E810</f>
        <v>14</v>
      </c>
      <c r="F783" s="92">
        <f t="shared" ref="F783:AA783" si="108">F784+F796+F810</f>
        <v>0</v>
      </c>
      <c r="G783" s="92">
        <f t="shared" si="108"/>
        <v>0</v>
      </c>
      <c r="H783" s="92">
        <f t="shared" si="108"/>
        <v>20188</v>
      </c>
      <c r="I783" s="92">
        <f t="shared" si="108"/>
        <v>0</v>
      </c>
      <c r="J783" s="92">
        <f t="shared" si="108"/>
        <v>20188</v>
      </c>
      <c r="K783" s="92">
        <f t="shared" si="108"/>
        <v>0</v>
      </c>
      <c r="L783" s="92"/>
      <c r="M783" s="92"/>
      <c r="N783" s="92">
        <f t="shared" si="108"/>
        <v>4840.94</v>
      </c>
      <c r="O783" s="92">
        <f t="shared" si="108"/>
        <v>0</v>
      </c>
      <c r="P783" s="92">
        <f t="shared" si="108"/>
        <v>4840.94</v>
      </c>
      <c r="Q783" s="92">
        <f t="shared" si="108"/>
        <v>0</v>
      </c>
      <c r="R783" s="92">
        <f t="shared" si="108"/>
        <v>4840.94</v>
      </c>
      <c r="S783" s="92">
        <f t="shared" si="108"/>
        <v>0</v>
      </c>
      <c r="T783" s="92">
        <f t="shared" si="108"/>
        <v>0</v>
      </c>
      <c r="U783" s="92">
        <f t="shared" si="108"/>
        <v>0</v>
      </c>
      <c r="V783" s="92">
        <f t="shared" si="108"/>
        <v>0</v>
      </c>
      <c r="W783" s="92">
        <f t="shared" si="108"/>
        <v>0</v>
      </c>
      <c r="X783" s="92">
        <f t="shared" si="108"/>
        <v>0</v>
      </c>
      <c r="Y783" s="92">
        <f t="shared" si="108"/>
        <v>5360</v>
      </c>
      <c r="Z783" s="92">
        <f t="shared" si="108"/>
        <v>23843</v>
      </c>
      <c r="AA783" s="92">
        <f t="shared" si="108"/>
        <v>14</v>
      </c>
      <c r="AB783" s="92"/>
      <c r="AC783" s="92"/>
      <c r="AD783" s="92"/>
      <c r="AE783" s="92"/>
      <c r="AF783" s="92" t="s">
        <v>294</v>
      </c>
      <c r="AG783" s="92" t="s">
        <v>41</v>
      </c>
    </row>
    <row r="784" s="570" customFormat="1" ht="24.95" customHeight="1" spans="1:33">
      <c r="A784" s="705"/>
      <c r="B784" s="802" t="s">
        <v>559</v>
      </c>
      <c r="C784" s="146" t="s">
        <v>52</v>
      </c>
      <c r="D784" s="152" t="s">
        <v>560</v>
      </c>
      <c r="E784" s="92">
        <f>SUM(E785:E795)</f>
        <v>7</v>
      </c>
      <c r="F784" s="92">
        <f t="shared" ref="F784:AA784" si="109">SUM(F785:F795)</f>
        <v>0</v>
      </c>
      <c r="G784" s="92">
        <f t="shared" si="109"/>
        <v>0</v>
      </c>
      <c r="H784" s="92">
        <f t="shared" si="109"/>
        <v>20181</v>
      </c>
      <c r="I784" s="92">
        <f t="shared" si="109"/>
        <v>0</v>
      </c>
      <c r="J784" s="92">
        <f t="shared" si="109"/>
        <v>20181</v>
      </c>
      <c r="K784" s="92">
        <f t="shared" si="109"/>
        <v>0</v>
      </c>
      <c r="L784" s="92"/>
      <c r="M784" s="92"/>
      <c r="N784" s="92">
        <f t="shared" si="109"/>
        <v>4040.2</v>
      </c>
      <c r="O784" s="92">
        <f t="shared" si="109"/>
        <v>0</v>
      </c>
      <c r="P784" s="92">
        <f t="shared" si="109"/>
        <v>4040.2</v>
      </c>
      <c r="Q784" s="92">
        <f t="shared" si="109"/>
        <v>0</v>
      </c>
      <c r="R784" s="92">
        <f t="shared" si="109"/>
        <v>4040.2</v>
      </c>
      <c r="S784" s="92">
        <f t="shared" si="109"/>
        <v>0</v>
      </c>
      <c r="T784" s="92">
        <f t="shared" si="109"/>
        <v>0</v>
      </c>
      <c r="U784" s="92">
        <f t="shared" si="109"/>
        <v>0</v>
      </c>
      <c r="V784" s="92">
        <f t="shared" si="109"/>
        <v>0</v>
      </c>
      <c r="W784" s="92">
        <f t="shared" si="109"/>
        <v>0</v>
      </c>
      <c r="X784" s="92">
        <f t="shared" si="109"/>
        <v>0</v>
      </c>
      <c r="Y784" s="92">
        <f t="shared" si="109"/>
        <v>1687</v>
      </c>
      <c r="Z784" s="92">
        <f t="shared" si="109"/>
        <v>7456</v>
      </c>
      <c r="AA784" s="92">
        <f t="shared" si="109"/>
        <v>7</v>
      </c>
      <c r="AB784" s="92"/>
      <c r="AC784" s="92"/>
      <c r="AD784" s="146" t="s">
        <v>296</v>
      </c>
      <c r="AE784" s="146" t="s">
        <v>561</v>
      </c>
      <c r="AF784" s="146" t="s">
        <v>294</v>
      </c>
      <c r="AG784" s="92"/>
    </row>
    <row r="785" s="570" customFormat="1" ht="24.95" customHeight="1" spans="1:33">
      <c r="A785" s="705"/>
      <c r="B785" s="714" t="s">
        <v>69</v>
      </c>
      <c r="C785" s="146" t="s">
        <v>52</v>
      </c>
      <c r="D785" s="152" t="s">
        <v>560</v>
      </c>
      <c r="E785" s="92"/>
      <c r="F785" s="714"/>
      <c r="G785" s="92"/>
      <c r="H785" s="92"/>
      <c r="I785" s="92"/>
      <c r="J785" s="92"/>
      <c r="K785" s="92"/>
      <c r="L785" s="92"/>
      <c r="M785" s="92"/>
      <c r="N785" s="92"/>
      <c r="O785" s="92"/>
      <c r="P785" s="92"/>
      <c r="Q785" s="92"/>
      <c r="R785" s="92"/>
      <c r="S785" s="92"/>
      <c r="T785" s="92"/>
      <c r="U785" s="92"/>
      <c r="V785" s="92"/>
      <c r="W785" s="92"/>
      <c r="X785" s="92"/>
      <c r="Y785" s="92"/>
      <c r="Z785" s="92"/>
      <c r="AA785" s="92"/>
      <c r="AB785" s="92"/>
      <c r="AC785" s="92"/>
      <c r="AD785" s="146"/>
      <c r="AE785" s="146"/>
      <c r="AF785" s="146"/>
      <c r="AG785" s="92"/>
    </row>
    <row r="786" s="570" customFormat="1" ht="24.95" customHeight="1" spans="1:33">
      <c r="A786" s="705"/>
      <c r="B786" s="714" t="s">
        <v>51</v>
      </c>
      <c r="C786" s="146" t="s">
        <v>52</v>
      </c>
      <c r="D786" s="152" t="s">
        <v>560</v>
      </c>
      <c r="E786" s="92"/>
      <c r="F786" s="714"/>
      <c r="G786" s="92"/>
      <c r="H786" s="92"/>
      <c r="I786" s="92"/>
      <c r="J786" s="92"/>
      <c r="K786" s="92"/>
      <c r="L786" s="92"/>
      <c r="M786" s="92"/>
      <c r="N786" s="92"/>
      <c r="O786" s="92"/>
      <c r="P786" s="92"/>
      <c r="Q786" s="92"/>
      <c r="R786" s="92"/>
      <c r="S786" s="92"/>
      <c r="T786" s="92"/>
      <c r="U786" s="92"/>
      <c r="V786" s="92"/>
      <c r="W786" s="92"/>
      <c r="X786" s="92"/>
      <c r="Y786" s="92"/>
      <c r="Z786" s="92"/>
      <c r="AA786" s="92"/>
      <c r="AB786" s="92"/>
      <c r="AC786" s="92"/>
      <c r="AD786" s="146"/>
      <c r="AE786" s="146"/>
      <c r="AF786" s="146"/>
      <c r="AG786" s="92"/>
    </row>
    <row r="787" s="570" customFormat="1" ht="24.95" customHeight="1" spans="1:33">
      <c r="A787" s="705"/>
      <c r="B787" s="714" t="s">
        <v>72</v>
      </c>
      <c r="C787" s="146" t="s">
        <v>52</v>
      </c>
      <c r="D787" s="152" t="s">
        <v>560</v>
      </c>
      <c r="E787" s="92">
        <v>1</v>
      </c>
      <c r="F787" s="714" t="s">
        <v>72</v>
      </c>
      <c r="G787" s="92"/>
      <c r="H787" s="92">
        <v>2170</v>
      </c>
      <c r="I787" s="92"/>
      <c r="J787" s="92">
        <v>2170</v>
      </c>
      <c r="K787" s="92"/>
      <c r="L787" s="92">
        <v>2019.01</v>
      </c>
      <c r="M787" s="92">
        <v>2019.12</v>
      </c>
      <c r="N787" s="92">
        <v>434</v>
      </c>
      <c r="O787" s="92"/>
      <c r="P787" s="92">
        <v>434</v>
      </c>
      <c r="Q787" s="92"/>
      <c r="R787" s="92">
        <v>434</v>
      </c>
      <c r="S787" s="92"/>
      <c r="T787" s="92"/>
      <c r="U787" s="92"/>
      <c r="V787" s="92"/>
      <c r="W787" s="92"/>
      <c r="X787" s="92"/>
      <c r="Y787" s="92">
        <v>314</v>
      </c>
      <c r="Z787" s="92">
        <v>1242</v>
      </c>
      <c r="AA787" s="92">
        <v>1</v>
      </c>
      <c r="AB787" s="92"/>
      <c r="AC787" s="92"/>
      <c r="AD787" s="807" t="s">
        <v>247</v>
      </c>
      <c r="AE787" s="146" t="s">
        <v>302</v>
      </c>
      <c r="AF787" s="146" t="s">
        <v>294</v>
      </c>
      <c r="AG787" s="92"/>
    </row>
    <row r="788" s="570" customFormat="1" ht="24.95" customHeight="1" spans="1:33">
      <c r="A788" s="705"/>
      <c r="B788" s="714" t="s">
        <v>91</v>
      </c>
      <c r="C788" s="146" t="s">
        <v>52</v>
      </c>
      <c r="D788" s="152" t="s">
        <v>560</v>
      </c>
      <c r="E788" s="92"/>
      <c r="F788" s="714"/>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146"/>
      <c r="AE788" s="146"/>
      <c r="AF788" s="146"/>
      <c r="AG788" s="92"/>
    </row>
    <row r="789" s="570" customFormat="1" ht="24.95" customHeight="1" spans="1:33">
      <c r="A789" s="705"/>
      <c r="B789" s="714" t="s">
        <v>55</v>
      </c>
      <c r="C789" s="146" t="s">
        <v>52</v>
      </c>
      <c r="D789" s="152" t="s">
        <v>560</v>
      </c>
      <c r="E789" s="92">
        <v>1</v>
      </c>
      <c r="F789" s="714" t="s">
        <v>55</v>
      </c>
      <c r="G789" s="92"/>
      <c r="H789" s="92">
        <v>6220</v>
      </c>
      <c r="I789" s="92"/>
      <c r="J789" s="92">
        <v>6220</v>
      </c>
      <c r="K789" s="92"/>
      <c r="L789" s="92">
        <v>2019.01</v>
      </c>
      <c r="M789" s="92">
        <v>2019.12</v>
      </c>
      <c r="N789" s="92">
        <v>1244</v>
      </c>
      <c r="O789" s="92"/>
      <c r="P789" s="92">
        <v>1244</v>
      </c>
      <c r="Q789" s="92"/>
      <c r="R789" s="92">
        <v>1244</v>
      </c>
      <c r="S789" s="92"/>
      <c r="T789" s="92"/>
      <c r="U789" s="92"/>
      <c r="V789" s="92"/>
      <c r="W789" s="92"/>
      <c r="X789" s="92"/>
      <c r="Y789" s="92">
        <v>257</v>
      </c>
      <c r="Z789" s="92">
        <v>1129</v>
      </c>
      <c r="AA789" s="92">
        <v>1</v>
      </c>
      <c r="AB789" s="92"/>
      <c r="AC789" s="92"/>
      <c r="AD789" s="146" t="s">
        <v>305</v>
      </c>
      <c r="AE789" s="146" t="s">
        <v>306</v>
      </c>
      <c r="AF789" s="146" t="s">
        <v>294</v>
      </c>
      <c r="AG789" s="92"/>
    </row>
    <row r="790" s="570" customFormat="1" ht="24.95" customHeight="1" spans="1:33">
      <c r="A790" s="705"/>
      <c r="B790" s="714" t="s">
        <v>75</v>
      </c>
      <c r="C790" s="146" t="s">
        <v>52</v>
      </c>
      <c r="D790" s="152" t="s">
        <v>560</v>
      </c>
      <c r="E790" s="92">
        <v>1</v>
      </c>
      <c r="F790" s="714" t="s">
        <v>75</v>
      </c>
      <c r="G790" s="92"/>
      <c r="H790" s="92">
        <v>5920</v>
      </c>
      <c r="I790" s="92"/>
      <c r="J790" s="92">
        <v>5920</v>
      </c>
      <c r="K790" s="92"/>
      <c r="L790" s="92">
        <v>2019.01</v>
      </c>
      <c r="M790" s="92">
        <v>2019.12</v>
      </c>
      <c r="N790" s="92">
        <v>1184</v>
      </c>
      <c r="O790" s="92"/>
      <c r="P790" s="92">
        <v>1184</v>
      </c>
      <c r="Q790" s="92"/>
      <c r="R790" s="92">
        <v>1184</v>
      </c>
      <c r="S790" s="92"/>
      <c r="T790" s="92"/>
      <c r="U790" s="92"/>
      <c r="V790" s="92"/>
      <c r="W790" s="92"/>
      <c r="X790" s="92"/>
      <c r="Y790" s="92"/>
      <c r="Z790" s="92"/>
      <c r="AA790" s="92">
        <v>1</v>
      </c>
      <c r="AB790" s="92"/>
      <c r="AC790" s="92"/>
      <c r="AD790" s="146" t="s">
        <v>562</v>
      </c>
      <c r="AE790" s="146" t="s">
        <v>308</v>
      </c>
      <c r="AF790" s="146" t="s">
        <v>294</v>
      </c>
      <c r="AG790" s="92"/>
    </row>
    <row r="791" s="570" customFormat="1" ht="24.95" customHeight="1" spans="1:33">
      <c r="A791" s="705"/>
      <c r="B791" s="714" t="s">
        <v>61</v>
      </c>
      <c r="C791" s="146" t="s">
        <v>52</v>
      </c>
      <c r="D791" s="152" t="s">
        <v>560</v>
      </c>
      <c r="E791" s="92">
        <v>1</v>
      </c>
      <c r="F791" s="714" t="s">
        <v>61</v>
      </c>
      <c r="G791" s="92"/>
      <c r="H791" s="92">
        <v>800</v>
      </c>
      <c r="I791" s="92"/>
      <c r="J791" s="92">
        <v>800</v>
      </c>
      <c r="K791" s="92"/>
      <c r="L791" s="92">
        <v>2019.01</v>
      </c>
      <c r="M791" s="92">
        <v>2019.12</v>
      </c>
      <c r="N791" s="92">
        <v>160</v>
      </c>
      <c r="O791" s="92"/>
      <c r="P791" s="92">
        <v>160</v>
      </c>
      <c r="Q791" s="92"/>
      <c r="R791" s="92">
        <v>160</v>
      </c>
      <c r="S791" s="92"/>
      <c r="T791" s="92"/>
      <c r="U791" s="92"/>
      <c r="V791" s="92"/>
      <c r="W791" s="92"/>
      <c r="X791" s="92"/>
      <c r="Y791" s="92">
        <v>760</v>
      </c>
      <c r="Z791" s="92">
        <v>3503</v>
      </c>
      <c r="AA791" s="92">
        <v>1</v>
      </c>
      <c r="AB791" s="92"/>
      <c r="AC791" s="92"/>
      <c r="AD791" s="146" t="s">
        <v>215</v>
      </c>
      <c r="AE791" s="146" t="s">
        <v>311</v>
      </c>
      <c r="AF791" s="146" t="s">
        <v>294</v>
      </c>
      <c r="AG791" s="92"/>
    </row>
    <row r="792" s="570" customFormat="1" ht="24.95" customHeight="1" spans="1:33">
      <c r="A792" s="705"/>
      <c r="B792" s="714" t="s">
        <v>78</v>
      </c>
      <c r="C792" s="146" t="s">
        <v>52</v>
      </c>
      <c r="D792" s="152" t="s">
        <v>560</v>
      </c>
      <c r="E792" s="92">
        <v>1</v>
      </c>
      <c r="F792" s="714" t="s">
        <v>78</v>
      </c>
      <c r="G792" s="92"/>
      <c r="H792" s="92">
        <v>1860</v>
      </c>
      <c r="I792" s="92"/>
      <c r="J792" s="92">
        <v>1860</v>
      </c>
      <c r="K792" s="92"/>
      <c r="L792" s="92">
        <v>2019.01</v>
      </c>
      <c r="M792" s="92">
        <v>2019.12</v>
      </c>
      <c r="N792" s="92">
        <v>376</v>
      </c>
      <c r="O792" s="92"/>
      <c r="P792" s="92">
        <v>376</v>
      </c>
      <c r="Q792" s="92"/>
      <c r="R792" s="92">
        <v>376</v>
      </c>
      <c r="S792" s="92"/>
      <c r="T792" s="92"/>
      <c r="U792" s="92"/>
      <c r="V792" s="92"/>
      <c r="W792" s="92"/>
      <c r="X792" s="92"/>
      <c r="Y792" s="92">
        <v>160</v>
      </c>
      <c r="Z792" s="92">
        <v>736</v>
      </c>
      <c r="AA792" s="92">
        <v>1</v>
      </c>
      <c r="AB792" s="92"/>
      <c r="AC792" s="92"/>
      <c r="AD792" s="146" t="s">
        <v>312</v>
      </c>
      <c r="AE792" s="146" t="s">
        <v>313</v>
      </c>
      <c r="AF792" s="146" t="s">
        <v>294</v>
      </c>
      <c r="AG792" s="92"/>
    </row>
    <row r="793" s="570" customFormat="1" ht="24.95" customHeight="1" spans="1:33">
      <c r="A793" s="705"/>
      <c r="B793" s="714" t="s">
        <v>114</v>
      </c>
      <c r="C793" s="146" t="s">
        <v>52</v>
      </c>
      <c r="D793" s="152" t="s">
        <v>560</v>
      </c>
      <c r="E793" s="92">
        <v>1</v>
      </c>
      <c r="F793" s="714" t="s">
        <v>114</v>
      </c>
      <c r="G793" s="92"/>
      <c r="H793" s="92">
        <v>200</v>
      </c>
      <c r="I793" s="92"/>
      <c r="J793" s="92">
        <v>200</v>
      </c>
      <c r="K793" s="92"/>
      <c r="L793" s="92">
        <v>2019.01</v>
      </c>
      <c r="M793" s="92">
        <v>2019.12</v>
      </c>
      <c r="N793" s="92">
        <v>40</v>
      </c>
      <c r="O793" s="92"/>
      <c r="P793" s="92">
        <v>40</v>
      </c>
      <c r="Q793" s="92"/>
      <c r="R793" s="92">
        <v>40</v>
      </c>
      <c r="S793" s="92"/>
      <c r="T793" s="92"/>
      <c r="U793" s="92"/>
      <c r="V793" s="92"/>
      <c r="W793" s="92"/>
      <c r="X793" s="92"/>
      <c r="Y793" s="92"/>
      <c r="Z793" s="92"/>
      <c r="AA793" s="92">
        <v>1</v>
      </c>
      <c r="AB793" s="92"/>
      <c r="AC793" s="92"/>
      <c r="AD793" s="146" t="s">
        <v>315</v>
      </c>
      <c r="AE793" s="146" t="s">
        <v>316</v>
      </c>
      <c r="AF793" s="146" t="s">
        <v>294</v>
      </c>
      <c r="AG793" s="92"/>
    </row>
    <row r="794" s="570" customFormat="1" ht="24.95" customHeight="1" spans="1:33">
      <c r="A794" s="705"/>
      <c r="B794" s="714" t="s">
        <v>64</v>
      </c>
      <c r="C794" s="146" t="s">
        <v>52</v>
      </c>
      <c r="D794" s="152" t="s">
        <v>560</v>
      </c>
      <c r="E794" s="92">
        <v>1</v>
      </c>
      <c r="F794" s="714" t="s">
        <v>64</v>
      </c>
      <c r="G794" s="92"/>
      <c r="H794" s="92">
        <v>3011</v>
      </c>
      <c r="I794" s="92"/>
      <c r="J794" s="92">
        <v>3011</v>
      </c>
      <c r="K794" s="92"/>
      <c r="L794" s="92">
        <v>2019.01</v>
      </c>
      <c r="M794" s="92">
        <v>2019.12</v>
      </c>
      <c r="N794" s="92">
        <v>602.2</v>
      </c>
      <c r="O794" s="92"/>
      <c r="P794" s="92">
        <v>602.2</v>
      </c>
      <c r="Q794" s="92"/>
      <c r="R794" s="92">
        <v>602.2</v>
      </c>
      <c r="S794" s="92"/>
      <c r="T794" s="92"/>
      <c r="U794" s="92"/>
      <c r="V794" s="92"/>
      <c r="W794" s="92"/>
      <c r="X794" s="92"/>
      <c r="Y794" s="92">
        <v>196</v>
      </c>
      <c r="Z794" s="92">
        <v>846</v>
      </c>
      <c r="AA794" s="92">
        <v>1</v>
      </c>
      <c r="AB794" s="92"/>
      <c r="AC794" s="92"/>
      <c r="AD794" s="146" t="s">
        <v>185</v>
      </c>
      <c r="AE794" s="146" t="s">
        <v>563</v>
      </c>
      <c r="AF794" s="146" t="s">
        <v>294</v>
      </c>
      <c r="AG794" s="92"/>
    </row>
    <row r="795" s="570" customFormat="1" ht="24.95" customHeight="1" spans="1:33">
      <c r="A795" s="705"/>
      <c r="B795" s="714" t="s">
        <v>564</v>
      </c>
      <c r="C795" s="146" t="s">
        <v>52</v>
      </c>
      <c r="D795" s="152" t="s">
        <v>560</v>
      </c>
      <c r="E795" s="92"/>
      <c r="F795" s="714"/>
      <c r="G795" s="92"/>
      <c r="H795" s="92"/>
      <c r="I795" s="92"/>
      <c r="J795" s="92"/>
      <c r="K795" s="92"/>
      <c r="L795" s="92"/>
      <c r="M795" s="92"/>
      <c r="N795" s="92"/>
      <c r="O795" s="92"/>
      <c r="P795" s="92"/>
      <c r="Q795" s="92"/>
      <c r="R795" s="92"/>
      <c r="S795" s="92"/>
      <c r="T795" s="92"/>
      <c r="U795" s="92"/>
      <c r="V795" s="92"/>
      <c r="W795" s="92"/>
      <c r="X795" s="92"/>
      <c r="Y795" s="92"/>
      <c r="Z795" s="92"/>
      <c r="AA795" s="92"/>
      <c r="AB795" s="92"/>
      <c r="AC795" s="92"/>
      <c r="AD795" s="146"/>
      <c r="AE795" s="146"/>
      <c r="AF795" s="146"/>
      <c r="AG795" s="92"/>
    </row>
    <row r="796" s="570" customFormat="1" ht="24.95" customHeight="1" spans="1:33">
      <c r="A796" s="705"/>
      <c r="B796" s="802" t="s">
        <v>565</v>
      </c>
      <c r="C796" s="146" t="s">
        <v>52</v>
      </c>
      <c r="D796" s="152" t="s">
        <v>509</v>
      </c>
      <c r="E796" s="92">
        <f>SUM(E797:E809)</f>
        <v>7</v>
      </c>
      <c r="F796" s="92">
        <f t="shared" ref="F796:AA796" si="110">SUM(F797:F809)</f>
        <v>0</v>
      </c>
      <c r="G796" s="92">
        <f t="shared" si="110"/>
        <v>0</v>
      </c>
      <c r="H796" s="92">
        <f t="shared" si="110"/>
        <v>7</v>
      </c>
      <c r="I796" s="92">
        <f t="shared" si="110"/>
        <v>0</v>
      </c>
      <c r="J796" s="92">
        <f t="shared" si="110"/>
        <v>7</v>
      </c>
      <c r="K796" s="92">
        <f t="shared" si="110"/>
        <v>0</v>
      </c>
      <c r="L796" s="92"/>
      <c r="M796" s="92"/>
      <c r="N796" s="92">
        <f t="shared" si="110"/>
        <v>800.74</v>
      </c>
      <c r="O796" s="92">
        <f t="shared" si="110"/>
        <v>0</v>
      </c>
      <c r="P796" s="92">
        <f t="shared" si="110"/>
        <v>800.74</v>
      </c>
      <c r="Q796" s="92">
        <f t="shared" si="110"/>
        <v>0</v>
      </c>
      <c r="R796" s="92">
        <f t="shared" si="110"/>
        <v>800.74</v>
      </c>
      <c r="S796" s="92">
        <f t="shared" si="110"/>
        <v>0</v>
      </c>
      <c r="T796" s="92">
        <f t="shared" si="110"/>
        <v>0</v>
      </c>
      <c r="U796" s="92">
        <f t="shared" si="110"/>
        <v>0</v>
      </c>
      <c r="V796" s="92">
        <f t="shared" si="110"/>
        <v>0</v>
      </c>
      <c r="W796" s="92">
        <f t="shared" si="110"/>
        <v>0</v>
      </c>
      <c r="X796" s="92">
        <f t="shared" si="110"/>
        <v>0</v>
      </c>
      <c r="Y796" s="92">
        <f t="shared" si="110"/>
        <v>3673</v>
      </c>
      <c r="Z796" s="92">
        <f t="shared" si="110"/>
        <v>16387</v>
      </c>
      <c r="AA796" s="92">
        <f t="shared" si="110"/>
        <v>7</v>
      </c>
      <c r="AB796" s="92"/>
      <c r="AC796" s="92"/>
      <c r="AD796" s="146" t="s">
        <v>296</v>
      </c>
      <c r="AE796" s="146" t="s">
        <v>561</v>
      </c>
      <c r="AF796" s="146" t="s">
        <v>294</v>
      </c>
      <c r="AG796" s="92"/>
    </row>
    <row r="797" s="570" customFormat="1" ht="24.95" customHeight="1" spans="1:33">
      <c r="A797" s="705"/>
      <c r="B797" s="97" t="s">
        <v>69</v>
      </c>
      <c r="C797" s="146" t="s">
        <v>52</v>
      </c>
      <c r="D797" s="152" t="s">
        <v>509</v>
      </c>
      <c r="E797" s="92"/>
      <c r="F797" s="97"/>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146"/>
      <c r="AE797" s="146"/>
      <c r="AF797" s="146"/>
      <c r="AG797" s="92"/>
    </row>
    <row r="798" s="570" customFormat="1" ht="24.95" customHeight="1" spans="1:33">
      <c r="A798" s="705"/>
      <c r="B798" s="803" t="s">
        <v>51</v>
      </c>
      <c r="C798" s="146" t="s">
        <v>52</v>
      </c>
      <c r="D798" s="152" t="s">
        <v>509</v>
      </c>
      <c r="E798" s="92"/>
      <c r="F798" s="803"/>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146"/>
      <c r="AE798" s="146"/>
      <c r="AF798" s="146"/>
      <c r="AG798" s="92"/>
    </row>
    <row r="799" s="570" customFormat="1" ht="24.95" customHeight="1" spans="1:33">
      <c r="A799" s="705"/>
      <c r="B799" s="803" t="s">
        <v>72</v>
      </c>
      <c r="C799" s="146" t="s">
        <v>52</v>
      </c>
      <c r="D799" s="152" t="s">
        <v>509</v>
      </c>
      <c r="E799" s="92"/>
      <c r="F799" s="803"/>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146"/>
      <c r="AE799" s="146"/>
      <c r="AF799" s="146"/>
      <c r="AG799" s="92"/>
    </row>
    <row r="800" s="570" customFormat="1" ht="24.95" customHeight="1" spans="1:33">
      <c r="A800" s="705"/>
      <c r="B800" s="803" t="s">
        <v>91</v>
      </c>
      <c r="C800" s="146" t="s">
        <v>52</v>
      </c>
      <c r="D800" s="152" t="s">
        <v>509</v>
      </c>
      <c r="E800" s="92">
        <v>1</v>
      </c>
      <c r="F800" s="803" t="s">
        <v>91</v>
      </c>
      <c r="G800" s="92"/>
      <c r="H800" s="92">
        <v>1</v>
      </c>
      <c r="I800" s="92"/>
      <c r="J800" s="92">
        <v>1</v>
      </c>
      <c r="K800" s="92"/>
      <c r="L800" s="92">
        <v>2019.01</v>
      </c>
      <c r="M800" s="92">
        <v>2019.12</v>
      </c>
      <c r="N800" s="92">
        <v>252</v>
      </c>
      <c r="O800" s="92"/>
      <c r="P800" s="92">
        <v>252</v>
      </c>
      <c r="Q800" s="92"/>
      <c r="R800" s="92">
        <v>252</v>
      </c>
      <c r="S800" s="92"/>
      <c r="T800" s="92"/>
      <c r="U800" s="92"/>
      <c r="V800" s="92"/>
      <c r="W800" s="92"/>
      <c r="X800" s="92"/>
      <c r="Y800" s="92"/>
      <c r="Z800" s="92"/>
      <c r="AA800" s="92">
        <v>1</v>
      </c>
      <c r="AB800" s="92"/>
      <c r="AC800" s="92"/>
      <c r="AD800" s="146" t="s">
        <v>375</v>
      </c>
      <c r="AE800" s="146" t="s">
        <v>304</v>
      </c>
      <c r="AF800" s="146" t="s">
        <v>294</v>
      </c>
      <c r="AG800" s="92"/>
    </row>
    <row r="801" s="570" customFormat="1" ht="24.95" customHeight="1" spans="1:33">
      <c r="A801" s="705"/>
      <c r="B801" s="803" t="s">
        <v>55</v>
      </c>
      <c r="C801" s="146" t="s">
        <v>52</v>
      </c>
      <c r="D801" s="152" t="s">
        <v>509</v>
      </c>
      <c r="E801" s="92">
        <v>2</v>
      </c>
      <c r="F801" s="803" t="s">
        <v>55</v>
      </c>
      <c r="G801" s="92"/>
      <c r="H801" s="92">
        <v>2</v>
      </c>
      <c r="I801" s="92"/>
      <c r="J801" s="92">
        <v>2</v>
      </c>
      <c r="K801" s="92"/>
      <c r="L801" s="92">
        <v>2019.01</v>
      </c>
      <c r="M801" s="92">
        <v>2019.12</v>
      </c>
      <c r="N801" s="92">
        <v>134</v>
      </c>
      <c r="O801" s="92"/>
      <c r="P801" s="92">
        <v>134</v>
      </c>
      <c r="Q801" s="92"/>
      <c r="R801" s="92">
        <v>134</v>
      </c>
      <c r="S801" s="92"/>
      <c r="T801" s="92"/>
      <c r="U801" s="92"/>
      <c r="V801" s="92"/>
      <c r="W801" s="92"/>
      <c r="X801" s="92"/>
      <c r="Y801" s="92"/>
      <c r="Z801" s="92"/>
      <c r="AA801" s="92">
        <v>2</v>
      </c>
      <c r="AB801" s="92"/>
      <c r="AC801" s="92"/>
      <c r="AD801" s="146" t="s">
        <v>305</v>
      </c>
      <c r="AE801" s="146" t="s">
        <v>306</v>
      </c>
      <c r="AF801" s="146" t="s">
        <v>294</v>
      </c>
      <c r="AG801" s="92"/>
    </row>
    <row r="802" s="570" customFormat="1" ht="24.95" customHeight="1" spans="1:33">
      <c r="A802" s="705"/>
      <c r="B802" s="803" t="s">
        <v>75</v>
      </c>
      <c r="C802" s="146" t="s">
        <v>52</v>
      </c>
      <c r="D802" s="152" t="s">
        <v>509</v>
      </c>
      <c r="E802" s="92"/>
      <c r="F802" s="803"/>
      <c r="G802" s="92"/>
      <c r="H802" s="92"/>
      <c r="I802" s="92"/>
      <c r="J802" s="92"/>
      <c r="K802" s="92"/>
      <c r="L802" s="92"/>
      <c r="M802" s="92"/>
      <c r="N802" s="92"/>
      <c r="O802" s="92"/>
      <c r="P802" s="92"/>
      <c r="Q802" s="92"/>
      <c r="R802" s="92"/>
      <c r="S802" s="92"/>
      <c r="T802" s="92"/>
      <c r="U802" s="92"/>
      <c r="V802" s="92"/>
      <c r="W802" s="92"/>
      <c r="X802" s="92"/>
      <c r="Y802" s="92"/>
      <c r="Z802" s="92"/>
      <c r="AA802" s="92"/>
      <c r="AB802" s="92"/>
      <c r="AC802" s="92"/>
      <c r="AD802" s="146"/>
      <c r="AE802" s="146"/>
      <c r="AF802" s="146"/>
      <c r="AG802" s="92"/>
    </row>
    <row r="803" s="570" customFormat="1" ht="24.95" customHeight="1" spans="1:33">
      <c r="A803" s="705"/>
      <c r="B803" s="803" t="s">
        <v>58</v>
      </c>
      <c r="C803" s="146" t="s">
        <v>52</v>
      </c>
      <c r="D803" s="152" t="s">
        <v>509</v>
      </c>
      <c r="E803" s="92"/>
      <c r="F803" s="803"/>
      <c r="G803" s="92"/>
      <c r="H803" s="92"/>
      <c r="I803" s="92"/>
      <c r="J803" s="92"/>
      <c r="K803" s="92"/>
      <c r="L803" s="92"/>
      <c r="M803" s="92"/>
      <c r="N803" s="92"/>
      <c r="O803" s="92"/>
      <c r="P803" s="92"/>
      <c r="Q803" s="92"/>
      <c r="R803" s="92"/>
      <c r="S803" s="92"/>
      <c r="T803" s="92"/>
      <c r="U803" s="92"/>
      <c r="V803" s="92"/>
      <c r="W803" s="92"/>
      <c r="X803" s="92"/>
      <c r="Y803" s="92"/>
      <c r="Z803" s="92"/>
      <c r="AA803" s="92"/>
      <c r="AB803" s="92"/>
      <c r="AC803" s="92"/>
      <c r="AD803" s="146"/>
      <c r="AE803" s="146"/>
      <c r="AF803" s="146"/>
      <c r="AG803" s="92"/>
    </row>
    <row r="804" s="570" customFormat="1" ht="24.95" customHeight="1" spans="1:33">
      <c r="A804" s="705"/>
      <c r="B804" s="803" t="s">
        <v>61</v>
      </c>
      <c r="C804" s="146" t="s">
        <v>52</v>
      </c>
      <c r="D804" s="152" t="s">
        <v>509</v>
      </c>
      <c r="E804" s="92">
        <v>2</v>
      </c>
      <c r="F804" s="803" t="s">
        <v>61</v>
      </c>
      <c r="G804" s="92"/>
      <c r="H804" s="92">
        <v>2</v>
      </c>
      <c r="I804" s="92"/>
      <c r="J804" s="92">
        <v>2</v>
      </c>
      <c r="K804" s="92"/>
      <c r="L804" s="92">
        <v>2019.01</v>
      </c>
      <c r="M804" s="92">
        <v>2019.12</v>
      </c>
      <c r="N804" s="92">
        <v>37.36</v>
      </c>
      <c r="O804" s="92"/>
      <c r="P804" s="92">
        <v>37.36</v>
      </c>
      <c r="Q804" s="92"/>
      <c r="R804" s="92">
        <v>37.36</v>
      </c>
      <c r="S804" s="92"/>
      <c r="T804" s="92"/>
      <c r="U804" s="92"/>
      <c r="V804" s="92"/>
      <c r="W804" s="92"/>
      <c r="X804" s="92"/>
      <c r="Y804" s="92">
        <v>3114</v>
      </c>
      <c r="Z804" s="92">
        <v>13984</v>
      </c>
      <c r="AA804" s="92">
        <v>2</v>
      </c>
      <c r="AB804" s="92"/>
      <c r="AC804" s="92"/>
      <c r="AD804" s="146" t="s">
        <v>215</v>
      </c>
      <c r="AE804" s="146" t="s">
        <v>311</v>
      </c>
      <c r="AF804" s="146" t="s">
        <v>294</v>
      </c>
      <c r="AG804" s="92"/>
    </row>
    <row r="805" s="570" customFormat="1" ht="24.95" customHeight="1" spans="1:33">
      <c r="A805" s="705"/>
      <c r="B805" s="803" t="s">
        <v>78</v>
      </c>
      <c r="C805" s="146" t="s">
        <v>52</v>
      </c>
      <c r="D805" s="152" t="s">
        <v>509</v>
      </c>
      <c r="E805" s="92"/>
      <c r="F805" s="803"/>
      <c r="G805" s="92"/>
      <c r="H805" s="92"/>
      <c r="I805" s="92"/>
      <c r="J805" s="92"/>
      <c r="K805" s="92"/>
      <c r="L805" s="92"/>
      <c r="M805" s="92"/>
      <c r="N805" s="92"/>
      <c r="O805" s="92"/>
      <c r="P805" s="92"/>
      <c r="Q805" s="92"/>
      <c r="R805" s="92"/>
      <c r="S805" s="92"/>
      <c r="T805" s="92"/>
      <c r="U805" s="92"/>
      <c r="V805" s="92"/>
      <c r="W805" s="92"/>
      <c r="X805" s="92"/>
      <c r="Y805" s="92"/>
      <c r="Z805" s="92"/>
      <c r="AA805" s="92"/>
      <c r="AB805" s="92"/>
      <c r="AC805" s="92"/>
      <c r="AD805" s="146"/>
      <c r="AE805" s="146"/>
      <c r="AF805" s="146"/>
      <c r="AG805" s="92"/>
    </row>
    <row r="806" s="570" customFormat="1" ht="24.95" customHeight="1" spans="1:33">
      <c r="A806" s="705"/>
      <c r="B806" s="803" t="s">
        <v>114</v>
      </c>
      <c r="C806" s="146" t="s">
        <v>52</v>
      </c>
      <c r="D806" s="152" t="s">
        <v>509</v>
      </c>
      <c r="E806" s="92"/>
      <c r="F806" s="803"/>
      <c r="G806" s="92"/>
      <c r="H806" s="92"/>
      <c r="I806" s="92"/>
      <c r="J806" s="92"/>
      <c r="K806" s="92"/>
      <c r="L806" s="92"/>
      <c r="M806" s="92"/>
      <c r="N806" s="92"/>
      <c r="O806" s="92"/>
      <c r="P806" s="92"/>
      <c r="Q806" s="92"/>
      <c r="R806" s="92"/>
      <c r="S806" s="92"/>
      <c r="T806" s="92"/>
      <c r="U806" s="92"/>
      <c r="V806" s="92"/>
      <c r="W806" s="92"/>
      <c r="X806" s="92"/>
      <c r="Y806" s="92"/>
      <c r="Z806" s="92"/>
      <c r="AA806" s="92"/>
      <c r="AB806" s="92"/>
      <c r="AC806" s="92"/>
      <c r="AD806" s="146"/>
      <c r="AE806" s="146"/>
      <c r="AF806" s="146"/>
      <c r="AG806" s="92"/>
    </row>
    <row r="807" s="570" customFormat="1" ht="24.95" customHeight="1" spans="1:33">
      <c r="A807" s="705"/>
      <c r="B807" s="803" t="s">
        <v>64</v>
      </c>
      <c r="C807" s="146" t="s">
        <v>52</v>
      </c>
      <c r="D807" s="152" t="s">
        <v>509</v>
      </c>
      <c r="E807" s="92">
        <v>1</v>
      </c>
      <c r="F807" s="803" t="s">
        <v>64</v>
      </c>
      <c r="G807" s="92"/>
      <c r="H807" s="92">
        <v>1</v>
      </c>
      <c r="I807" s="92"/>
      <c r="J807" s="92">
        <v>1</v>
      </c>
      <c r="K807" s="92"/>
      <c r="L807" s="92">
        <v>2019.01</v>
      </c>
      <c r="M807" s="92">
        <v>2019.12</v>
      </c>
      <c r="N807" s="92">
        <v>252.38</v>
      </c>
      <c r="O807" s="92"/>
      <c r="P807" s="92">
        <v>252.38</v>
      </c>
      <c r="Q807" s="92"/>
      <c r="R807" s="92">
        <v>252.38</v>
      </c>
      <c r="S807" s="92"/>
      <c r="T807" s="92"/>
      <c r="U807" s="92"/>
      <c r="V807" s="92"/>
      <c r="W807" s="92"/>
      <c r="X807" s="92"/>
      <c r="Y807" s="92">
        <v>559</v>
      </c>
      <c r="Z807" s="92">
        <v>2403</v>
      </c>
      <c r="AA807" s="92">
        <v>1</v>
      </c>
      <c r="AB807" s="92"/>
      <c r="AC807" s="92"/>
      <c r="AD807" s="146" t="s">
        <v>185</v>
      </c>
      <c r="AE807" s="146" t="s">
        <v>563</v>
      </c>
      <c r="AF807" s="146" t="s">
        <v>294</v>
      </c>
      <c r="AG807" s="92"/>
    </row>
    <row r="808" s="570" customFormat="1" ht="24.95" customHeight="1" spans="1:33">
      <c r="A808" s="705"/>
      <c r="B808" s="803" t="s">
        <v>92</v>
      </c>
      <c r="C808" s="146" t="s">
        <v>52</v>
      </c>
      <c r="D808" s="152" t="s">
        <v>509</v>
      </c>
      <c r="E808" s="92"/>
      <c r="F808" s="803"/>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146"/>
      <c r="AE808" s="146"/>
      <c r="AF808" s="146"/>
      <c r="AG808" s="92"/>
    </row>
    <row r="809" s="570" customFormat="1" ht="24.95" customHeight="1" spans="1:33">
      <c r="A809" s="705"/>
      <c r="B809" s="803" t="s">
        <v>564</v>
      </c>
      <c r="C809" s="146" t="s">
        <v>52</v>
      </c>
      <c r="D809" s="152" t="s">
        <v>509</v>
      </c>
      <c r="E809" s="92">
        <v>1</v>
      </c>
      <c r="F809" s="803" t="s">
        <v>564</v>
      </c>
      <c r="G809" s="92"/>
      <c r="H809" s="92">
        <v>1</v>
      </c>
      <c r="I809" s="92"/>
      <c r="J809" s="92">
        <v>1</v>
      </c>
      <c r="K809" s="92"/>
      <c r="L809" s="92">
        <v>2019.01</v>
      </c>
      <c r="M809" s="92">
        <v>2019.12</v>
      </c>
      <c r="N809" s="92">
        <v>125</v>
      </c>
      <c r="O809" s="92"/>
      <c r="P809" s="92">
        <v>125</v>
      </c>
      <c r="Q809" s="92"/>
      <c r="R809" s="92">
        <v>125</v>
      </c>
      <c r="S809" s="92"/>
      <c r="T809" s="92"/>
      <c r="U809" s="92"/>
      <c r="V809" s="92"/>
      <c r="W809" s="92"/>
      <c r="X809" s="92"/>
      <c r="Y809" s="92"/>
      <c r="Z809" s="92"/>
      <c r="AA809" s="92">
        <v>1</v>
      </c>
      <c r="AB809" s="92"/>
      <c r="AC809" s="92"/>
      <c r="AD809" s="146" t="s">
        <v>296</v>
      </c>
      <c r="AE809" s="146" t="s">
        <v>561</v>
      </c>
      <c r="AF809" s="146" t="s">
        <v>294</v>
      </c>
      <c r="AG809" s="92"/>
    </row>
    <row r="810" s="570" customFormat="1" ht="24.95" customHeight="1" spans="1:33">
      <c r="A810" s="705"/>
      <c r="B810" s="802" t="s">
        <v>566</v>
      </c>
      <c r="C810" s="712" t="s">
        <v>52</v>
      </c>
      <c r="D810" s="152" t="s">
        <v>509</v>
      </c>
      <c r="E810" s="92"/>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146"/>
      <c r="AE810" s="146"/>
      <c r="AF810" s="146"/>
      <c r="AG810" s="92"/>
    </row>
    <row r="811" s="570" customFormat="1" ht="24.95" customHeight="1" spans="1:33">
      <c r="A811" s="705"/>
      <c r="B811" s="714" t="s">
        <v>69</v>
      </c>
      <c r="C811" s="712" t="s">
        <v>52</v>
      </c>
      <c r="D811" s="152" t="s">
        <v>509</v>
      </c>
      <c r="E811" s="92"/>
      <c r="F811" s="714"/>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146"/>
      <c r="AE811" s="146"/>
      <c r="AF811" s="146"/>
      <c r="AG811" s="92"/>
    </row>
    <row r="812" s="570" customFormat="1" ht="24.95" customHeight="1" spans="1:33">
      <c r="A812" s="705"/>
      <c r="B812" s="803" t="s">
        <v>51</v>
      </c>
      <c r="C812" s="712" t="s">
        <v>52</v>
      </c>
      <c r="D812" s="152" t="s">
        <v>509</v>
      </c>
      <c r="E812" s="92"/>
      <c r="F812" s="803"/>
      <c r="G812" s="92"/>
      <c r="H812" s="92"/>
      <c r="I812" s="92"/>
      <c r="J812" s="92"/>
      <c r="K812" s="92"/>
      <c r="L812" s="92"/>
      <c r="M812" s="92"/>
      <c r="N812" s="92"/>
      <c r="O812" s="92"/>
      <c r="P812" s="92"/>
      <c r="Q812" s="92"/>
      <c r="R812" s="92"/>
      <c r="S812" s="92"/>
      <c r="T812" s="92"/>
      <c r="U812" s="92"/>
      <c r="V812" s="92"/>
      <c r="W812" s="92"/>
      <c r="X812" s="92"/>
      <c r="Y812" s="92"/>
      <c r="Z812" s="92"/>
      <c r="AA812" s="92"/>
      <c r="AB812" s="92"/>
      <c r="AC812" s="92"/>
      <c r="AD812" s="146"/>
      <c r="AE812" s="146"/>
      <c r="AF812" s="146"/>
      <c r="AG812" s="92"/>
    </row>
    <row r="813" s="570" customFormat="1" ht="24.95" customHeight="1" spans="1:33">
      <c r="A813" s="705"/>
      <c r="B813" s="803" t="s">
        <v>72</v>
      </c>
      <c r="C813" s="712" t="s">
        <v>52</v>
      </c>
      <c r="D813" s="152" t="s">
        <v>509</v>
      </c>
      <c r="E813" s="92"/>
      <c r="F813" s="803"/>
      <c r="G813" s="92"/>
      <c r="H813" s="92"/>
      <c r="I813" s="92"/>
      <c r="J813" s="92"/>
      <c r="K813" s="92"/>
      <c r="L813" s="92"/>
      <c r="M813" s="92"/>
      <c r="N813" s="92"/>
      <c r="O813" s="92"/>
      <c r="P813" s="92"/>
      <c r="Q813" s="92"/>
      <c r="R813" s="92"/>
      <c r="S813" s="92"/>
      <c r="T813" s="92"/>
      <c r="U813" s="92"/>
      <c r="V813" s="92"/>
      <c r="W813" s="92"/>
      <c r="X813" s="92"/>
      <c r="Y813" s="92"/>
      <c r="Z813" s="92"/>
      <c r="AA813" s="92"/>
      <c r="AB813" s="92"/>
      <c r="AC813" s="92"/>
      <c r="AD813" s="146"/>
      <c r="AE813" s="146"/>
      <c r="AF813" s="146"/>
      <c r="AG813" s="92"/>
    </row>
    <row r="814" s="570" customFormat="1" ht="24.95" customHeight="1" spans="1:33">
      <c r="A814" s="705"/>
      <c r="B814" s="803" t="s">
        <v>91</v>
      </c>
      <c r="C814" s="712" t="s">
        <v>52</v>
      </c>
      <c r="D814" s="152" t="s">
        <v>509</v>
      </c>
      <c r="E814" s="92"/>
      <c r="F814" s="803"/>
      <c r="G814" s="92"/>
      <c r="H814" s="92"/>
      <c r="I814" s="92"/>
      <c r="J814" s="92"/>
      <c r="K814" s="92"/>
      <c r="L814" s="92"/>
      <c r="M814" s="92"/>
      <c r="N814" s="92"/>
      <c r="O814" s="92"/>
      <c r="P814" s="92"/>
      <c r="Q814" s="92"/>
      <c r="R814" s="92"/>
      <c r="S814" s="92"/>
      <c r="T814" s="92"/>
      <c r="U814" s="92"/>
      <c r="V814" s="92"/>
      <c r="W814" s="92"/>
      <c r="X814" s="92"/>
      <c r="Y814" s="92"/>
      <c r="Z814" s="92"/>
      <c r="AA814" s="92"/>
      <c r="AB814" s="92"/>
      <c r="AC814" s="92"/>
      <c r="AD814" s="146"/>
      <c r="AE814" s="146"/>
      <c r="AF814" s="146"/>
      <c r="AG814" s="92"/>
    </row>
    <row r="815" s="570" customFormat="1" ht="24.95" customHeight="1" spans="1:33">
      <c r="A815" s="705"/>
      <c r="B815" s="803" t="s">
        <v>55</v>
      </c>
      <c r="C815" s="712" t="s">
        <v>52</v>
      </c>
      <c r="D815" s="152" t="s">
        <v>509</v>
      </c>
      <c r="E815" s="92"/>
      <c r="F815" s="803"/>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146"/>
      <c r="AE815" s="146"/>
      <c r="AF815" s="146"/>
      <c r="AG815" s="92"/>
    </row>
    <row r="816" s="570" customFormat="1" ht="24.95" customHeight="1" spans="1:33">
      <c r="A816" s="705"/>
      <c r="B816" s="803" t="s">
        <v>75</v>
      </c>
      <c r="C816" s="712" t="s">
        <v>52</v>
      </c>
      <c r="D816" s="152" t="s">
        <v>509</v>
      </c>
      <c r="E816" s="92"/>
      <c r="F816" s="803"/>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146"/>
      <c r="AE816" s="146"/>
      <c r="AF816" s="146"/>
      <c r="AG816" s="92"/>
    </row>
    <row r="817" s="570" customFormat="1" ht="24.95" customHeight="1" spans="1:33">
      <c r="A817" s="705"/>
      <c r="B817" s="803" t="s">
        <v>58</v>
      </c>
      <c r="C817" s="712" t="s">
        <v>52</v>
      </c>
      <c r="D817" s="152" t="s">
        <v>509</v>
      </c>
      <c r="E817" s="92"/>
      <c r="F817" s="803"/>
      <c r="G817" s="92"/>
      <c r="H817" s="92"/>
      <c r="I817" s="92"/>
      <c r="J817" s="92"/>
      <c r="K817" s="92"/>
      <c r="L817" s="92"/>
      <c r="M817" s="92"/>
      <c r="N817" s="92"/>
      <c r="O817" s="92"/>
      <c r="P817" s="92"/>
      <c r="Q817" s="92"/>
      <c r="R817" s="92"/>
      <c r="S817" s="92"/>
      <c r="T817" s="92"/>
      <c r="U817" s="92"/>
      <c r="V817" s="92"/>
      <c r="W817" s="92"/>
      <c r="X817" s="92"/>
      <c r="Y817" s="92"/>
      <c r="Z817" s="92"/>
      <c r="AA817" s="92"/>
      <c r="AB817" s="92"/>
      <c r="AC817" s="92"/>
      <c r="AD817" s="146"/>
      <c r="AE817" s="146"/>
      <c r="AF817" s="146"/>
      <c r="AG817" s="92"/>
    </row>
    <row r="818" s="570" customFormat="1" ht="24.95" customHeight="1" spans="1:33">
      <c r="A818" s="705"/>
      <c r="B818" s="803" t="s">
        <v>61</v>
      </c>
      <c r="C818" s="712" t="s">
        <v>52</v>
      </c>
      <c r="D818" s="152" t="s">
        <v>509</v>
      </c>
      <c r="E818" s="92"/>
      <c r="F818" s="803"/>
      <c r="G818" s="92"/>
      <c r="H818" s="92"/>
      <c r="I818" s="92"/>
      <c r="J818" s="92"/>
      <c r="K818" s="92"/>
      <c r="L818" s="92"/>
      <c r="M818" s="92"/>
      <c r="N818" s="92"/>
      <c r="O818" s="92"/>
      <c r="P818" s="92"/>
      <c r="Q818" s="92"/>
      <c r="R818" s="92"/>
      <c r="S818" s="92"/>
      <c r="T818" s="92"/>
      <c r="U818" s="92"/>
      <c r="V818" s="92"/>
      <c r="W818" s="92"/>
      <c r="X818" s="92"/>
      <c r="Y818" s="92"/>
      <c r="Z818" s="92"/>
      <c r="AA818" s="92"/>
      <c r="AB818" s="92"/>
      <c r="AC818" s="92"/>
      <c r="AD818" s="146"/>
      <c r="AE818" s="146"/>
      <c r="AF818" s="146"/>
      <c r="AG818" s="92"/>
    </row>
    <row r="819" s="570" customFormat="1" ht="24.95" customHeight="1" spans="1:33">
      <c r="A819" s="705"/>
      <c r="B819" s="803" t="s">
        <v>78</v>
      </c>
      <c r="C819" s="712" t="s">
        <v>52</v>
      </c>
      <c r="D819" s="152" t="s">
        <v>509</v>
      </c>
      <c r="E819" s="92"/>
      <c r="F819" s="803"/>
      <c r="G819" s="92"/>
      <c r="H819" s="92"/>
      <c r="I819" s="92"/>
      <c r="J819" s="92"/>
      <c r="K819" s="92"/>
      <c r="L819" s="92"/>
      <c r="M819" s="92"/>
      <c r="N819" s="92"/>
      <c r="O819" s="92"/>
      <c r="P819" s="92"/>
      <c r="Q819" s="92"/>
      <c r="R819" s="92"/>
      <c r="S819" s="92"/>
      <c r="T819" s="92"/>
      <c r="U819" s="92"/>
      <c r="V819" s="92"/>
      <c r="W819" s="92"/>
      <c r="X819" s="92"/>
      <c r="Y819" s="92"/>
      <c r="Z819" s="92"/>
      <c r="AA819" s="92"/>
      <c r="AB819" s="92"/>
      <c r="AC819" s="92"/>
      <c r="AD819" s="146"/>
      <c r="AE819" s="146"/>
      <c r="AF819" s="146"/>
      <c r="AG819" s="92"/>
    </row>
    <row r="820" s="570" customFormat="1" ht="24.95" customHeight="1" spans="1:33">
      <c r="A820" s="705"/>
      <c r="B820" s="803" t="s">
        <v>114</v>
      </c>
      <c r="C820" s="712" t="s">
        <v>52</v>
      </c>
      <c r="D820" s="152" t="s">
        <v>509</v>
      </c>
      <c r="E820" s="92"/>
      <c r="F820" s="803"/>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146"/>
      <c r="AE820" s="146"/>
      <c r="AF820" s="146"/>
      <c r="AG820" s="92"/>
    </row>
    <row r="821" s="570" customFormat="1" ht="24.95" customHeight="1" spans="1:33">
      <c r="A821" s="705"/>
      <c r="B821" s="803" t="s">
        <v>64</v>
      </c>
      <c r="C821" s="712" t="s">
        <v>52</v>
      </c>
      <c r="D821" s="152" t="s">
        <v>509</v>
      </c>
      <c r="E821" s="92"/>
      <c r="F821" s="803"/>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146"/>
      <c r="AE821" s="146"/>
      <c r="AF821" s="146"/>
      <c r="AG821" s="92"/>
    </row>
    <row r="822" s="570" customFormat="1" ht="24.95" customHeight="1" spans="1:33">
      <c r="A822" s="705"/>
      <c r="B822" s="803" t="s">
        <v>92</v>
      </c>
      <c r="C822" s="712" t="s">
        <v>52</v>
      </c>
      <c r="D822" s="152" t="s">
        <v>509</v>
      </c>
      <c r="E822" s="92"/>
      <c r="F822" s="803"/>
      <c r="G822" s="92"/>
      <c r="H822" s="92"/>
      <c r="I822" s="92"/>
      <c r="J822" s="92"/>
      <c r="K822" s="92"/>
      <c r="L822" s="92"/>
      <c r="M822" s="92"/>
      <c r="N822" s="92"/>
      <c r="O822" s="92"/>
      <c r="P822" s="92"/>
      <c r="Q822" s="92"/>
      <c r="R822" s="92"/>
      <c r="S822" s="92"/>
      <c r="T822" s="92"/>
      <c r="U822" s="92"/>
      <c r="V822" s="92"/>
      <c r="W822" s="92"/>
      <c r="X822" s="92"/>
      <c r="Y822" s="92"/>
      <c r="Z822" s="92"/>
      <c r="AA822" s="92"/>
      <c r="AB822" s="92"/>
      <c r="AC822" s="92"/>
      <c r="AD822" s="146"/>
      <c r="AE822" s="146"/>
      <c r="AF822" s="146"/>
      <c r="AG822" s="92"/>
    </row>
    <row r="823" s="570" customFormat="1" ht="24.95" customHeight="1" spans="1:33">
      <c r="A823" s="705">
        <v>105</v>
      </c>
      <c r="B823" s="803" t="s">
        <v>564</v>
      </c>
      <c r="C823" s="712" t="s">
        <v>52</v>
      </c>
      <c r="D823" s="152" t="s">
        <v>509</v>
      </c>
      <c r="E823" s="708"/>
      <c r="F823" s="803"/>
      <c r="G823" s="708"/>
      <c r="H823" s="708"/>
      <c r="I823" s="708"/>
      <c r="J823" s="708"/>
      <c r="K823" s="708"/>
      <c r="L823" s="92"/>
      <c r="M823" s="92"/>
      <c r="N823" s="726"/>
      <c r="O823" s="726"/>
      <c r="P823" s="726"/>
      <c r="Q823" s="726"/>
      <c r="R823" s="726"/>
      <c r="S823" s="726"/>
      <c r="T823" s="726"/>
      <c r="U823" s="726"/>
      <c r="V823" s="726"/>
      <c r="W823" s="726"/>
      <c r="X823" s="726"/>
      <c r="Y823" s="726"/>
      <c r="Z823" s="726"/>
      <c r="AA823" s="708"/>
      <c r="AB823" s="708"/>
      <c r="AC823" s="708"/>
      <c r="AD823" s="146"/>
      <c r="AE823" s="146"/>
      <c r="AF823" s="146"/>
      <c r="AG823" s="708" t="s">
        <v>41</v>
      </c>
    </row>
    <row r="824" s="570" customFormat="1" ht="24.95" customHeight="1" spans="1:33">
      <c r="A824" s="705"/>
      <c r="B824" s="802" t="s">
        <v>567</v>
      </c>
      <c r="C824" s="712" t="s">
        <v>52</v>
      </c>
      <c r="D824" s="152" t="s">
        <v>568</v>
      </c>
      <c r="E824" s="708"/>
      <c r="F824" s="708"/>
      <c r="G824" s="708"/>
      <c r="H824" s="708"/>
      <c r="I824" s="708"/>
      <c r="J824" s="708"/>
      <c r="K824" s="708"/>
      <c r="L824" s="708"/>
      <c r="M824" s="708"/>
      <c r="N824" s="726"/>
      <c r="O824" s="726"/>
      <c r="P824" s="726"/>
      <c r="Q824" s="726"/>
      <c r="R824" s="726"/>
      <c r="S824" s="726"/>
      <c r="T824" s="726"/>
      <c r="U824" s="726"/>
      <c r="V824" s="726"/>
      <c r="W824" s="726"/>
      <c r="X824" s="726"/>
      <c r="Y824" s="726"/>
      <c r="Z824" s="726"/>
      <c r="AA824" s="708"/>
      <c r="AB824" s="708"/>
      <c r="AC824" s="708"/>
      <c r="AD824" s="146"/>
      <c r="AE824" s="146"/>
      <c r="AF824" s="146"/>
      <c r="AG824" s="708"/>
    </row>
    <row r="825" s="570" customFormat="1" ht="24.95" customHeight="1" spans="1:33">
      <c r="A825" s="705"/>
      <c r="B825" s="97" t="s">
        <v>569</v>
      </c>
      <c r="C825" s="712" t="s">
        <v>52</v>
      </c>
      <c r="D825" s="152" t="s">
        <v>568</v>
      </c>
      <c r="E825" s="708"/>
      <c r="F825" s="97"/>
      <c r="G825" s="708"/>
      <c r="H825" s="708"/>
      <c r="I825" s="708"/>
      <c r="J825" s="708"/>
      <c r="K825" s="708"/>
      <c r="L825" s="708"/>
      <c r="M825" s="708"/>
      <c r="N825" s="726"/>
      <c r="O825" s="726"/>
      <c r="P825" s="726"/>
      <c r="Q825" s="726"/>
      <c r="R825" s="726"/>
      <c r="S825" s="726"/>
      <c r="T825" s="726"/>
      <c r="U825" s="726"/>
      <c r="V825" s="726"/>
      <c r="W825" s="726"/>
      <c r="X825" s="726"/>
      <c r="Y825" s="726"/>
      <c r="Z825" s="726"/>
      <c r="AA825" s="708"/>
      <c r="AB825" s="708"/>
      <c r="AC825" s="708"/>
      <c r="AD825" s="146"/>
      <c r="AE825" s="146"/>
      <c r="AF825" s="146"/>
      <c r="AG825" s="708"/>
    </row>
    <row r="826" ht="24.95" customHeight="1" spans="1:33">
      <c r="A826" s="705">
        <v>105</v>
      </c>
      <c r="B826" s="791" t="s">
        <v>570</v>
      </c>
      <c r="C826" s="708"/>
      <c r="D826" s="709" t="s">
        <v>150</v>
      </c>
      <c r="E826" s="708">
        <f>E827+E840+E847+E849+E852+E856</f>
        <v>31</v>
      </c>
      <c r="F826" s="708"/>
      <c r="G826" s="708"/>
      <c r="H826" s="708">
        <f t="shared" ref="F826:AA826" si="111">H827+H840+H847+H849+H852+H856</f>
        <v>31</v>
      </c>
      <c r="I826" s="708">
        <f t="shared" si="111"/>
        <v>0</v>
      </c>
      <c r="J826" s="708">
        <f t="shared" si="111"/>
        <v>31</v>
      </c>
      <c r="K826" s="708">
        <f t="shared" si="111"/>
        <v>0</v>
      </c>
      <c r="L826" s="708"/>
      <c r="M826" s="708"/>
      <c r="N826" s="708">
        <f t="shared" si="111"/>
        <v>3424.7</v>
      </c>
      <c r="O826" s="708">
        <f t="shared" si="111"/>
        <v>0</v>
      </c>
      <c r="P826" s="708">
        <f t="shared" si="111"/>
        <v>3424.7</v>
      </c>
      <c r="Q826" s="708">
        <f t="shared" si="111"/>
        <v>0</v>
      </c>
      <c r="R826" s="708">
        <f t="shared" si="111"/>
        <v>0</v>
      </c>
      <c r="S826" s="708">
        <f t="shared" si="111"/>
        <v>1824.7</v>
      </c>
      <c r="T826" s="708">
        <f t="shared" si="111"/>
        <v>0</v>
      </c>
      <c r="U826" s="708">
        <f t="shared" si="111"/>
        <v>1600</v>
      </c>
      <c r="V826" s="708">
        <f t="shared" si="111"/>
        <v>0</v>
      </c>
      <c r="W826" s="708">
        <f t="shared" si="111"/>
        <v>0</v>
      </c>
      <c r="X826" s="708">
        <f t="shared" si="111"/>
        <v>0</v>
      </c>
      <c r="Y826" s="708">
        <f t="shared" si="111"/>
        <v>27849</v>
      </c>
      <c r="Z826" s="708">
        <f t="shared" si="111"/>
        <v>119567</v>
      </c>
      <c r="AA826" s="708">
        <f t="shared" si="111"/>
        <v>31</v>
      </c>
      <c r="AB826" s="708"/>
      <c r="AC826" s="708"/>
      <c r="AD826" s="708"/>
      <c r="AE826" s="708"/>
      <c r="AF826" s="708" t="s">
        <v>273</v>
      </c>
      <c r="AG826" s="708" t="s">
        <v>41</v>
      </c>
    </row>
    <row r="827" customFormat="1" ht="24.95" customHeight="1" spans="1:33">
      <c r="A827" s="804"/>
      <c r="B827" s="805" t="s">
        <v>571</v>
      </c>
      <c r="C827" s="712" t="s">
        <v>52</v>
      </c>
      <c r="D827" s="713" t="s">
        <v>150</v>
      </c>
      <c r="E827" s="708">
        <v>12</v>
      </c>
      <c r="F827" s="708"/>
      <c r="G827" s="708"/>
      <c r="H827" s="708">
        <v>12</v>
      </c>
      <c r="I827" s="708"/>
      <c r="J827" s="708">
        <v>12</v>
      </c>
      <c r="K827" s="708"/>
      <c r="L827" s="92">
        <v>2019.01</v>
      </c>
      <c r="M827" s="92">
        <v>2019.12</v>
      </c>
      <c r="N827" s="726">
        <v>1154.7</v>
      </c>
      <c r="O827" s="726"/>
      <c r="P827" s="726">
        <v>1154.7</v>
      </c>
      <c r="Q827" s="726"/>
      <c r="R827" s="726"/>
      <c r="S827" s="726">
        <v>1154.7</v>
      </c>
      <c r="T827" s="726"/>
      <c r="U827" s="726"/>
      <c r="V827" s="806"/>
      <c r="W827" s="806"/>
      <c r="X827" s="806"/>
      <c r="Y827" s="806">
        <v>25728</v>
      </c>
      <c r="Z827" s="806">
        <v>111138</v>
      </c>
      <c r="AA827" s="708">
        <v>12</v>
      </c>
      <c r="AB827" s="708"/>
      <c r="AC827" s="708"/>
      <c r="AD827" s="146" t="s">
        <v>385</v>
      </c>
      <c r="AE827" s="753" t="s">
        <v>386</v>
      </c>
      <c r="AF827" s="712" t="s">
        <v>273</v>
      </c>
      <c r="AG827" s="708"/>
    </row>
    <row r="828" customFormat="1" ht="24.95" customHeight="1" spans="1:33">
      <c r="A828" s="804"/>
      <c r="B828" s="150" t="s">
        <v>101</v>
      </c>
      <c r="C828" s="712" t="s">
        <v>52</v>
      </c>
      <c r="D828" s="713" t="s">
        <v>150</v>
      </c>
      <c r="E828" s="708">
        <v>1</v>
      </c>
      <c r="F828" s="150" t="s">
        <v>101</v>
      </c>
      <c r="G828" s="708"/>
      <c r="H828" s="708">
        <v>1</v>
      </c>
      <c r="I828" s="708"/>
      <c r="J828" s="708">
        <v>1</v>
      </c>
      <c r="K828" s="708"/>
      <c r="L828" s="92">
        <v>2019.01</v>
      </c>
      <c r="M828" s="92">
        <v>2019.12</v>
      </c>
      <c r="N828" s="726">
        <v>90</v>
      </c>
      <c r="O828" s="726"/>
      <c r="P828" s="726">
        <v>90</v>
      </c>
      <c r="Q828" s="726"/>
      <c r="R828" s="726"/>
      <c r="S828" s="726">
        <v>90</v>
      </c>
      <c r="T828" s="726"/>
      <c r="U828" s="726"/>
      <c r="V828" s="806"/>
      <c r="W828" s="806"/>
      <c r="X828" s="806"/>
      <c r="Y828" s="806">
        <v>2354</v>
      </c>
      <c r="Z828" s="806">
        <v>10050</v>
      </c>
      <c r="AA828" s="708">
        <v>1</v>
      </c>
      <c r="AB828" s="708"/>
      <c r="AC828" s="708"/>
      <c r="AD828" s="146" t="s">
        <v>387</v>
      </c>
      <c r="AE828" s="146" t="s">
        <v>388</v>
      </c>
      <c r="AF828" s="438" t="s">
        <v>273</v>
      </c>
      <c r="AG828" s="708"/>
    </row>
    <row r="829" customFormat="1" ht="24.95" customHeight="1" spans="1:33">
      <c r="A829" s="804"/>
      <c r="B829" s="150" t="s">
        <v>151</v>
      </c>
      <c r="C829" s="712" t="s">
        <v>52</v>
      </c>
      <c r="D829" s="713" t="s">
        <v>150</v>
      </c>
      <c r="E829" s="708">
        <v>1</v>
      </c>
      <c r="F829" s="150" t="s">
        <v>151</v>
      </c>
      <c r="G829" s="708"/>
      <c r="H829" s="708">
        <v>1</v>
      </c>
      <c r="I829" s="708"/>
      <c r="J829" s="708">
        <v>1</v>
      </c>
      <c r="K829" s="708"/>
      <c r="L829" s="92">
        <v>2019.01</v>
      </c>
      <c r="M829" s="92">
        <v>2019.12</v>
      </c>
      <c r="N829" s="726">
        <v>98.7</v>
      </c>
      <c r="O829" s="726"/>
      <c r="P829" s="726">
        <v>98.7</v>
      </c>
      <c r="Q829" s="726"/>
      <c r="R829" s="726"/>
      <c r="S829" s="726">
        <v>98.7</v>
      </c>
      <c r="T829" s="726"/>
      <c r="U829" s="726"/>
      <c r="V829" s="806"/>
      <c r="W829" s="806"/>
      <c r="X829" s="806"/>
      <c r="Y829" s="806">
        <v>1760</v>
      </c>
      <c r="Z829" s="806">
        <v>7269</v>
      </c>
      <c r="AA829" s="708">
        <v>1</v>
      </c>
      <c r="AB829" s="708"/>
      <c r="AC829" s="708"/>
      <c r="AD829" s="146" t="s">
        <v>389</v>
      </c>
      <c r="AE829" s="146" t="s">
        <v>390</v>
      </c>
      <c r="AF829" s="438" t="s">
        <v>273</v>
      </c>
      <c r="AG829" s="708"/>
    </row>
    <row r="830" customFormat="1" ht="24.95" customHeight="1" spans="1:33">
      <c r="A830" s="804"/>
      <c r="B830" s="150" t="s">
        <v>154</v>
      </c>
      <c r="C830" s="712" t="s">
        <v>52</v>
      </c>
      <c r="D830" s="713" t="s">
        <v>150</v>
      </c>
      <c r="E830" s="708">
        <v>1</v>
      </c>
      <c r="F830" s="150" t="s">
        <v>154</v>
      </c>
      <c r="G830" s="708"/>
      <c r="H830" s="708">
        <v>1</v>
      </c>
      <c r="I830" s="708"/>
      <c r="J830" s="708">
        <v>1</v>
      </c>
      <c r="K830" s="708"/>
      <c r="L830" s="92">
        <v>2019.01</v>
      </c>
      <c r="M830" s="92">
        <v>2019.12</v>
      </c>
      <c r="N830" s="726">
        <v>100</v>
      </c>
      <c r="O830" s="726"/>
      <c r="P830" s="726">
        <v>100</v>
      </c>
      <c r="Q830" s="726"/>
      <c r="R830" s="726"/>
      <c r="S830" s="726">
        <v>100</v>
      </c>
      <c r="T830" s="726"/>
      <c r="U830" s="726"/>
      <c r="V830" s="806"/>
      <c r="W830" s="806"/>
      <c r="X830" s="806"/>
      <c r="Y830" s="806">
        <v>2438</v>
      </c>
      <c r="Z830" s="806">
        <v>10141</v>
      </c>
      <c r="AA830" s="708">
        <v>1</v>
      </c>
      <c r="AB830" s="708"/>
      <c r="AC830" s="708"/>
      <c r="AD830" s="146" t="s">
        <v>391</v>
      </c>
      <c r="AE830" s="146" t="s">
        <v>392</v>
      </c>
      <c r="AF830" s="438" t="s">
        <v>273</v>
      </c>
      <c r="AG830" s="708"/>
    </row>
    <row r="831" customFormat="1" ht="24.95" customHeight="1" spans="1:33">
      <c r="A831" s="804"/>
      <c r="B831" s="150" t="s">
        <v>81</v>
      </c>
      <c r="C831" s="712" t="s">
        <v>52</v>
      </c>
      <c r="D831" s="713" t="s">
        <v>150</v>
      </c>
      <c r="E831" s="708">
        <v>1</v>
      </c>
      <c r="F831" s="150" t="s">
        <v>81</v>
      </c>
      <c r="G831" s="708"/>
      <c r="H831" s="708">
        <v>1</v>
      </c>
      <c r="I831" s="708"/>
      <c r="J831" s="708">
        <v>1</v>
      </c>
      <c r="K831" s="708"/>
      <c r="L831" s="92">
        <v>2019.01</v>
      </c>
      <c r="M831" s="92">
        <v>2019.12</v>
      </c>
      <c r="N831" s="726">
        <v>94</v>
      </c>
      <c r="O831" s="726"/>
      <c r="P831" s="726">
        <v>94</v>
      </c>
      <c r="Q831" s="726"/>
      <c r="R831" s="726"/>
      <c r="S831" s="726">
        <v>94</v>
      </c>
      <c r="T831" s="726"/>
      <c r="U831" s="726"/>
      <c r="V831" s="806"/>
      <c r="W831" s="806"/>
      <c r="X831" s="806"/>
      <c r="Y831" s="806">
        <v>1977</v>
      </c>
      <c r="Z831" s="806">
        <v>7676</v>
      </c>
      <c r="AA831" s="708">
        <v>1</v>
      </c>
      <c r="AB831" s="708"/>
      <c r="AC831" s="708"/>
      <c r="AD831" s="146" t="s">
        <v>393</v>
      </c>
      <c r="AE831" s="146" t="s">
        <v>394</v>
      </c>
      <c r="AF831" s="438" t="s">
        <v>273</v>
      </c>
      <c r="AG831" s="708"/>
    </row>
    <row r="832" customFormat="1" ht="24.95" customHeight="1" spans="1:33">
      <c r="A832" s="804"/>
      <c r="B832" s="150" t="s">
        <v>98</v>
      </c>
      <c r="C832" s="712" t="s">
        <v>52</v>
      </c>
      <c r="D832" s="713" t="s">
        <v>150</v>
      </c>
      <c r="E832" s="708">
        <v>1</v>
      </c>
      <c r="F832" s="150" t="s">
        <v>98</v>
      </c>
      <c r="G832" s="708"/>
      <c r="H832" s="708">
        <v>1</v>
      </c>
      <c r="I832" s="708"/>
      <c r="J832" s="708">
        <v>1</v>
      </c>
      <c r="K832" s="708"/>
      <c r="L832" s="92">
        <v>2019.01</v>
      </c>
      <c r="M832" s="92">
        <v>2019.12</v>
      </c>
      <c r="N832" s="726">
        <v>128</v>
      </c>
      <c r="O832" s="726"/>
      <c r="P832" s="726">
        <v>128</v>
      </c>
      <c r="Q832" s="726"/>
      <c r="R832" s="726"/>
      <c r="S832" s="726">
        <v>128</v>
      </c>
      <c r="T832" s="726"/>
      <c r="U832" s="726"/>
      <c r="V832" s="806"/>
      <c r="W832" s="806"/>
      <c r="X832" s="806"/>
      <c r="Y832" s="806">
        <v>3379</v>
      </c>
      <c r="Z832" s="806">
        <v>14263</v>
      </c>
      <c r="AA832" s="708">
        <v>1</v>
      </c>
      <c r="AB832" s="708"/>
      <c r="AC832" s="708"/>
      <c r="AD832" s="146" t="s">
        <v>395</v>
      </c>
      <c r="AE832" s="146" t="s">
        <v>396</v>
      </c>
      <c r="AF832" s="438" t="s">
        <v>273</v>
      </c>
      <c r="AG832" s="708"/>
    </row>
    <row r="833" customFormat="1" ht="24.95" customHeight="1" spans="1:33">
      <c r="A833" s="804"/>
      <c r="B833" s="150" t="s">
        <v>211</v>
      </c>
      <c r="C833" s="712" t="s">
        <v>52</v>
      </c>
      <c r="D833" s="713" t="s">
        <v>150</v>
      </c>
      <c r="E833" s="708">
        <v>1</v>
      </c>
      <c r="F833" s="150" t="s">
        <v>211</v>
      </c>
      <c r="G833" s="708"/>
      <c r="H833" s="708">
        <v>1</v>
      </c>
      <c r="I833" s="708"/>
      <c r="J833" s="708">
        <v>1</v>
      </c>
      <c r="K833" s="708"/>
      <c r="L833" s="92">
        <v>2019.01</v>
      </c>
      <c r="M833" s="92">
        <v>2019.12</v>
      </c>
      <c r="N833" s="726">
        <v>113</v>
      </c>
      <c r="O833" s="726"/>
      <c r="P833" s="726">
        <v>113</v>
      </c>
      <c r="Q833" s="726"/>
      <c r="R833" s="726"/>
      <c r="S833" s="726">
        <v>113</v>
      </c>
      <c r="T833" s="726"/>
      <c r="U833" s="726"/>
      <c r="V833" s="806"/>
      <c r="W833" s="806"/>
      <c r="X833" s="806"/>
      <c r="Y833" s="806">
        <v>2230</v>
      </c>
      <c r="Z833" s="806">
        <v>9972</v>
      </c>
      <c r="AA833" s="708">
        <v>1</v>
      </c>
      <c r="AB833" s="708"/>
      <c r="AC833" s="708"/>
      <c r="AD833" s="146" t="s">
        <v>397</v>
      </c>
      <c r="AE833" s="146" t="s">
        <v>398</v>
      </c>
      <c r="AF833" s="438" t="s">
        <v>273</v>
      </c>
      <c r="AG833" s="708"/>
    </row>
    <row r="834" customFormat="1" ht="24.95" customHeight="1" spans="1:33">
      <c r="A834" s="804"/>
      <c r="B834" s="150" t="s">
        <v>155</v>
      </c>
      <c r="C834" s="712" t="s">
        <v>52</v>
      </c>
      <c r="D834" s="713" t="s">
        <v>150</v>
      </c>
      <c r="E834" s="708">
        <v>1</v>
      </c>
      <c r="F834" s="150" t="s">
        <v>155</v>
      </c>
      <c r="G834" s="708"/>
      <c r="H834" s="708">
        <v>1</v>
      </c>
      <c r="I834" s="708"/>
      <c r="J834" s="708">
        <v>1</v>
      </c>
      <c r="K834" s="708"/>
      <c r="L834" s="92">
        <v>2019.01</v>
      </c>
      <c r="M834" s="92">
        <v>2019.12</v>
      </c>
      <c r="N834" s="726">
        <v>76</v>
      </c>
      <c r="O834" s="726"/>
      <c r="P834" s="726">
        <v>76</v>
      </c>
      <c r="Q834" s="726"/>
      <c r="R834" s="726"/>
      <c r="S834" s="726">
        <v>76</v>
      </c>
      <c r="T834" s="726"/>
      <c r="U834" s="726"/>
      <c r="V834" s="806"/>
      <c r="W834" s="806"/>
      <c r="X834" s="806"/>
      <c r="Y834" s="806">
        <v>907</v>
      </c>
      <c r="Z834" s="806">
        <v>3856</v>
      </c>
      <c r="AA834" s="708">
        <v>1</v>
      </c>
      <c r="AB834" s="708"/>
      <c r="AC834" s="708"/>
      <c r="AD834" s="146" t="s">
        <v>399</v>
      </c>
      <c r="AE834" s="146" t="s">
        <v>400</v>
      </c>
      <c r="AF834" s="438" t="s">
        <v>273</v>
      </c>
      <c r="AG834" s="708"/>
    </row>
    <row r="835" customFormat="1" ht="24.95" customHeight="1" spans="1:33">
      <c r="A835" s="804"/>
      <c r="B835" s="150" t="s">
        <v>102</v>
      </c>
      <c r="C835" s="712" t="s">
        <v>52</v>
      </c>
      <c r="D835" s="713" t="s">
        <v>150</v>
      </c>
      <c r="E835" s="708">
        <v>1</v>
      </c>
      <c r="F835" s="150" t="s">
        <v>102</v>
      </c>
      <c r="G835" s="708"/>
      <c r="H835" s="708">
        <v>1</v>
      </c>
      <c r="I835" s="708"/>
      <c r="J835" s="708">
        <v>1</v>
      </c>
      <c r="K835" s="708"/>
      <c r="L835" s="92">
        <v>2019.01</v>
      </c>
      <c r="M835" s="92">
        <v>2019.12</v>
      </c>
      <c r="N835" s="726">
        <v>167</v>
      </c>
      <c r="O835" s="726"/>
      <c r="P835" s="726">
        <v>167</v>
      </c>
      <c r="Q835" s="726"/>
      <c r="R835" s="726"/>
      <c r="S835" s="726">
        <v>167</v>
      </c>
      <c r="T835" s="726"/>
      <c r="U835" s="726"/>
      <c r="V835" s="806"/>
      <c r="W835" s="806"/>
      <c r="X835" s="806"/>
      <c r="Y835" s="806">
        <v>4272</v>
      </c>
      <c r="Z835" s="806">
        <v>19245</v>
      </c>
      <c r="AA835" s="708">
        <v>1</v>
      </c>
      <c r="AB835" s="708"/>
      <c r="AC835" s="708"/>
      <c r="AD835" s="146" t="s">
        <v>401</v>
      </c>
      <c r="AE835" s="146" t="s">
        <v>402</v>
      </c>
      <c r="AF835" s="438" t="s">
        <v>273</v>
      </c>
      <c r="AG835" s="708"/>
    </row>
    <row r="836" customFormat="1" ht="24.95" customHeight="1" spans="1:33">
      <c r="A836" s="804"/>
      <c r="B836" s="150" t="s">
        <v>100</v>
      </c>
      <c r="C836" s="712" t="s">
        <v>52</v>
      </c>
      <c r="D836" s="713" t="s">
        <v>150</v>
      </c>
      <c r="E836" s="708">
        <v>1</v>
      </c>
      <c r="F836" s="150" t="s">
        <v>100</v>
      </c>
      <c r="G836" s="708"/>
      <c r="H836" s="708">
        <v>1</v>
      </c>
      <c r="I836" s="708"/>
      <c r="J836" s="708">
        <v>1</v>
      </c>
      <c r="K836" s="708"/>
      <c r="L836" s="92">
        <v>2019.01</v>
      </c>
      <c r="M836" s="92">
        <v>2019.12</v>
      </c>
      <c r="N836" s="726">
        <v>91</v>
      </c>
      <c r="O836" s="726"/>
      <c r="P836" s="726">
        <v>91</v>
      </c>
      <c r="Q836" s="726"/>
      <c r="R836" s="726"/>
      <c r="S836" s="726">
        <v>91</v>
      </c>
      <c r="T836" s="726"/>
      <c r="U836" s="726"/>
      <c r="V836" s="806"/>
      <c r="W836" s="806"/>
      <c r="X836" s="806"/>
      <c r="Y836" s="806">
        <v>2596</v>
      </c>
      <c r="Z836" s="806">
        <v>12000</v>
      </c>
      <c r="AA836" s="708">
        <v>1</v>
      </c>
      <c r="AB836" s="708"/>
      <c r="AC836" s="708"/>
      <c r="AD836" s="146" t="s">
        <v>217</v>
      </c>
      <c r="AE836" s="146" t="s">
        <v>403</v>
      </c>
      <c r="AF836" s="438" t="s">
        <v>273</v>
      </c>
      <c r="AG836" s="708"/>
    </row>
    <row r="837" customFormat="1" ht="24.95" customHeight="1" spans="1:33">
      <c r="A837" s="804"/>
      <c r="B837" s="150" t="s">
        <v>259</v>
      </c>
      <c r="C837" s="712" t="s">
        <v>52</v>
      </c>
      <c r="D837" s="713" t="s">
        <v>150</v>
      </c>
      <c r="E837" s="708">
        <v>1</v>
      </c>
      <c r="F837" s="150" t="s">
        <v>259</v>
      </c>
      <c r="G837" s="708"/>
      <c r="H837" s="708">
        <v>1</v>
      </c>
      <c r="I837" s="708"/>
      <c r="J837" s="708">
        <v>1</v>
      </c>
      <c r="K837" s="708"/>
      <c r="L837" s="92">
        <v>2019.01</v>
      </c>
      <c r="M837" s="92">
        <v>2019.12</v>
      </c>
      <c r="N837" s="726">
        <v>23</v>
      </c>
      <c r="O837" s="726"/>
      <c r="P837" s="726">
        <v>23</v>
      </c>
      <c r="Q837" s="726"/>
      <c r="R837" s="726"/>
      <c r="S837" s="726">
        <v>23</v>
      </c>
      <c r="T837" s="726"/>
      <c r="U837" s="726"/>
      <c r="V837" s="806"/>
      <c r="W837" s="806"/>
      <c r="X837" s="806"/>
      <c r="Y837" s="806">
        <v>368</v>
      </c>
      <c r="Z837" s="806">
        <v>1544</v>
      </c>
      <c r="AA837" s="708">
        <v>1</v>
      </c>
      <c r="AB837" s="708"/>
      <c r="AC837" s="708"/>
      <c r="AD837" s="146" t="s">
        <v>404</v>
      </c>
      <c r="AE837" s="146" t="s">
        <v>405</v>
      </c>
      <c r="AF837" s="438" t="s">
        <v>273</v>
      </c>
      <c r="AG837" s="708"/>
    </row>
    <row r="838" customFormat="1" ht="24.95" customHeight="1" spans="1:33">
      <c r="A838" s="804"/>
      <c r="B838" s="150" t="s">
        <v>84</v>
      </c>
      <c r="C838" s="712" t="s">
        <v>52</v>
      </c>
      <c r="D838" s="713" t="s">
        <v>150</v>
      </c>
      <c r="E838" s="708">
        <v>1</v>
      </c>
      <c r="F838" s="150" t="s">
        <v>84</v>
      </c>
      <c r="G838" s="708"/>
      <c r="H838" s="708">
        <v>1</v>
      </c>
      <c r="I838" s="708"/>
      <c r="J838" s="708">
        <v>1</v>
      </c>
      <c r="K838" s="708"/>
      <c r="L838" s="92">
        <v>2019.01</v>
      </c>
      <c r="M838" s="92">
        <v>2019.12</v>
      </c>
      <c r="N838" s="726">
        <v>101</v>
      </c>
      <c r="O838" s="726"/>
      <c r="P838" s="726">
        <v>101</v>
      </c>
      <c r="Q838" s="726"/>
      <c r="R838" s="726"/>
      <c r="S838" s="726">
        <v>101</v>
      </c>
      <c r="T838" s="726"/>
      <c r="U838" s="726"/>
      <c r="V838" s="806"/>
      <c r="W838" s="806"/>
      <c r="X838" s="806"/>
      <c r="Y838" s="806">
        <v>2200</v>
      </c>
      <c r="Z838" s="806">
        <v>9274</v>
      </c>
      <c r="AA838" s="708">
        <v>1</v>
      </c>
      <c r="AB838" s="708"/>
      <c r="AC838" s="708"/>
      <c r="AD838" s="146" t="s">
        <v>219</v>
      </c>
      <c r="AE838" s="146" t="s">
        <v>406</v>
      </c>
      <c r="AF838" s="438" t="s">
        <v>273</v>
      </c>
      <c r="AG838" s="708"/>
    </row>
    <row r="839" s="65" customFormat="1" ht="24" customHeight="1" spans="1:33">
      <c r="A839" s="73"/>
      <c r="B839" s="150" t="s">
        <v>143</v>
      </c>
      <c r="C839" s="712" t="s">
        <v>52</v>
      </c>
      <c r="D839" s="713" t="s">
        <v>150</v>
      </c>
      <c r="E839" s="73">
        <v>1</v>
      </c>
      <c r="F839" s="150" t="s">
        <v>143</v>
      </c>
      <c r="G839" s="73"/>
      <c r="H839" s="73">
        <v>1</v>
      </c>
      <c r="I839" s="73"/>
      <c r="J839" s="73">
        <v>1</v>
      </c>
      <c r="K839" s="73"/>
      <c r="L839" s="92">
        <v>2019.01</v>
      </c>
      <c r="M839" s="92">
        <v>2019.12</v>
      </c>
      <c r="N839" s="73">
        <v>73</v>
      </c>
      <c r="O839" s="73"/>
      <c r="P839" s="73">
        <v>73</v>
      </c>
      <c r="Q839" s="73"/>
      <c r="R839" s="73"/>
      <c r="S839" s="73">
        <v>73</v>
      </c>
      <c r="T839" s="73"/>
      <c r="U839" s="73"/>
      <c r="V839" s="73"/>
      <c r="W839" s="73"/>
      <c r="X839" s="73"/>
      <c r="Y839" s="73">
        <v>1247</v>
      </c>
      <c r="Z839" s="73">
        <v>5848</v>
      </c>
      <c r="AA839" s="73">
        <v>1</v>
      </c>
      <c r="AB839" s="73"/>
      <c r="AC839" s="73"/>
      <c r="AD839" s="775" t="s">
        <v>221</v>
      </c>
      <c r="AE839" s="146" t="s">
        <v>407</v>
      </c>
      <c r="AF839" s="438" t="s">
        <v>273</v>
      </c>
      <c r="AG839" s="73"/>
    </row>
    <row r="840" s="570" customFormat="1" ht="29" customHeight="1" spans="1:33">
      <c r="A840" s="705"/>
      <c r="B840" s="808" t="s">
        <v>572</v>
      </c>
      <c r="C840" s="438" t="s">
        <v>52</v>
      </c>
      <c r="D840" s="809" t="s">
        <v>150</v>
      </c>
      <c r="E840" s="92">
        <v>11</v>
      </c>
      <c r="F840" s="92"/>
      <c r="G840" s="92"/>
      <c r="H840" s="92">
        <v>11</v>
      </c>
      <c r="I840" s="92"/>
      <c r="J840" s="92">
        <v>11</v>
      </c>
      <c r="K840" s="92"/>
      <c r="L840" s="92">
        <v>2019.01</v>
      </c>
      <c r="M840" s="92">
        <v>2019.12</v>
      </c>
      <c r="N840" s="724">
        <f t="shared" ref="N840:U840" si="112">SUM(N841:N846)</f>
        <v>1600</v>
      </c>
      <c r="O840" s="724">
        <f t="shared" si="112"/>
        <v>0</v>
      </c>
      <c r="P840" s="724">
        <f t="shared" si="112"/>
        <v>1600</v>
      </c>
      <c r="Q840" s="724">
        <f t="shared" si="112"/>
        <v>0</v>
      </c>
      <c r="R840" s="724">
        <f t="shared" si="112"/>
        <v>0</v>
      </c>
      <c r="S840" s="724">
        <f t="shared" si="112"/>
        <v>0</v>
      </c>
      <c r="T840" s="724">
        <f t="shared" si="112"/>
        <v>0</v>
      </c>
      <c r="U840" s="724">
        <f t="shared" si="112"/>
        <v>1600</v>
      </c>
      <c r="V840" s="92"/>
      <c r="W840" s="92"/>
      <c r="X840" s="92"/>
      <c r="Y840" s="92">
        <v>1519</v>
      </c>
      <c r="Z840" s="92">
        <v>6603</v>
      </c>
      <c r="AA840" s="92">
        <v>11</v>
      </c>
      <c r="AB840" s="92"/>
      <c r="AC840" s="92"/>
      <c r="AD840" s="438" t="s">
        <v>385</v>
      </c>
      <c r="AE840" s="146" t="s">
        <v>386</v>
      </c>
      <c r="AF840" s="438" t="s">
        <v>273</v>
      </c>
      <c r="AG840" s="92"/>
    </row>
    <row r="841" s="570" customFormat="1" ht="29" customHeight="1" spans="1:33">
      <c r="A841" s="705"/>
      <c r="B841" s="146" t="s">
        <v>72</v>
      </c>
      <c r="C841" s="438" t="s">
        <v>52</v>
      </c>
      <c r="D841" s="809" t="s">
        <v>150</v>
      </c>
      <c r="E841" s="92">
        <v>1</v>
      </c>
      <c r="F841" s="146" t="s">
        <v>72</v>
      </c>
      <c r="G841" s="92"/>
      <c r="H841" s="92">
        <v>1</v>
      </c>
      <c r="I841" s="92"/>
      <c r="J841" s="92">
        <v>1</v>
      </c>
      <c r="K841" s="92"/>
      <c r="L841" s="92">
        <v>2019.01</v>
      </c>
      <c r="M841" s="92">
        <v>2019.12</v>
      </c>
      <c r="N841" s="724">
        <v>300</v>
      </c>
      <c r="O841" s="724"/>
      <c r="P841" s="724">
        <v>300</v>
      </c>
      <c r="Q841" s="724"/>
      <c r="R841" s="724"/>
      <c r="S841" s="92"/>
      <c r="T841" s="724"/>
      <c r="U841" s="724">
        <v>300</v>
      </c>
      <c r="V841" s="92"/>
      <c r="W841" s="92"/>
      <c r="X841" s="92"/>
      <c r="Y841" s="92">
        <v>409</v>
      </c>
      <c r="Z841" s="92">
        <v>1659</v>
      </c>
      <c r="AA841" s="92">
        <v>1</v>
      </c>
      <c r="AB841" s="92"/>
      <c r="AC841" s="92"/>
      <c r="AD841" s="146" t="s">
        <v>391</v>
      </c>
      <c r="AE841" s="146" t="s">
        <v>392</v>
      </c>
      <c r="AF841" s="438" t="s">
        <v>273</v>
      </c>
      <c r="AG841" s="92"/>
    </row>
    <row r="842" s="570" customFormat="1" ht="29" customHeight="1" spans="1:33">
      <c r="A842" s="705"/>
      <c r="B842" s="146" t="s">
        <v>91</v>
      </c>
      <c r="C842" s="438" t="s">
        <v>52</v>
      </c>
      <c r="D842" s="809" t="s">
        <v>150</v>
      </c>
      <c r="E842" s="92">
        <v>1</v>
      </c>
      <c r="F842" s="146" t="s">
        <v>91</v>
      </c>
      <c r="G842" s="92"/>
      <c r="H842" s="92">
        <v>1</v>
      </c>
      <c r="I842" s="92"/>
      <c r="J842" s="92">
        <v>1</v>
      </c>
      <c r="K842" s="92"/>
      <c r="L842" s="92">
        <v>2019.01</v>
      </c>
      <c r="M842" s="92">
        <v>2019.12</v>
      </c>
      <c r="N842" s="724">
        <v>80</v>
      </c>
      <c r="O842" s="724"/>
      <c r="P842" s="724">
        <v>80</v>
      </c>
      <c r="Q842" s="724"/>
      <c r="R842" s="724"/>
      <c r="S842" s="92"/>
      <c r="T842" s="724"/>
      <c r="U842" s="724">
        <v>80</v>
      </c>
      <c r="V842" s="92"/>
      <c r="W842" s="92"/>
      <c r="X842" s="92"/>
      <c r="Y842" s="92">
        <v>80</v>
      </c>
      <c r="Z842" s="92">
        <v>334</v>
      </c>
      <c r="AA842" s="92">
        <v>1</v>
      </c>
      <c r="AB842" s="92"/>
      <c r="AC842" s="92"/>
      <c r="AD842" s="438" t="s">
        <v>393</v>
      </c>
      <c r="AE842" s="438" t="s">
        <v>394</v>
      </c>
      <c r="AF842" s="438" t="s">
        <v>273</v>
      </c>
      <c r="AG842" s="92"/>
    </row>
    <row r="843" s="570" customFormat="1" ht="29" customHeight="1" spans="1:33">
      <c r="A843" s="705"/>
      <c r="B843" s="146" t="s">
        <v>55</v>
      </c>
      <c r="C843" s="809" t="s">
        <v>52</v>
      </c>
      <c r="D843" s="809" t="s">
        <v>150</v>
      </c>
      <c r="E843" s="92">
        <v>4</v>
      </c>
      <c r="F843" s="146" t="s">
        <v>55</v>
      </c>
      <c r="G843" s="92"/>
      <c r="H843" s="92">
        <v>4</v>
      </c>
      <c r="I843" s="92"/>
      <c r="J843" s="92">
        <v>4</v>
      </c>
      <c r="K843" s="92"/>
      <c r="L843" s="92">
        <v>2019.01</v>
      </c>
      <c r="M843" s="92">
        <v>2019.12</v>
      </c>
      <c r="N843" s="724">
        <v>370</v>
      </c>
      <c r="O843" s="724"/>
      <c r="P843" s="724">
        <v>370</v>
      </c>
      <c r="Q843" s="724"/>
      <c r="R843" s="724"/>
      <c r="S843" s="92"/>
      <c r="T843" s="724"/>
      <c r="U843" s="724">
        <v>370</v>
      </c>
      <c r="V843" s="92"/>
      <c r="W843" s="92"/>
      <c r="X843" s="92"/>
      <c r="Y843" s="92">
        <v>117</v>
      </c>
      <c r="Z843" s="92">
        <v>446</v>
      </c>
      <c r="AA843" s="92">
        <v>4</v>
      </c>
      <c r="AB843" s="92"/>
      <c r="AC843" s="92"/>
      <c r="AD843" s="438" t="s">
        <v>395</v>
      </c>
      <c r="AE843" s="438" t="s">
        <v>396</v>
      </c>
      <c r="AF843" s="438" t="s">
        <v>273</v>
      </c>
      <c r="AG843" s="92"/>
    </row>
    <row r="844" s="570" customFormat="1" ht="29" customHeight="1" spans="1:33">
      <c r="A844" s="705"/>
      <c r="B844" s="146" t="s">
        <v>75</v>
      </c>
      <c r="C844" s="438" t="s">
        <v>52</v>
      </c>
      <c r="D844" s="809" t="s">
        <v>150</v>
      </c>
      <c r="E844" s="92">
        <v>1</v>
      </c>
      <c r="F844" s="146" t="s">
        <v>75</v>
      </c>
      <c r="G844" s="92"/>
      <c r="H844" s="92">
        <v>1</v>
      </c>
      <c r="I844" s="92"/>
      <c r="J844" s="92">
        <v>1</v>
      </c>
      <c r="K844" s="92"/>
      <c r="L844" s="92">
        <v>2019.01</v>
      </c>
      <c r="M844" s="92">
        <v>2019.12</v>
      </c>
      <c r="N844" s="724">
        <v>200</v>
      </c>
      <c r="O844" s="724"/>
      <c r="P844" s="724">
        <v>200</v>
      </c>
      <c r="Q844" s="724"/>
      <c r="R844" s="724"/>
      <c r="S844" s="92"/>
      <c r="T844" s="724"/>
      <c r="U844" s="724">
        <v>200</v>
      </c>
      <c r="V844" s="92"/>
      <c r="W844" s="92"/>
      <c r="X844" s="92"/>
      <c r="Y844" s="92">
        <v>489</v>
      </c>
      <c r="Z844" s="92">
        <v>2282</v>
      </c>
      <c r="AA844" s="92">
        <v>1</v>
      </c>
      <c r="AB844" s="92"/>
      <c r="AC844" s="92"/>
      <c r="AD844" s="438" t="s">
        <v>397</v>
      </c>
      <c r="AE844" s="438" t="s">
        <v>398</v>
      </c>
      <c r="AF844" s="438" t="s">
        <v>273</v>
      </c>
      <c r="AG844" s="92"/>
    </row>
    <row r="845" s="570" customFormat="1" ht="29" customHeight="1" spans="1:33">
      <c r="A845" s="705"/>
      <c r="B845" s="146" t="s">
        <v>61</v>
      </c>
      <c r="C845" s="438" t="s">
        <v>52</v>
      </c>
      <c r="D845" s="809" t="s">
        <v>150</v>
      </c>
      <c r="E845" s="92">
        <v>1</v>
      </c>
      <c r="F845" s="146" t="s">
        <v>61</v>
      </c>
      <c r="G845" s="92"/>
      <c r="H845" s="92">
        <v>1</v>
      </c>
      <c r="I845" s="92"/>
      <c r="J845" s="92">
        <v>1</v>
      </c>
      <c r="K845" s="92"/>
      <c r="L845" s="92">
        <v>2019.01</v>
      </c>
      <c r="M845" s="92">
        <v>2019.12</v>
      </c>
      <c r="N845" s="724">
        <v>150</v>
      </c>
      <c r="O845" s="724"/>
      <c r="P845" s="724">
        <v>150</v>
      </c>
      <c r="Q845" s="724"/>
      <c r="R845" s="724"/>
      <c r="S845" s="92"/>
      <c r="T845" s="724"/>
      <c r="U845" s="724">
        <v>150</v>
      </c>
      <c r="V845" s="92"/>
      <c r="W845" s="92"/>
      <c r="X845" s="92"/>
      <c r="Y845" s="92">
        <v>89</v>
      </c>
      <c r="Z845" s="92">
        <v>386</v>
      </c>
      <c r="AA845" s="92">
        <v>1</v>
      </c>
      <c r="AB845" s="92"/>
      <c r="AC845" s="92"/>
      <c r="AD845" s="438" t="s">
        <v>573</v>
      </c>
      <c r="AE845" s="438" t="s">
        <v>402</v>
      </c>
      <c r="AF845" s="438" t="s">
        <v>273</v>
      </c>
      <c r="AG845" s="92"/>
    </row>
    <row r="846" s="570" customFormat="1" ht="29" customHeight="1" spans="1:33">
      <c r="A846" s="705"/>
      <c r="B846" s="146" t="s">
        <v>64</v>
      </c>
      <c r="C846" s="438" t="s">
        <v>52</v>
      </c>
      <c r="D846" s="809" t="s">
        <v>509</v>
      </c>
      <c r="E846" s="92">
        <v>3</v>
      </c>
      <c r="F846" s="146" t="s">
        <v>64</v>
      </c>
      <c r="G846" s="92"/>
      <c r="H846" s="92">
        <v>3</v>
      </c>
      <c r="I846" s="92"/>
      <c r="J846" s="92">
        <v>3</v>
      </c>
      <c r="K846" s="92"/>
      <c r="L846" s="92">
        <v>2019.01</v>
      </c>
      <c r="M846" s="92">
        <v>2019.12</v>
      </c>
      <c r="N846" s="724">
        <v>500</v>
      </c>
      <c r="O846" s="724"/>
      <c r="P846" s="724">
        <v>500</v>
      </c>
      <c r="Q846" s="724"/>
      <c r="R846" s="724"/>
      <c r="S846" s="92"/>
      <c r="T846" s="724"/>
      <c r="U846" s="724">
        <v>500</v>
      </c>
      <c r="V846" s="92"/>
      <c r="W846" s="92"/>
      <c r="X846" s="92"/>
      <c r="Y846" s="92">
        <v>335</v>
      </c>
      <c r="Z846" s="92">
        <v>1496</v>
      </c>
      <c r="AA846" s="92">
        <v>3</v>
      </c>
      <c r="AB846" s="92"/>
      <c r="AC846" s="92"/>
      <c r="AD846" s="438" t="s">
        <v>219</v>
      </c>
      <c r="AE846" s="146" t="s">
        <v>406</v>
      </c>
      <c r="AF846" s="438" t="s">
        <v>273</v>
      </c>
      <c r="AG846" s="92"/>
    </row>
    <row r="847" s="570" customFormat="1" ht="29" customHeight="1" spans="1:33">
      <c r="A847" s="705"/>
      <c r="B847" s="810" t="s">
        <v>574</v>
      </c>
      <c r="C847" s="146" t="s">
        <v>52</v>
      </c>
      <c r="D847" s="152" t="s">
        <v>150</v>
      </c>
      <c r="E847" s="92"/>
      <c r="F847" s="92"/>
      <c r="G847" s="92"/>
      <c r="H847" s="92"/>
      <c r="I847" s="92"/>
      <c r="J847" s="92"/>
      <c r="K847" s="92"/>
      <c r="L847" s="92"/>
      <c r="M847" s="92"/>
      <c r="N847" s="724"/>
      <c r="O847" s="724"/>
      <c r="P847" s="724"/>
      <c r="Q847" s="724"/>
      <c r="R847" s="724"/>
      <c r="S847" s="724"/>
      <c r="T847" s="724"/>
      <c r="U847" s="724"/>
      <c r="V847" s="92"/>
      <c r="W847" s="92"/>
      <c r="X847" s="92"/>
      <c r="Y847" s="92"/>
      <c r="Z847" s="92"/>
      <c r="AA847" s="92"/>
      <c r="AB847" s="92"/>
      <c r="AC847" s="92"/>
      <c r="AD847" s="146"/>
      <c r="AE847" s="146"/>
      <c r="AF847" s="146"/>
      <c r="AG847" s="92"/>
    </row>
    <row r="848" s="570" customFormat="1" ht="29" customHeight="1" spans="1:33">
      <c r="A848" s="705"/>
      <c r="B848" s="146" t="s">
        <v>55</v>
      </c>
      <c r="C848" s="146" t="s">
        <v>52</v>
      </c>
      <c r="D848" s="152" t="s">
        <v>150</v>
      </c>
      <c r="E848" s="92"/>
      <c r="F848" s="146"/>
      <c r="G848" s="92"/>
      <c r="H848" s="92"/>
      <c r="I848" s="92"/>
      <c r="J848" s="92"/>
      <c r="K848" s="92"/>
      <c r="L848" s="92"/>
      <c r="M848" s="92"/>
      <c r="N848" s="724"/>
      <c r="O848" s="724"/>
      <c r="P848" s="724"/>
      <c r="Q848" s="724"/>
      <c r="R848" s="724"/>
      <c r="S848" s="724"/>
      <c r="T848" s="724"/>
      <c r="U848" s="724"/>
      <c r="V848" s="92"/>
      <c r="W848" s="92"/>
      <c r="X848" s="92"/>
      <c r="Y848" s="92"/>
      <c r="Z848" s="92"/>
      <c r="AA848" s="92"/>
      <c r="AB848" s="92"/>
      <c r="AC848" s="92"/>
      <c r="AD848" s="146"/>
      <c r="AE848" s="141"/>
      <c r="AF848" s="146"/>
      <c r="AG848" s="92"/>
    </row>
    <row r="849" s="570" customFormat="1" ht="29" customHeight="1" spans="1:33">
      <c r="A849" s="705"/>
      <c r="B849" s="811" t="s">
        <v>575</v>
      </c>
      <c r="C849" s="812" t="s">
        <v>52</v>
      </c>
      <c r="D849" s="152" t="s">
        <v>150</v>
      </c>
      <c r="E849" s="92">
        <v>2</v>
      </c>
      <c r="F849" s="92"/>
      <c r="G849" s="92"/>
      <c r="H849" s="92">
        <v>2</v>
      </c>
      <c r="I849" s="92"/>
      <c r="J849" s="92">
        <v>2</v>
      </c>
      <c r="K849" s="92"/>
      <c r="L849" s="92">
        <v>2019.01</v>
      </c>
      <c r="M849" s="92">
        <v>2019.12</v>
      </c>
      <c r="N849" s="724">
        <v>150</v>
      </c>
      <c r="O849" s="724"/>
      <c r="P849" s="724">
        <v>150</v>
      </c>
      <c r="Q849" s="724"/>
      <c r="R849" s="724"/>
      <c r="S849" s="724">
        <v>150</v>
      </c>
      <c r="T849" s="724"/>
      <c r="U849" s="724"/>
      <c r="V849" s="92"/>
      <c r="W849" s="92"/>
      <c r="X849" s="92"/>
      <c r="Y849" s="92">
        <v>271</v>
      </c>
      <c r="Z849" s="92">
        <v>1206</v>
      </c>
      <c r="AA849" s="92">
        <v>2</v>
      </c>
      <c r="AB849" s="92"/>
      <c r="AC849" s="92"/>
      <c r="AD849" s="146" t="s">
        <v>576</v>
      </c>
      <c r="AE849" s="146" t="s">
        <v>577</v>
      </c>
      <c r="AF849" s="146" t="s">
        <v>578</v>
      </c>
      <c r="AG849" s="92"/>
    </row>
    <row r="850" s="570" customFormat="1" ht="29" customHeight="1" spans="1:33">
      <c r="A850" s="705"/>
      <c r="B850" s="146" t="s">
        <v>55</v>
      </c>
      <c r="C850" s="146" t="s">
        <v>52</v>
      </c>
      <c r="D850" s="152" t="s">
        <v>150</v>
      </c>
      <c r="E850" s="92">
        <v>1</v>
      </c>
      <c r="F850" s="146" t="s">
        <v>55</v>
      </c>
      <c r="G850" s="92"/>
      <c r="H850" s="92">
        <v>1</v>
      </c>
      <c r="I850" s="92"/>
      <c r="J850" s="92">
        <v>1</v>
      </c>
      <c r="K850" s="92"/>
      <c r="L850" s="92">
        <v>2019.01</v>
      </c>
      <c r="M850" s="92">
        <v>2019.12</v>
      </c>
      <c r="N850" s="724">
        <v>100</v>
      </c>
      <c r="O850" s="724"/>
      <c r="P850" s="724">
        <v>100</v>
      </c>
      <c r="Q850" s="724"/>
      <c r="R850" s="724"/>
      <c r="S850" s="724">
        <v>100</v>
      </c>
      <c r="T850" s="724"/>
      <c r="U850" s="724"/>
      <c r="V850" s="92"/>
      <c r="W850" s="92"/>
      <c r="X850" s="92"/>
      <c r="Y850" s="92">
        <v>254</v>
      </c>
      <c r="Z850" s="92">
        <v>1147</v>
      </c>
      <c r="AA850" s="92">
        <v>1</v>
      </c>
      <c r="AB850" s="92"/>
      <c r="AC850" s="92"/>
      <c r="AD850" s="146" t="s">
        <v>249</v>
      </c>
      <c r="AE850" s="146" t="s">
        <v>579</v>
      </c>
      <c r="AF850" s="146" t="s">
        <v>578</v>
      </c>
      <c r="AG850" s="92"/>
    </row>
    <row r="851" s="570" customFormat="1" ht="29" customHeight="1" spans="1:33">
      <c r="A851" s="705"/>
      <c r="B851" s="146" t="s">
        <v>91</v>
      </c>
      <c r="C851" s="812" t="s">
        <v>52</v>
      </c>
      <c r="D851" s="152" t="s">
        <v>150</v>
      </c>
      <c r="E851" s="92">
        <v>1</v>
      </c>
      <c r="F851" s="146" t="s">
        <v>91</v>
      </c>
      <c r="G851" s="92"/>
      <c r="H851" s="92">
        <v>1</v>
      </c>
      <c r="I851" s="92"/>
      <c r="J851" s="92">
        <v>1</v>
      </c>
      <c r="K851" s="92"/>
      <c r="L851" s="92">
        <v>2019.01</v>
      </c>
      <c r="M851" s="92">
        <v>2019.12</v>
      </c>
      <c r="N851" s="724">
        <v>50</v>
      </c>
      <c r="O851" s="724"/>
      <c r="P851" s="724">
        <v>50</v>
      </c>
      <c r="Q851" s="724"/>
      <c r="R851" s="724"/>
      <c r="S851" s="724">
        <v>50</v>
      </c>
      <c r="T851" s="724"/>
      <c r="U851" s="724"/>
      <c r="V851" s="92"/>
      <c r="W851" s="92"/>
      <c r="X851" s="92"/>
      <c r="Y851" s="92">
        <v>17</v>
      </c>
      <c r="Z851" s="92">
        <v>59</v>
      </c>
      <c r="AA851" s="92">
        <v>1</v>
      </c>
      <c r="AB851" s="92"/>
      <c r="AC851" s="92"/>
      <c r="AD851" s="146" t="s">
        <v>249</v>
      </c>
      <c r="AE851" s="146" t="s">
        <v>579</v>
      </c>
      <c r="AF851" s="146" t="s">
        <v>578</v>
      </c>
      <c r="AG851" s="92"/>
    </row>
    <row r="852" s="570" customFormat="1" ht="29" customHeight="1" spans="1:33">
      <c r="A852" s="705"/>
      <c r="B852" s="813" t="s">
        <v>580</v>
      </c>
      <c r="C852" s="381" t="s">
        <v>52</v>
      </c>
      <c r="D852" s="381" t="s">
        <v>150</v>
      </c>
      <c r="E852" s="92">
        <v>5</v>
      </c>
      <c r="F852" s="92"/>
      <c r="G852" s="92"/>
      <c r="H852" s="92">
        <v>5</v>
      </c>
      <c r="I852" s="92"/>
      <c r="J852" s="92">
        <v>5</v>
      </c>
      <c r="K852" s="92"/>
      <c r="L852" s="92">
        <v>2019.01</v>
      </c>
      <c r="M852" s="92">
        <v>2019.12</v>
      </c>
      <c r="N852" s="724">
        <v>500</v>
      </c>
      <c r="O852" s="724"/>
      <c r="P852" s="724">
        <v>500</v>
      </c>
      <c r="Q852" s="724"/>
      <c r="R852" s="724"/>
      <c r="S852" s="724">
        <v>500</v>
      </c>
      <c r="T852" s="724"/>
      <c r="U852" s="724"/>
      <c r="V852" s="92"/>
      <c r="W852" s="92"/>
      <c r="X852" s="92"/>
      <c r="Y852" s="92">
        <v>289</v>
      </c>
      <c r="Z852" s="92">
        <v>475</v>
      </c>
      <c r="AA852" s="92">
        <v>5</v>
      </c>
      <c r="AB852" s="92"/>
      <c r="AC852" s="92"/>
      <c r="AD852" s="381" t="s">
        <v>581</v>
      </c>
      <c r="AE852" s="381" t="s">
        <v>582</v>
      </c>
      <c r="AF852" s="212" t="s">
        <v>583</v>
      </c>
      <c r="AG852" s="92"/>
    </row>
    <row r="853" s="570" customFormat="1" ht="29" customHeight="1" spans="1:33">
      <c r="A853" s="705"/>
      <c r="B853" s="814" t="s">
        <v>72</v>
      </c>
      <c r="C853" s="381" t="s">
        <v>52</v>
      </c>
      <c r="D853" s="381" t="s">
        <v>150</v>
      </c>
      <c r="E853" s="92">
        <v>1</v>
      </c>
      <c r="F853" s="814" t="s">
        <v>72</v>
      </c>
      <c r="G853" s="92"/>
      <c r="H853" s="92">
        <v>1</v>
      </c>
      <c r="I853" s="92"/>
      <c r="J853" s="92">
        <v>1</v>
      </c>
      <c r="K853" s="92"/>
      <c r="L853" s="92">
        <v>2019.01</v>
      </c>
      <c r="M853" s="92">
        <v>2019.12</v>
      </c>
      <c r="N853" s="724">
        <v>100</v>
      </c>
      <c r="O853" s="724"/>
      <c r="P853" s="724">
        <v>100</v>
      </c>
      <c r="Q853" s="724"/>
      <c r="R853" s="724"/>
      <c r="S853" s="724">
        <v>100</v>
      </c>
      <c r="T853" s="724"/>
      <c r="U853" s="724"/>
      <c r="V853" s="92"/>
      <c r="W853" s="92"/>
      <c r="X853" s="92"/>
      <c r="Y853" s="92">
        <v>95</v>
      </c>
      <c r="Z853" s="92">
        <v>165</v>
      </c>
      <c r="AA853" s="92">
        <v>1</v>
      </c>
      <c r="AB853" s="92"/>
      <c r="AC853" s="92"/>
      <c r="AD853" s="381" t="s">
        <v>581</v>
      </c>
      <c r="AE853" s="381" t="s">
        <v>582</v>
      </c>
      <c r="AF853" s="212" t="s">
        <v>583</v>
      </c>
      <c r="AG853" s="92"/>
    </row>
    <row r="854" s="570" customFormat="1" ht="29" customHeight="1" spans="1:33">
      <c r="A854" s="705"/>
      <c r="B854" s="814" t="s">
        <v>64</v>
      </c>
      <c r="C854" s="381" t="s">
        <v>52</v>
      </c>
      <c r="D854" s="381" t="s">
        <v>150</v>
      </c>
      <c r="E854" s="92">
        <v>2</v>
      </c>
      <c r="F854" s="814" t="s">
        <v>64</v>
      </c>
      <c r="G854" s="92"/>
      <c r="H854" s="92">
        <v>2</v>
      </c>
      <c r="I854" s="92"/>
      <c r="J854" s="92">
        <v>2</v>
      </c>
      <c r="K854" s="92"/>
      <c r="L854" s="92">
        <v>2019.01</v>
      </c>
      <c r="M854" s="92">
        <v>2019.12</v>
      </c>
      <c r="N854" s="724">
        <v>200</v>
      </c>
      <c r="O854" s="724"/>
      <c r="P854" s="724">
        <v>200</v>
      </c>
      <c r="Q854" s="724"/>
      <c r="R854" s="724"/>
      <c r="S854" s="724">
        <v>200</v>
      </c>
      <c r="T854" s="724"/>
      <c r="U854" s="724"/>
      <c r="V854" s="92"/>
      <c r="W854" s="92"/>
      <c r="X854" s="92"/>
      <c r="Y854" s="92">
        <v>121</v>
      </c>
      <c r="Z854" s="92">
        <v>178</v>
      </c>
      <c r="AA854" s="92">
        <v>2</v>
      </c>
      <c r="AB854" s="92"/>
      <c r="AC854" s="92"/>
      <c r="AD854" s="381" t="s">
        <v>581</v>
      </c>
      <c r="AE854" s="381" t="s">
        <v>582</v>
      </c>
      <c r="AF854" s="212" t="s">
        <v>583</v>
      </c>
      <c r="AG854" s="92"/>
    </row>
    <row r="855" s="570" customFormat="1" ht="29" customHeight="1" spans="1:33">
      <c r="A855" s="705"/>
      <c r="B855" s="150" t="s">
        <v>91</v>
      </c>
      <c r="C855" s="381" t="s">
        <v>52</v>
      </c>
      <c r="D855" s="381" t="s">
        <v>150</v>
      </c>
      <c r="E855" s="92">
        <v>2</v>
      </c>
      <c r="F855" s="150" t="s">
        <v>91</v>
      </c>
      <c r="G855" s="92"/>
      <c r="H855" s="92">
        <v>2</v>
      </c>
      <c r="I855" s="92"/>
      <c r="J855" s="92">
        <v>2</v>
      </c>
      <c r="K855" s="92"/>
      <c r="L855" s="92">
        <v>2019.01</v>
      </c>
      <c r="M855" s="92">
        <v>2019.12</v>
      </c>
      <c r="N855" s="724">
        <v>200</v>
      </c>
      <c r="O855" s="724"/>
      <c r="P855" s="724">
        <v>200</v>
      </c>
      <c r="Q855" s="724"/>
      <c r="R855" s="724"/>
      <c r="S855" s="724">
        <v>200</v>
      </c>
      <c r="T855" s="724"/>
      <c r="U855" s="724"/>
      <c r="V855" s="92"/>
      <c r="W855" s="92"/>
      <c r="X855" s="92"/>
      <c r="Y855" s="92">
        <v>73</v>
      </c>
      <c r="Z855" s="92">
        <v>132</v>
      </c>
      <c r="AA855" s="92">
        <v>2</v>
      </c>
      <c r="AB855" s="92"/>
      <c r="AC855" s="92"/>
      <c r="AD855" s="381" t="s">
        <v>581</v>
      </c>
      <c r="AE855" s="381" t="s">
        <v>582</v>
      </c>
      <c r="AF855" s="212" t="s">
        <v>583</v>
      </c>
      <c r="AG855" s="92"/>
    </row>
    <row r="856" s="570" customFormat="1" ht="37" customHeight="1" spans="1:33">
      <c r="A856" s="705"/>
      <c r="B856" s="813" t="s">
        <v>584</v>
      </c>
      <c r="C856" s="381" t="s">
        <v>52</v>
      </c>
      <c r="D856" s="381" t="s">
        <v>150</v>
      </c>
      <c r="E856" s="92">
        <v>1</v>
      </c>
      <c r="F856" s="92" t="s">
        <v>51</v>
      </c>
      <c r="G856" s="815" t="s">
        <v>730</v>
      </c>
      <c r="H856" s="92">
        <v>1</v>
      </c>
      <c r="I856" s="92"/>
      <c r="J856" s="92">
        <v>1</v>
      </c>
      <c r="K856" s="92"/>
      <c r="L856" s="92">
        <v>2019.01</v>
      </c>
      <c r="M856" s="92">
        <v>2019.12</v>
      </c>
      <c r="N856" s="724">
        <v>20</v>
      </c>
      <c r="O856" s="724"/>
      <c r="P856" s="724">
        <v>20</v>
      </c>
      <c r="Q856" s="724"/>
      <c r="R856" s="724"/>
      <c r="S856" s="724">
        <v>20</v>
      </c>
      <c r="T856" s="724"/>
      <c r="U856" s="724"/>
      <c r="V856" s="92"/>
      <c r="W856" s="92"/>
      <c r="X856" s="92"/>
      <c r="Y856" s="92">
        <v>42</v>
      </c>
      <c r="Z856" s="92">
        <v>145</v>
      </c>
      <c r="AA856" s="92">
        <v>1</v>
      </c>
      <c r="AB856" s="92"/>
      <c r="AC856" s="92"/>
      <c r="AD856" s="743" t="s">
        <v>585</v>
      </c>
      <c r="AE856" s="743"/>
      <c r="AF856" s="743" t="s">
        <v>500</v>
      </c>
      <c r="AG856" s="92"/>
    </row>
    <row r="857" ht="24.95" customHeight="1" spans="1:33">
      <c r="A857" s="705">
        <v>106</v>
      </c>
      <c r="B857" s="708" t="s">
        <v>586</v>
      </c>
      <c r="C857" s="708"/>
      <c r="D857" s="709"/>
      <c r="E857" s="708"/>
      <c r="F857" s="708"/>
      <c r="G857" s="708"/>
      <c r="H857" s="708"/>
      <c r="I857" s="708"/>
      <c r="J857" s="708"/>
      <c r="K857" s="708"/>
      <c r="L857" s="708"/>
      <c r="M857" s="708"/>
      <c r="N857" s="726"/>
      <c r="O857" s="726"/>
      <c r="P857" s="726"/>
      <c r="Q857" s="726"/>
      <c r="R857" s="726"/>
      <c r="S857" s="726"/>
      <c r="T857" s="726"/>
      <c r="U857" s="726"/>
      <c r="V857" s="806"/>
      <c r="W857" s="806"/>
      <c r="X857" s="806"/>
      <c r="Y857" s="806"/>
      <c r="Z857" s="806"/>
      <c r="AA857" s="708"/>
      <c r="AB857" s="708"/>
      <c r="AC857" s="708"/>
      <c r="AD857" s="708"/>
      <c r="AE857" s="708"/>
      <c r="AF857" s="708"/>
      <c r="AG857" s="708"/>
    </row>
    <row r="858" s="65" customFormat="1" ht="174.75" customHeight="1" spans="1:33">
      <c r="A858" s="816"/>
      <c r="B858" s="816"/>
      <c r="C858" s="816"/>
      <c r="D858" s="816"/>
      <c r="E858" s="816"/>
      <c r="F858" s="816"/>
      <c r="G858" s="816"/>
      <c r="H858" s="816"/>
      <c r="I858" s="816"/>
      <c r="J858" s="816"/>
      <c r="K858" s="816"/>
      <c r="L858" s="816"/>
      <c r="M858" s="816"/>
      <c r="N858" s="816"/>
      <c r="O858" s="816"/>
      <c r="P858" s="816"/>
      <c r="Q858" s="816"/>
      <c r="R858" s="816"/>
      <c r="S858" s="816"/>
      <c r="T858" s="816"/>
      <c r="U858" s="816"/>
      <c r="V858" s="816"/>
      <c r="W858" s="816"/>
      <c r="X858" s="816"/>
      <c r="Y858" s="816"/>
      <c r="Z858" s="816"/>
      <c r="AA858" s="816"/>
      <c r="AB858" s="816"/>
      <c r="AC858" s="816"/>
      <c r="AD858" s="816"/>
      <c r="AE858" s="816"/>
      <c r="AF858" s="816"/>
      <c r="AG858" s="816"/>
    </row>
  </sheetData>
  <mergeCells count="37">
    <mergeCell ref="A1:B1"/>
    <mergeCell ref="A2:AG2"/>
    <mergeCell ref="A3:AG3"/>
    <mergeCell ref="H4:K4"/>
    <mergeCell ref="L4:M4"/>
    <mergeCell ref="N4:Q4"/>
    <mergeCell ref="R4:V4"/>
    <mergeCell ref="Y4:Z4"/>
    <mergeCell ref="AA4:AC4"/>
    <mergeCell ref="I5:K5"/>
    <mergeCell ref="N5:Q5"/>
    <mergeCell ref="A858:AG858"/>
    <mergeCell ref="A4:A6"/>
    <mergeCell ref="B4:B6"/>
    <mergeCell ref="C4:C6"/>
    <mergeCell ref="D4:D6"/>
    <mergeCell ref="E4:E6"/>
    <mergeCell ref="F4:F6"/>
    <mergeCell ref="G4:G6"/>
    <mergeCell ref="H5:H6"/>
    <mergeCell ref="L5:L6"/>
    <mergeCell ref="M5:M6"/>
    <mergeCell ref="R5:R6"/>
    <mergeCell ref="S5:S6"/>
    <mergeCell ref="T5:T6"/>
    <mergeCell ref="U5:U6"/>
    <mergeCell ref="V5:V6"/>
    <mergeCell ref="W4:W6"/>
    <mergeCell ref="X4:X6"/>
    <mergeCell ref="Y5:Y6"/>
    <mergeCell ref="Z5:Z6"/>
    <mergeCell ref="AA5:AA6"/>
    <mergeCell ref="AB5:AB6"/>
    <mergeCell ref="AC5:AC6"/>
    <mergeCell ref="AF4:AF6"/>
    <mergeCell ref="AG4:AG6"/>
    <mergeCell ref="AD4:AE6"/>
  </mergeCells>
  <dataValidations count="2">
    <dataValidation allowBlank="1" showInputMessage="1" showErrorMessage="1" sqref="A2"/>
    <dataValidation type="textLength" operator="between" allowBlank="1" showInputMessage="1" showErrorMessage="1" sqref="AD582:AE582 AD596:AE596">
      <formula1>0</formula1>
      <formula2>120</formula2>
    </dataValidation>
  </dataValidations>
  <printOptions horizontalCentered="1"/>
  <pageMargins left="0.700694444444445" right="0.700694444444445" top="0.751388888888889" bottom="0.751388888888889" header="0.297916666666667" footer="0.393055555555556"/>
  <pageSetup paperSize="9" scale="4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C858"/>
  <sheetViews>
    <sheetView zoomScale="130" zoomScaleNormal="130" workbookViewId="0">
      <pane ySplit="6" topLeftCell="A64" activePane="bottomLeft" state="frozen"/>
      <selection/>
      <selection pane="bottomLeft" activeCell="A1" sqref="$A1:$XFD1048576"/>
    </sheetView>
  </sheetViews>
  <sheetFormatPr defaultColWidth="9" defaultRowHeight="12"/>
  <cols>
    <col min="1" max="1" width="7.75" style="695" customWidth="1"/>
    <col min="2" max="2" width="21.4916666666667" style="570" customWidth="1"/>
    <col min="3" max="3" width="10.5" style="570" customWidth="1"/>
    <col min="4" max="4" width="8.74166666666667" style="611" customWidth="1"/>
    <col min="5" max="5" width="6.74166666666667" style="570" customWidth="1"/>
    <col min="6" max="6" width="12.3916666666667" style="570" customWidth="1"/>
    <col min="7" max="7" width="17.25" style="570" customWidth="1"/>
    <col min="8" max="8" width="11.475" style="570" customWidth="1"/>
    <col min="9" max="9" width="12.3833333333333" style="570" customWidth="1"/>
    <col min="10" max="10" width="7.63333333333333" style="570" customWidth="1"/>
    <col min="11" max="11" width="11.3" style="570" customWidth="1"/>
    <col min="12" max="13" width="8.75" style="570" customWidth="1"/>
    <col min="14" max="15" width="12.1333333333333" style="696" customWidth="1"/>
    <col min="16" max="16" width="10.25" style="696" customWidth="1"/>
    <col min="17" max="17" width="12.0166666666667" style="696" customWidth="1"/>
    <col min="18" max="18" width="12" style="696" customWidth="1"/>
    <col min="19" max="19" width="11.8833333333333" style="696" customWidth="1"/>
    <col min="20" max="20" width="11.3833333333333" style="696" customWidth="1"/>
    <col min="21" max="21" width="10.6333333333333" style="696" customWidth="1"/>
    <col min="22" max="22" width="6.38333333333333" style="570" customWidth="1"/>
    <col min="23" max="23" width="8.38333333333333" style="570" customWidth="1"/>
    <col min="24" max="24" width="6.38333333333333" style="570" customWidth="1"/>
    <col min="25" max="25" width="9.65" style="570" customWidth="1"/>
    <col min="26" max="26" width="9.65833333333333" style="570" customWidth="1"/>
    <col min="27" max="29" width="5.25" style="570" customWidth="1"/>
    <col min="30" max="32" width="6.63333333333333" style="570" customWidth="1"/>
    <col min="33" max="33" width="9.5" style="570" customWidth="1"/>
    <col min="34" max="16384" width="9" style="570"/>
  </cols>
  <sheetData>
    <row r="1" s="65" customFormat="1" ht="19.5" customHeight="1" spans="1:237">
      <c r="A1" s="697" t="s">
        <v>731</v>
      </c>
      <c r="B1" s="697"/>
      <c r="C1" s="697"/>
      <c r="D1" s="698"/>
      <c r="E1" s="697"/>
      <c r="F1" s="697"/>
      <c r="G1" s="697"/>
      <c r="H1" s="697"/>
      <c r="I1" s="697"/>
      <c r="J1" s="697"/>
      <c r="K1" s="697"/>
      <c r="L1" s="697"/>
      <c r="M1" s="697"/>
      <c r="N1" s="717"/>
      <c r="O1" s="717"/>
      <c r="P1" s="717"/>
      <c r="Q1" s="717"/>
      <c r="R1" s="717"/>
      <c r="S1" s="717"/>
      <c r="T1" s="717"/>
      <c r="U1" s="717"/>
      <c r="V1" s="717"/>
      <c r="W1" s="717"/>
      <c r="X1" s="717"/>
      <c r="Y1" s="717"/>
      <c r="Z1" s="717"/>
      <c r="AA1" s="697"/>
      <c r="AB1" s="697"/>
      <c r="AC1" s="697"/>
      <c r="AD1" s="697"/>
      <c r="AE1" s="697"/>
      <c r="AF1" s="697"/>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c r="CY1" s="570"/>
      <c r="CZ1" s="570"/>
      <c r="DA1" s="570"/>
      <c r="DB1" s="570"/>
      <c r="DC1" s="570"/>
      <c r="DD1" s="570"/>
      <c r="DE1" s="570"/>
      <c r="DF1" s="570"/>
      <c r="DG1" s="570"/>
      <c r="DH1" s="570"/>
      <c r="DI1" s="570"/>
      <c r="DJ1" s="570"/>
      <c r="DK1" s="570"/>
      <c r="DL1" s="570"/>
      <c r="DM1" s="570"/>
      <c r="DN1" s="570"/>
      <c r="DO1" s="570"/>
      <c r="DP1" s="570"/>
      <c r="DQ1" s="570"/>
      <c r="DR1" s="570"/>
      <c r="DS1" s="570"/>
      <c r="DT1" s="570"/>
      <c r="DU1" s="570"/>
      <c r="DV1" s="570"/>
      <c r="DW1" s="570"/>
      <c r="DX1" s="570"/>
      <c r="DY1" s="570"/>
      <c r="DZ1" s="570"/>
      <c r="EA1" s="570"/>
      <c r="EB1" s="570"/>
      <c r="EC1" s="570"/>
      <c r="ED1" s="570"/>
      <c r="EE1" s="570"/>
      <c r="EF1" s="570"/>
      <c r="EG1" s="570"/>
      <c r="EH1" s="570"/>
      <c r="EI1" s="570"/>
      <c r="EJ1" s="570"/>
      <c r="EK1" s="570"/>
      <c r="EL1" s="570"/>
      <c r="EM1" s="570"/>
      <c r="EN1" s="570"/>
      <c r="EO1" s="570"/>
      <c r="EP1" s="570"/>
      <c r="EQ1" s="570"/>
      <c r="ER1" s="570"/>
      <c r="ES1" s="570"/>
      <c r="ET1" s="570"/>
      <c r="EU1" s="570"/>
      <c r="EV1" s="570"/>
      <c r="EW1" s="570"/>
      <c r="EX1" s="570"/>
      <c r="EY1" s="570"/>
      <c r="EZ1" s="570"/>
      <c r="FA1" s="570"/>
      <c r="FB1" s="570"/>
      <c r="FC1" s="570"/>
      <c r="FD1" s="570"/>
      <c r="FE1" s="570"/>
      <c r="FF1" s="570"/>
      <c r="FG1" s="570"/>
      <c r="FH1" s="570"/>
      <c r="FI1" s="570"/>
      <c r="FJ1" s="570"/>
      <c r="FK1" s="570"/>
      <c r="FL1" s="570"/>
      <c r="FM1" s="570"/>
      <c r="FN1" s="570"/>
      <c r="FO1" s="570"/>
      <c r="FP1" s="570"/>
      <c r="FQ1" s="570"/>
      <c r="FR1" s="570"/>
      <c r="FS1" s="570"/>
      <c r="FT1" s="570"/>
      <c r="FU1" s="570"/>
      <c r="FV1" s="570"/>
      <c r="FW1" s="570"/>
      <c r="FX1" s="570"/>
      <c r="FY1" s="570"/>
      <c r="FZ1" s="570"/>
      <c r="GA1" s="570"/>
      <c r="GB1" s="570"/>
      <c r="GC1" s="570"/>
      <c r="GD1" s="570"/>
      <c r="GE1" s="570"/>
      <c r="GF1" s="570"/>
      <c r="GG1" s="570"/>
      <c r="GH1" s="570"/>
      <c r="GI1" s="570"/>
      <c r="GJ1" s="570"/>
      <c r="GK1" s="570"/>
      <c r="GL1" s="570"/>
      <c r="GM1" s="570"/>
      <c r="GN1" s="570"/>
      <c r="GO1" s="570"/>
      <c r="GP1" s="570"/>
      <c r="GQ1" s="570"/>
      <c r="GR1" s="570"/>
      <c r="GS1" s="570"/>
      <c r="GT1" s="570"/>
      <c r="GU1" s="570"/>
      <c r="GV1" s="570"/>
      <c r="GW1" s="570"/>
      <c r="GX1" s="570"/>
      <c r="GY1" s="570"/>
      <c r="GZ1" s="570"/>
      <c r="HA1" s="570"/>
      <c r="HB1" s="570"/>
      <c r="HC1" s="570"/>
      <c r="HD1" s="570"/>
      <c r="HE1" s="570"/>
      <c r="HF1" s="570"/>
      <c r="HG1" s="570"/>
      <c r="HH1" s="570"/>
      <c r="HI1" s="570"/>
      <c r="HJ1" s="570"/>
      <c r="HK1" s="570"/>
      <c r="HL1" s="570"/>
      <c r="HM1" s="570"/>
      <c r="HN1" s="570"/>
      <c r="HO1" s="570"/>
      <c r="HP1" s="570"/>
      <c r="HQ1" s="570"/>
      <c r="HR1" s="570"/>
      <c r="HS1" s="570"/>
      <c r="HT1" s="570"/>
      <c r="HU1" s="570"/>
      <c r="HV1" s="570"/>
      <c r="HW1" s="570"/>
      <c r="HX1" s="570"/>
      <c r="HY1" s="570"/>
      <c r="HZ1" s="570"/>
      <c r="IA1" s="570"/>
      <c r="IB1" s="570"/>
      <c r="IC1" s="570"/>
    </row>
    <row r="2" s="691" customFormat="1" ht="39.95" customHeight="1" spans="1:237">
      <c r="A2" s="699" t="s">
        <v>732</v>
      </c>
      <c r="B2" s="699"/>
      <c r="C2" s="699"/>
      <c r="D2" s="699"/>
      <c r="E2" s="699"/>
      <c r="F2" s="699"/>
      <c r="G2" s="699"/>
      <c r="H2" s="699"/>
      <c r="I2" s="699"/>
      <c r="J2" s="699"/>
      <c r="K2" s="699"/>
      <c r="L2" s="699"/>
      <c r="M2" s="699"/>
      <c r="N2" s="718"/>
      <c r="O2" s="718"/>
      <c r="P2" s="718"/>
      <c r="Q2" s="718"/>
      <c r="R2" s="718"/>
      <c r="S2" s="718"/>
      <c r="T2" s="718"/>
      <c r="U2" s="718"/>
      <c r="V2" s="699"/>
      <c r="W2" s="699"/>
      <c r="X2" s="699"/>
      <c r="Y2" s="699"/>
      <c r="Z2" s="699"/>
      <c r="AA2" s="699"/>
      <c r="AB2" s="699"/>
      <c r="AC2" s="699"/>
      <c r="AD2" s="699"/>
      <c r="AE2" s="699"/>
      <c r="AF2" s="699"/>
      <c r="AG2" s="69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c r="BY2" s="749"/>
      <c r="BZ2" s="749"/>
      <c r="CA2" s="749"/>
      <c r="CB2" s="749"/>
      <c r="CC2" s="749"/>
      <c r="CD2" s="749"/>
      <c r="CE2" s="749"/>
      <c r="CF2" s="749"/>
      <c r="CG2" s="749"/>
      <c r="CH2" s="749"/>
      <c r="CI2" s="749"/>
      <c r="CJ2" s="749"/>
      <c r="CK2" s="749"/>
      <c r="CL2" s="749"/>
      <c r="CM2" s="749"/>
      <c r="CN2" s="749"/>
      <c r="CO2" s="749"/>
      <c r="CP2" s="749"/>
      <c r="CQ2" s="749"/>
      <c r="CR2" s="749"/>
      <c r="CS2" s="749"/>
      <c r="CT2" s="749"/>
      <c r="CU2" s="749"/>
      <c r="CV2" s="749"/>
      <c r="CW2" s="749"/>
      <c r="CX2" s="749"/>
      <c r="CY2" s="749"/>
      <c r="CZ2" s="749"/>
      <c r="DA2" s="749"/>
      <c r="DB2" s="749"/>
      <c r="DC2" s="749"/>
      <c r="DD2" s="749"/>
      <c r="DE2" s="749"/>
      <c r="DF2" s="749"/>
      <c r="DG2" s="749"/>
      <c r="DH2" s="749"/>
      <c r="DI2" s="749"/>
      <c r="DJ2" s="749"/>
      <c r="DK2" s="749"/>
      <c r="DL2" s="749"/>
      <c r="DM2" s="749"/>
      <c r="DN2" s="749"/>
      <c r="DO2" s="749"/>
      <c r="DP2" s="749"/>
      <c r="DQ2" s="749"/>
      <c r="DR2" s="749"/>
      <c r="DS2" s="749"/>
      <c r="DT2" s="749"/>
      <c r="DU2" s="749"/>
      <c r="DV2" s="749"/>
      <c r="DW2" s="749"/>
      <c r="DX2" s="749"/>
      <c r="DY2" s="749"/>
      <c r="DZ2" s="749"/>
      <c r="EA2" s="749"/>
      <c r="EB2" s="749"/>
      <c r="EC2" s="749"/>
      <c r="ED2" s="749"/>
      <c r="EE2" s="749"/>
      <c r="EF2" s="749"/>
      <c r="EG2" s="749"/>
      <c r="EH2" s="749"/>
      <c r="EI2" s="749"/>
      <c r="EJ2" s="749"/>
      <c r="EK2" s="749"/>
      <c r="EL2" s="749"/>
      <c r="EM2" s="749"/>
      <c r="EN2" s="749"/>
      <c r="EO2" s="749"/>
      <c r="EP2" s="749"/>
      <c r="EQ2" s="749"/>
      <c r="ER2" s="749"/>
      <c r="ES2" s="749"/>
      <c r="ET2" s="749"/>
      <c r="EU2" s="749"/>
      <c r="EV2" s="749"/>
      <c r="EW2" s="749"/>
      <c r="EX2" s="749"/>
      <c r="EY2" s="749"/>
      <c r="EZ2" s="749"/>
      <c r="FA2" s="749"/>
      <c r="FB2" s="749"/>
      <c r="FC2" s="749"/>
      <c r="FD2" s="749"/>
      <c r="FE2" s="749"/>
      <c r="FF2" s="749"/>
      <c r="FG2" s="749"/>
      <c r="FH2" s="749"/>
      <c r="FI2" s="749"/>
      <c r="FJ2" s="749"/>
      <c r="FK2" s="749"/>
      <c r="FL2" s="749"/>
      <c r="FM2" s="749"/>
      <c r="FN2" s="749"/>
      <c r="FO2" s="749"/>
      <c r="FP2" s="749"/>
      <c r="FQ2" s="749"/>
      <c r="FR2" s="749"/>
      <c r="FS2" s="749"/>
      <c r="FT2" s="749"/>
      <c r="FU2" s="749"/>
      <c r="FV2" s="749"/>
      <c r="FW2" s="749"/>
      <c r="FX2" s="749"/>
      <c r="FY2" s="749"/>
      <c r="FZ2" s="749"/>
      <c r="GA2" s="749"/>
      <c r="GB2" s="749"/>
      <c r="GC2" s="749"/>
      <c r="GD2" s="749"/>
      <c r="GE2" s="749"/>
      <c r="GF2" s="749"/>
      <c r="GG2" s="749"/>
      <c r="GH2" s="749"/>
      <c r="GI2" s="749"/>
      <c r="GJ2" s="749"/>
      <c r="GK2" s="749"/>
      <c r="GL2" s="749"/>
      <c r="GM2" s="749"/>
      <c r="GN2" s="749"/>
      <c r="GO2" s="749"/>
      <c r="GP2" s="749"/>
      <c r="GQ2" s="749"/>
      <c r="GR2" s="749"/>
      <c r="GS2" s="749"/>
      <c r="GT2" s="749"/>
      <c r="GU2" s="749"/>
      <c r="GV2" s="749"/>
      <c r="GW2" s="749"/>
      <c r="GX2" s="749"/>
      <c r="GY2" s="749"/>
      <c r="GZ2" s="749"/>
      <c r="HA2" s="749"/>
      <c r="HB2" s="749"/>
      <c r="HC2" s="749"/>
      <c r="HD2" s="749"/>
      <c r="HE2" s="749"/>
      <c r="HF2" s="749"/>
      <c r="HG2" s="749"/>
      <c r="HH2" s="749"/>
      <c r="HI2" s="749"/>
      <c r="HJ2" s="749"/>
      <c r="HK2" s="749"/>
      <c r="HL2" s="749"/>
      <c r="HM2" s="749"/>
      <c r="HN2" s="749"/>
      <c r="HO2" s="749"/>
      <c r="HP2" s="749"/>
      <c r="HQ2" s="749"/>
      <c r="HR2" s="749"/>
      <c r="HS2" s="749"/>
      <c r="HT2" s="749"/>
      <c r="HU2" s="749"/>
      <c r="HV2" s="749"/>
      <c r="HW2" s="749"/>
      <c r="HX2" s="749"/>
      <c r="HY2" s="749"/>
      <c r="HZ2" s="749"/>
      <c r="IA2" s="749"/>
      <c r="IB2" s="749"/>
      <c r="IC2" s="749"/>
    </row>
    <row r="3" s="692" customFormat="1" ht="24.95" customHeight="1" spans="1:33">
      <c r="A3" s="700" t="s">
        <v>2</v>
      </c>
      <c r="B3" s="700"/>
      <c r="C3" s="700"/>
      <c r="D3" s="700"/>
      <c r="E3" s="700"/>
      <c r="F3" s="700"/>
      <c r="G3" s="700"/>
      <c r="H3" s="700"/>
      <c r="I3" s="700"/>
      <c r="J3" s="700"/>
      <c r="K3" s="700"/>
      <c r="L3" s="700"/>
      <c r="M3" s="700"/>
      <c r="N3" s="719"/>
      <c r="O3" s="719"/>
      <c r="P3" s="719"/>
      <c r="Q3" s="719"/>
      <c r="R3" s="719"/>
      <c r="S3" s="719"/>
      <c r="T3" s="719"/>
      <c r="U3" s="719"/>
      <c r="V3" s="700"/>
      <c r="W3" s="700"/>
      <c r="X3" s="700"/>
      <c r="Y3" s="700"/>
      <c r="Z3" s="700"/>
      <c r="AA3" s="700"/>
      <c r="AB3" s="700"/>
      <c r="AC3" s="700"/>
      <c r="AD3" s="700"/>
      <c r="AE3" s="700"/>
      <c r="AF3" s="700"/>
      <c r="AG3" s="700"/>
    </row>
    <row r="4" s="693" customFormat="1" ht="46.5" customHeight="1" spans="1:33">
      <c r="A4" s="701" t="s">
        <v>3</v>
      </c>
      <c r="B4" s="585" t="s">
        <v>4</v>
      </c>
      <c r="C4" s="585" t="s">
        <v>5</v>
      </c>
      <c r="D4" s="585" t="s">
        <v>6</v>
      </c>
      <c r="E4" s="585" t="s">
        <v>590</v>
      </c>
      <c r="F4" s="702" t="s">
        <v>8</v>
      </c>
      <c r="G4" s="585" t="s">
        <v>9</v>
      </c>
      <c r="H4" s="585" t="s">
        <v>10</v>
      </c>
      <c r="I4" s="585"/>
      <c r="J4" s="585"/>
      <c r="K4" s="585"/>
      <c r="L4" s="585" t="s">
        <v>11</v>
      </c>
      <c r="M4" s="585"/>
      <c r="N4" s="720" t="s">
        <v>12</v>
      </c>
      <c r="O4" s="720"/>
      <c r="P4" s="720"/>
      <c r="Q4" s="720"/>
      <c r="R4" s="720" t="s">
        <v>13</v>
      </c>
      <c r="S4" s="720"/>
      <c r="T4" s="720"/>
      <c r="U4" s="720"/>
      <c r="V4" s="728"/>
      <c r="W4" s="729" t="s">
        <v>14</v>
      </c>
      <c r="X4" s="729" t="s">
        <v>15</v>
      </c>
      <c r="Y4" s="735" t="s">
        <v>16</v>
      </c>
      <c r="Z4" s="735"/>
      <c r="AA4" s="728" t="s">
        <v>17</v>
      </c>
      <c r="AB4" s="728"/>
      <c r="AC4" s="728"/>
      <c r="AD4" s="728" t="s">
        <v>18</v>
      </c>
      <c r="AE4" s="728"/>
      <c r="AF4" s="728" t="s">
        <v>19</v>
      </c>
      <c r="AG4" s="585" t="s">
        <v>20</v>
      </c>
    </row>
    <row r="5" s="693" customFormat="1" ht="21.75" customHeight="1" spans="1:33">
      <c r="A5" s="701"/>
      <c r="B5" s="585"/>
      <c r="C5" s="585"/>
      <c r="D5" s="585"/>
      <c r="E5" s="585"/>
      <c r="F5" s="703"/>
      <c r="G5" s="585"/>
      <c r="H5" s="585" t="s">
        <v>21</v>
      </c>
      <c r="I5" s="585"/>
      <c r="J5" s="585"/>
      <c r="K5" s="585"/>
      <c r="L5" s="702" t="s">
        <v>22</v>
      </c>
      <c r="M5" s="702" t="s">
        <v>23</v>
      </c>
      <c r="N5" s="721" t="s">
        <v>24</v>
      </c>
      <c r="O5" s="722"/>
      <c r="P5" s="722"/>
      <c r="Q5" s="730"/>
      <c r="R5" s="731" t="s">
        <v>25</v>
      </c>
      <c r="S5" s="731" t="s">
        <v>26</v>
      </c>
      <c r="T5" s="731" t="s">
        <v>27</v>
      </c>
      <c r="U5" s="731" t="s">
        <v>28</v>
      </c>
      <c r="V5" s="702" t="s">
        <v>29</v>
      </c>
      <c r="W5" s="732"/>
      <c r="X5" s="732"/>
      <c r="Y5" s="736" t="s">
        <v>30</v>
      </c>
      <c r="Z5" s="736" t="s">
        <v>31</v>
      </c>
      <c r="AA5" s="728" t="s">
        <v>32</v>
      </c>
      <c r="AB5" s="728" t="s">
        <v>33</v>
      </c>
      <c r="AC5" s="728" t="s">
        <v>34</v>
      </c>
      <c r="AD5" s="728"/>
      <c r="AE5" s="728"/>
      <c r="AF5" s="728"/>
      <c r="AG5" s="585"/>
    </row>
    <row r="6" s="693" customFormat="1" ht="59.25" customHeight="1" spans="1:33">
      <c r="A6" s="701"/>
      <c r="B6" s="585"/>
      <c r="C6" s="585"/>
      <c r="D6" s="585"/>
      <c r="E6" s="585"/>
      <c r="F6" s="704"/>
      <c r="G6" s="585"/>
      <c r="H6" s="585"/>
      <c r="I6" s="585" t="s">
        <v>591</v>
      </c>
      <c r="J6" s="585" t="s">
        <v>592</v>
      </c>
      <c r="K6" s="585" t="s">
        <v>593</v>
      </c>
      <c r="L6" s="704"/>
      <c r="M6" s="704"/>
      <c r="N6" s="723" t="s">
        <v>38</v>
      </c>
      <c r="O6" s="723" t="s">
        <v>591</v>
      </c>
      <c r="P6" s="723" t="s">
        <v>592</v>
      </c>
      <c r="Q6" s="723" t="s">
        <v>593</v>
      </c>
      <c r="R6" s="733"/>
      <c r="S6" s="733"/>
      <c r="T6" s="733"/>
      <c r="U6" s="733"/>
      <c r="V6" s="704"/>
      <c r="W6" s="734"/>
      <c r="X6" s="734"/>
      <c r="Y6" s="737"/>
      <c r="Z6" s="737"/>
      <c r="AA6" s="728"/>
      <c r="AB6" s="728"/>
      <c r="AC6" s="728"/>
      <c r="AD6" s="728"/>
      <c r="AE6" s="728"/>
      <c r="AF6" s="728"/>
      <c r="AG6" s="585"/>
    </row>
    <row r="7" ht="30" customHeight="1" spans="1:33">
      <c r="A7" s="705">
        <v>0</v>
      </c>
      <c r="B7" s="76" t="s">
        <v>39</v>
      </c>
      <c r="C7" s="92"/>
      <c r="D7" s="76"/>
      <c r="E7" s="92">
        <f>E8+E232+E372+E447+E518+E571+E607+E655</f>
        <v>450</v>
      </c>
      <c r="F7" s="92">
        <f t="shared" ref="F7:AA7" si="0">F8+F232+F372+F447+F518+F571+F607+F655</f>
        <v>0</v>
      </c>
      <c r="G7" s="92">
        <f t="shared" si="0"/>
        <v>0</v>
      </c>
      <c r="H7" s="92">
        <f t="shared" si="0"/>
        <v>662418.73</v>
      </c>
      <c r="I7" s="92">
        <f t="shared" si="0"/>
        <v>0</v>
      </c>
      <c r="J7" s="92">
        <f t="shared" si="0"/>
        <v>0</v>
      </c>
      <c r="K7" s="92">
        <f t="shared" si="0"/>
        <v>662418.73</v>
      </c>
      <c r="L7" s="92"/>
      <c r="M7" s="92"/>
      <c r="N7" s="724">
        <f t="shared" si="0"/>
        <v>56016.274</v>
      </c>
      <c r="O7" s="724">
        <f t="shared" si="0"/>
        <v>60</v>
      </c>
      <c r="P7" s="724">
        <f t="shared" si="0"/>
        <v>0</v>
      </c>
      <c r="Q7" s="724">
        <f t="shared" si="0"/>
        <v>55956.274</v>
      </c>
      <c r="R7" s="724">
        <f t="shared" si="0"/>
        <v>7589.328</v>
      </c>
      <c r="S7" s="724">
        <f t="shared" si="0"/>
        <v>47766.946</v>
      </c>
      <c r="T7" s="724">
        <f t="shared" si="0"/>
        <v>0</v>
      </c>
      <c r="U7" s="724">
        <f t="shared" si="0"/>
        <v>660</v>
      </c>
      <c r="V7" s="724">
        <f t="shared" si="0"/>
        <v>0</v>
      </c>
      <c r="W7" s="92">
        <f t="shared" si="0"/>
        <v>0</v>
      </c>
      <c r="X7" s="92">
        <f t="shared" si="0"/>
        <v>0</v>
      </c>
      <c r="Y7" s="738">
        <f t="shared" si="0"/>
        <v>252207.473684211</v>
      </c>
      <c r="Z7" s="738">
        <f t="shared" si="0"/>
        <v>990038.6</v>
      </c>
      <c r="AA7" s="738">
        <f t="shared" si="0"/>
        <v>450</v>
      </c>
      <c r="AB7" s="92"/>
      <c r="AC7" s="92"/>
      <c r="AD7" s="92"/>
      <c r="AE7" s="92"/>
      <c r="AF7" s="92"/>
      <c r="AG7" s="92"/>
    </row>
    <row r="8" ht="32.1" customHeight="1" spans="1:33">
      <c r="A8" s="705">
        <v>1</v>
      </c>
      <c r="B8" s="706" t="s">
        <v>40</v>
      </c>
      <c r="C8" s="706"/>
      <c r="D8" s="707"/>
      <c r="E8" s="706">
        <f>E9+E111+E130+E132+E145+E161+E163+E164+E186</f>
        <v>96</v>
      </c>
      <c r="F8" s="706">
        <f t="shared" ref="F8:AA8" si="1">F9+F111+F130+F132+F145+F161+F163+F164+F186</f>
        <v>0</v>
      </c>
      <c r="G8" s="706">
        <f t="shared" si="1"/>
        <v>0</v>
      </c>
      <c r="H8" s="706">
        <f t="shared" si="1"/>
        <v>276776.12</v>
      </c>
      <c r="I8" s="706">
        <f t="shared" si="1"/>
        <v>0</v>
      </c>
      <c r="J8" s="706">
        <f t="shared" si="1"/>
        <v>0</v>
      </c>
      <c r="K8" s="706">
        <f t="shared" si="1"/>
        <v>276776.12</v>
      </c>
      <c r="L8" s="706"/>
      <c r="M8" s="706"/>
      <c r="N8" s="725">
        <f t="shared" si="1"/>
        <v>34898.2015</v>
      </c>
      <c r="O8" s="725">
        <f t="shared" si="1"/>
        <v>0</v>
      </c>
      <c r="P8" s="725">
        <f t="shared" si="1"/>
        <v>0</v>
      </c>
      <c r="Q8" s="725">
        <f t="shared" si="1"/>
        <v>34898.2015</v>
      </c>
      <c r="R8" s="725">
        <f t="shared" si="1"/>
        <v>0</v>
      </c>
      <c r="S8" s="725">
        <f t="shared" si="1"/>
        <v>34898.2015</v>
      </c>
      <c r="T8" s="725">
        <f t="shared" si="1"/>
        <v>0</v>
      </c>
      <c r="U8" s="725">
        <f t="shared" si="1"/>
        <v>0</v>
      </c>
      <c r="V8" s="725">
        <f t="shared" si="1"/>
        <v>0</v>
      </c>
      <c r="W8" s="706">
        <f t="shared" si="1"/>
        <v>0</v>
      </c>
      <c r="X8" s="706">
        <f t="shared" si="1"/>
        <v>0</v>
      </c>
      <c r="Y8" s="739">
        <f t="shared" si="1"/>
        <v>79656</v>
      </c>
      <c r="Z8" s="739">
        <f t="shared" si="1"/>
        <v>377465.4</v>
      </c>
      <c r="AA8" s="739">
        <f t="shared" si="1"/>
        <v>96</v>
      </c>
      <c r="AB8" s="706"/>
      <c r="AC8" s="706"/>
      <c r="AD8" s="706"/>
      <c r="AE8" s="706"/>
      <c r="AF8" s="706"/>
      <c r="AG8" s="706" t="s">
        <v>41</v>
      </c>
    </row>
    <row r="9" ht="24.95" customHeight="1" spans="1:33">
      <c r="A9" s="705">
        <v>2</v>
      </c>
      <c r="B9" s="708" t="s">
        <v>42</v>
      </c>
      <c r="C9" s="708"/>
      <c r="D9" s="709"/>
      <c r="E9" s="708">
        <f>E10</f>
        <v>60</v>
      </c>
      <c r="F9" s="708">
        <f t="shared" ref="F9:AA9" si="2">F10</f>
        <v>0</v>
      </c>
      <c r="G9" s="708">
        <f t="shared" si="2"/>
        <v>0</v>
      </c>
      <c r="H9" s="708">
        <f t="shared" si="2"/>
        <v>183071.62</v>
      </c>
      <c r="I9" s="708">
        <f t="shared" si="2"/>
        <v>0</v>
      </c>
      <c r="J9" s="708">
        <f t="shared" si="2"/>
        <v>0</v>
      </c>
      <c r="K9" s="708">
        <f t="shared" si="2"/>
        <v>183071.62</v>
      </c>
      <c r="L9" s="708"/>
      <c r="M9" s="708"/>
      <c r="N9" s="726">
        <f t="shared" si="2"/>
        <v>31495.2215</v>
      </c>
      <c r="O9" s="726">
        <f t="shared" si="2"/>
        <v>0</v>
      </c>
      <c r="P9" s="726">
        <f t="shared" si="2"/>
        <v>0</v>
      </c>
      <c r="Q9" s="726">
        <f t="shared" si="2"/>
        <v>31495.2215</v>
      </c>
      <c r="R9" s="726">
        <f t="shared" si="2"/>
        <v>0</v>
      </c>
      <c r="S9" s="726">
        <f t="shared" si="2"/>
        <v>31495.2215</v>
      </c>
      <c r="T9" s="726">
        <f t="shared" si="2"/>
        <v>0</v>
      </c>
      <c r="U9" s="726">
        <f t="shared" si="2"/>
        <v>0</v>
      </c>
      <c r="V9" s="726">
        <f t="shared" si="2"/>
        <v>0</v>
      </c>
      <c r="W9" s="708">
        <f t="shared" si="2"/>
        <v>0</v>
      </c>
      <c r="X9" s="708">
        <f t="shared" si="2"/>
        <v>0</v>
      </c>
      <c r="Y9" s="708">
        <f t="shared" si="2"/>
        <v>67886</v>
      </c>
      <c r="Z9" s="708">
        <f t="shared" si="2"/>
        <v>327267</v>
      </c>
      <c r="AA9" s="708">
        <f t="shared" si="2"/>
        <v>60</v>
      </c>
      <c r="AB9" s="708"/>
      <c r="AC9" s="708"/>
      <c r="AD9" s="708"/>
      <c r="AE9" s="708"/>
      <c r="AF9" s="708" t="s">
        <v>43</v>
      </c>
      <c r="AG9" s="708" t="s">
        <v>41</v>
      </c>
    </row>
    <row r="10" ht="33" customHeight="1" spans="1:33">
      <c r="A10" s="705">
        <v>4</v>
      </c>
      <c r="B10" s="92" t="s">
        <v>44</v>
      </c>
      <c r="C10" s="92"/>
      <c r="D10" s="76" t="s">
        <v>45</v>
      </c>
      <c r="E10" s="92">
        <f>E11+E17+E27+E32+E40+E45+E51+E58+E63+E68+E78+E80+E84+E86+E88+E90+E93+E95+E97+E99+E101+E103+E105+E107+E109</f>
        <v>60</v>
      </c>
      <c r="F10" s="92">
        <f t="shared" ref="F10:AA10" si="3">F11+F17+F27+F32+F40+F45+F51+F58+F63+F68+F78+F80+F84+F86+F88+F90+F93+F95+F97+F99+F101+F103+F105+F107+F109</f>
        <v>0</v>
      </c>
      <c r="G10" s="92">
        <f t="shared" si="3"/>
        <v>0</v>
      </c>
      <c r="H10" s="92">
        <f t="shared" si="3"/>
        <v>183071.62</v>
      </c>
      <c r="I10" s="92">
        <f t="shared" si="3"/>
        <v>0</v>
      </c>
      <c r="J10" s="92">
        <f t="shared" si="3"/>
        <v>0</v>
      </c>
      <c r="K10" s="92">
        <f t="shared" si="3"/>
        <v>183071.62</v>
      </c>
      <c r="L10" s="92"/>
      <c r="M10" s="92"/>
      <c r="N10" s="724">
        <f t="shared" si="3"/>
        <v>31495.2215</v>
      </c>
      <c r="O10" s="724">
        <f t="shared" si="3"/>
        <v>0</v>
      </c>
      <c r="P10" s="724">
        <f t="shared" si="3"/>
        <v>0</v>
      </c>
      <c r="Q10" s="724">
        <f t="shared" si="3"/>
        <v>31495.2215</v>
      </c>
      <c r="R10" s="724">
        <f t="shared" si="3"/>
        <v>0</v>
      </c>
      <c r="S10" s="724">
        <f t="shared" si="3"/>
        <v>31495.2215</v>
      </c>
      <c r="T10" s="724">
        <f t="shared" si="3"/>
        <v>0</v>
      </c>
      <c r="U10" s="724">
        <f t="shared" si="3"/>
        <v>0</v>
      </c>
      <c r="V10" s="724">
        <f t="shared" si="3"/>
        <v>0</v>
      </c>
      <c r="W10" s="92">
        <f t="shared" si="3"/>
        <v>0</v>
      </c>
      <c r="X10" s="92">
        <f t="shared" si="3"/>
        <v>0</v>
      </c>
      <c r="Y10" s="92">
        <f t="shared" si="3"/>
        <v>67886</v>
      </c>
      <c r="Z10" s="92">
        <f t="shared" si="3"/>
        <v>327267</v>
      </c>
      <c r="AA10" s="92">
        <f t="shared" si="3"/>
        <v>60</v>
      </c>
      <c r="AB10" s="92"/>
      <c r="AC10" s="92"/>
      <c r="AD10" s="92"/>
      <c r="AE10" s="92"/>
      <c r="AF10" s="92" t="s">
        <v>43</v>
      </c>
      <c r="AG10" s="92"/>
    </row>
    <row r="11" ht="24.95" customHeight="1" spans="1:33">
      <c r="A11" s="705" t="s">
        <v>48</v>
      </c>
      <c r="B11" s="710" t="s">
        <v>49</v>
      </c>
      <c r="C11" s="71"/>
      <c r="D11" s="71"/>
      <c r="E11" s="92">
        <f>SUM(E12:E16)</f>
        <v>5</v>
      </c>
      <c r="F11" s="92">
        <f t="shared" ref="F11:AA11" si="4">SUM(F12:F16)</f>
        <v>0</v>
      </c>
      <c r="G11" s="92">
        <f t="shared" si="4"/>
        <v>0</v>
      </c>
      <c r="H11" s="92">
        <f t="shared" si="4"/>
        <v>41426.65</v>
      </c>
      <c r="I11" s="92">
        <f t="shared" si="4"/>
        <v>0</v>
      </c>
      <c r="J11" s="92">
        <f t="shared" si="4"/>
        <v>0</v>
      </c>
      <c r="K11" s="92">
        <f t="shared" si="4"/>
        <v>41426.65</v>
      </c>
      <c r="L11" s="92"/>
      <c r="M11" s="92"/>
      <c r="N11" s="724">
        <f t="shared" si="4"/>
        <v>7603.228</v>
      </c>
      <c r="O11" s="724">
        <f t="shared" si="4"/>
        <v>0</v>
      </c>
      <c r="P11" s="724">
        <f t="shared" si="4"/>
        <v>0</v>
      </c>
      <c r="Q11" s="724">
        <f t="shared" si="4"/>
        <v>7603.228</v>
      </c>
      <c r="R11" s="724">
        <f t="shared" si="4"/>
        <v>0</v>
      </c>
      <c r="S11" s="724">
        <f t="shared" si="4"/>
        <v>7603.228</v>
      </c>
      <c r="T11" s="724">
        <f t="shared" si="4"/>
        <v>0</v>
      </c>
      <c r="U11" s="724">
        <f t="shared" si="4"/>
        <v>0</v>
      </c>
      <c r="V11" s="724">
        <f t="shared" si="4"/>
        <v>0</v>
      </c>
      <c r="W11" s="92">
        <f t="shared" si="4"/>
        <v>0</v>
      </c>
      <c r="X11" s="92">
        <f t="shared" si="4"/>
        <v>0</v>
      </c>
      <c r="Y11" s="92">
        <f t="shared" si="4"/>
        <v>24210</v>
      </c>
      <c r="Z11" s="92">
        <f t="shared" si="4"/>
        <v>102313</v>
      </c>
      <c r="AA11" s="92">
        <f t="shared" si="4"/>
        <v>5</v>
      </c>
      <c r="AB11" s="92"/>
      <c r="AC11" s="92"/>
      <c r="AD11" s="141"/>
      <c r="AE11" s="146" t="s">
        <v>50</v>
      </c>
      <c r="AF11" s="438" t="s">
        <v>43</v>
      </c>
      <c r="AG11" s="92"/>
    </row>
    <row r="12" ht="24.95" customHeight="1" spans="1:33">
      <c r="A12" s="705"/>
      <c r="B12" s="97" t="s">
        <v>51</v>
      </c>
      <c r="C12" s="86" t="s">
        <v>52</v>
      </c>
      <c r="D12" s="151" t="s">
        <v>45</v>
      </c>
      <c r="E12" s="92">
        <v>1</v>
      </c>
      <c r="F12" s="97" t="s">
        <v>51</v>
      </c>
      <c r="G12" s="92"/>
      <c r="H12" s="141">
        <v>3550</v>
      </c>
      <c r="I12" s="92"/>
      <c r="J12" s="92"/>
      <c r="K12" s="141">
        <v>3550</v>
      </c>
      <c r="L12" s="92">
        <v>2020.01</v>
      </c>
      <c r="M12" s="92">
        <v>2020.12</v>
      </c>
      <c r="N12" s="727">
        <v>5390.928</v>
      </c>
      <c r="O12" s="92"/>
      <c r="P12" s="92"/>
      <c r="Q12" s="727">
        <v>5390.928</v>
      </c>
      <c r="R12" s="92"/>
      <c r="S12" s="727">
        <v>5390.928</v>
      </c>
      <c r="T12" s="92"/>
      <c r="U12" s="92"/>
      <c r="V12" s="92"/>
      <c r="W12" s="92"/>
      <c r="X12" s="92"/>
      <c r="Y12" s="29">
        <v>18685</v>
      </c>
      <c r="Z12" s="29">
        <v>79084</v>
      </c>
      <c r="AA12" s="92">
        <v>1</v>
      </c>
      <c r="AB12" s="92"/>
      <c r="AC12" s="92"/>
      <c r="AD12" s="740" t="s">
        <v>53</v>
      </c>
      <c r="AE12" s="741" t="s">
        <v>54</v>
      </c>
      <c r="AF12" s="742" t="s">
        <v>43</v>
      </c>
      <c r="AG12" s="92"/>
    </row>
    <row r="13" ht="24.95" customHeight="1" spans="1:33">
      <c r="A13" s="705"/>
      <c r="B13" s="96" t="s">
        <v>55</v>
      </c>
      <c r="C13" s="86" t="s">
        <v>52</v>
      </c>
      <c r="D13" s="151" t="s">
        <v>45</v>
      </c>
      <c r="E13" s="92">
        <v>1</v>
      </c>
      <c r="F13" s="96" t="s">
        <v>55</v>
      </c>
      <c r="G13" s="92"/>
      <c r="H13" s="146">
        <v>23913.8</v>
      </c>
      <c r="I13" s="92"/>
      <c r="J13" s="92"/>
      <c r="K13" s="146">
        <v>23913.8</v>
      </c>
      <c r="L13" s="92">
        <v>2020.01</v>
      </c>
      <c r="M13" s="92">
        <v>2020.12</v>
      </c>
      <c r="N13" s="146">
        <v>880</v>
      </c>
      <c r="O13" s="92"/>
      <c r="P13" s="92"/>
      <c r="Q13" s="146">
        <v>880</v>
      </c>
      <c r="R13" s="92"/>
      <c r="S13" s="146">
        <v>880</v>
      </c>
      <c r="T13" s="92"/>
      <c r="U13" s="92"/>
      <c r="V13" s="92"/>
      <c r="W13" s="92"/>
      <c r="X13" s="92"/>
      <c r="Y13" s="151">
        <v>2684</v>
      </c>
      <c r="Z13" s="151">
        <v>11330</v>
      </c>
      <c r="AA13" s="92">
        <v>1</v>
      </c>
      <c r="AB13" s="92"/>
      <c r="AC13" s="92"/>
      <c r="AD13" s="743" t="s">
        <v>56</v>
      </c>
      <c r="AE13" s="141" t="s">
        <v>57</v>
      </c>
      <c r="AF13" s="438" t="s">
        <v>43</v>
      </c>
      <c r="AG13" s="92"/>
    </row>
    <row r="14" ht="24.95" customHeight="1" spans="1:33">
      <c r="A14" s="705"/>
      <c r="B14" s="96" t="s">
        <v>58</v>
      </c>
      <c r="C14" s="86" t="s">
        <v>52</v>
      </c>
      <c r="D14" s="151" t="s">
        <v>45</v>
      </c>
      <c r="E14" s="92">
        <v>1</v>
      </c>
      <c r="F14" s="96" t="s">
        <v>58</v>
      </c>
      <c r="G14" s="92"/>
      <c r="H14" s="146">
        <v>2696</v>
      </c>
      <c r="I14" s="92"/>
      <c r="J14" s="92"/>
      <c r="K14" s="146">
        <v>2696</v>
      </c>
      <c r="L14" s="92">
        <v>2020.01</v>
      </c>
      <c r="M14" s="92">
        <v>2020.12</v>
      </c>
      <c r="N14" s="146">
        <v>84</v>
      </c>
      <c r="O14" s="92"/>
      <c r="P14" s="92"/>
      <c r="Q14" s="146">
        <v>84</v>
      </c>
      <c r="R14" s="92"/>
      <c r="S14" s="146">
        <v>84</v>
      </c>
      <c r="T14" s="92"/>
      <c r="U14" s="92"/>
      <c r="V14" s="92"/>
      <c r="W14" s="92"/>
      <c r="X14" s="92"/>
      <c r="Y14" s="151">
        <v>477</v>
      </c>
      <c r="Z14" s="151">
        <v>2016</v>
      </c>
      <c r="AA14" s="92">
        <v>1</v>
      </c>
      <c r="AB14" s="92"/>
      <c r="AC14" s="92"/>
      <c r="AD14" s="744" t="s">
        <v>59</v>
      </c>
      <c r="AE14" s="744" t="s">
        <v>60</v>
      </c>
      <c r="AF14" s="438" t="s">
        <v>43</v>
      </c>
      <c r="AG14" s="92"/>
    </row>
    <row r="15" ht="24.95" customHeight="1" spans="1:33">
      <c r="A15" s="705"/>
      <c r="B15" s="96" t="s">
        <v>61</v>
      </c>
      <c r="C15" s="86" t="s">
        <v>52</v>
      </c>
      <c r="D15" s="151" t="s">
        <v>45</v>
      </c>
      <c r="E15" s="92">
        <v>1</v>
      </c>
      <c r="F15" s="96" t="s">
        <v>61</v>
      </c>
      <c r="G15" s="92"/>
      <c r="H15" s="146">
        <v>5741.85</v>
      </c>
      <c r="I15" s="92"/>
      <c r="J15" s="92"/>
      <c r="K15" s="146">
        <v>5741.85</v>
      </c>
      <c r="L15" s="92">
        <v>2020.01</v>
      </c>
      <c r="M15" s="92">
        <v>2020.12</v>
      </c>
      <c r="N15" s="146">
        <v>326.8</v>
      </c>
      <c r="O15" s="92"/>
      <c r="P15" s="92"/>
      <c r="Q15" s="146">
        <v>326.8</v>
      </c>
      <c r="R15" s="92"/>
      <c r="S15" s="146">
        <v>326.8</v>
      </c>
      <c r="T15" s="92"/>
      <c r="U15" s="92"/>
      <c r="V15" s="92"/>
      <c r="W15" s="92"/>
      <c r="X15" s="92"/>
      <c r="Y15" s="151">
        <v>186</v>
      </c>
      <c r="Z15" s="151">
        <v>776</v>
      </c>
      <c r="AA15" s="92">
        <v>1</v>
      </c>
      <c r="AB15" s="92"/>
      <c r="AC15" s="92"/>
      <c r="AD15" s="141" t="s">
        <v>62</v>
      </c>
      <c r="AE15" s="141" t="s">
        <v>63</v>
      </c>
      <c r="AF15" s="438" t="s">
        <v>43</v>
      </c>
      <c r="AG15" s="92"/>
    </row>
    <row r="16" ht="24.95" customHeight="1" spans="1:33">
      <c r="A16" s="705"/>
      <c r="B16" s="96" t="s">
        <v>64</v>
      </c>
      <c r="C16" s="86" t="s">
        <v>52</v>
      </c>
      <c r="D16" s="151" t="s">
        <v>45</v>
      </c>
      <c r="E16" s="92">
        <v>1</v>
      </c>
      <c r="F16" s="96" t="s">
        <v>64</v>
      </c>
      <c r="G16" s="92"/>
      <c r="H16" s="146">
        <v>5525</v>
      </c>
      <c r="I16" s="92"/>
      <c r="J16" s="92"/>
      <c r="K16" s="146">
        <v>5525</v>
      </c>
      <c r="L16" s="92">
        <v>2020.01</v>
      </c>
      <c r="M16" s="92">
        <v>2020.12</v>
      </c>
      <c r="N16" s="86">
        <v>921.5</v>
      </c>
      <c r="O16" s="92"/>
      <c r="P16" s="92"/>
      <c r="Q16" s="86">
        <v>921.5</v>
      </c>
      <c r="R16" s="92"/>
      <c r="S16" s="86">
        <v>921.5</v>
      </c>
      <c r="T16" s="92"/>
      <c r="U16" s="92"/>
      <c r="V16" s="92"/>
      <c r="W16" s="92"/>
      <c r="X16" s="92"/>
      <c r="Y16" s="151">
        <v>2178</v>
      </c>
      <c r="Z16" s="151">
        <v>9107</v>
      </c>
      <c r="AA16" s="92">
        <v>1</v>
      </c>
      <c r="AB16" s="92"/>
      <c r="AC16" s="92"/>
      <c r="AD16" s="71" t="s">
        <v>65</v>
      </c>
      <c r="AE16" s="71" t="s">
        <v>66</v>
      </c>
      <c r="AF16" s="438" t="s">
        <v>43</v>
      </c>
      <c r="AG16" s="92"/>
    </row>
    <row r="17" ht="24.95" customHeight="1" spans="1:33">
      <c r="A17" s="705"/>
      <c r="B17" s="711" t="s">
        <v>67</v>
      </c>
      <c r="C17" s="146" t="s">
        <v>52</v>
      </c>
      <c r="D17" s="141" t="s">
        <v>45</v>
      </c>
      <c r="E17" s="92">
        <f>SUM(E18:E26)</f>
        <v>8</v>
      </c>
      <c r="F17" s="92">
        <f t="shared" ref="F17:AB17" si="5">SUM(F18:F26)</f>
        <v>0</v>
      </c>
      <c r="G17" s="92">
        <f t="shared" si="5"/>
        <v>0</v>
      </c>
      <c r="H17" s="92">
        <f t="shared" si="5"/>
        <v>31781.77</v>
      </c>
      <c r="I17" s="92">
        <f t="shared" si="5"/>
        <v>0</v>
      </c>
      <c r="J17" s="92">
        <f t="shared" si="5"/>
        <v>0</v>
      </c>
      <c r="K17" s="92">
        <f t="shared" si="5"/>
        <v>31781.77</v>
      </c>
      <c r="L17" s="92"/>
      <c r="M17" s="92"/>
      <c r="N17" s="92">
        <f t="shared" si="5"/>
        <v>2986.628</v>
      </c>
      <c r="O17" s="92">
        <f t="shared" si="5"/>
        <v>0</v>
      </c>
      <c r="P17" s="92">
        <f t="shared" si="5"/>
        <v>0</v>
      </c>
      <c r="Q17" s="92">
        <f t="shared" si="5"/>
        <v>2986.628</v>
      </c>
      <c r="R17" s="92">
        <f t="shared" si="5"/>
        <v>0</v>
      </c>
      <c r="S17" s="92">
        <f t="shared" si="5"/>
        <v>2986.628</v>
      </c>
      <c r="T17" s="92">
        <f t="shared" si="5"/>
        <v>0</v>
      </c>
      <c r="U17" s="92">
        <f t="shared" si="5"/>
        <v>0</v>
      </c>
      <c r="V17" s="92">
        <f t="shared" si="5"/>
        <v>0</v>
      </c>
      <c r="W17" s="92">
        <f t="shared" si="5"/>
        <v>0</v>
      </c>
      <c r="X17" s="92">
        <f t="shared" si="5"/>
        <v>0</v>
      </c>
      <c r="Y17" s="92">
        <f t="shared" si="5"/>
        <v>11163</v>
      </c>
      <c r="Z17" s="92">
        <f t="shared" si="5"/>
        <v>47868</v>
      </c>
      <c r="AA17" s="92">
        <f t="shared" si="5"/>
        <v>8</v>
      </c>
      <c r="AB17" s="92">
        <f t="shared" si="5"/>
        <v>0</v>
      </c>
      <c r="AC17" s="92"/>
      <c r="AD17" s="141" t="s">
        <v>68</v>
      </c>
      <c r="AE17" s="146" t="s">
        <v>50</v>
      </c>
      <c r="AF17" s="438" t="s">
        <v>43</v>
      </c>
      <c r="AG17" s="92"/>
    </row>
    <row r="18" ht="24.95" customHeight="1" spans="1:33">
      <c r="A18" s="705"/>
      <c r="B18" s="199" t="s">
        <v>69</v>
      </c>
      <c r="C18" s="141" t="s">
        <v>52</v>
      </c>
      <c r="D18" s="141" t="s">
        <v>45</v>
      </c>
      <c r="E18" s="92">
        <v>1</v>
      </c>
      <c r="F18" s="199" t="s">
        <v>69</v>
      </c>
      <c r="G18" s="92"/>
      <c r="H18" s="86">
        <v>480</v>
      </c>
      <c r="I18" s="92"/>
      <c r="J18" s="92"/>
      <c r="K18" s="86">
        <v>480</v>
      </c>
      <c r="L18" s="92">
        <v>2020.01</v>
      </c>
      <c r="M18" s="92">
        <v>2020.12</v>
      </c>
      <c r="N18" s="86">
        <v>24</v>
      </c>
      <c r="O18" s="92"/>
      <c r="P18" s="92"/>
      <c r="Q18" s="86">
        <v>24</v>
      </c>
      <c r="R18" s="92"/>
      <c r="S18" s="86">
        <v>24</v>
      </c>
      <c r="T18" s="92"/>
      <c r="U18" s="92"/>
      <c r="V18" s="92"/>
      <c r="W18" s="92"/>
      <c r="X18" s="92"/>
      <c r="Y18" s="151">
        <v>225</v>
      </c>
      <c r="Z18" s="151">
        <v>922</v>
      </c>
      <c r="AA18" s="92">
        <v>1</v>
      </c>
      <c r="AB18" s="92"/>
      <c r="AC18" s="92"/>
      <c r="AD18" s="146" t="s">
        <v>70</v>
      </c>
      <c r="AE18" s="146" t="s">
        <v>71</v>
      </c>
      <c r="AF18" s="438" t="s">
        <v>43</v>
      </c>
      <c r="AG18" s="92"/>
    </row>
    <row r="19" ht="24.95" customHeight="1" spans="1:33">
      <c r="A19" s="705"/>
      <c r="B19" s="199" t="s">
        <v>51</v>
      </c>
      <c r="C19" s="141" t="s">
        <v>52</v>
      </c>
      <c r="D19" s="141" t="s">
        <v>45</v>
      </c>
      <c r="E19" s="92">
        <v>1</v>
      </c>
      <c r="F19" s="199" t="s">
        <v>51</v>
      </c>
      <c r="G19" s="92"/>
      <c r="H19" s="86">
        <v>1612.77</v>
      </c>
      <c r="I19" s="92"/>
      <c r="J19" s="92"/>
      <c r="K19" s="86">
        <v>1612.77</v>
      </c>
      <c r="L19" s="92">
        <v>2020.01</v>
      </c>
      <c r="M19" s="92">
        <v>2020.12</v>
      </c>
      <c r="N19" s="86">
        <v>1442.75</v>
      </c>
      <c r="O19" s="92"/>
      <c r="P19" s="92"/>
      <c r="Q19" s="86">
        <v>1442.75</v>
      </c>
      <c r="R19" s="92"/>
      <c r="S19" s="86">
        <v>1442.75</v>
      </c>
      <c r="T19" s="92"/>
      <c r="U19" s="92"/>
      <c r="V19" s="92"/>
      <c r="W19" s="92"/>
      <c r="X19" s="92"/>
      <c r="Y19" s="151">
        <v>1760</v>
      </c>
      <c r="Z19" s="151">
        <v>7269</v>
      </c>
      <c r="AA19" s="92">
        <v>1</v>
      </c>
      <c r="AB19" s="92"/>
      <c r="AC19" s="92"/>
      <c r="AD19" s="740" t="s">
        <v>53</v>
      </c>
      <c r="AE19" s="741" t="s">
        <v>54</v>
      </c>
      <c r="AF19" s="742" t="s">
        <v>43</v>
      </c>
      <c r="AG19" s="92"/>
    </row>
    <row r="20" ht="24.95" customHeight="1" spans="1:33">
      <c r="A20" s="705"/>
      <c r="B20" s="199" t="s">
        <v>72</v>
      </c>
      <c r="C20" s="141" t="s">
        <v>52</v>
      </c>
      <c r="D20" s="141" t="s">
        <v>45</v>
      </c>
      <c r="E20" s="92">
        <v>1</v>
      </c>
      <c r="F20" s="199" t="s">
        <v>72</v>
      </c>
      <c r="G20" s="92"/>
      <c r="H20" s="86">
        <v>5780</v>
      </c>
      <c r="I20" s="92"/>
      <c r="J20" s="92"/>
      <c r="K20" s="86">
        <v>5780</v>
      </c>
      <c r="L20" s="92">
        <v>2020.01</v>
      </c>
      <c r="M20" s="92">
        <v>2020.12</v>
      </c>
      <c r="N20" s="86">
        <v>168</v>
      </c>
      <c r="O20" s="92"/>
      <c r="P20" s="92"/>
      <c r="Q20" s="86">
        <v>168</v>
      </c>
      <c r="R20" s="92"/>
      <c r="S20" s="86">
        <v>168</v>
      </c>
      <c r="T20" s="92"/>
      <c r="U20" s="92"/>
      <c r="V20" s="92"/>
      <c r="W20" s="92"/>
      <c r="X20" s="92"/>
      <c r="Y20" s="151">
        <v>1780</v>
      </c>
      <c r="Z20" s="151">
        <v>7144</v>
      </c>
      <c r="AA20" s="92">
        <v>1</v>
      </c>
      <c r="AB20" s="92"/>
      <c r="AC20" s="92"/>
      <c r="AD20" s="146" t="s">
        <v>73</v>
      </c>
      <c r="AE20" s="438" t="s">
        <v>74</v>
      </c>
      <c r="AF20" s="438" t="s">
        <v>43</v>
      </c>
      <c r="AG20" s="92"/>
    </row>
    <row r="21" ht="24.95" customHeight="1" spans="1:33">
      <c r="A21" s="705"/>
      <c r="B21" s="199" t="s">
        <v>75</v>
      </c>
      <c r="C21" s="146" t="s">
        <v>52</v>
      </c>
      <c r="D21" s="152" t="s">
        <v>45</v>
      </c>
      <c r="E21" s="92">
        <v>1</v>
      </c>
      <c r="F21" s="199" t="s">
        <v>75</v>
      </c>
      <c r="G21" s="92"/>
      <c r="H21" s="86">
        <v>5540</v>
      </c>
      <c r="I21" s="92"/>
      <c r="J21" s="92"/>
      <c r="K21" s="86">
        <v>5540</v>
      </c>
      <c r="L21" s="92">
        <v>2020.01</v>
      </c>
      <c r="M21" s="92">
        <v>2020.12</v>
      </c>
      <c r="N21" s="86">
        <v>114.17</v>
      </c>
      <c r="O21" s="92"/>
      <c r="P21" s="92"/>
      <c r="Q21" s="86">
        <v>114.17</v>
      </c>
      <c r="R21" s="92"/>
      <c r="S21" s="86">
        <v>114.17</v>
      </c>
      <c r="T21" s="92"/>
      <c r="U21" s="92"/>
      <c r="V21" s="92"/>
      <c r="W21" s="92"/>
      <c r="X21" s="92"/>
      <c r="Y21" s="151">
        <v>2090</v>
      </c>
      <c r="Z21" s="151">
        <v>9380</v>
      </c>
      <c r="AA21" s="92">
        <v>1</v>
      </c>
      <c r="AB21" s="92"/>
      <c r="AC21" s="92"/>
      <c r="AD21" s="146" t="s">
        <v>76</v>
      </c>
      <c r="AE21" s="146" t="s">
        <v>77</v>
      </c>
      <c r="AF21" s="438" t="s">
        <v>43</v>
      </c>
      <c r="AG21" s="92"/>
    </row>
    <row r="22" ht="24.95" customHeight="1" spans="1:33">
      <c r="A22" s="705"/>
      <c r="B22" s="199" t="s">
        <v>58</v>
      </c>
      <c r="C22" s="146" t="s">
        <v>52</v>
      </c>
      <c r="D22" s="152" t="s">
        <v>45</v>
      </c>
      <c r="E22" s="92">
        <v>1</v>
      </c>
      <c r="F22" s="199" t="s">
        <v>58</v>
      </c>
      <c r="G22" s="92"/>
      <c r="H22" s="86">
        <v>3272</v>
      </c>
      <c r="I22" s="92"/>
      <c r="J22" s="92"/>
      <c r="K22" s="86">
        <v>3272</v>
      </c>
      <c r="L22" s="92">
        <v>2020.01</v>
      </c>
      <c r="M22" s="92">
        <v>2020.12</v>
      </c>
      <c r="N22" s="86">
        <v>54.88</v>
      </c>
      <c r="O22" s="92"/>
      <c r="P22" s="92"/>
      <c r="Q22" s="86">
        <v>54.88</v>
      </c>
      <c r="R22" s="92"/>
      <c r="S22" s="86">
        <v>54.88</v>
      </c>
      <c r="T22" s="92"/>
      <c r="U22" s="92"/>
      <c r="V22" s="92"/>
      <c r="W22" s="92"/>
      <c r="X22" s="92"/>
      <c r="Y22" s="151">
        <v>1611</v>
      </c>
      <c r="Z22" s="151">
        <v>6806</v>
      </c>
      <c r="AA22" s="92">
        <v>1</v>
      </c>
      <c r="AB22" s="92"/>
      <c r="AC22" s="92"/>
      <c r="AD22" s="146" t="s">
        <v>59</v>
      </c>
      <c r="AE22" s="146" t="s">
        <v>60</v>
      </c>
      <c r="AF22" s="438" t="s">
        <v>43</v>
      </c>
      <c r="AG22" s="92"/>
    </row>
    <row r="23" ht="24.95" customHeight="1" spans="1:33">
      <c r="A23" s="705"/>
      <c r="B23" s="199" t="s">
        <v>61</v>
      </c>
      <c r="C23" s="146" t="s">
        <v>52</v>
      </c>
      <c r="D23" s="152" t="s">
        <v>45</v>
      </c>
      <c r="E23" s="92">
        <v>1</v>
      </c>
      <c r="F23" s="199" t="s">
        <v>61</v>
      </c>
      <c r="G23" s="92"/>
      <c r="H23" s="86">
        <v>13185</v>
      </c>
      <c r="I23" s="92"/>
      <c r="J23" s="92"/>
      <c r="K23" s="86">
        <v>13185</v>
      </c>
      <c r="L23" s="92">
        <v>2020.01</v>
      </c>
      <c r="M23" s="92">
        <v>2020.12</v>
      </c>
      <c r="N23" s="86">
        <v>1105.7</v>
      </c>
      <c r="O23" s="92"/>
      <c r="P23" s="92"/>
      <c r="Q23" s="86">
        <v>1105.7</v>
      </c>
      <c r="R23" s="92"/>
      <c r="S23" s="86">
        <v>1105.7</v>
      </c>
      <c r="T23" s="92"/>
      <c r="U23" s="92"/>
      <c r="V23" s="92"/>
      <c r="W23" s="92"/>
      <c r="X23" s="92"/>
      <c r="Y23" s="151">
        <v>3280</v>
      </c>
      <c r="Z23" s="151">
        <v>14809</v>
      </c>
      <c r="AA23" s="92">
        <v>1</v>
      </c>
      <c r="AB23" s="92"/>
      <c r="AC23" s="92"/>
      <c r="AD23" s="146" t="s">
        <v>62</v>
      </c>
      <c r="AE23" s="146" t="s">
        <v>63</v>
      </c>
      <c r="AF23" s="438" t="s">
        <v>43</v>
      </c>
      <c r="AG23" s="92"/>
    </row>
    <row r="24" ht="24.95" customHeight="1" spans="1:33">
      <c r="A24" s="705"/>
      <c r="B24" s="199" t="s">
        <v>78</v>
      </c>
      <c r="C24" s="71" t="s">
        <v>52</v>
      </c>
      <c r="D24" s="71" t="s">
        <v>45</v>
      </c>
      <c r="E24" s="92">
        <v>1</v>
      </c>
      <c r="F24" s="199" t="s">
        <v>78</v>
      </c>
      <c r="G24" s="92"/>
      <c r="H24" s="86">
        <v>1136</v>
      </c>
      <c r="I24" s="92"/>
      <c r="J24" s="92"/>
      <c r="K24" s="86">
        <v>1136</v>
      </c>
      <c r="L24" s="92">
        <v>2020.01</v>
      </c>
      <c r="M24" s="92">
        <v>2020.12</v>
      </c>
      <c r="N24" s="86">
        <v>15</v>
      </c>
      <c r="O24" s="92"/>
      <c r="P24" s="92"/>
      <c r="Q24" s="86">
        <v>15</v>
      </c>
      <c r="R24" s="92"/>
      <c r="S24" s="86">
        <v>15</v>
      </c>
      <c r="T24" s="92"/>
      <c r="U24" s="92"/>
      <c r="V24" s="92"/>
      <c r="W24" s="92"/>
      <c r="X24" s="92"/>
      <c r="Y24" s="151">
        <v>98</v>
      </c>
      <c r="Z24" s="151">
        <v>329</v>
      </c>
      <c r="AA24" s="92">
        <v>1</v>
      </c>
      <c r="AB24" s="92"/>
      <c r="AC24" s="92"/>
      <c r="AD24" s="86" t="s">
        <v>79</v>
      </c>
      <c r="AE24" s="86" t="s">
        <v>80</v>
      </c>
      <c r="AF24" s="438" t="s">
        <v>43</v>
      </c>
      <c r="AG24" s="92"/>
    </row>
    <row r="25" ht="24.95" customHeight="1" spans="1:33">
      <c r="A25" s="705"/>
      <c r="B25" s="199" t="s">
        <v>81</v>
      </c>
      <c r="C25" s="71" t="s">
        <v>52</v>
      </c>
      <c r="D25" s="71" t="s">
        <v>45</v>
      </c>
      <c r="E25" s="92">
        <v>1</v>
      </c>
      <c r="F25" s="199" t="s">
        <v>81</v>
      </c>
      <c r="G25" s="92"/>
      <c r="H25" s="86">
        <v>776</v>
      </c>
      <c r="I25" s="92"/>
      <c r="J25" s="92"/>
      <c r="K25" s="86">
        <v>776</v>
      </c>
      <c r="L25" s="92">
        <v>2020.01</v>
      </c>
      <c r="M25" s="92">
        <v>2020.12</v>
      </c>
      <c r="N25" s="86">
        <v>62.128</v>
      </c>
      <c r="O25" s="92"/>
      <c r="P25" s="92"/>
      <c r="Q25" s="86">
        <v>62.128</v>
      </c>
      <c r="R25" s="92"/>
      <c r="S25" s="86">
        <v>62.128</v>
      </c>
      <c r="T25" s="92"/>
      <c r="U25" s="92"/>
      <c r="V25" s="92"/>
      <c r="W25" s="92"/>
      <c r="X25" s="92"/>
      <c r="Y25" s="151">
        <v>319</v>
      </c>
      <c r="Z25" s="151">
        <v>1209</v>
      </c>
      <c r="AA25" s="92">
        <v>1</v>
      </c>
      <c r="AB25" s="92"/>
      <c r="AC25" s="92"/>
      <c r="AD25" s="86" t="s">
        <v>82</v>
      </c>
      <c r="AE25" s="86" t="s">
        <v>83</v>
      </c>
      <c r="AF25" s="438" t="s">
        <v>43</v>
      </c>
      <c r="AG25" s="92"/>
    </row>
    <row r="26" ht="24.95" customHeight="1" spans="1:33">
      <c r="A26" s="705"/>
      <c r="B26" s="199" t="s">
        <v>84</v>
      </c>
      <c r="C26" s="71" t="s">
        <v>52</v>
      </c>
      <c r="D26" s="71" t="s">
        <v>45</v>
      </c>
      <c r="E26" s="92"/>
      <c r="F26" s="199"/>
      <c r="G26" s="92"/>
      <c r="H26" s="86"/>
      <c r="I26" s="92"/>
      <c r="J26" s="92"/>
      <c r="K26" s="86"/>
      <c r="L26" s="92"/>
      <c r="M26" s="92"/>
      <c r="N26" s="86"/>
      <c r="O26" s="92"/>
      <c r="P26" s="92"/>
      <c r="Q26" s="86"/>
      <c r="R26" s="92"/>
      <c r="S26" s="86"/>
      <c r="T26" s="92"/>
      <c r="U26" s="92"/>
      <c r="V26" s="92"/>
      <c r="W26" s="92"/>
      <c r="X26" s="92"/>
      <c r="Y26" s="151"/>
      <c r="Z26" s="151"/>
      <c r="AA26" s="92"/>
      <c r="AB26" s="92"/>
      <c r="AC26" s="92"/>
      <c r="AD26" s="86"/>
      <c r="AE26" s="86"/>
      <c r="AF26" s="438"/>
      <c r="AG26" s="92"/>
    </row>
    <row r="27" ht="24.95" customHeight="1" spans="1:33">
      <c r="A27" s="705"/>
      <c r="B27" s="711" t="s">
        <v>86</v>
      </c>
      <c r="C27" s="71"/>
      <c r="D27" s="71"/>
      <c r="E27" s="92">
        <f>SUM(E28:E31)</f>
        <v>3</v>
      </c>
      <c r="F27" s="92">
        <f t="shared" ref="F27:AA27" si="6">SUM(F28:F31)</f>
        <v>0</v>
      </c>
      <c r="G27" s="92">
        <f t="shared" si="6"/>
        <v>0</v>
      </c>
      <c r="H27" s="92">
        <f t="shared" si="6"/>
        <v>30364</v>
      </c>
      <c r="I27" s="92">
        <f t="shared" si="6"/>
        <v>0</v>
      </c>
      <c r="J27" s="92">
        <f t="shared" si="6"/>
        <v>0</v>
      </c>
      <c r="K27" s="92">
        <f t="shared" si="6"/>
        <v>30364</v>
      </c>
      <c r="L27" s="92"/>
      <c r="M27" s="92"/>
      <c r="N27" s="92">
        <f t="shared" si="6"/>
        <v>6012.57</v>
      </c>
      <c r="O27" s="92">
        <f t="shared" si="6"/>
        <v>0</v>
      </c>
      <c r="P27" s="92">
        <f t="shared" si="6"/>
        <v>0</v>
      </c>
      <c r="Q27" s="92">
        <f t="shared" si="6"/>
        <v>6012.57</v>
      </c>
      <c r="R27" s="92">
        <f t="shared" si="6"/>
        <v>0</v>
      </c>
      <c r="S27" s="92">
        <f t="shared" si="6"/>
        <v>6012.57</v>
      </c>
      <c r="T27" s="92">
        <f t="shared" si="6"/>
        <v>0</v>
      </c>
      <c r="U27" s="92">
        <f t="shared" si="6"/>
        <v>0</v>
      </c>
      <c r="V27" s="92">
        <f t="shared" si="6"/>
        <v>0</v>
      </c>
      <c r="W27" s="92">
        <f t="shared" si="6"/>
        <v>0</v>
      </c>
      <c r="X27" s="92">
        <f t="shared" si="6"/>
        <v>0</v>
      </c>
      <c r="Y27" s="92">
        <f t="shared" si="6"/>
        <v>4652</v>
      </c>
      <c r="Z27" s="92">
        <f t="shared" si="6"/>
        <v>61808</v>
      </c>
      <c r="AA27" s="92">
        <f t="shared" si="6"/>
        <v>3</v>
      </c>
      <c r="AB27" s="92"/>
      <c r="AC27" s="92"/>
      <c r="AD27" s="141" t="s">
        <v>68</v>
      </c>
      <c r="AE27" s="146" t="s">
        <v>50</v>
      </c>
      <c r="AF27" s="438" t="s">
        <v>43</v>
      </c>
      <c r="AG27" s="92"/>
    </row>
    <row r="28" ht="24.95" customHeight="1" spans="1:33">
      <c r="A28" s="705"/>
      <c r="B28" s="199" t="s">
        <v>69</v>
      </c>
      <c r="C28" s="71" t="s">
        <v>52</v>
      </c>
      <c r="D28" s="71" t="s">
        <v>45</v>
      </c>
      <c r="E28" s="92">
        <v>1</v>
      </c>
      <c r="F28" s="199" t="s">
        <v>69</v>
      </c>
      <c r="G28" s="92"/>
      <c r="H28" s="86">
        <v>304</v>
      </c>
      <c r="I28" s="92"/>
      <c r="J28" s="92"/>
      <c r="K28" s="86">
        <v>304</v>
      </c>
      <c r="L28" s="92">
        <v>2020.01</v>
      </c>
      <c r="M28" s="92">
        <v>2020.12</v>
      </c>
      <c r="N28" s="86">
        <v>39.52</v>
      </c>
      <c r="O28" s="92"/>
      <c r="P28" s="92"/>
      <c r="Q28" s="86">
        <v>39.52</v>
      </c>
      <c r="R28" s="92"/>
      <c r="S28" s="86">
        <v>39.52</v>
      </c>
      <c r="T28" s="92"/>
      <c r="U28" s="92"/>
      <c r="V28" s="92"/>
      <c r="W28" s="92"/>
      <c r="X28" s="92"/>
      <c r="Y28" s="151">
        <v>118</v>
      </c>
      <c r="Z28" s="151">
        <v>553</v>
      </c>
      <c r="AA28" s="92">
        <v>1</v>
      </c>
      <c r="AB28" s="92"/>
      <c r="AC28" s="92"/>
      <c r="AD28" s="745" t="s">
        <v>88</v>
      </c>
      <c r="AE28" s="746" t="s">
        <v>89</v>
      </c>
      <c r="AF28" s="438" t="s">
        <v>43</v>
      </c>
      <c r="AG28" s="92"/>
    </row>
    <row r="29" ht="24.95" customHeight="1" spans="1:33">
      <c r="A29" s="705"/>
      <c r="B29" s="199" t="s">
        <v>51</v>
      </c>
      <c r="C29" s="712" t="s">
        <v>52</v>
      </c>
      <c r="D29" s="713" t="s">
        <v>45</v>
      </c>
      <c r="E29" s="92">
        <v>1</v>
      </c>
      <c r="F29" s="199" t="s">
        <v>51</v>
      </c>
      <c r="G29" s="92"/>
      <c r="H29" s="86">
        <v>10000</v>
      </c>
      <c r="I29" s="92"/>
      <c r="J29" s="92"/>
      <c r="K29" s="86">
        <v>10000</v>
      </c>
      <c r="L29" s="92">
        <v>2020.01</v>
      </c>
      <c r="M29" s="92">
        <v>2020.12</v>
      </c>
      <c r="N29" s="86">
        <v>5000</v>
      </c>
      <c r="O29" s="92"/>
      <c r="P29" s="92"/>
      <c r="Q29" s="86">
        <v>5000</v>
      </c>
      <c r="R29" s="92"/>
      <c r="S29" s="86">
        <v>5000</v>
      </c>
      <c r="T29" s="92"/>
      <c r="U29" s="92"/>
      <c r="V29" s="92"/>
      <c r="W29" s="92"/>
      <c r="X29" s="92"/>
      <c r="Y29" s="151">
        <v>1760</v>
      </c>
      <c r="Z29" s="151">
        <v>7269</v>
      </c>
      <c r="AA29" s="92">
        <v>1</v>
      </c>
      <c r="AB29" s="92"/>
      <c r="AC29" s="92"/>
      <c r="AD29" s="101" t="s">
        <v>53</v>
      </c>
      <c r="AE29" s="712" t="s">
        <v>54</v>
      </c>
      <c r="AF29" s="438" t="s">
        <v>43</v>
      </c>
      <c r="AG29" s="92"/>
    </row>
    <row r="30" ht="24.95" customHeight="1" spans="1:33">
      <c r="A30" s="705"/>
      <c r="B30" s="714" t="s">
        <v>55</v>
      </c>
      <c r="C30" s="715" t="s">
        <v>52</v>
      </c>
      <c r="D30" s="716" t="s">
        <v>45</v>
      </c>
      <c r="E30" s="92">
        <v>1</v>
      </c>
      <c r="F30" s="714" t="s">
        <v>55</v>
      </c>
      <c r="G30" s="92"/>
      <c r="H30" s="86">
        <v>20060</v>
      </c>
      <c r="I30" s="92"/>
      <c r="J30" s="92"/>
      <c r="K30" s="86">
        <v>20060</v>
      </c>
      <c r="L30" s="92">
        <v>2020.01</v>
      </c>
      <c r="M30" s="92">
        <v>2020.12</v>
      </c>
      <c r="N30" s="86">
        <v>973.05</v>
      </c>
      <c r="O30" s="92"/>
      <c r="P30" s="92"/>
      <c r="Q30" s="86">
        <v>973.05</v>
      </c>
      <c r="R30" s="92"/>
      <c r="S30" s="86">
        <v>973.05</v>
      </c>
      <c r="T30" s="92"/>
      <c r="U30" s="92"/>
      <c r="V30" s="92"/>
      <c r="W30" s="92"/>
      <c r="X30" s="92"/>
      <c r="Y30" s="151">
        <v>2774</v>
      </c>
      <c r="Z30" s="151">
        <v>53986</v>
      </c>
      <c r="AA30" s="92">
        <v>1</v>
      </c>
      <c r="AB30" s="92"/>
      <c r="AC30" s="92"/>
      <c r="AD30" s="747" t="s">
        <v>56</v>
      </c>
      <c r="AE30" s="715" t="s">
        <v>57</v>
      </c>
      <c r="AF30" s="438" t="s">
        <v>43</v>
      </c>
      <c r="AG30" s="92"/>
    </row>
    <row r="31" ht="24.95" customHeight="1" spans="1:33">
      <c r="A31" s="705"/>
      <c r="B31" s="199" t="s">
        <v>58</v>
      </c>
      <c r="C31" s="146" t="s">
        <v>52</v>
      </c>
      <c r="D31" s="152" t="s">
        <v>45</v>
      </c>
      <c r="E31" s="92"/>
      <c r="F31" s="199"/>
      <c r="G31" s="92"/>
      <c r="H31" s="86"/>
      <c r="I31" s="92"/>
      <c r="J31" s="92"/>
      <c r="K31" s="86"/>
      <c r="L31" s="92"/>
      <c r="M31" s="92"/>
      <c r="N31" s="86"/>
      <c r="O31" s="92"/>
      <c r="P31" s="92"/>
      <c r="Q31" s="86"/>
      <c r="R31" s="92"/>
      <c r="S31" s="86"/>
      <c r="T31" s="92"/>
      <c r="U31" s="92"/>
      <c r="V31" s="92"/>
      <c r="W31" s="92"/>
      <c r="X31" s="92"/>
      <c r="Y31" s="151"/>
      <c r="Z31" s="151"/>
      <c r="AA31" s="92"/>
      <c r="AB31" s="92"/>
      <c r="AC31" s="92"/>
      <c r="AD31" s="146"/>
      <c r="AE31" s="146"/>
      <c r="AF31" s="438"/>
      <c r="AG31" s="92"/>
    </row>
    <row r="32" ht="24.95" customHeight="1" spans="1:33">
      <c r="A32" s="705"/>
      <c r="B32" s="711" t="s">
        <v>90</v>
      </c>
      <c r="C32" s="141" t="s">
        <v>52</v>
      </c>
      <c r="D32" s="141" t="s">
        <v>45</v>
      </c>
      <c r="E32" s="92">
        <f>SUM(E33:E39)</f>
        <v>7</v>
      </c>
      <c r="F32" s="92">
        <f t="shared" ref="F32:AA32" si="7">SUM(F33:F39)</f>
        <v>0</v>
      </c>
      <c r="G32" s="92">
        <f t="shared" si="7"/>
        <v>0</v>
      </c>
      <c r="H32" s="92">
        <f t="shared" si="7"/>
        <v>16733.2</v>
      </c>
      <c r="I32" s="92">
        <f t="shared" si="7"/>
        <v>0</v>
      </c>
      <c r="J32" s="92">
        <f t="shared" si="7"/>
        <v>0</v>
      </c>
      <c r="K32" s="92">
        <f t="shared" si="7"/>
        <v>16733.2</v>
      </c>
      <c r="L32" s="92"/>
      <c r="M32" s="92"/>
      <c r="N32" s="92">
        <f t="shared" si="7"/>
        <v>4586.955</v>
      </c>
      <c r="O32" s="92">
        <f t="shared" si="7"/>
        <v>0</v>
      </c>
      <c r="P32" s="92">
        <f t="shared" si="7"/>
        <v>0</v>
      </c>
      <c r="Q32" s="92">
        <f t="shared" si="7"/>
        <v>4586.955</v>
      </c>
      <c r="R32" s="92">
        <f t="shared" si="7"/>
        <v>0</v>
      </c>
      <c r="S32" s="92">
        <f t="shared" si="7"/>
        <v>4586.955</v>
      </c>
      <c r="T32" s="92">
        <f t="shared" si="7"/>
        <v>0</v>
      </c>
      <c r="U32" s="92">
        <f t="shared" si="7"/>
        <v>0</v>
      </c>
      <c r="V32" s="92">
        <f t="shared" si="7"/>
        <v>0</v>
      </c>
      <c r="W32" s="92">
        <f t="shared" si="7"/>
        <v>0</v>
      </c>
      <c r="X32" s="92">
        <f t="shared" si="7"/>
        <v>0</v>
      </c>
      <c r="Y32" s="92">
        <f t="shared" si="7"/>
        <v>7877</v>
      </c>
      <c r="Z32" s="92">
        <f t="shared" si="7"/>
        <v>32540</v>
      </c>
      <c r="AA32" s="92">
        <f t="shared" si="7"/>
        <v>7</v>
      </c>
      <c r="AB32" s="92"/>
      <c r="AC32" s="92"/>
      <c r="AD32" s="141" t="s">
        <v>68</v>
      </c>
      <c r="AE32" s="146" t="s">
        <v>50</v>
      </c>
      <c r="AF32" s="438" t="s">
        <v>43</v>
      </c>
      <c r="AG32" s="92"/>
    </row>
    <row r="33" ht="24.95" customHeight="1" spans="1:33">
      <c r="A33" s="705"/>
      <c r="B33" s="199" t="s">
        <v>69</v>
      </c>
      <c r="C33" s="141" t="s">
        <v>52</v>
      </c>
      <c r="D33" s="141" t="s">
        <v>45</v>
      </c>
      <c r="E33" s="92">
        <v>1</v>
      </c>
      <c r="F33" s="199" t="s">
        <v>69</v>
      </c>
      <c r="G33" s="92"/>
      <c r="H33" s="86">
        <v>2440</v>
      </c>
      <c r="I33" s="92"/>
      <c r="J33" s="92"/>
      <c r="K33" s="86">
        <v>2440</v>
      </c>
      <c r="L33" s="92">
        <v>2020.01</v>
      </c>
      <c r="M33" s="92">
        <v>2020.12</v>
      </c>
      <c r="N33" s="86">
        <v>1200</v>
      </c>
      <c r="O33" s="92"/>
      <c r="P33" s="92"/>
      <c r="Q33" s="86">
        <v>1200</v>
      </c>
      <c r="R33" s="92"/>
      <c r="S33" s="86">
        <v>1200</v>
      </c>
      <c r="T33" s="92"/>
      <c r="U33" s="92"/>
      <c r="V33" s="92"/>
      <c r="W33" s="92"/>
      <c r="X33" s="92"/>
      <c r="Y33" s="151">
        <v>1220</v>
      </c>
      <c r="Z33" s="151">
        <v>4204</v>
      </c>
      <c r="AA33" s="92">
        <v>1</v>
      </c>
      <c r="AB33" s="92"/>
      <c r="AC33" s="92"/>
      <c r="AD33" s="146" t="s">
        <v>70</v>
      </c>
      <c r="AE33" s="146" t="s">
        <v>71</v>
      </c>
      <c r="AF33" s="438" t="s">
        <v>43</v>
      </c>
      <c r="AG33" s="92"/>
    </row>
    <row r="34" ht="24.95" customHeight="1" spans="1:33">
      <c r="A34" s="705"/>
      <c r="B34" s="199" t="s">
        <v>51</v>
      </c>
      <c r="C34" s="141" t="s">
        <v>52</v>
      </c>
      <c r="D34" s="141" t="s">
        <v>45</v>
      </c>
      <c r="E34" s="92">
        <v>1</v>
      </c>
      <c r="F34" s="199" t="s">
        <v>51</v>
      </c>
      <c r="G34" s="92"/>
      <c r="H34" s="86">
        <v>3135</v>
      </c>
      <c r="I34" s="92"/>
      <c r="J34" s="92"/>
      <c r="K34" s="86">
        <v>3135</v>
      </c>
      <c r="L34" s="92">
        <v>2020.01</v>
      </c>
      <c r="M34" s="92">
        <v>2020.12</v>
      </c>
      <c r="N34" s="86">
        <v>1504.8</v>
      </c>
      <c r="O34" s="92"/>
      <c r="P34" s="92"/>
      <c r="Q34" s="86">
        <v>1504.8</v>
      </c>
      <c r="R34" s="92"/>
      <c r="S34" s="86">
        <v>1504.8</v>
      </c>
      <c r="T34" s="92"/>
      <c r="U34" s="92"/>
      <c r="V34" s="92"/>
      <c r="W34" s="92"/>
      <c r="X34" s="92"/>
      <c r="Y34" s="151">
        <v>1760</v>
      </c>
      <c r="Z34" s="151">
        <v>7269</v>
      </c>
      <c r="AA34" s="92">
        <v>1</v>
      </c>
      <c r="AB34" s="92"/>
      <c r="AC34" s="92"/>
      <c r="AD34" s="740" t="s">
        <v>53</v>
      </c>
      <c r="AE34" s="741" t="s">
        <v>54</v>
      </c>
      <c r="AF34" s="742" t="s">
        <v>43</v>
      </c>
      <c r="AG34" s="92"/>
    </row>
    <row r="35" ht="24.95" customHeight="1" spans="1:33">
      <c r="A35" s="705"/>
      <c r="B35" s="199" t="s">
        <v>91</v>
      </c>
      <c r="C35" s="146" t="s">
        <v>52</v>
      </c>
      <c r="D35" s="152" t="s">
        <v>45</v>
      </c>
      <c r="E35" s="92">
        <v>1</v>
      </c>
      <c r="F35" s="199" t="s">
        <v>91</v>
      </c>
      <c r="G35" s="92"/>
      <c r="H35" s="86">
        <v>2901.2</v>
      </c>
      <c r="I35" s="92"/>
      <c r="J35" s="92"/>
      <c r="K35" s="86">
        <v>2901.2</v>
      </c>
      <c r="L35" s="92">
        <v>2020.01</v>
      </c>
      <c r="M35" s="92">
        <v>2020.12</v>
      </c>
      <c r="N35" s="86">
        <v>338.355</v>
      </c>
      <c r="O35" s="92"/>
      <c r="P35" s="92"/>
      <c r="Q35" s="86">
        <v>338.355</v>
      </c>
      <c r="R35" s="92"/>
      <c r="S35" s="86">
        <v>338.355</v>
      </c>
      <c r="T35" s="92"/>
      <c r="U35" s="92"/>
      <c r="V35" s="92"/>
      <c r="W35" s="92"/>
      <c r="X35" s="92"/>
      <c r="Y35" s="151">
        <v>1305</v>
      </c>
      <c r="Z35" s="151">
        <v>5172</v>
      </c>
      <c r="AA35" s="92">
        <v>1</v>
      </c>
      <c r="AB35" s="92"/>
      <c r="AC35" s="92"/>
      <c r="AD35" s="146" t="s">
        <v>82</v>
      </c>
      <c r="AE35" s="146" t="s">
        <v>83</v>
      </c>
      <c r="AF35" s="438" t="s">
        <v>43</v>
      </c>
      <c r="AG35" s="92"/>
    </row>
    <row r="36" ht="24.95" customHeight="1" spans="1:33">
      <c r="A36" s="705"/>
      <c r="B36" s="199" t="s">
        <v>75</v>
      </c>
      <c r="C36" s="141" t="s">
        <v>52</v>
      </c>
      <c r="D36" s="141" t="s">
        <v>45</v>
      </c>
      <c r="E36" s="92">
        <v>1</v>
      </c>
      <c r="F36" s="199" t="s">
        <v>75</v>
      </c>
      <c r="G36" s="92"/>
      <c r="H36" s="86">
        <v>2966</v>
      </c>
      <c r="I36" s="92"/>
      <c r="J36" s="92"/>
      <c r="K36" s="86">
        <v>2966</v>
      </c>
      <c r="L36" s="92">
        <v>2020.01</v>
      </c>
      <c r="M36" s="92">
        <v>2020.12</v>
      </c>
      <c r="N36" s="86">
        <v>187.6</v>
      </c>
      <c r="O36" s="92"/>
      <c r="P36" s="92"/>
      <c r="Q36" s="86">
        <v>187.6</v>
      </c>
      <c r="R36" s="92"/>
      <c r="S36" s="86">
        <v>187.6</v>
      </c>
      <c r="T36" s="92"/>
      <c r="U36" s="92"/>
      <c r="V36" s="92"/>
      <c r="W36" s="92"/>
      <c r="X36" s="92"/>
      <c r="Y36" s="151">
        <v>1246</v>
      </c>
      <c r="Z36" s="151">
        <v>5572</v>
      </c>
      <c r="AA36" s="92">
        <v>1</v>
      </c>
      <c r="AB36" s="92"/>
      <c r="AC36" s="92"/>
      <c r="AD36" s="146" t="s">
        <v>76</v>
      </c>
      <c r="AE36" s="146" t="s">
        <v>77</v>
      </c>
      <c r="AF36" s="438" t="s">
        <v>43</v>
      </c>
      <c r="AG36" s="92"/>
    </row>
    <row r="37" ht="24.95" customHeight="1" spans="1:33">
      <c r="A37" s="705"/>
      <c r="B37" s="199" t="s">
        <v>58</v>
      </c>
      <c r="C37" s="146" t="s">
        <v>52</v>
      </c>
      <c r="D37" s="152" t="s">
        <v>45</v>
      </c>
      <c r="E37" s="92">
        <v>1</v>
      </c>
      <c r="F37" s="199" t="s">
        <v>58</v>
      </c>
      <c r="G37" s="92"/>
      <c r="H37" s="86">
        <v>2491</v>
      </c>
      <c r="I37" s="92"/>
      <c r="J37" s="92"/>
      <c r="K37" s="86">
        <v>2491</v>
      </c>
      <c r="L37" s="92">
        <v>2020.01</v>
      </c>
      <c r="M37" s="92">
        <v>2020.12</v>
      </c>
      <c r="N37" s="86">
        <v>571.2</v>
      </c>
      <c r="O37" s="92"/>
      <c r="P37" s="92"/>
      <c r="Q37" s="86">
        <v>571.2</v>
      </c>
      <c r="R37" s="92"/>
      <c r="S37" s="86">
        <v>571.2</v>
      </c>
      <c r="T37" s="92"/>
      <c r="U37" s="92"/>
      <c r="V37" s="92"/>
      <c r="W37" s="92"/>
      <c r="X37" s="92"/>
      <c r="Y37" s="151">
        <v>485</v>
      </c>
      <c r="Z37" s="151">
        <v>2154</v>
      </c>
      <c r="AA37" s="92">
        <v>1</v>
      </c>
      <c r="AB37" s="92"/>
      <c r="AC37" s="92"/>
      <c r="AD37" s="146" t="s">
        <v>59</v>
      </c>
      <c r="AE37" s="141" t="s">
        <v>60</v>
      </c>
      <c r="AF37" s="438" t="s">
        <v>43</v>
      </c>
      <c r="AG37" s="92"/>
    </row>
    <row r="38" ht="24.95" customHeight="1" spans="1:33">
      <c r="A38" s="705"/>
      <c r="B38" s="199" t="s">
        <v>61</v>
      </c>
      <c r="C38" s="146" t="s">
        <v>52</v>
      </c>
      <c r="D38" s="152" t="s">
        <v>45</v>
      </c>
      <c r="E38" s="92">
        <v>1</v>
      </c>
      <c r="F38" s="199" t="s">
        <v>61</v>
      </c>
      <c r="G38" s="92"/>
      <c r="H38" s="86">
        <v>2600</v>
      </c>
      <c r="I38" s="92"/>
      <c r="J38" s="92"/>
      <c r="K38" s="86">
        <v>2600</v>
      </c>
      <c r="L38" s="92">
        <v>2020.01</v>
      </c>
      <c r="M38" s="92">
        <v>2020.12</v>
      </c>
      <c r="N38" s="86">
        <v>720</v>
      </c>
      <c r="O38" s="92"/>
      <c r="P38" s="92"/>
      <c r="Q38" s="86">
        <v>720</v>
      </c>
      <c r="R38" s="92"/>
      <c r="S38" s="86">
        <v>720</v>
      </c>
      <c r="T38" s="92"/>
      <c r="U38" s="92"/>
      <c r="V38" s="92"/>
      <c r="W38" s="92"/>
      <c r="X38" s="92"/>
      <c r="Y38" s="151">
        <v>1666</v>
      </c>
      <c r="Z38" s="151">
        <v>7503</v>
      </c>
      <c r="AA38" s="92">
        <v>1</v>
      </c>
      <c r="AB38" s="92"/>
      <c r="AC38" s="92"/>
      <c r="AD38" s="146" t="s">
        <v>62</v>
      </c>
      <c r="AE38" s="146" t="s">
        <v>63</v>
      </c>
      <c r="AF38" s="438" t="s">
        <v>43</v>
      </c>
      <c r="AG38" s="92"/>
    </row>
    <row r="39" ht="24.95" customHeight="1" spans="1:33">
      <c r="A39" s="705"/>
      <c r="B39" s="199" t="s">
        <v>92</v>
      </c>
      <c r="C39" s="146" t="s">
        <v>52</v>
      </c>
      <c r="D39" s="152" t="s">
        <v>45</v>
      </c>
      <c r="E39" s="92">
        <v>1</v>
      </c>
      <c r="F39" s="199" t="s">
        <v>92</v>
      </c>
      <c r="G39" s="92"/>
      <c r="H39" s="86">
        <v>200</v>
      </c>
      <c r="I39" s="92"/>
      <c r="J39" s="92"/>
      <c r="K39" s="86">
        <v>200</v>
      </c>
      <c r="L39" s="92">
        <v>2020.01</v>
      </c>
      <c r="M39" s="92">
        <v>2020.12</v>
      </c>
      <c r="N39" s="86">
        <v>65</v>
      </c>
      <c r="O39" s="92"/>
      <c r="P39" s="92"/>
      <c r="Q39" s="86">
        <v>65</v>
      </c>
      <c r="R39" s="92"/>
      <c r="S39" s="86">
        <v>65</v>
      </c>
      <c r="T39" s="92"/>
      <c r="U39" s="92"/>
      <c r="V39" s="92"/>
      <c r="W39" s="92"/>
      <c r="X39" s="92"/>
      <c r="Y39" s="151">
        <v>195</v>
      </c>
      <c r="Z39" s="151">
        <v>666</v>
      </c>
      <c r="AA39" s="92">
        <v>1</v>
      </c>
      <c r="AB39" s="92"/>
      <c r="AC39" s="92"/>
      <c r="AD39" s="146" t="s">
        <v>93</v>
      </c>
      <c r="AE39" s="146" t="s">
        <v>94</v>
      </c>
      <c r="AF39" s="438" t="s">
        <v>43</v>
      </c>
      <c r="AG39" s="92"/>
    </row>
    <row r="40" ht="24.95" customHeight="1" spans="1:33">
      <c r="A40" s="705"/>
      <c r="B40" s="711" t="s">
        <v>95</v>
      </c>
      <c r="C40" s="141" t="s">
        <v>52</v>
      </c>
      <c r="D40" s="141" t="s">
        <v>45</v>
      </c>
      <c r="E40" s="92">
        <f>SUM(E41:E44)</f>
        <v>3</v>
      </c>
      <c r="F40" s="92">
        <f t="shared" ref="F40:AA40" si="8">SUM(F41:F44)</f>
        <v>0</v>
      </c>
      <c r="G40" s="92">
        <f t="shared" si="8"/>
        <v>0</v>
      </c>
      <c r="H40" s="92">
        <f t="shared" si="8"/>
        <v>11628</v>
      </c>
      <c r="I40" s="92">
        <f t="shared" si="8"/>
        <v>0</v>
      </c>
      <c r="J40" s="92">
        <f t="shared" si="8"/>
        <v>0</v>
      </c>
      <c r="K40" s="92">
        <f t="shared" si="8"/>
        <v>11628</v>
      </c>
      <c r="L40" s="92"/>
      <c r="M40" s="92"/>
      <c r="N40" s="92">
        <f t="shared" si="8"/>
        <v>212.52</v>
      </c>
      <c r="O40" s="92">
        <f t="shared" si="8"/>
        <v>0</v>
      </c>
      <c r="P40" s="92">
        <f t="shared" si="8"/>
        <v>0</v>
      </c>
      <c r="Q40" s="92">
        <f t="shared" si="8"/>
        <v>212.52</v>
      </c>
      <c r="R40" s="92">
        <f t="shared" si="8"/>
        <v>0</v>
      </c>
      <c r="S40" s="92">
        <f t="shared" si="8"/>
        <v>212.52</v>
      </c>
      <c r="T40" s="92">
        <f t="shared" si="8"/>
        <v>0</v>
      </c>
      <c r="U40" s="92">
        <f t="shared" si="8"/>
        <v>0</v>
      </c>
      <c r="V40" s="92">
        <f t="shared" si="8"/>
        <v>0</v>
      </c>
      <c r="W40" s="92">
        <f t="shared" si="8"/>
        <v>0</v>
      </c>
      <c r="X40" s="92">
        <f t="shared" si="8"/>
        <v>0</v>
      </c>
      <c r="Y40" s="92">
        <f t="shared" si="8"/>
        <v>3701</v>
      </c>
      <c r="Z40" s="92">
        <f t="shared" si="8"/>
        <v>16000</v>
      </c>
      <c r="AA40" s="92">
        <f t="shared" si="8"/>
        <v>3</v>
      </c>
      <c r="AB40" s="92"/>
      <c r="AC40" s="92"/>
      <c r="AD40" s="141" t="s">
        <v>68</v>
      </c>
      <c r="AE40" s="146" t="s">
        <v>50</v>
      </c>
      <c r="AF40" s="438" t="s">
        <v>43</v>
      </c>
      <c r="AG40" s="92"/>
    </row>
    <row r="41" ht="24.95" customHeight="1" spans="1:33">
      <c r="A41" s="705"/>
      <c r="B41" s="199" t="s">
        <v>51</v>
      </c>
      <c r="C41" s="141" t="s">
        <v>52</v>
      </c>
      <c r="D41" s="141" t="s">
        <v>45</v>
      </c>
      <c r="E41" s="92"/>
      <c r="F41" s="199"/>
      <c r="G41" s="92"/>
      <c r="H41" s="86"/>
      <c r="I41" s="92"/>
      <c r="J41" s="92"/>
      <c r="K41" s="86"/>
      <c r="L41" s="92"/>
      <c r="M41" s="92"/>
      <c r="N41" s="86"/>
      <c r="O41" s="92"/>
      <c r="P41" s="92"/>
      <c r="Q41" s="86"/>
      <c r="R41" s="92"/>
      <c r="S41" s="86"/>
      <c r="T41" s="92"/>
      <c r="U41" s="92"/>
      <c r="V41" s="92"/>
      <c r="W41" s="92"/>
      <c r="X41" s="92"/>
      <c r="Y41" s="151"/>
      <c r="Z41" s="151"/>
      <c r="AA41" s="92"/>
      <c r="AB41" s="92"/>
      <c r="AC41" s="92"/>
      <c r="AD41" s="740"/>
      <c r="AE41" s="741"/>
      <c r="AF41" s="742"/>
      <c r="AG41" s="92"/>
    </row>
    <row r="42" ht="24.95" customHeight="1" spans="1:33">
      <c r="A42" s="705"/>
      <c r="B42" s="199" t="s">
        <v>72</v>
      </c>
      <c r="C42" s="146" t="s">
        <v>52</v>
      </c>
      <c r="D42" s="152" t="s">
        <v>45</v>
      </c>
      <c r="E42" s="92">
        <v>1</v>
      </c>
      <c r="F42" s="199" t="s">
        <v>72</v>
      </c>
      <c r="G42" s="92"/>
      <c r="H42" s="86">
        <v>1200</v>
      </c>
      <c r="I42" s="92"/>
      <c r="J42" s="92"/>
      <c r="K42" s="86">
        <v>1200</v>
      </c>
      <c r="L42" s="92">
        <v>2020.01</v>
      </c>
      <c r="M42" s="92">
        <v>2020.12</v>
      </c>
      <c r="N42" s="86">
        <v>17.52</v>
      </c>
      <c r="O42" s="92"/>
      <c r="P42" s="92"/>
      <c r="Q42" s="86">
        <v>17.52</v>
      </c>
      <c r="R42" s="92"/>
      <c r="S42" s="86">
        <v>17.52</v>
      </c>
      <c r="T42" s="92"/>
      <c r="U42" s="92"/>
      <c r="V42" s="92"/>
      <c r="W42" s="92"/>
      <c r="X42" s="92"/>
      <c r="Y42" s="151">
        <v>599</v>
      </c>
      <c r="Z42" s="151">
        <v>2487</v>
      </c>
      <c r="AA42" s="92">
        <v>1</v>
      </c>
      <c r="AB42" s="92"/>
      <c r="AC42" s="92"/>
      <c r="AD42" s="146" t="s">
        <v>73</v>
      </c>
      <c r="AE42" s="438" t="s">
        <v>74</v>
      </c>
      <c r="AF42" s="438" t="s">
        <v>43</v>
      </c>
      <c r="AG42" s="92"/>
    </row>
    <row r="43" ht="24.95" customHeight="1" spans="1:33">
      <c r="A43" s="705"/>
      <c r="B43" s="199" t="s">
        <v>75</v>
      </c>
      <c r="C43" s="141" t="s">
        <v>52</v>
      </c>
      <c r="D43" s="141" t="s">
        <v>45</v>
      </c>
      <c r="E43" s="92">
        <v>1</v>
      </c>
      <c r="F43" s="199" t="s">
        <v>75</v>
      </c>
      <c r="G43" s="92"/>
      <c r="H43" s="86">
        <v>7888</v>
      </c>
      <c r="I43" s="92"/>
      <c r="J43" s="92"/>
      <c r="K43" s="86">
        <v>7888</v>
      </c>
      <c r="L43" s="92">
        <v>2020.01</v>
      </c>
      <c r="M43" s="92">
        <v>2020.12</v>
      </c>
      <c r="N43" s="86">
        <v>140</v>
      </c>
      <c r="O43" s="92"/>
      <c r="P43" s="92"/>
      <c r="Q43" s="86">
        <v>140</v>
      </c>
      <c r="R43" s="92"/>
      <c r="S43" s="86">
        <v>140</v>
      </c>
      <c r="T43" s="92"/>
      <c r="U43" s="92"/>
      <c r="V43" s="92"/>
      <c r="W43" s="92"/>
      <c r="X43" s="92"/>
      <c r="Y43" s="151">
        <v>2160</v>
      </c>
      <c r="Z43" s="151">
        <v>9662</v>
      </c>
      <c r="AA43" s="92">
        <v>1</v>
      </c>
      <c r="AB43" s="92"/>
      <c r="AC43" s="92"/>
      <c r="AD43" s="146" t="s">
        <v>76</v>
      </c>
      <c r="AE43" s="146" t="s">
        <v>77</v>
      </c>
      <c r="AF43" s="438" t="s">
        <v>43</v>
      </c>
      <c r="AG43" s="92"/>
    </row>
    <row r="44" ht="24.95" customHeight="1" spans="1:33">
      <c r="A44" s="705"/>
      <c r="B44" s="714" t="s">
        <v>84</v>
      </c>
      <c r="C44" s="141" t="s">
        <v>96</v>
      </c>
      <c r="D44" s="141" t="s">
        <v>45</v>
      </c>
      <c r="E44" s="92">
        <v>1</v>
      </c>
      <c r="F44" s="714" t="s">
        <v>84</v>
      </c>
      <c r="G44" s="92"/>
      <c r="H44" s="86">
        <v>2540</v>
      </c>
      <c r="I44" s="92"/>
      <c r="J44" s="92"/>
      <c r="K44" s="86">
        <v>2540</v>
      </c>
      <c r="L44" s="92">
        <v>2020.01</v>
      </c>
      <c r="M44" s="92">
        <v>2020.12</v>
      </c>
      <c r="N44" s="86">
        <v>55</v>
      </c>
      <c r="O44" s="92"/>
      <c r="P44" s="92"/>
      <c r="Q44" s="86">
        <v>55</v>
      </c>
      <c r="R44" s="92"/>
      <c r="S44" s="86">
        <v>55</v>
      </c>
      <c r="T44" s="92"/>
      <c r="U44" s="92"/>
      <c r="V44" s="92"/>
      <c r="W44" s="92"/>
      <c r="X44" s="92"/>
      <c r="Y44" s="151">
        <v>942</v>
      </c>
      <c r="Z44" s="151">
        <v>3851</v>
      </c>
      <c r="AA44" s="92">
        <v>1</v>
      </c>
      <c r="AB44" s="92"/>
      <c r="AC44" s="92"/>
      <c r="AD44" s="146" t="s">
        <v>65</v>
      </c>
      <c r="AE44" s="146" t="s">
        <v>85</v>
      </c>
      <c r="AF44" s="438" t="s">
        <v>43</v>
      </c>
      <c r="AG44" s="92"/>
    </row>
    <row r="45" ht="24.95" customHeight="1" spans="1:33">
      <c r="A45" s="705"/>
      <c r="B45" s="711" t="s">
        <v>97</v>
      </c>
      <c r="C45" s="71" t="s">
        <v>52</v>
      </c>
      <c r="D45" s="71" t="s">
        <v>45</v>
      </c>
      <c r="E45" s="92">
        <f>SUM(E46:E50)</f>
        <v>4</v>
      </c>
      <c r="F45" s="92">
        <f t="shared" ref="F45:AA45" si="9">SUM(F46:F50)</f>
        <v>0</v>
      </c>
      <c r="G45" s="92">
        <f t="shared" si="9"/>
        <v>0</v>
      </c>
      <c r="H45" s="92">
        <f t="shared" si="9"/>
        <v>10142.5</v>
      </c>
      <c r="I45" s="92">
        <f t="shared" si="9"/>
        <v>0</v>
      </c>
      <c r="J45" s="92">
        <f t="shared" si="9"/>
        <v>0</v>
      </c>
      <c r="K45" s="92">
        <f t="shared" si="9"/>
        <v>10142.5</v>
      </c>
      <c r="L45" s="92"/>
      <c r="M45" s="92"/>
      <c r="N45" s="92">
        <f t="shared" si="9"/>
        <v>710.808</v>
      </c>
      <c r="O45" s="92">
        <f t="shared" si="9"/>
        <v>0</v>
      </c>
      <c r="P45" s="92">
        <f t="shared" si="9"/>
        <v>0</v>
      </c>
      <c r="Q45" s="92">
        <f t="shared" si="9"/>
        <v>710.808</v>
      </c>
      <c r="R45" s="92">
        <f t="shared" si="9"/>
        <v>0</v>
      </c>
      <c r="S45" s="92">
        <f t="shared" si="9"/>
        <v>710.808</v>
      </c>
      <c r="T45" s="92">
        <f t="shared" si="9"/>
        <v>0</v>
      </c>
      <c r="U45" s="92">
        <f t="shared" si="9"/>
        <v>0</v>
      </c>
      <c r="V45" s="92">
        <f t="shared" si="9"/>
        <v>0</v>
      </c>
      <c r="W45" s="92">
        <f t="shared" si="9"/>
        <v>0</v>
      </c>
      <c r="X45" s="92">
        <f t="shared" si="9"/>
        <v>0</v>
      </c>
      <c r="Y45" s="92">
        <f t="shared" si="9"/>
        <v>1344</v>
      </c>
      <c r="Z45" s="92">
        <f t="shared" si="9"/>
        <v>5555</v>
      </c>
      <c r="AA45" s="92">
        <f t="shared" si="9"/>
        <v>4</v>
      </c>
      <c r="AB45" s="92"/>
      <c r="AC45" s="92"/>
      <c r="AD45" s="141" t="s">
        <v>68</v>
      </c>
      <c r="AE45" s="146" t="s">
        <v>50</v>
      </c>
      <c r="AF45" s="438" t="s">
        <v>43</v>
      </c>
      <c r="AG45" s="92"/>
    </row>
    <row r="46" ht="24.95" customHeight="1" spans="1:33">
      <c r="A46" s="705"/>
      <c r="B46" s="199" t="s">
        <v>98</v>
      </c>
      <c r="C46" s="71" t="s">
        <v>52</v>
      </c>
      <c r="D46" s="71" t="s">
        <v>45</v>
      </c>
      <c r="E46" s="92">
        <v>1</v>
      </c>
      <c r="F46" s="199" t="s">
        <v>98</v>
      </c>
      <c r="G46" s="92"/>
      <c r="H46" s="86">
        <v>1061</v>
      </c>
      <c r="I46" s="92"/>
      <c r="J46" s="92"/>
      <c r="K46" s="86">
        <v>1061</v>
      </c>
      <c r="L46" s="92">
        <v>2020.01</v>
      </c>
      <c r="M46" s="92">
        <v>2020.12</v>
      </c>
      <c r="N46" s="86">
        <v>41.5</v>
      </c>
      <c r="O46" s="92"/>
      <c r="P46" s="92"/>
      <c r="Q46" s="86">
        <v>41.5</v>
      </c>
      <c r="R46" s="92"/>
      <c r="S46" s="86">
        <v>41.5</v>
      </c>
      <c r="T46" s="92"/>
      <c r="U46" s="92"/>
      <c r="V46" s="92"/>
      <c r="W46" s="92"/>
      <c r="X46" s="92"/>
      <c r="Y46" s="151">
        <v>474</v>
      </c>
      <c r="Z46" s="151">
        <v>2027</v>
      </c>
      <c r="AA46" s="92">
        <v>1</v>
      </c>
      <c r="AB46" s="92"/>
      <c r="AC46" s="92"/>
      <c r="AD46" s="746" t="s">
        <v>56</v>
      </c>
      <c r="AE46" s="746" t="s">
        <v>57</v>
      </c>
      <c r="AF46" s="438" t="s">
        <v>43</v>
      </c>
      <c r="AG46" s="92"/>
    </row>
    <row r="47" ht="24.95" customHeight="1" spans="1:33">
      <c r="A47" s="705"/>
      <c r="B47" s="199" t="s">
        <v>58</v>
      </c>
      <c r="C47" s="71" t="s">
        <v>52</v>
      </c>
      <c r="D47" s="71" t="s">
        <v>45</v>
      </c>
      <c r="E47" s="92">
        <v>1</v>
      </c>
      <c r="F47" s="199" t="s">
        <v>58</v>
      </c>
      <c r="G47" s="92"/>
      <c r="H47" s="86">
        <v>500</v>
      </c>
      <c r="I47" s="92"/>
      <c r="J47" s="92"/>
      <c r="K47" s="86">
        <v>500</v>
      </c>
      <c r="L47" s="92">
        <v>2020.01</v>
      </c>
      <c r="M47" s="92">
        <v>2020.12</v>
      </c>
      <c r="N47" s="86">
        <v>25</v>
      </c>
      <c r="O47" s="92"/>
      <c r="P47" s="92"/>
      <c r="Q47" s="86">
        <v>25</v>
      </c>
      <c r="R47" s="92"/>
      <c r="S47" s="86">
        <v>25</v>
      </c>
      <c r="T47" s="92"/>
      <c r="U47" s="92"/>
      <c r="V47" s="92"/>
      <c r="W47" s="92"/>
      <c r="X47" s="92"/>
      <c r="Y47" s="151">
        <v>45</v>
      </c>
      <c r="Z47" s="151">
        <v>145</v>
      </c>
      <c r="AA47" s="92">
        <v>1</v>
      </c>
      <c r="AB47" s="92"/>
      <c r="AC47" s="92"/>
      <c r="AD47" s="744" t="s">
        <v>59</v>
      </c>
      <c r="AE47" s="744" t="s">
        <v>60</v>
      </c>
      <c r="AF47" s="438" t="s">
        <v>43</v>
      </c>
      <c r="AG47" s="92"/>
    </row>
    <row r="48" ht="24.95" customHeight="1" spans="1:33">
      <c r="A48" s="705"/>
      <c r="B48" s="199" t="s">
        <v>72</v>
      </c>
      <c r="C48" s="71" t="s">
        <v>52</v>
      </c>
      <c r="D48" s="71" t="s">
        <v>45</v>
      </c>
      <c r="E48" s="92"/>
      <c r="F48" s="199"/>
      <c r="G48" s="92"/>
      <c r="H48" s="86"/>
      <c r="I48" s="92"/>
      <c r="J48" s="92"/>
      <c r="K48" s="86"/>
      <c r="L48" s="92"/>
      <c r="M48" s="92"/>
      <c r="N48" s="86"/>
      <c r="O48" s="92"/>
      <c r="P48" s="92"/>
      <c r="Q48" s="86"/>
      <c r="R48" s="92"/>
      <c r="S48" s="86"/>
      <c r="T48" s="92"/>
      <c r="U48" s="92"/>
      <c r="V48" s="92"/>
      <c r="W48" s="92"/>
      <c r="X48" s="92"/>
      <c r="Y48" s="151"/>
      <c r="Z48" s="151"/>
      <c r="AA48" s="92"/>
      <c r="AB48" s="92"/>
      <c r="AC48" s="92"/>
      <c r="AD48" s="745"/>
      <c r="AE48" s="745"/>
      <c r="AF48" s="438"/>
      <c r="AG48" s="92"/>
    </row>
    <row r="49" ht="24.95" customHeight="1" spans="1:33">
      <c r="A49" s="705"/>
      <c r="B49" s="199" t="s">
        <v>78</v>
      </c>
      <c r="C49" s="71" t="s">
        <v>52</v>
      </c>
      <c r="D49" s="71" t="s">
        <v>45</v>
      </c>
      <c r="E49" s="92">
        <v>1</v>
      </c>
      <c r="F49" s="199" t="s">
        <v>78</v>
      </c>
      <c r="G49" s="92"/>
      <c r="H49" s="86">
        <v>2511</v>
      </c>
      <c r="I49" s="92"/>
      <c r="J49" s="92"/>
      <c r="K49" s="86">
        <v>2511</v>
      </c>
      <c r="L49" s="92">
        <v>2020.01</v>
      </c>
      <c r="M49" s="92">
        <v>2020.12</v>
      </c>
      <c r="N49" s="86">
        <v>52.5</v>
      </c>
      <c r="O49" s="92"/>
      <c r="P49" s="92"/>
      <c r="Q49" s="86">
        <v>52.5</v>
      </c>
      <c r="R49" s="92"/>
      <c r="S49" s="86">
        <v>52.5</v>
      </c>
      <c r="T49" s="92"/>
      <c r="U49" s="92"/>
      <c r="V49" s="92"/>
      <c r="W49" s="92"/>
      <c r="X49" s="92"/>
      <c r="Y49" s="151">
        <v>368</v>
      </c>
      <c r="Z49" s="151">
        <v>1656</v>
      </c>
      <c r="AA49" s="92">
        <v>1</v>
      </c>
      <c r="AB49" s="92"/>
      <c r="AC49" s="92"/>
      <c r="AD49" s="86" t="s">
        <v>79</v>
      </c>
      <c r="AE49" s="86" t="s">
        <v>80</v>
      </c>
      <c r="AF49" s="438" t="s">
        <v>43</v>
      </c>
      <c r="AG49" s="92"/>
    </row>
    <row r="50" ht="24.95" customHeight="1" spans="1:33">
      <c r="A50" s="705"/>
      <c r="B50" s="199" t="s">
        <v>91</v>
      </c>
      <c r="C50" s="71" t="s">
        <v>52</v>
      </c>
      <c r="D50" s="71" t="s">
        <v>45</v>
      </c>
      <c r="E50" s="92">
        <v>1</v>
      </c>
      <c r="F50" s="199" t="s">
        <v>91</v>
      </c>
      <c r="G50" s="92"/>
      <c r="H50" s="86">
        <v>6070.5</v>
      </c>
      <c r="I50" s="92"/>
      <c r="J50" s="92"/>
      <c r="K50" s="86">
        <v>6070.5</v>
      </c>
      <c r="L50" s="92">
        <v>2020.01</v>
      </c>
      <c r="M50" s="92">
        <v>2020.12</v>
      </c>
      <c r="N50" s="86">
        <v>591.808</v>
      </c>
      <c r="O50" s="92"/>
      <c r="P50" s="92"/>
      <c r="Q50" s="86">
        <v>591.808</v>
      </c>
      <c r="R50" s="92"/>
      <c r="S50" s="86">
        <v>591.808</v>
      </c>
      <c r="T50" s="92"/>
      <c r="U50" s="92"/>
      <c r="V50" s="92"/>
      <c r="W50" s="92"/>
      <c r="X50" s="92"/>
      <c r="Y50" s="151">
        <v>457</v>
      </c>
      <c r="Z50" s="151">
        <v>1727</v>
      </c>
      <c r="AA50" s="92">
        <v>1</v>
      </c>
      <c r="AB50" s="92"/>
      <c r="AC50" s="92"/>
      <c r="AD50" s="146" t="s">
        <v>82</v>
      </c>
      <c r="AE50" s="146" t="s">
        <v>83</v>
      </c>
      <c r="AF50" s="438" t="s">
        <v>43</v>
      </c>
      <c r="AG50" s="92"/>
    </row>
    <row r="51" ht="24.95" customHeight="1" spans="1:33">
      <c r="A51" s="705"/>
      <c r="B51" s="711" t="s">
        <v>99</v>
      </c>
      <c r="C51" s="146" t="s">
        <v>52</v>
      </c>
      <c r="D51" s="152" t="s">
        <v>45</v>
      </c>
      <c r="E51" s="92">
        <f>SUM(E52:E57)</f>
        <v>3</v>
      </c>
      <c r="F51" s="92">
        <f t="shared" ref="F51:AA51" si="10">SUM(F52:F57)</f>
        <v>0</v>
      </c>
      <c r="G51" s="92">
        <f t="shared" si="10"/>
        <v>0</v>
      </c>
      <c r="H51" s="92">
        <f t="shared" si="10"/>
        <v>7390</v>
      </c>
      <c r="I51" s="92">
        <f t="shared" si="10"/>
        <v>0</v>
      </c>
      <c r="J51" s="92">
        <f t="shared" si="10"/>
        <v>0</v>
      </c>
      <c r="K51" s="92">
        <f t="shared" si="10"/>
        <v>7390</v>
      </c>
      <c r="L51" s="92"/>
      <c r="M51" s="92"/>
      <c r="N51" s="92">
        <f t="shared" si="10"/>
        <v>483.6</v>
      </c>
      <c r="O51" s="92">
        <f t="shared" si="10"/>
        <v>0</v>
      </c>
      <c r="P51" s="92">
        <f t="shared" si="10"/>
        <v>0</v>
      </c>
      <c r="Q51" s="92">
        <f t="shared" si="10"/>
        <v>483.6</v>
      </c>
      <c r="R51" s="92">
        <f t="shared" si="10"/>
        <v>0</v>
      </c>
      <c r="S51" s="92">
        <f t="shared" si="10"/>
        <v>483.6</v>
      </c>
      <c r="T51" s="92">
        <f t="shared" si="10"/>
        <v>0</v>
      </c>
      <c r="U51" s="92">
        <f t="shared" si="10"/>
        <v>0</v>
      </c>
      <c r="V51" s="92">
        <f t="shared" si="10"/>
        <v>0</v>
      </c>
      <c r="W51" s="92">
        <f t="shared" si="10"/>
        <v>0</v>
      </c>
      <c r="X51" s="92">
        <f t="shared" si="10"/>
        <v>0</v>
      </c>
      <c r="Y51" s="92">
        <f t="shared" si="10"/>
        <v>2649</v>
      </c>
      <c r="Z51" s="92">
        <f t="shared" si="10"/>
        <v>11240</v>
      </c>
      <c r="AA51" s="92">
        <f t="shared" si="10"/>
        <v>3</v>
      </c>
      <c r="AB51" s="92"/>
      <c r="AC51" s="92"/>
      <c r="AD51" s="141" t="s">
        <v>68</v>
      </c>
      <c r="AE51" s="146" t="s">
        <v>50</v>
      </c>
      <c r="AF51" s="438" t="s">
        <v>43</v>
      </c>
      <c r="AG51" s="92"/>
    </row>
    <row r="52" ht="24.95" customHeight="1" spans="1:33">
      <c r="A52" s="705"/>
      <c r="B52" s="199" t="s">
        <v>51</v>
      </c>
      <c r="C52" s="71" t="s">
        <v>52</v>
      </c>
      <c r="D52" s="71" t="s">
        <v>45</v>
      </c>
      <c r="E52" s="92">
        <v>1</v>
      </c>
      <c r="F52" s="199" t="s">
        <v>51</v>
      </c>
      <c r="G52" s="92"/>
      <c r="H52" s="86">
        <v>3550</v>
      </c>
      <c r="I52" s="92"/>
      <c r="J52" s="92"/>
      <c r="K52" s="86">
        <v>3550</v>
      </c>
      <c r="L52" s="92">
        <v>2020.01</v>
      </c>
      <c r="M52" s="92">
        <v>2020.12</v>
      </c>
      <c r="N52" s="86">
        <v>184.6</v>
      </c>
      <c r="O52" s="92"/>
      <c r="P52" s="92"/>
      <c r="Q52" s="86">
        <v>184.6</v>
      </c>
      <c r="R52" s="92"/>
      <c r="S52" s="86">
        <v>184.6</v>
      </c>
      <c r="T52" s="92"/>
      <c r="U52" s="92"/>
      <c r="V52" s="92"/>
      <c r="W52" s="92"/>
      <c r="X52" s="92"/>
      <c r="Y52" s="151">
        <v>991</v>
      </c>
      <c r="Z52" s="151">
        <v>4102</v>
      </c>
      <c r="AA52" s="92">
        <v>1</v>
      </c>
      <c r="AB52" s="92"/>
      <c r="AC52" s="92"/>
      <c r="AD52" s="146" t="s">
        <v>53</v>
      </c>
      <c r="AE52" s="86" t="s">
        <v>54</v>
      </c>
      <c r="AF52" s="438" t="s">
        <v>43</v>
      </c>
      <c r="AG52" s="92"/>
    </row>
    <row r="53" ht="24.95" customHeight="1" spans="1:33">
      <c r="A53" s="705"/>
      <c r="B53" s="199" t="s">
        <v>100</v>
      </c>
      <c r="C53" s="146" t="s">
        <v>52</v>
      </c>
      <c r="D53" s="152" t="s">
        <v>45</v>
      </c>
      <c r="E53" s="92"/>
      <c r="F53" s="199"/>
      <c r="G53" s="92"/>
      <c r="H53" s="86"/>
      <c r="I53" s="92"/>
      <c r="J53" s="92"/>
      <c r="K53" s="86"/>
      <c r="L53" s="92"/>
      <c r="M53" s="92"/>
      <c r="N53" s="86"/>
      <c r="O53" s="92"/>
      <c r="P53" s="92"/>
      <c r="Q53" s="86"/>
      <c r="R53" s="92"/>
      <c r="S53" s="86"/>
      <c r="T53" s="92"/>
      <c r="U53" s="92"/>
      <c r="V53" s="92"/>
      <c r="W53" s="92"/>
      <c r="X53" s="92"/>
      <c r="Y53" s="151"/>
      <c r="Z53" s="151"/>
      <c r="AA53" s="92"/>
      <c r="AB53" s="92"/>
      <c r="AC53" s="92"/>
      <c r="AD53" s="146"/>
      <c r="AE53" s="146"/>
      <c r="AF53" s="438"/>
      <c r="AG53" s="92"/>
    </row>
    <row r="54" ht="24.95" customHeight="1" spans="1:33">
      <c r="A54" s="705"/>
      <c r="B54" s="199" t="s">
        <v>91</v>
      </c>
      <c r="C54" s="146" t="s">
        <v>52</v>
      </c>
      <c r="D54" s="152" t="s">
        <v>45</v>
      </c>
      <c r="E54" s="92"/>
      <c r="F54" s="199"/>
      <c r="G54" s="92"/>
      <c r="H54" s="86"/>
      <c r="I54" s="92"/>
      <c r="J54" s="92"/>
      <c r="K54" s="86"/>
      <c r="L54" s="92"/>
      <c r="M54" s="92"/>
      <c r="N54" s="86"/>
      <c r="O54" s="92"/>
      <c r="P54" s="92"/>
      <c r="Q54" s="86"/>
      <c r="R54" s="92"/>
      <c r="S54" s="86"/>
      <c r="T54" s="92"/>
      <c r="U54" s="92"/>
      <c r="V54" s="92"/>
      <c r="W54" s="92"/>
      <c r="X54" s="92"/>
      <c r="Y54" s="151"/>
      <c r="Z54" s="151"/>
      <c r="AA54" s="92"/>
      <c r="AB54" s="92"/>
      <c r="AC54" s="92"/>
      <c r="AD54" s="146"/>
      <c r="AE54" s="146"/>
      <c r="AF54" s="438"/>
      <c r="AG54" s="92"/>
    </row>
    <row r="55" ht="24.95" customHeight="1" spans="1:33">
      <c r="A55" s="705"/>
      <c r="B55" s="199" t="s">
        <v>101</v>
      </c>
      <c r="C55" s="146" t="s">
        <v>52</v>
      </c>
      <c r="D55" s="152" t="s">
        <v>45</v>
      </c>
      <c r="E55" s="92">
        <v>1</v>
      </c>
      <c r="F55" s="199" t="s">
        <v>101</v>
      </c>
      <c r="G55" s="92"/>
      <c r="H55" s="86">
        <v>740</v>
      </c>
      <c r="I55" s="92"/>
      <c r="J55" s="92"/>
      <c r="K55" s="86">
        <v>740</v>
      </c>
      <c r="L55" s="92">
        <v>2020.01</v>
      </c>
      <c r="M55" s="92">
        <v>2020.12</v>
      </c>
      <c r="N55" s="86">
        <v>74</v>
      </c>
      <c r="O55" s="92"/>
      <c r="P55" s="92"/>
      <c r="Q55" s="86">
        <v>74</v>
      </c>
      <c r="R55" s="92"/>
      <c r="S55" s="86">
        <v>74</v>
      </c>
      <c r="T55" s="92"/>
      <c r="U55" s="92"/>
      <c r="V55" s="92"/>
      <c r="W55" s="92"/>
      <c r="X55" s="92"/>
      <c r="Y55" s="151">
        <v>367</v>
      </c>
      <c r="Z55" s="151">
        <v>1605</v>
      </c>
      <c r="AA55" s="92">
        <v>1</v>
      </c>
      <c r="AB55" s="92"/>
      <c r="AC55" s="92"/>
      <c r="AD55" s="146" t="s">
        <v>70</v>
      </c>
      <c r="AE55" s="146" t="s">
        <v>71</v>
      </c>
      <c r="AF55" s="438" t="s">
        <v>43</v>
      </c>
      <c r="AG55" s="92"/>
    </row>
    <row r="56" ht="24.95" customHeight="1" spans="1:33">
      <c r="A56" s="705"/>
      <c r="B56" s="199" t="s">
        <v>102</v>
      </c>
      <c r="C56" s="146" t="s">
        <v>52</v>
      </c>
      <c r="D56" s="152" t="s">
        <v>45</v>
      </c>
      <c r="E56" s="92">
        <v>1</v>
      </c>
      <c r="F56" s="199" t="s">
        <v>102</v>
      </c>
      <c r="G56" s="92"/>
      <c r="H56" s="86">
        <v>3100</v>
      </c>
      <c r="I56" s="92"/>
      <c r="J56" s="92"/>
      <c r="K56" s="86">
        <v>3100</v>
      </c>
      <c r="L56" s="92">
        <v>2020.01</v>
      </c>
      <c r="M56" s="92">
        <v>2020.12</v>
      </c>
      <c r="N56" s="86">
        <v>225</v>
      </c>
      <c r="O56" s="92"/>
      <c r="P56" s="92"/>
      <c r="Q56" s="86">
        <v>225</v>
      </c>
      <c r="R56" s="92"/>
      <c r="S56" s="86">
        <v>225</v>
      </c>
      <c r="T56" s="92"/>
      <c r="U56" s="92"/>
      <c r="V56" s="92"/>
      <c r="W56" s="92"/>
      <c r="X56" s="92"/>
      <c r="Y56" s="151">
        <v>1291</v>
      </c>
      <c r="Z56" s="151">
        <v>5533</v>
      </c>
      <c r="AA56" s="92">
        <v>1</v>
      </c>
      <c r="AB56" s="92"/>
      <c r="AC56" s="92"/>
      <c r="AD56" s="146" t="s">
        <v>62</v>
      </c>
      <c r="AE56" s="146" t="s">
        <v>63</v>
      </c>
      <c r="AF56" s="438" t="s">
        <v>43</v>
      </c>
      <c r="AG56" s="92"/>
    </row>
    <row r="57" ht="24.95" customHeight="1" spans="1:33">
      <c r="A57" s="705"/>
      <c r="B57" s="199" t="s">
        <v>58</v>
      </c>
      <c r="C57" s="146" t="s">
        <v>52</v>
      </c>
      <c r="D57" s="71" t="s">
        <v>45</v>
      </c>
      <c r="E57" s="92"/>
      <c r="F57" s="199"/>
      <c r="G57" s="92"/>
      <c r="H57" s="86"/>
      <c r="I57" s="92"/>
      <c r="J57" s="92"/>
      <c r="K57" s="86"/>
      <c r="L57" s="92"/>
      <c r="M57" s="92"/>
      <c r="N57" s="86"/>
      <c r="O57" s="92"/>
      <c r="P57" s="92"/>
      <c r="Q57" s="86"/>
      <c r="R57" s="92"/>
      <c r="S57" s="86"/>
      <c r="T57" s="92"/>
      <c r="U57" s="92"/>
      <c r="V57" s="92"/>
      <c r="W57" s="92"/>
      <c r="X57" s="92"/>
      <c r="Y57" s="151"/>
      <c r="Z57" s="151"/>
      <c r="AA57" s="92"/>
      <c r="AB57" s="92"/>
      <c r="AC57" s="92"/>
      <c r="AD57" s="744"/>
      <c r="AE57" s="744"/>
      <c r="AF57" s="438"/>
      <c r="AG57" s="92"/>
    </row>
    <row r="58" ht="24.95" customHeight="1" spans="1:33">
      <c r="A58" s="705"/>
      <c r="B58" s="711" t="s">
        <v>103</v>
      </c>
      <c r="C58" s="141" t="s">
        <v>52</v>
      </c>
      <c r="D58" s="141" t="s">
        <v>45</v>
      </c>
      <c r="E58" s="92">
        <f>SUM(E59:E62)</f>
        <v>4</v>
      </c>
      <c r="F58" s="92">
        <f t="shared" ref="F58:AA58" si="11">SUM(F59:F62)</f>
        <v>0</v>
      </c>
      <c r="G58" s="92">
        <f t="shared" si="11"/>
        <v>0</v>
      </c>
      <c r="H58" s="92">
        <f t="shared" si="11"/>
        <v>7171</v>
      </c>
      <c r="I58" s="92">
        <f t="shared" si="11"/>
        <v>0</v>
      </c>
      <c r="J58" s="92">
        <f t="shared" si="11"/>
        <v>0</v>
      </c>
      <c r="K58" s="92">
        <f t="shared" si="11"/>
        <v>7171</v>
      </c>
      <c r="L58" s="92"/>
      <c r="M58" s="92"/>
      <c r="N58" s="92">
        <f t="shared" si="11"/>
        <v>311.73</v>
      </c>
      <c r="O58" s="92">
        <f t="shared" si="11"/>
        <v>0</v>
      </c>
      <c r="P58" s="92">
        <f t="shared" si="11"/>
        <v>0</v>
      </c>
      <c r="Q58" s="92">
        <f t="shared" si="11"/>
        <v>311.73</v>
      </c>
      <c r="R58" s="92">
        <f t="shared" si="11"/>
        <v>0</v>
      </c>
      <c r="S58" s="92">
        <f t="shared" si="11"/>
        <v>311.73</v>
      </c>
      <c r="T58" s="92">
        <f t="shared" si="11"/>
        <v>0</v>
      </c>
      <c r="U58" s="92">
        <f t="shared" si="11"/>
        <v>0</v>
      </c>
      <c r="V58" s="92">
        <f t="shared" si="11"/>
        <v>0</v>
      </c>
      <c r="W58" s="92">
        <f t="shared" si="11"/>
        <v>0</v>
      </c>
      <c r="X58" s="92">
        <f t="shared" si="11"/>
        <v>0</v>
      </c>
      <c r="Y58" s="92">
        <f t="shared" si="11"/>
        <v>2258</v>
      </c>
      <c r="Z58" s="92">
        <f t="shared" si="11"/>
        <v>9464</v>
      </c>
      <c r="AA58" s="92">
        <f t="shared" si="11"/>
        <v>4</v>
      </c>
      <c r="AB58" s="92"/>
      <c r="AC58" s="92"/>
      <c r="AD58" s="141"/>
      <c r="AE58" s="146"/>
      <c r="AF58" s="748" t="s">
        <v>104</v>
      </c>
      <c r="AG58" s="92"/>
    </row>
    <row r="59" ht="24.95" customHeight="1" spans="1:33">
      <c r="A59" s="705"/>
      <c r="B59" s="199" t="s">
        <v>51</v>
      </c>
      <c r="C59" s="141" t="s">
        <v>52</v>
      </c>
      <c r="D59" s="141" t="s">
        <v>45</v>
      </c>
      <c r="E59" s="92">
        <v>1</v>
      </c>
      <c r="F59" s="199" t="s">
        <v>51</v>
      </c>
      <c r="G59" s="92"/>
      <c r="H59" s="86">
        <v>1010</v>
      </c>
      <c r="I59" s="92"/>
      <c r="J59" s="92"/>
      <c r="K59" s="86">
        <v>1010</v>
      </c>
      <c r="L59" s="92">
        <v>2020.01</v>
      </c>
      <c r="M59" s="92">
        <v>2020.12</v>
      </c>
      <c r="N59" s="86">
        <v>40.4</v>
      </c>
      <c r="O59" s="92"/>
      <c r="P59" s="92"/>
      <c r="Q59" s="86">
        <v>40.4</v>
      </c>
      <c r="R59" s="92"/>
      <c r="S59" s="86">
        <v>40.4</v>
      </c>
      <c r="T59" s="92"/>
      <c r="U59" s="92"/>
      <c r="V59" s="92"/>
      <c r="W59" s="92"/>
      <c r="X59" s="92"/>
      <c r="Y59" s="151">
        <v>1772</v>
      </c>
      <c r="Z59" s="151">
        <v>7383</v>
      </c>
      <c r="AA59" s="92">
        <v>1</v>
      </c>
      <c r="AB59" s="92"/>
      <c r="AC59" s="92"/>
      <c r="AD59" s="740" t="s">
        <v>53</v>
      </c>
      <c r="AE59" s="741" t="s">
        <v>105</v>
      </c>
      <c r="AF59" s="748" t="s">
        <v>104</v>
      </c>
      <c r="AG59" s="92"/>
    </row>
    <row r="60" ht="24.95" customHeight="1" spans="1:33">
      <c r="A60" s="705"/>
      <c r="B60" s="199" t="s">
        <v>58</v>
      </c>
      <c r="C60" s="146" t="s">
        <v>52</v>
      </c>
      <c r="D60" s="152" t="s">
        <v>45</v>
      </c>
      <c r="E60" s="92">
        <v>1</v>
      </c>
      <c r="F60" s="199" t="s">
        <v>58</v>
      </c>
      <c r="G60" s="92"/>
      <c r="H60" s="86">
        <v>1943</v>
      </c>
      <c r="I60" s="92"/>
      <c r="J60" s="92"/>
      <c r="K60" s="86">
        <v>1943</v>
      </c>
      <c r="L60" s="92">
        <v>2020.01</v>
      </c>
      <c r="M60" s="92">
        <v>2020.12</v>
      </c>
      <c r="N60" s="86">
        <v>28</v>
      </c>
      <c r="O60" s="92"/>
      <c r="P60" s="92"/>
      <c r="Q60" s="86">
        <v>28</v>
      </c>
      <c r="R60" s="92"/>
      <c r="S60" s="86">
        <v>28</v>
      </c>
      <c r="T60" s="92"/>
      <c r="U60" s="92"/>
      <c r="V60" s="92"/>
      <c r="W60" s="92"/>
      <c r="X60" s="92"/>
      <c r="Y60" s="151">
        <v>101</v>
      </c>
      <c r="Z60" s="151">
        <v>449</v>
      </c>
      <c r="AA60" s="92">
        <v>1</v>
      </c>
      <c r="AB60" s="92"/>
      <c r="AC60" s="92"/>
      <c r="AD60" s="146" t="s">
        <v>59</v>
      </c>
      <c r="AE60" s="146" t="s">
        <v>60</v>
      </c>
      <c r="AF60" s="748" t="s">
        <v>104</v>
      </c>
      <c r="AG60" s="92"/>
    </row>
    <row r="61" ht="24.95" customHeight="1" spans="1:33">
      <c r="A61" s="705"/>
      <c r="B61" s="199" t="s">
        <v>92</v>
      </c>
      <c r="C61" s="146" t="s">
        <v>52</v>
      </c>
      <c r="D61" s="152" t="s">
        <v>45</v>
      </c>
      <c r="E61" s="92">
        <v>1</v>
      </c>
      <c r="F61" s="199" t="s">
        <v>92</v>
      </c>
      <c r="G61" s="92"/>
      <c r="H61" s="86">
        <v>828</v>
      </c>
      <c r="I61" s="92"/>
      <c r="J61" s="92"/>
      <c r="K61" s="86">
        <v>828</v>
      </c>
      <c r="L61" s="92">
        <v>2020.01</v>
      </c>
      <c r="M61" s="92">
        <v>2020.12</v>
      </c>
      <c r="N61" s="86">
        <v>84</v>
      </c>
      <c r="O61" s="92"/>
      <c r="P61" s="92"/>
      <c r="Q61" s="86">
        <v>84</v>
      </c>
      <c r="R61" s="92"/>
      <c r="S61" s="86">
        <v>84</v>
      </c>
      <c r="T61" s="92"/>
      <c r="U61" s="92"/>
      <c r="V61" s="92"/>
      <c r="W61" s="92"/>
      <c r="X61" s="92"/>
      <c r="Y61" s="151">
        <v>282</v>
      </c>
      <c r="Z61" s="151">
        <v>1164</v>
      </c>
      <c r="AA61" s="92">
        <v>1</v>
      </c>
      <c r="AB61" s="92"/>
      <c r="AC61" s="92"/>
      <c r="AD61" s="146" t="s">
        <v>93</v>
      </c>
      <c r="AE61" s="146" t="s">
        <v>94</v>
      </c>
      <c r="AF61" s="748" t="s">
        <v>104</v>
      </c>
      <c r="AG61" s="92"/>
    </row>
    <row r="62" ht="24.95" customHeight="1" spans="1:33">
      <c r="A62" s="705"/>
      <c r="B62" s="199" t="s">
        <v>64</v>
      </c>
      <c r="C62" s="146" t="s">
        <v>52</v>
      </c>
      <c r="D62" s="152" t="s">
        <v>45</v>
      </c>
      <c r="E62" s="92">
        <v>1</v>
      </c>
      <c r="F62" s="199" t="s">
        <v>64</v>
      </c>
      <c r="G62" s="92"/>
      <c r="H62" s="86">
        <v>3390</v>
      </c>
      <c r="I62" s="92"/>
      <c r="J62" s="92"/>
      <c r="K62" s="86">
        <v>3390</v>
      </c>
      <c r="L62" s="92">
        <v>2020.01</v>
      </c>
      <c r="M62" s="92">
        <v>2020.12</v>
      </c>
      <c r="N62" s="86">
        <v>159.33</v>
      </c>
      <c r="O62" s="92"/>
      <c r="P62" s="92"/>
      <c r="Q62" s="86">
        <v>159.33</v>
      </c>
      <c r="R62" s="92"/>
      <c r="S62" s="86">
        <v>159.33</v>
      </c>
      <c r="T62" s="92"/>
      <c r="U62" s="92"/>
      <c r="V62" s="92"/>
      <c r="W62" s="92"/>
      <c r="X62" s="92"/>
      <c r="Y62" s="151">
        <v>103</v>
      </c>
      <c r="Z62" s="151">
        <v>468</v>
      </c>
      <c r="AA62" s="92">
        <v>1</v>
      </c>
      <c r="AB62" s="92"/>
      <c r="AC62" s="92"/>
      <c r="AD62" s="146" t="s">
        <v>106</v>
      </c>
      <c r="AE62" s="146" t="s">
        <v>107</v>
      </c>
      <c r="AF62" s="748" t="s">
        <v>104</v>
      </c>
      <c r="AG62" s="92"/>
    </row>
    <row r="63" ht="24.95" customHeight="1" spans="1:33">
      <c r="A63" s="705"/>
      <c r="B63" s="711" t="s">
        <v>108</v>
      </c>
      <c r="C63" s="141" t="s">
        <v>52</v>
      </c>
      <c r="D63" s="141" t="s">
        <v>45</v>
      </c>
      <c r="E63" s="92">
        <f>SUM(E64:E67)</f>
        <v>3</v>
      </c>
      <c r="F63" s="92">
        <f t="shared" ref="F63:AA63" si="12">SUM(F64:F67)</f>
        <v>0</v>
      </c>
      <c r="G63" s="92">
        <f t="shared" si="12"/>
        <v>0</v>
      </c>
      <c r="H63" s="92">
        <f t="shared" si="12"/>
        <v>6302</v>
      </c>
      <c r="I63" s="92">
        <f t="shared" si="12"/>
        <v>0</v>
      </c>
      <c r="J63" s="92">
        <f t="shared" si="12"/>
        <v>0</v>
      </c>
      <c r="K63" s="92">
        <f t="shared" si="12"/>
        <v>6302</v>
      </c>
      <c r="L63" s="92"/>
      <c r="M63" s="92"/>
      <c r="N63" s="92">
        <f t="shared" si="12"/>
        <v>1303</v>
      </c>
      <c r="O63" s="92">
        <f t="shared" si="12"/>
        <v>0</v>
      </c>
      <c r="P63" s="92">
        <f t="shared" si="12"/>
        <v>0</v>
      </c>
      <c r="Q63" s="92">
        <f t="shared" si="12"/>
        <v>1303</v>
      </c>
      <c r="R63" s="92">
        <f t="shared" si="12"/>
        <v>0</v>
      </c>
      <c r="S63" s="92">
        <f t="shared" si="12"/>
        <v>1303</v>
      </c>
      <c r="T63" s="92">
        <f t="shared" si="12"/>
        <v>0</v>
      </c>
      <c r="U63" s="92">
        <f t="shared" si="12"/>
        <v>0</v>
      </c>
      <c r="V63" s="92">
        <f t="shared" si="12"/>
        <v>0</v>
      </c>
      <c r="W63" s="92">
        <f t="shared" si="12"/>
        <v>0</v>
      </c>
      <c r="X63" s="92">
        <f t="shared" si="12"/>
        <v>0</v>
      </c>
      <c r="Y63" s="92">
        <f t="shared" si="12"/>
        <v>1286</v>
      </c>
      <c r="Z63" s="92">
        <f t="shared" si="12"/>
        <v>5302</v>
      </c>
      <c r="AA63" s="92">
        <f t="shared" si="12"/>
        <v>3</v>
      </c>
      <c r="AB63" s="92"/>
      <c r="AC63" s="92"/>
      <c r="AD63" s="141" t="s">
        <v>68</v>
      </c>
      <c r="AE63" s="146" t="s">
        <v>50</v>
      </c>
      <c r="AF63" s="438" t="s">
        <v>43</v>
      </c>
      <c r="AG63" s="92"/>
    </row>
    <row r="64" ht="24.95" customHeight="1" spans="1:33">
      <c r="A64" s="705"/>
      <c r="B64" s="199" t="s">
        <v>51</v>
      </c>
      <c r="C64" s="141" t="s">
        <v>52</v>
      </c>
      <c r="D64" s="141" t="s">
        <v>45</v>
      </c>
      <c r="E64" s="92"/>
      <c r="F64" s="199"/>
      <c r="G64" s="92"/>
      <c r="H64" s="86"/>
      <c r="I64" s="92"/>
      <c r="J64" s="92"/>
      <c r="K64" s="86"/>
      <c r="L64" s="92"/>
      <c r="M64" s="92"/>
      <c r="N64" s="86"/>
      <c r="O64" s="92"/>
      <c r="P64" s="92"/>
      <c r="Q64" s="86"/>
      <c r="R64" s="92"/>
      <c r="S64" s="86"/>
      <c r="T64" s="92"/>
      <c r="U64" s="92"/>
      <c r="V64" s="92"/>
      <c r="W64" s="92"/>
      <c r="X64" s="92"/>
      <c r="Y64" s="151"/>
      <c r="Z64" s="151"/>
      <c r="AA64" s="92"/>
      <c r="AB64" s="92"/>
      <c r="AC64" s="92"/>
      <c r="AD64" s="743"/>
      <c r="AE64" s="146"/>
      <c r="AF64" s="438"/>
      <c r="AG64" s="92"/>
    </row>
    <row r="65" ht="24.95" customHeight="1" spans="1:33">
      <c r="A65" s="705"/>
      <c r="B65" s="199" t="s">
        <v>91</v>
      </c>
      <c r="C65" s="141" t="s">
        <v>52</v>
      </c>
      <c r="D65" s="141" t="s">
        <v>45</v>
      </c>
      <c r="E65" s="92">
        <v>1</v>
      </c>
      <c r="F65" s="199" t="s">
        <v>91</v>
      </c>
      <c r="G65" s="92"/>
      <c r="H65" s="86">
        <v>1870</v>
      </c>
      <c r="I65" s="92"/>
      <c r="J65" s="92"/>
      <c r="K65" s="86">
        <v>1870</v>
      </c>
      <c r="L65" s="92">
        <v>2020.01</v>
      </c>
      <c r="M65" s="92">
        <v>2020.12</v>
      </c>
      <c r="N65" s="86">
        <v>357</v>
      </c>
      <c r="O65" s="92"/>
      <c r="P65" s="92"/>
      <c r="Q65" s="86">
        <v>357</v>
      </c>
      <c r="R65" s="92"/>
      <c r="S65" s="86">
        <v>357</v>
      </c>
      <c r="T65" s="92"/>
      <c r="U65" s="92"/>
      <c r="V65" s="92"/>
      <c r="W65" s="92"/>
      <c r="X65" s="92"/>
      <c r="Y65" s="151">
        <v>237</v>
      </c>
      <c r="Z65" s="151">
        <v>864</v>
      </c>
      <c r="AA65" s="92">
        <v>1</v>
      </c>
      <c r="AB65" s="92"/>
      <c r="AC65" s="92"/>
      <c r="AD65" s="146" t="s">
        <v>82</v>
      </c>
      <c r="AE65" s="146" t="s">
        <v>83</v>
      </c>
      <c r="AF65" s="438" t="s">
        <v>43</v>
      </c>
      <c r="AG65" s="92"/>
    </row>
    <row r="66" ht="24.95" customHeight="1" spans="1:33">
      <c r="A66" s="705"/>
      <c r="B66" s="199" t="s">
        <v>102</v>
      </c>
      <c r="C66" s="141" t="s">
        <v>52</v>
      </c>
      <c r="D66" s="141" t="s">
        <v>45</v>
      </c>
      <c r="E66" s="92">
        <v>1</v>
      </c>
      <c r="F66" s="199" t="s">
        <v>102</v>
      </c>
      <c r="G66" s="92"/>
      <c r="H66" s="86">
        <v>4000</v>
      </c>
      <c r="I66" s="92"/>
      <c r="J66" s="92"/>
      <c r="K66" s="86">
        <v>4000</v>
      </c>
      <c r="L66" s="92">
        <v>2020.01</v>
      </c>
      <c r="M66" s="92">
        <v>2020.12</v>
      </c>
      <c r="N66" s="86">
        <v>900</v>
      </c>
      <c r="O66" s="92"/>
      <c r="P66" s="92"/>
      <c r="Q66" s="86">
        <v>900</v>
      </c>
      <c r="R66" s="92"/>
      <c r="S66" s="86">
        <v>900</v>
      </c>
      <c r="T66" s="92"/>
      <c r="U66" s="92"/>
      <c r="V66" s="92"/>
      <c r="W66" s="92"/>
      <c r="X66" s="92"/>
      <c r="Y66" s="151">
        <v>915</v>
      </c>
      <c r="Z66" s="151">
        <v>3946</v>
      </c>
      <c r="AA66" s="92">
        <v>1</v>
      </c>
      <c r="AB66" s="92"/>
      <c r="AC66" s="92"/>
      <c r="AD66" s="146" t="s">
        <v>62</v>
      </c>
      <c r="AE66" s="146" t="s">
        <v>63</v>
      </c>
      <c r="AF66" s="438" t="s">
        <v>43</v>
      </c>
      <c r="AG66" s="92"/>
    </row>
    <row r="67" ht="24.95" customHeight="1" spans="1:33">
      <c r="A67" s="705"/>
      <c r="B67" s="199" t="s">
        <v>100</v>
      </c>
      <c r="C67" s="141" t="s">
        <v>52</v>
      </c>
      <c r="D67" s="141" t="s">
        <v>45</v>
      </c>
      <c r="E67" s="92">
        <v>1</v>
      </c>
      <c r="F67" s="199" t="s">
        <v>100</v>
      </c>
      <c r="G67" s="92"/>
      <c r="H67" s="86">
        <v>432</v>
      </c>
      <c r="I67" s="92"/>
      <c r="J67" s="92"/>
      <c r="K67" s="86">
        <v>432</v>
      </c>
      <c r="L67" s="92">
        <v>2020.01</v>
      </c>
      <c r="M67" s="92">
        <v>2020.12</v>
      </c>
      <c r="N67" s="86">
        <v>46</v>
      </c>
      <c r="O67" s="92"/>
      <c r="P67" s="92"/>
      <c r="Q67" s="86">
        <v>46</v>
      </c>
      <c r="R67" s="92"/>
      <c r="S67" s="86">
        <v>46</v>
      </c>
      <c r="T67" s="92"/>
      <c r="U67" s="92"/>
      <c r="V67" s="92"/>
      <c r="W67" s="92"/>
      <c r="X67" s="92"/>
      <c r="Y67" s="151">
        <v>134</v>
      </c>
      <c r="Z67" s="151">
        <v>492</v>
      </c>
      <c r="AA67" s="92">
        <v>1</v>
      </c>
      <c r="AB67" s="92"/>
      <c r="AC67" s="92"/>
      <c r="AD67" s="146" t="s">
        <v>79</v>
      </c>
      <c r="AE67" s="146" t="s">
        <v>80</v>
      </c>
      <c r="AF67" s="438" t="s">
        <v>43</v>
      </c>
      <c r="AG67" s="92"/>
    </row>
    <row r="68" ht="24.95" customHeight="1" spans="1:33">
      <c r="A68" s="705"/>
      <c r="B68" s="711" t="s">
        <v>109</v>
      </c>
      <c r="C68" s="141" t="s">
        <v>52</v>
      </c>
      <c r="D68" s="141" t="s">
        <v>45</v>
      </c>
      <c r="E68" s="92">
        <f>SUM(E69:E77)</f>
        <v>7</v>
      </c>
      <c r="F68" s="92">
        <f t="shared" ref="F68:AA68" si="13">SUM(F69:F77)</f>
        <v>0</v>
      </c>
      <c r="G68" s="92">
        <f t="shared" si="13"/>
        <v>0</v>
      </c>
      <c r="H68" s="92">
        <f t="shared" si="13"/>
        <v>4256</v>
      </c>
      <c r="I68" s="92">
        <f t="shared" si="13"/>
        <v>0</v>
      </c>
      <c r="J68" s="92">
        <f t="shared" si="13"/>
        <v>0</v>
      </c>
      <c r="K68" s="92">
        <f t="shared" si="13"/>
        <v>4256</v>
      </c>
      <c r="L68" s="92"/>
      <c r="M68" s="92"/>
      <c r="N68" s="92">
        <f t="shared" si="13"/>
        <v>754.509</v>
      </c>
      <c r="O68" s="92">
        <f t="shared" si="13"/>
        <v>0</v>
      </c>
      <c r="P68" s="92">
        <f t="shared" si="13"/>
        <v>0</v>
      </c>
      <c r="Q68" s="92">
        <f t="shared" si="13"/>
        <v>754.509</v>
      </c>
      <c r="R68" s="92">
        <f t="shared" si="13"/>
        <v>0</v>
      </c>
      <c r="S68" s="92">
        <f t="shared" si="13"/>
        <v>754.509</v>
      </c>
      <c r="T68" s="92">
        <f t="shared" si="13"/>
        <v>0</v>
      </c>
      <c r="U68" s="92">
        <f t="shared" si="13"/>
        <v>0</v>
      </c>
      <c r="V68" s="92">
        <f t="shared" si="13"/>
        <v>0</v>
      </c>
      <c r="W68" s="92">
        <f t="shared" si="13"/>
        <v>0</v>
      </c>
      <c r="X68" s="92">
        <f t="shared" si="13"/>
        <v>0</v>
      </c>
      <c r="Y68" s="92">
        <f t="shared" si="13"/>
        <v>5442</v>
      </c>
      <c r="Z68" s="92">
        <f t="shared" si="13"/>
        <v>21772</v>
      </c>
      <c r="AA68" s="92">
        <f t="shared" si="13"/>
        <v>7</v>
      </c>
      <c r="AB68" s="92"/>
      <c r="AC68" s="92"/>
      <c r="AD68" s="141" t="s">
        <v>68</v>
      </c>
      <c r="AE68" s="146" t="s">
        <v>50</v>
      </c>
      <c r="AF68" s="438" t="s">
        <v>43</v>
      </c>
      <c r="AG68" s="92"/>
    </row>
    <row r="69" ht="24.95" customHeight="1" spans="1:33">
      <c r="A69" s="705"/>
      <c r="B69" s="199" t="s">
        <v>69</v>
      </c>
      <c r="C69" s="141" t="s">
        <v>52</v>
      </c>
      <c r="D69" s="141" t="s">
        <v>45</v>
      </c>
      <c r="E69" s="92">
        <v>1</v>
      </c>
      <c r="F69" s="199" t="s">
        <v>69</v>
      </c>
      <c r="G69" s="92"/>
      <c r="H69" s="86">
        <v>456</v>
      </c>
      <c r="I69" s="92"/>
      <c r="J69" s="92"/>
      <c r="K69" s="86">
        <v>456</v>
      </c>
      <c r="L69" s="92">
        <v>2020.01</v>
      </c>
      <c r="M69" s="92">
        <v>2020.12</v>
      </c>
      <c r="N69" s="86">
        <v>59.28</v>
      </c>
      <c r="O69" s="92"/>
      <c r="P69" s="92"/>
      <c r="Q69" s="86">
        <v>59.28</v>
      </c>
      <c r="R69" s="92"/>
      <c r="S69" s="86">
        <v>59.28</v>
      </c>
      <c r="T69" s="92"/>
      <c r="U69" s="92"/>
      <c r="V69" s="92"/>
      <c r="W69" s="92"/>
      <c r="X69" s="92"/>
      <c r="Y69" s="151">
        <v>456</v>
      </c>
      <c r="Z69" s="151">
        <v>1892</v>
      </c>
      <c r="AA69" s="92">
        <v>1</v>
      </c>
      <c r="AB69" s="92"/>
      <c r="AC69" s="92"/>
      <c r="AD69" s="146" t="s">
        <v>70</v>
      </c>
      <c r="AE69" s="146" t="s">
        <v>71</v>
      </c>
      <c r="AF69" s="438" t="s">
        <v>43</v>
      </c>
      <c r="AG69" s="92"/>
    </row>
    <row r="70" ht="24.95" customHeight="1" spans="1:33">
      <c r="A70" s="705"/>
      <c r="B70" s="199" t="s">
        <v>51</v>
      </c>
      <c r="C70" s="146" t="s">
        <v>52</v>
      </c>
      <c r="D70" s="152" t="s">
        <v>45</v>
      </c>
      <c r="E70" s="92">
        <v>1</v>
      </c>
      <c r="F70" s="199" t="s">
        <v>51</v>
      </c>
      <c r="G70" s="92"/>
      <c r="H70" s="86">
        <v>765</v>
      </c>
      <c r="I70" s="92"/>
      <c r="J70" s="92"/>
      <c r="K70" s="86">
        <v>765</v>
      </c>
      <c r="L70" s="92">
        <v>2020.01</v>
      </c>
      <c r="M70" s="92">
        <v>2020.12</v>
      </c>
      <c r="N70" s="86">
        <v>92.95</v>
      </c>
      <c r="O70" s="92"/>
      <c r="P70" s="92"/>
      <c r="Q70" s="86">
        <v>92.95</v>
      </c>
      <c r="R70" s="92"/>
      <c r="S70" s="86">
        <v>92.95</v>
      </c>
      <c r="T70" s="92"/>
      <c r="U70" s="92"/>
      <c r="V70" s="92"/>
      <c r="W70" s="92"/>
      <c r="X70" s="92"/>
      <c r="Y70" s="151">
        <v>1760</v>
      </c>
      <c r="Z70" s="151">
        <v>7269</v>
      </c>
      <c r="AA70" s="92">
        <v>1</v>
      </c>
      <c r="AB70" s="92"/>
      <c r="AC70" s="92"/>
      <c r="AD70" s="743" t="s">
        <v>53</v>
      </c>
      <c r="AE70" s="146" t="s">
        <v>54</v>
      </c>
      <c r="AF70" s="438" t="s">
        <v>43</v>
      </c>
      <c r="AG70" s="92"/>
    </row>
    <row r="71" ht="24.95" customHeight="1" spans="1:33">
      <c r="A71" s="705"/>
      <c r="B71" s="199" t="s">
        <v>72</v>
      </c>
      <c r="C71" s="146" t="s">
        <v>52</v>
      </c>
      <c r="D71" s="152" t="s">
        <v>45</v>
      </c>
      <c r="E71" s="92">
        <v>1</v>
      </c>
      <c r="F71" s="199" t="s">
        <v>72</v>
      </c>
      <c r="G71" s="92"/>
      <c r="H71" s="86">
        <v>551</v>
      </c>
      <c r="I71" s="92"/>
      <c r="J71" s="92"/>
      <c r="K71" s="86">
        <v>551</v>
      </c>
      <c r="L71" s="92">
        <v>2020.01</v>
      </c>
      <c r="M71" s="92">
        <v>2020.12</v>
      </c>
      <c r="N71" s="86">
        <v>71.63</v>
      </c>
      <c r="O71" s="92"/>
      <c r="P71" s="92"/>
      <c r="Q71" s="86">
        <v>71.63</v>
      </c>
      <c r="R71" s="92"/>
      <c r="S71" s="86">
        <v>71.63</v>
      </c>
      <c r="T71" s="92"/>
      <c r="U71" s="92"/>
      <c r="V71" s="92"/>
      <c r="W71" s="92"/>
      <c r="X71" s="92"/>
      <c r="Y71" s="151">
        <v>551</v>
      </c>
      <c r="Z71" s="151">
        <v>2192</v>
      </c>
      <c r="AA71" s="92">
        <v>1</v>
      </c>
      <c r="AB71" s="92"/>
      <c r="AC71" s="92"/>
      <c r="AD71" s="146" t="s">
        <v>73</v>
      </c>
      <c r="AE71" s="438" t="s">
        <v>74</v>
      </c>
      <c r="AF71" s="438" t="s">
        <v>43</v>
      </c>
      <c r="AG71" s="92"/>
    </row>
    <row r="72" ht="24.95" customHeight="1" spans="1:33">
      <c r="A72" s="705"/>
      <c r="B72" s="199" t="s">
        <v>91</v>
      </c>
      <c r="C72" s="146" t="s">
        <v>52</v>
      </c>
      <c r="D72" s="152" t="s">
        <v>45</v>
      </c>
      <c r="E72" s="92">
        <v>1</v>
      </c>
      <c r="F72" s="199" t="s">
        <v>91</v>
      </c>
      <c r="G72" s="92"/>
      <c r="H72" s="86">
        <v>279</v>
      </c>
      <c r="I72" s="92"/>
      <c r="J72" s="92"/>
      <c r="K72" s="86">
        <v>279</v>
      </c>
      <c r="L72" s="92">
        <v>2020.01</v>
      </c>
      <c r="M72" s="92">
        <v>2020.12</v>
      </c>
      <c r="N72" s="86">
        <v>83.7</v>
      </c>
      <c r="O72" s="92"/>
      <c r="P72" s="92"/>
      <c r="Q72" s="86">
        <v>83.7</v>
      </c>
      <c r="R72" s="92"/>
      <c r="S72" s="86">
        <v>83.7</v>
      </c>
      <c r="T72" s="92"/>
      <c r="U72" s="92"/>
      <c r="V72" s="92"/>
      <c r="W72" s="92"/>
      <c r="X72" s="92"/>
      <c r="Y72" s="151">
        <v>279</v>
      </c>
      <c r="Z72" s="151">
        <v>1019</v>
      </c>
      <c r="AA72" s="92">
        <v>1</v>
      </c>
      <c r="AB72" s="92"/>
      <c r="AC72" s="92"/>
      <c r="AD72" s="146" t="s">
        <v>82</v>
      </c>
      <c r="AE72" s="146" t="s">
        <v>83</v>
      </c>
      <c r="AF72" s="438" t="s">
        <v>43</v>
      </c>
      <c r="AG72" s="92"/>
    </row>
    <row r="73" ht="24.95" customHeight="1" spans="1:33">
      <c r="A73" s="705"/>
      <c r="B73" s="199" t="s">
        <v>98</v>
      </c>
      <c r="C73" s="146" t="s">
        <v>52</v>
      </c>
      <c r="D73" s="152" t="s">
        <v>45</v>
      </c>
      <c r="E73" s="92">
        <v>1</v>
      </c>
      <c r="F73" s="199" t="s">
        <v>98</v>
      </c>
      <c r="G73" s="92"/>
      <c r="H73" s="86">
        <v>405</v>
      </c>
      <c r="I73" s="92"/>
      <c r="J73" s="92"/>
      <c r="K73" s="86">
        <v>405</v>
      </c>
      <c r="L73" s="92">
        <v>2020.01</v>
      </c>
      <c r="M73" s="92">
        <v>2020.12</v>
      </c>
      <c r="N73" s="86">
        <v>212.949</v>
      </c>
      <c r="O73" s="92"/>
      <c r="P73" s="92"/>
      <c r="Q73" s="86">
        <v>212.949</v>
      </c>
      <c r="R73" s="92"/>
      <c r="S73" s="86">
        <v>212.949</v>
      </c>
      <c r="T73" s="92"/>
      <c r="U73" s="92"/>
      <c r="V73" s="92"/>
      <c r="W73" s="92"/>
      <c r="X73" s="92"/>
      <c r="Y73" s="151">
        <v>443</v>
      </c>
      <c r="Z73" s="151">
        <v>1872</v>
      </c>
      <c r="AA73" s="92">
        <v>1</v>
      </c>
      <c r="AB73" s="92"/>
      <c r="AC73" s="92"/>
      <c r="AD73" s="141" t="s">
        <v>56</v>
      </c>
      <c r="AE73" s="146" t="s">
        <v>57</v>
      </c>
      <c r="AF73" s="438" t="s">
        <v>43</v>
      </c>
      <c r="AG73" s="92"/>
    </row>
    <row r="74" ht="24.95" customHeight="1" spans="1:33">
      <c r="A74" s="705"/>
      <c r="B74" s="199" t="s">
        <v>75</v>
      </c>
      <c r="C74" s="141" t="s">
        <v>52</v>
      </c>
      <c r="D74" s="141" t="s">
        <v>45</v>
      </c>
      <c r="E74" s="92">
        <v>1</v>
      </c>
      <c r="F74" s="199" t="s">
        <v>75</v>
      </c>
      <c r="G74" s="92"/>
      <c r="H74" s="86">
        <v>750</v>
      </c>
      <c r="I74" s="92"/>
      <c r="J74" s="92"/>
      <c r="K74" s="86">
        <v>750</v>
      </c>
      <c r="L74" s="92">
        <v>2020.01</v>
      </c>
      <c r="M74" s="92">
        <v>2020.12</v>
      </c>
      <c r="N74" s="86">
        <v>97.5</v>
      </c>
      <c r="O74" s="92"/>
      <c r="P74" s="92"/>
      <c r="Q74" s="86">
        <v>97.5</v>
      </c>
      <c r="R74" s="92"/>
      <c r="S74" s="86">
        <v>97.5</v>
      </c>
      <c r="T74" s="92"/>
      <c r="U74" s="92"/>
      <c r="V74" s="92"/>
      <c r="W74" s="92"/>
      <c r="X74" s="92"/>
      <c r="Y74" s="151">
        <v>1017</v>
      </c>
      <c r="Z74" s="151">
        <v>4248</v>
      </c>
      <c r="AA74" s="92">
        <v>1</v>
      </c>
      <c r="AB74" s="92"/>
      <c r="AC74" s="92"/>
      <c r="AD74" s="146" t="s">
        <v>76</v>
      </c>
      <c r="AE74" s="146" t="s">
        <v>77</v>
      </c>
      <c r="AF74" s="438" t="s">
        <v>43</v>
      </c>
      <c r="AG74" s="92"/>
    </row>
    <row r="75" ht="24.95" customHeight="1" spans="1:33">
      <c r="A75" s="705"/>
      <c r="B75" s="199" t="s">
        <v>61</v>
      </c>
      <c r="C75" s="141" t="s">
        <v>52</v>
      </c>
      <c r="D75" s="141" t="s">
        <v>45</v>
      </c>
      <c r="E75" s="92">
        <v>1</v>
      </c>
      <c r="F75" s="199" t="s">
        <v>61</v>
      </c>
      <c r="G75" s="92"/>
      <c r="H75" s="86">
        <v>1050</v>
      </c>
      <c r="I75" s="92"/>
      <c r="J75" s="92"/>
      <c r="K75" s="86">
        <v>1050</v>
      </c>
      <c r="L75" s="92">
        <v>2020.01</v>
      </c>
      <c r="M75" s="92">
        <v>2020.12</v>
      </c>
      <c r="N75" s="86">
        <v>136.5</v>
      </c>
      <c r="O75" s="92"/>
      <c r="P75" s="92"/>
      <c r="Q75" s="86">
        <v>136.5</v>
      </c>
      <c r="R75" s="92"/>
      <c r="S75" s="86">
        <v>136.5</v>
      </c>
      <c r="T75" s="92"/>
      <c r="U75" s="92"/>
      <c r="V75" s="92"/>
      <c r="W75" s="92"/>
      <c r="X75" s="92"/>
      <c r="Y75" s="151">
        <v>936</v>
      </c>
      <c r="Z75" s="151">
        <v>3280</v>
      </c>
      <c r="AA75" s="92">
        <v>1</v>
      </c>
      <c r="AB75" s="92"/>
      <c r="AC75" s="92"/>
      <c r="AD75" s="146" t="s">
        <v>62</v>
      </c>
      <c r="AE75" s="146" t="s">
        <v>63</v>
      </c>
      <c r="AF75" s="438" t="s">
        <v>43</v>
      </c>
      <c r="AG75" s="92"/>
    </row>
    <row r="76" ht="24.95" customHeight="1" spans="1:33">
      <c r="A76" s="705"/>
      <c r="B76" s="199" t="s">
        <v>78</v>
      </c>
      <c r="C76" s="146" t="s">
        <v>52</v>
      </c>
      <c r="D76" s="152" t="s">
        <v>45</v>
      </c>
      <c r="E76" s="92"/>
      <c r="F76" s="199"/>
      <c r="G76" s="92"/>
      <c r="H76" s="86"/>
      <c r="I76" s="92"/>
      <c r="J76" s="92"/>
      <c r="K76" s="86"/>
      <c r="L76" s="92"/>
      <c r="M76" s="92"/>
      <c r="N76" s="86"/>
      <c r="O76" s="92"/>
      <c r="P76" s="92"/>
      <c r="Q76" s="86"/>
      <c r="R76" s="92"/>
      <c r="S76" s="86"/>
      <c r="T76" s="92"/>
      <c r="U76" s="92"/>
      <c r="V76" s="92"/>
      <c r="W76" s="92"/>
      <c r="X76" s="92"/>
      <c r="Y76" s="151"/>
      <c r="Z76" s="151"/>
      <c r="AA76" s="92"/>
      <c r="AB76" s="92"/>
      <c r="AC76" s="92"/>
      <c r="AD76" s="146"/>
      <c r="AE76" s="146"/>
      <c r="AF76" s="438"/>
      <c r="AG76" s="92"/>
    </row>
    <row r="77" ht="24.95" customHeight="1" spans="1:33">
      <c r="A77" s="705"/>
      <c r="B77" s="199" t="s">
        <v>84</v>
      </c>
      <c r="C77" s="146" t="s">
        <v>52</v>
      </c>
      <c r="D77" s="152" t="s">
        <v>45</v>
      </c>
      <c r="E77" s="92"/>
      <c r="F77" s="199"/>
      <c r="G77" s="92"/>
      <c r="H77" s="86"/>
      <c r="I77" s="92"/>
      <c r="J77" s="92"/>
      <c r="K77" s="86"/>
      <c r="L77" s="92"/>
      <c r="M77" s="92"/>
      <c r="N77" s="86"/>
      <c r="O77" s="92"/>
      <c r="P77" s="92"/>
      <c r="Q77" s="86"/>
      <c r="R77" s="92"/>
      <c r="S77" s="86"/>
      <c r="T77" s="92"/>
      <c r="U77" s="92"/>
      <c r="V77" s="92"/>
      <c r="W77" s="92"/>
      <c r="X77" s="92"/>
      <c r="Y77" s="151"/>
      <c r="Z77" s="151"/>
      <c r="AA77" s="92"/>
      <c r="AB77" s="92"/>
      <c r="AC77" s="92"/>
      <c r="AD77" s="146"/>
      <c r="AE77" s="146"/>
      <c r="AF77" s="438"/>
      <c r="AG77" s="92"/>
    </row>
    <row r="78" ht="24.95" customHeight="1" spans="1:33">
      <c r="A78" s="705"/>
      <c r="B78" s="711" t="s">
        <v>110</v>
      </c>
      <c r="C78" s="71" t="s">
        <v>52</v>
      </c>
      <c r="D78" s="152"/>
      <c r="E78" s="92">
        <v>1</v>
      </c>
      <c r="F78" s="96"/>
      <c r="G78" s="92"/>
      <c r="H78" s="86">
        <v>4300</v>
      </c>
      <c r="I78" s="92"/>
      <c r="J78" s="92"/>
      <c r="K78" s="86">
        <v>4300</v>
      </c>
      <c r="L78" s="92">
        <v>2020.01</v>
      </c>
      <c r="M78" s="92">
        <v>2020.12</v>
      </c>
      <c r="N78" s="86">
        <v>78</v>
      </c>
      <c r="O78" s="92"/>
      <c r="P78" s="92"/>
      <c r="Q78" s="86">
        <v>78</v>
      </c>
      <c r="R78" s="92"/>
      <c r="S78" s="86">
        <v>78</v>
      </c>
      <c r="T78" s="92"/>
      <c r="U78" s="92"/>
      <c r="V78" s="92"/>
      <c r="W78" s="92"/>
      <c r="X78" s="92"/>
      <c r="Y78" s="151">
        <v>219</v>
      </c>
      <c r="Z78" s="151">
        <v>909</v>
      </c>
      <c r="AA78" s="92">
        <v>1</v>
      </c>
      <c r="AB78" s="92"/>
      <c r="AC78" s="92"/>
      <c r="AD78" s="141" t="s">
        <v>68</v>
      </c>
      <c r="AE78" s="146" t="s">
        <v>50</v>
      </c>
      <c r="AF78" s="438" t="s">
        <v>43</v>
      </c>
      <c r="AG78" s="92"/>
    </row>
    <row r="79" ht="24.95" customHeight="1" spans="1:33">
      <c r="A79" s="705"/>
      <c r="B79" s="199" t="s">
        <v>58</v>
      </c>
      <c r="C79" s="71" t="s">
        <v>52</v>
      </c>
      <c r="D79" s="71" t="s">
        <v>45</v>
      </c>
      <c r="E79" s="92">
        <v>1</v>
      </c>
      <c r="F79" s="199" t="s">
        <v>58</v>
      </c>
      <c r="G79" s="92"/>
      <c r="H79" s="86">
        <v>4300</v>
      </c>
      <c r="I79" s="92"/>
      <c r="J79" s="92"/>
      <c r="K79" s="86">
        <v>4300</v>
      </c>
      <c r="L79" s="92">
        <v>2020.01</v>
      </c>
      <c r="M79" s="92">
        <v>2020.12</v>
      </c>
      <c r="N79" s="86">
        <v>78</v>
      </c>
      <c r="O79" s="92"/>
      <c r="P79" s="92"/>
      <c r="Q79" s="86">
        <v>78</v>
      </c>
      <c r="R79" s="92"/>
      <c r="S79" s="86">
        <v>78</v>
      </c>
      <c r="T79" s="92"/>
      <c r="U79" s="92"/>
      <c r="V79" s="92"/>
      <c r="W79" s="92"/>
      <c r="X79" s="92"/>
      <c r="Y79" s="151">
        <v>219</v>
      </c>
      <c r="Z79" s="151">
        <v>909</v>
      </c>
      <c r="AA79" s="92">
        <v>1</v>
      </c>
      <c r="AB79" s="92"/>
      <c r="AC79" s="92"/>
      <c r="AD79" s="744" t="s">
        <v>59</v>
      </c>
      <c r="AE79" s="744" t="s">
        <v>60</v>
      </c>
      <c r="AF79" s="438" t="s">
        <v>43</v>
      </c>
      <c r="AG79" s="92"/>
    </row>
    <row r="80" ht="24.95" customHeight="1" spans="1:33">
      <c r="A80" s="705"/>
      <c r="B80" s="711" t="s">
        <v>111</v>
      </c>
      <c r="C80" s="146"/>
      <c r="D80" s="141" t="s">
        <v>45</v>
      </c>
      <c r="E80" s="92">
        <f>SUM(E81:E83)</f>
        <v>2</v>
      </c>
      <c r="F80" s="92">
        <f t="shared" ref="F80:AA80" si="14">SUM(F81:F83)</f>
        <v>0</v>
      </c>
      <c r="G80" s="92">
        <f t="shared" si="14"/>
        <v>0</v>
      </c>
      <c r="H80" s="92">
        <f t="shared" si="14"/>
        <v>4007.5</v>
      </c>
      <c r="I80" s="92">
        <f t="shared" si="14"/>
        <v>0</v>
      </c>
      <c r="J80" s="92">
        <f t="shared" si="14"/>
        <v>0</v>
      </c>
      <c r="K80" s="92">
        <f t="shared" si="14"/>
        <v>4007.5</v>
      </c>
      <c r="L80" s="92"/>
      <c r="M80" s="92"/>
      <c r="N80" s="92">
        <f t="shared" si="14"/>
        <v>786.4425</v>
      </c>
      <c r="O80" s="92">
        <f t="shared" si="14"/>
        <v>0</v>
      </c>
      <c r="P80" s="92">
        <f t="shared" si="14"/>
        <v>0</v>
      </c>
      <c r="Q80" s="92">
        <f t="shared" si="14"/>
        <v>786.4425</v>
      </c>
      <c r="R80" s="92">
        <f t="shared" si="14"/>
        <v>0</v>
      </c>
      <c r="S80" s="92">
        <f t="shared" si="14"/>
        <v>786.4425</v>
      </c>
      <c r="T80" s="92">
        <f t="shared" si="14"/>
        <v>0</v>
      </c>
      <c r="U80" s="92">
        <f t="shared" si="14"/>
        <v>0</v>
      </c>
      <c r="V80" s="92">
        <f t="shared" si="14"/>
        <v>0</v>
      </c>
      <c r="W80" s="92">
        <f t="shared" si="14"/>
        <v>0</v>
      </c>
      <c r="X80" s="92">
        <f t="shared" si="14"/>
        <v>0</v>
      </c>
      <c r="Y80" s="92">
        <f t="shared" si="14"/>
        <v>777</v>
      </c>
      <c r="Z80" s="92">
        <f t="shared" si="14"/>
        <v>3129</v>
      </c>
      <c r="AA80" s="92">
        <f t="shared" si="14"/>
        <v>2</v>
      </c>
      <c r="AB80" s="92"/>
      <c r="AC80" s="92"/>
      <c r="AD80" s="141" t="s">
        <v>68</v>
      </c>
      <c r="AE80" s="146" t="s">
        <v>50</v>
      </c>
      <c r="AF80" s="438" t="s">
        <v>43</v>
      </c>
      <c r="AG80" s="92"/>
    </row>
    <row r="81" ht="24.95" customHeight="1" spans="1:33">
      <c r="A81" s="705"/>
      <c r="B81" s="199" t="s">
        <v>78</v>
      </c>
      <c r="C81" s="146" t="s">
        <v>52</v>
      </c>
      <c r="D81" s="152" t="s">
        <v>45</v>
      </c>
      <c r="E81" s="92"/>
      <c r="F81" s="199"/>
      <c r="G81" s="92"/>
      <c r="H81" s="86"/>
      <c r="I81" s="92"/>
      <c r="J81" s="92"/>
      <c r="K81" s="86"/>
      <c r="L81" s="92"/>
      <c r="M81" s="92"/>
      <c r="N81" s="86"/>
      <c r="O81" s="92"/>
      <c r="P81" s="92"/>
      <c r="Q81" s="86"/>
      <c r="R81" s="92"/>
      <c r="S81" s="86"/>
      <c r="T81" s="92"/>
      <c r="U81" s="92"/>
      <c r="V81" s="92"/>
      <c r="W81" s="92"/>
      <c r="X81" s="92"/>
      <c r="Y81" s="151"/>
      <c r="Z81" s="151"/>
      <c r="AA81" s="92"/>
      <c r="AB81" s="92"/>
      <c r="AC81" s="92"/>
      <c r="AD81" s="146"/>
      <c r="AE81" s="146"/>
      <c r="AF81" s="438"/>
      <c r="AG81" s="92"/>
    </row>
    <row r="82" ht="24.95" customHeight="1" spans="1:33">
      <c r="A82" s="705"/>
      <c r="B82" s="199" t="s">
        <v>92</v>
      </c>
      <c r="C82" s="146" t="s">
        <v>52</v>
      </c>
      <c r="D82" s="152" t="s">
        <v>45</v>
      </c>
      <c r="E82" s="92">
        <v>1</v>
      </c>
      <c r="F82" s="199" t="s">
        <v>92</v>
      </c>
      <c r="G82" s="92"/>
      <c r="H82" s="86">
        <v>705</v>
      </c>
      <c r="I82" s="92"/>
      <c r="J82" s="92"/>
      <c r="K82" s="86">
        <v>705</v>
      </c>
      <c r="L82" s="92">
        <v>2020.01</v>
      </c>
      <c r="M82" s="92">
        <v>2020.12</v>
      </c>
      <c r="N82" s="86">
        <v>142.7625</v>
      </c>
      <c r="O82" s="92"/>
      <c r="P82" s="92"/>
      <c r="Q82" s="86">
        <v>142.7625</v>
      </c>
      <c r="R82" s="92"/>
      <c r="S82" s="86">
        <v>142.7625</v>
      </c>
      <c r="T82" s="92"/>
      <c r="U82" s="92"/>
      <c r="V82" s="92"/>
      <c r="W82" s="92"/>
      <c r="X82" s="92"/>
      <c r="Y82" s="151">
        <v>195</v>
      </c>
      <c r="Z82" s="151">
        <v>666</v>
      </c>
      <c r="AA82" s="92">
        <v>1</v>
      </c>
      <c r="AB82" s="92"/>
      <c r="AC82" s="92"/>
      <c r="AD82" s="146" t="s">
        <v>93</v>
      </c>
      <c r="AE82" s="146" t="s">
        <v>94</v>
      </c>
      <c r="AF82" s="438" t="s">
        <v>43</v>
      </c>
      <c r="AG82" s="92"/>
    </row>
    <row r="83" ht="24.95" customHeight="1" spans="1:33">
      <c r="A83" s="705"/>
      <c r="B83" s="199" t="s">
        <v>64</v>
      </c>
      <c r="C83" s="141" t="s">
        <v>96</v>
      </c>
      <c r="D83" s="141" t="s">
        <v>45</v>
      </c>
      <c r="E83" s="92">
        <v>1</v>
      </c>
      <c r="F83" s="199" t="s">
        <v>64</v>
      </c>
      <c r="G83" s="92"/>
      <c r="H83" s="86">
        <v>3302.5</v>
      </c>
      <c r="I83" s="92"/>
      <c r="J83" s="92"/>
      <c r="K83" s="86">
        <v>3302.5</v>
      </c>
      <c r="L83" s="92">
        <v>2020.01</v>
      </c>
      <c r="M83" s="92">
        <v>2020.12</v>
      </c>
      <c r="N83" s="86">
        <v>643.68</v>
      </c>
      <c r="O83" s="92"/>
      <c r="P83" s="92"/>
      <c r="Q83" s="86">
        <v>643.68</v>
      </c>
      <c r="R83" s="92"/>
      <c r="S83" s="86">
        <v>643.68</v>
      </c>
      <c r="T83" s="92"/>
      <c r="U83" s="92"/>
      <c r="V83" s="92"/>
      <c r="W83" s="92"/>
      <c r="X83" s="92"/>
      <c r="Y83" s="151">
        <v>582</v>
      </c>
      <c r="Z83" s="151">
        <v>2463</v>
      </c>
      <c r="AA83" s="92">
        <v>1</v>
      </c>
      <c r="AB83" s="92"/>
      <c r="AC83" s="92"/>
      <c r="AD83" s="146" t="s">
        <v>65</v>
      </c>
      <c r="AE83" s="146" t="s">
        <v>66</v>
      </c>
      <c r="AF83" s="438" t="s">
        <v>43</v>
      </c>
      <c r="AG83" s="92"/>
    </row>
    <row r="84" ht="24.95" customHeight="1" spans="1:33">
      <c r="A84" s="705"/>
      <c r="B84" s="711" t="s">
        <v>112</v>
      </c>
      <c r="C84" s="141" t="s">
        <v>52</v>
      </c>
      <c r="D84" s="141" t="s">
        <v>45</v>
      </c>
      <c r="E84" s="92">
        <v>1</v>
      </c>
      <c r="F84" s="96"/>
      <c r="G84" s="92"/>
      <c r="H84" s="86">
        <v>3126</v>
      </c>
      <c r="I84" s="92"/>
      <c r="J84" s="92"/>
      <c r="K84" s="86">
        <v>3126</v>
      </c>
      <c r="L84" s="92">
        <v>2020.01</v>
      </c>
      <c r="M84" s="92">
        <v>2020.12</v>
      </c>
      <c r="N84" s="86">
        <v>360</v>
      </c>
      <c r="O84" s="92"/>
      <c r="P84" s="92"/>
      <c r="Q84" s="86">
        <v>360</v>
      </c>
      <c r="R84" s="92"/>
      <c r="S84" s="86">
        <v>360</v>
      </c>
      <c r="T84" s="92"/>
      <c r="U84" s="92"/>
      <c r="V84" s="92"/>
      <c r="W84" s="92"/>
      <c r="X84" s="92"/>
      <c r="Y84" s="151">
        <v>116</v>
      </c>
      <c r="Z84" s="151">
        <v>432</v>
      </c>
      <c r="AA84" s="92">
        <v>1</v>
      </c>
      <c r="AB84" s="92"/>
      <c r="AC84" s="92"/>
      <c r="AD84" s="141" t="s">
        <v>68</v>
      </c>
      <c r="AE84" s="146" t="s">
        <v>50</v>
      </c>
      <c r="AF84" s="438" t="s">
        <v>43</v>
      </c>
      <c r="AG84" s="92"/>
    </row>
    <row r="85" ht="24.95" customHeight="1" spans="1:33">
      <c r="A85" s="705"/>
      <c r="B85" s="714" t="s">
        <v>81</v>
      </c>
      <c r="C85" s="141" t="s">
        <v>52</v>
      </c>
      <c r="D85" s="152" t="s">
        <v>45</v>
      </c>
      <c r="E85" s="92">
        <v>1</v>
      </c>
      <c r="F85" s="714" t="s">
        <v>81</v>
      </c>
      <c r="G85" s="92"/>
      <c r="H85" s="86">
        <v>3126</v>
      </c>
      <c r="I85" s="92"/>
      <c r="J85" s="92"/>
      <c r="K85" s="86">
        <v>3126</v>
      </c>
      <c r="L85" s="92">
        <v>2020.01</v>
      </c>
      <c r="M85" s="92">
        <v>2020.12</v>
      </c>
      <c r="N85" s="86">
        <v>360</v>
      </c>
      <c r="O85" s="92"/>
      <c r="P85" s="92"/>
      <c r="Q85" s="86">
        <v>360</v>
      </c>
      <c r="R85" s="92"/>
      <c r="S85" s="86">
        <v>360</v>
      </c>
      <c r="T85" s="92"/>
      <c r="U85" s="92"/>
      <c r="V85" s="92"/>
      <c r="W85" s="92"/>
      <c r="X85" s="92"/>
      <c r="Y85" s="151">
        <v>116</v>
      </c>
      <c r="Z85" s="151">
        <v>432</v>
      </c>
      <c r="AA85" s="92">
        <v>1</v>
      </c>
      <c r="AB85" s="92"/>
      <c r="AC85" s="92"/>
      <c r="AD85" s="146" t="s">
        <v>82</v>
      </c>
      <c r="AE85" s="146" t="s">
        <v>83</v>
      </c>
      <c r="AF85" s="752" t="s">
        <v>43</v>
      </c>
      <c r="AG85" s="92"/>
    </row>
    <row r="86" ht="24.95" customHeight="1" spans="1:33">
      <c r="A86" s="705"/>
      <c r="B86" s="750" t="s">
        <v>113</v>
      </c>
      <c r="C86" s="146" t="str">
        <f>C87</f>
        <v>新建</v>
      </c>
      <c r="D86" s="146" t="str">
        <f>D87</f>
        <v>亩</v>
      </c>
      <c r="E86" s="92">
        <v>1</v>
      </c>
      <c r="F86" s="96"/>
      <c r="G86" s="92"/>
      <c r="H86" s="86">
        <v>1000</v>
      </c>
      <c r="I86" s="92"/>
      <c r="J86" s="92"/>
      <c r="K86" s="86">
        <v>1000</v>
      </c>
      <c r="L86" s="92">
        <v>2020.01</v>
      </c>
      <c r="M86" s="92">
        <v>2020.12</v>
      </c>
      <c r="N86" s="86">
        <v>90</v>
      </c>
      <c r="O86" s="92"/>
      <c r="P86" s="92"/>
      <c r="Q86" s="86">
        <v>90</v>
      </c>
      <c r="R86" s="92"/>
      <c r="S86" s="86">
        <v>90</v>
      </c>
      <c r="T86" s="92"/>
      <c r="U86" s="92"/>
      <c r="V86" s="92"/>
      <c r="W86" s="92"/>
      <c r="X86" s="92"/>
      <c r="Y86" s="151">
        <v>137</v>
      </c>
      <c r="Z86" s="151">
        <v>589</v>
      </c>
      <c r="AA86" s="92">
        <v>1</v>
      </c>
      <c r="AB86" s="92"/>
      <c r="AC86" s="92"/>
      <c r="AD86" s="141" t="s">
        <v>68</v>
      </c>
      <c r="AE86" s="146" t="s">
        <v>50</v>
      </c>
      <c r="AF86" s="438" t="s">
        <v>43</v>
      </c>
      <c r="AG86" s="92"/>
    </row>
    <row r="87" ht="24.95" customHeight="1" spans="1:33">
      <c r="A87" s="705"/>
      <c r="B87" s="199" t="s">
        <v>114</v>
      </c>
      <c r="C87" s="141" t="s">
        <v>52</v>
      </c>
      <c r="D87" s="141" t="s">
        <v>45</v>
      </c>
      <c r="E87" s="92">
        <v>1</v>
      </c>
      <c r="F87" s="199" t="s">
        <v>114</v>
      </c>
      <c r="G87" s="92"/>
      <c r="H87" s="86">
        <v>1000</v>
      </c>
      <c r="I87" s="92"/>
      <c r="J87" s="92"/>
      <c r="K87" s="86">
        <v>1000</v>
      </c>
      <c r="L87" s="92">
        <v>2020.01</v>
      </c>
      <c r="M87" s="92">
        <v>2020.12</v>
      </c>
      <c r="N87" s="86">
        <v>90</v>
      </c>
      <c r="O87" s="92"/>
      <c r="P87" s="92"/>
      <c r="Q87" s="86">
        <v>90</v>
      </c>
      <c r="R87" s="92"/>
      <c r="S87" s="86">
        <v>90</v>
      </c>
      <c r="T87" s="92"/>
      <c r="U87" s="92"/>
      <c r="V87" s="92"/>
      <c r="W87" s="92"/>
      <c r="X87" s="92"/>
      <c r="Y87" s="151">
        <v>137</v>
      </c>
      <c r="Z87" s="151">
        <v>589</v>
      </c>
      <c r="AA87" s="92">
        <v>1</v>
      </c>
      <c r="AB87" s="92"/>
      <c r="AC87" s="92"/>
      <c r="AD87" s="193" t="s">
        <v>115</v>
      </c>
      <c r="AE87" s="146" t="s">
        <v>116</v>
      </c>
      <c r="AF87" s="752" t="s">
        <v>43</v>
      </c>
      <c r="AG87" s="92"/>
    </row>
    <row r="88" ht="24.95" customHeight="1" spans="1:33">
      <c r="A88" s="705"/>
      <c r="B88" s="711" t="s">
        <v>117</v>
      </c>
      <c r="C88" s="712"/>
      <c r="D88" s="713"/>
      <c r="E88" s="92">
        <v>1</v>
      </c>
      <c r="F88" s="96"/>
      <c r="G88" s="92"/>
      <c r="H88" s="86">
        <v>1020</v>
      </c>
      <c r="I88" s="92"/>
      <c r="J88" s="92"/>
      <c r="K88" s="86">
        <v>1020</v>
      </c>
      <c r="L88" s="92">
        <v>2020.01</v>
      </c>
      <c r="M88" s="92">
        <v>2020.12</v>
      </c>
      <c r="N88" s="86">
        <v>30</v>
      </c>
      <c r="O88" s="92"/>
      <c r="P88" s="92"/>
      <c r="Q88" s="86">
        <v>30</v>
      </c>
      <c r="R88" s="92"/>
      <c r="S88" s="86">
        <v>30</v>
      </c>
      <c r="T88" s="92"/>
      <c r="U88" s="92"/>
      <c r="V88" s="92"/>
      <c r="W88" s="92"/>
      <c r="X88" s="92"/>
      <c r="Y88" s="151">
        <v>159</v>
      </c>
      <c r="Z88" s="151">
        <v>620</v>
      </c>
      <c r="AA88" s="92">
        <v>1</v>
      </c>
      <c r="AB88" s="92"/>
      <c r="AC88" s="92"/>
      <c r="AD88" s="141" t="s">
        <v>68</v>
      </c>
      <c r="AE88" s="146" t="s">
        <v>50</v>
      </c>
      <c r="AF88" s="438" t="s">
        <v>43</v>
      </c>
      <c r="AG88" s="92"/>
    </row>
    <row r="89" ht="24.95" customHeight="1" spans="1:33">
      <c r="A89" s="705"/>
      <c r="B89" s="199" t="s">
        <v>72</v>
      </c>
      <c r="C89" s="712" t="s">
        <v>52</v>
      </c>
      <c r="D89" s="713" t="s">
        <v>45</v>
      </c>
      <c r="E89" s="92">
        <v>1</v>
      </c>
      <c r="F89" s="199" t="s">
        <v>72</v>
      </c>
      <c r="G89" s="92"/>
      <c r="H89" s="86">
        <v>1020</v>
      </c>
      <c r="I89" s="92"/>
      <c r="J89" s="92"/>
      <c r="K89" s="86">
        <v>1020</v>
      </c>
      <c r="L89" s="92">
        <v>2020.01</v>
      </c>
      <c r="M89" s="92">
        <v>2020.12</v>
      </c>
      <c r="N89" s="86">
        <v>30</v>
      </c>
      <c r="O89" s="92"/>
      <c r="P89" s="92"/>
      <c r="Q89" s="86">
        <v>30</v>
      </c>
      <c r="R89" s="92"/>
      <c r="S89" s="86">
        <v>30</v>
      </c>
      <c r="T89" s="92"/>
      <c r="U89" s="92"/>
      <c r="V89" s="92"/>
      <c r="W89" s="92"/>
      <c r="X89" s="92"/>
      <c r="Y89" s="151">
        <v>159</v>
      </c>
      <c r="Z89" s="151">
        <v>620</v>
      </c>
      <c r="AA89" s="92">
        <v>1</v>
      </c>
      <c r="AB89" s="92"/>
      <c r="AC89" s="92"/>
      <c r="AD89" s="101" t="s">
        <v>73</v>
      </c>
      <c r="AE89" s="601" t="s">
        <v>74</v>
      </c>
      <c r="AF89" s="438" t="s">
        <v>43</v>
      </c>
      <c r="AG89" s="92"/>
    </row>
    <row r="90" ht="24.95" customHeight="1" spans="1:33">
      <c r="A90" s="705"/>
      <c r="B90" s="711" t="s">
        <v>118</v>
      </c>
      <c r="C90" s="141" t="s">
        <v>52</v>
      </c>
      <c r="D90" s="141" t="s">
        <v>45</v>
      </c>
      <c r="E90" s="92">
        <v>2</v>
      </c>
      <c r="F90" s="96"/>
      <c r="G90" s="92"/>
      <c r="H90" s="86">
        <v>937</v>
      </c>
      <c r="I90" s="92"/>
      <c r="J90" s="92"/>
      <c r="K90" s="86">
        <v>937</v>
      </c>
      <c r="L90" s="92">
        <v>2020.01</v>
      </c>
      <c r="M90" s="92">
        <v>2020.12</v>
      </c>
      <c r="N90" s="86">
        <v>44.651</v>
      </c>
      <c r="O90" s="92"/>
      <c r="P90" s="92"/>
      <c r="Q90" s="86">
        <v>44.651</v>
      </c>
      <c r="R90" s="92"/>
      <c r="S90" s="86">
        <v>44.651</v>
      </c>
      <c r="T90" s="92"/>
      <c r="U90" s="92"/>
      <c r="V90" s="92"/>
      <c r="W90" s="92"/>
      <c r="X90" s="92"/>
      <c r="Y90" s="151">
        <v>293</v>
      </c>
      <c r="Z90" s="151">
        <v>1217</v>
      </c>
      <c r="AA90" s="92">
        <v>2</v>
      </c>
      <c r="AB90" s="92"/>
      <c r="AC90" s="92"/>
      <c r="AD90" s="141" t="s">
        <v>68</v>
      </c>
      <c r="AE90" s="146" t="s">
        <v>50</v>
      </c>
      <c r="AF90" s="438" t="s">
        <v>43</v>
      </c>
      <c r="AG90" s="92"/>
    </row>
    <row r="91" ht="24.95" customHeight="1" spans="1:33">
      <c r="A91" s="705"/>
      <c r="B91" s="199" t="s">
        <v>98</v>
      </c>
      <c r="C91" s="146" t="s">
        <v>52</v>
      </c>
      <c r="D91" s="152" t="s">
        <v>45</v>
      </c>
      <c r="E91" s="92">
        <v>1</v>
      </c>
      <c r="F91" s="199" t="s">
        <v>98</v>
      </c>
      <c r="G91" s="92"/>
      <c r="H91" s="86">
        <v>637</v>
      </c>
      <c r="I91" s="92"/>
      <c r="J91" s="92"/>
      <c r="K91" s="86">
        <v>637</v>
      </c>
      <c r="L91" s="92">
        <v>2020.01</v>
      </c>
      <c r="M91" s="92">
        <v>2020.12</v>
      </c>
      <c r="N91" s="86">
        <v>14.651</v>
      </c>
      <c r="O91" s="92"/>
      <c r="P91" s="92"/>
      <c r="Q91" s="86">
        <v>14.651</v>
      </c>
      <c r="R91" s="92"/>
      <c r="S91" s="86">
        <v>14.651</v>
      </c>
      <c r="T91" s="92"/>
      <c r="U91" s="92"/>
      <c r="V91" s="92"/>
      <c r="W91" s="92"/>
      <c r="X91" s="92"/>
      <c r="Y91" s="151">
        <v>156</v>
      </c>
      <c r="Z91" s="151">
        <v>628</v>
      </c>
      <c r="AA91" s="92">
        <v>1</v>
      </c>
      <c r="AB91" s="92"/>
      <c r="AC91" s="92"/>
      <c r="AD91" s="146" t="s">
        <v>56</v>
      </c>
      <c r="AE91" s="146" t="s">
        <v>137</v>
      </c>
      <c r="AF91" s="438" t="s">
        <v>43</v>
      </c>
      <c r="AG91" s="92"/>
    </row>
    <row r="92" ht="24.95" customHeight="1" spans="1:33">
      <c r="A92" s="705"/>
      <c r="B92" s="199" t="s">
        <v>114</v>
      </c>
      <c r="C92" s="141" t="s">
        <v>52</v>
      </c>
      <c r="D92" s="141" t="s">
        <v>45</v>
      </c>
      <c r="E92" s="92">
        <v>1</v>
      </c>
      <c r="F92" s="199" t="s">
        <v>114</v>
      </c>
      <c r="G92" s="92"/>
      <c r="H92" s="86">
        <v>300</v>
      </c>
      <c r="I92" s="92"/>
      <c r="J92" s="92"/>
      <c r="K92" s="86">
        <v>300</v>
      </c>
      <c r="L92" s="92">
        <v>2020.01</v>
      </c>
      <c r="M92" s="92">
        <v>2020.12</v>
      </c>
      <c r="N92" s="86">
        <v>30</v>
      </c>
      <c r="O92" s="92"/>
      <c r="P92" s="92"/>
      <c r="Q92" s="86">
        <v>30</v>
      </c>
      <c r="R92" s="92"/>
      <c r="S92" s="86">
        <v>30</v>
      </c>
      <c r="T92" s="92"/>
      <c r="U92" s="92"/>
      <c r="V92" s="92"/>
      <c r="W92" s="92"/>
      <c r="X92" s="92"/>
      <c r="Y92" s="151">
        <v>137</v>
      </c>
      <c r="Z92" s="151">
        <v>589</v>
      </c>
      <c r="AA92" s="92">
        <v>1</v>
      </c>
      <c r="AB92" s="92"/>
      <c r="AC92" s="92"/>
      <c r="AD92" s="146" t="s">
        <v>115</v>
      </c>
      <c r="AE92" s="146" t="s">
        <v>116</v>
      </c>
      <c r="AF92" s="438" t="s">
        <v>43</v>
      </c>
      <c r="AG92" s="92"/>
    </row>
    <row r="93" ht="24.95" customHeight="1" spans="1:33">
      <c r="A93" s="705"/>
      <c r="B93" s="711" t="s">
        <v>119</v>
      </c>
      <c r="C93" s="141" t="s">
        <v>52</v>
      </c>
      <c r="D93" s="141" t="s">
        <v>45</v>
      </c>
      <c r="E93" s="92"/>
      <c r="F93" s="96"/>
      <c r="G93" s="92"/>
      <c r="H93" s="86"/>
      <c r="I93" s="92"/>
      <c r="J93" s="92"/>
      <c r="K93" s="86"/>
      <c r="L93" s="92"/>
      <c r="M93" s="92"/>
      <c r="N93" s="86"/>
      <c r="O93" s="92"/>
      <c r="P93" s="92"/>
      <c r="Q93" s="86"/>
      <c r="R93" s="92"/>
      <c r="S93" s="86"/>
      <c r="T93" s="92"/>
      <c r="U93" s="92"/>
      <c r="V93" s="92"/>
      <c r="W93" s="92"/>
      <c r="X93" s="92"/>
      <c r="Y93" s="151"/>
      <c r="Z93" s="151"/>
      <c r="AA93" s="92"/>
      <c r="AB93" s="92"/>
      <c r="AC93" s="92"/>
      <c r="AD93" s="141"/>
      <c r="AE93" s="146"/>
      <c r="AF93" s="438"/>
      <c r="AG93" s="92"/>
    </row>
    <row r="94" ht="24.95" customHeight="1" spans="1:33">
      <c r="A94" s="705"/>
      <c r="B94" s="199" t="s">
        <v>58</v>
      </c>
      <c r="C94" s="146" t="s">
        <v>52</v>
      </c>
      <c r="D94" s="152" t="s">
        <v>45</v>
      </c>
      <c r="E94" s="92"/>
      <c r="F94" s="199"/>
      <c r="G94" s="92"/>
      <c r="H94" s="86"/>
      <c r="I94" s="92"/>
      <c r="J94" s="92"/>
      <c r="K94" s="86"/>
      <c r="L94" s="92"/>
      <c r="M94" s="92"/>
      <c r="N94" s="86"/>
      <c r="O94" s="92"/>
      <c r="P94" s="92"/>
      <c r="Q94" s="86"/>
      <c r="R94" s="92"/>
      <c r="S94" s="86"/>
      <c r="T94" s="92"/>
      <c r="U94" s="92"/>
      <c r="V94" s="92"/>
      <c r="W94" s="92"/>
      <c r="X94" s="92"/>
      <c r="Y94" s="151"/>
      <c r="Z94" s="151"/>
      <c r="AA94" s="92"/>
      <c r="AB94" s="92"/>
      <c r="AC94" s="92"/>
      <c r="AD94" s="744"/>
      <c r="AE94" s="744"/>
      <c r="AF94" s="438"/>
      <c r="AG94" s="92"/>
    </row>
    <row r="95" ht="24.95" customHeight="1" spans="1:33">
      <c r="A95" s="705"/>
      <c r="B95" s="711" t="s">
        <v>120</v>
      </c>
      <c r="C95" s="712" t="s">
        <v>52</v>
      </c>
      <c r="D95" s="713" t="s">
        <v>45</v>
      </c>
      <c r="E95" s="92"/>
      <c r="F95" s="96"/>
      <c r="G95" s="92"/>
      <c r="H95" s="86"/>
      <c r="I95" s="92"/>
      <c r="J95" s="92"/>
      <c r="K95" s="86"/>
      <c r="L95" s="92"/>
      <c r="M95" s="92"/>
      <c r="N95" s="86"/>
      <c r="O95" s="92"/>
      <c r="P95" s="92"/>
      <c r="Q95" s="86"/>
      <c r="R95" s="92"/>
      <c r="S95" s="86"/>
      <c r="T95" s="92"/>
      <c r="U95" s="92"/>
      <c r="V95" s="92"/>
      <c r="W95" s="92"/>
      <c r="X95" s="92"/>
      <c r="Y95" s="151"/>
      <c r="Z95" s="151"/>
      <c r="AA95" s="92"/>
      <c r="AB95" s="92"/>
      <c r="AC95" s="92"/>
      <c r="AD95" s="101"/>
      <c r="AE95" s="712"/>
      <c r="AF95" s="601"/>
      <c r="AG95" s="92"/>
    </row>
    <row r="96" ht="24.95" customHeight="1" spans="1:33">
      <c r="A96" s="705"/>
      <c r="B96" s="199" t="s">
        <v>69</v>
      </c>
      <c r="C96" s="712" t="s">
        <v>52</v>
      </c>
      <c r="D96" s="713" t="s">
        <v>45</v>
      </c>
      <c r="E96" s="92"/>
      <c r="F96" s="199"/>
      <c r="G96" s="92"/>
      <c r="H96" s="86"/>
      <c r="I96" s="92"/>
      <c r="J96" s="92"/>
      <c r="K96" s="86"/>
      <c r="L96" s="92"/>
      <c r="M96" s="92"/>
      <c r="N96" s="86"/>
      <c r="O96" s="92"/>
      <c r="P96" s="92"/>
      <c r="Q96" s="86"/>
      <c r="R96" s="92"/>
      <c r="S96" s="86"/>
      <c r="T96" s="92"/>
      <c r="U96" s="92"/>
      <c r="V96" s="92"/>
      <c r="W96" s="92"/>
      <c r="X96" s="92"/>
      <c r="Y96" s="151"/>
      <c r="Z96" s="151"/>
      <c r="AA96" s="92"/>
      <c r="AB96" s="92"/>
      <c r="AC96" s="92"/>
      <c r="AD96" s="101"/>
      <c r="AE96" s="712"/>
      <c r="AF96" s="601"/>
      <c r="AG96" s="92"/>
    </row>
    <row r="97" ht="24.95" customHeight="1" spans="1:33">
      <c r="A97" s="705"/>
      <c r="B97" s="711" t="s">
        <v>121</v>
      </c>
      <c r="C97" s="712"/>
      <c r="D97" s="713"/>
      <c r="E97" s="92">
        <v>1</v>
      </c>
      <c r="F97" s="96"/>
      <c r="G97" s="92"/>
      <c r="H97" s="86">
        <v>500</v>
      </c>
      <c r="I97" s="92"/>
      <c r="J97" s="92"/>
      <c r="K97" s="86">
        <v>500</v>
      </c>
      <c r="L97" s="92">
        <v>2020.01</v>
      </c>
      <c r="M97" s="92">
        <v>2020.12</v>
      </c>
      <c r="N97" s="86">
        <v>5000</v>
      </c>
      <c r="O97" s="92"/>
      <c r="P97" s="92"/>
      <c r="Q97" s="86">
        <v>5000</v>
      </c>
      <c r="R97" s="92"/>
      <c r="S97" s="86">
        <v>5000</v>
      </c>
      <c r="T97" s="92"/>
      <c r="U97" s="92"/>
      <c r="V97" s="92"/>
      <c r="W97" s="92"/>
      <c r="X97" s="92"/>
      <c r="Y97" s="151">
        <v>332</v>
      </c>
      <c r="Z97" s="151">
        <v>1300</v>
      </c>
      <c r="AA97" s="92">
        <v>1</v>
      </c>
      <c r="AB97" s="92"/>
      <c r="AC97" s="92"/>
      <c r="AD97" s="141" t="s">
        <v>68</v>
      </c>
      <c r="AE97" s="146" t="s">
        <v>50</v>
      </c>
      <c r="AF97" s="438" t="s">
        <v>43</v>
      </c>
      <c r="AG97" s="92"/>
    </row>
    <row r="98" ht="24.95" customHeight="1" spans="1:33">
      <c r="A98" s="705"/>
      <c r="B98" s="199" t="s">
        <v>51</v>
      </c>
      <c r="C98" s="712" t="s">
        <v>52</v>
      </c>
      <c r="D98" s="713" t="s">
        <v>45</v>
      </c>
      <c r="E98" s="92">
        <v>1</v>
      </c>
      <c r="F98" s="199" t="s">
        <v>51</v>
      </c>
      <c r="G98" s="92"/>
      <c r="H98" s="86">
        <v>500</v>
      </c>
      <c r="I98" s="92"/>
      <c r="J98" s="92"/>
      <c r="K98" s="86">
        <v>500</v>
      </c>
      <c r="L98" s="92">
        <v>2020.01</v>
      </c>
      <c r="M98" s="92">
        <v>2020.12</v>
      </c>
      <c r="N98" s="86">
        <v>5000</v>
      </c>
      <c r="O98" s="92"/>
      <c r="P98" s="92"/>
      <c r="Q98" s="86">
        <v>5000</v>
      </c>
      <c r="R98" s="92"/>
      <c r="S98" s="86">
        <v>5000</v>
      </c>
      <c r="T98" s="92"/>
      <c r="U98" s="92"/>
      <c r="V98" s="92"/>
      <c r="W98" s="92"/>
      <c r="X98" s="92"/>
      <c r="Y98" s="151">
        <v>332</v>
      </c>
      <c r="Z98" s="151">
        <v>1300</v>
      </c>
      <c r="AA98" s="92">
        <v>1</v>
      </c>
      <c r="AB98" s="92"/>
      <c r="AC98" s="92"/>
      <c r="AD98" s="712" t="s">
        <v>53</v>
      </c>
      <c r="AE98" s="753" t="s">
        <v>54</v>
      </c>
      <c r="AF98" s="438" t="s">
        <v>43</v>
      </c>
      <c r="AG98" s="92"/>
    </row>
    <row r="99" ht="24.95" customHeight="1" spans="1:33">
      <c r="A99" s="705"/>
      <c r="B99" s="711" t="s">
        <v>122</v>
      </c>
      <c r="C99" s="146" t="s">
        <v>52</v>
      </c>
      <c r="D99" s="152" t="s">
        <v>45</v>
      </c>
      <c r="E99" s="92">
        <v>1</v>
      </c>
      <c r="F99" s="96"/>
      <c r="G99" s="92"/>
      <c r="H99" s="86">
        <v>368</v>
      </c>
      <c r="I99" s="92"/>
      <c r="J99" s="92"/>
      <c r="K99" s="86">
        <v>368</v>
      </c>
      <c r="L99" s="92">
        <v>2020.01</v>
      </c>
      <c r="M99" s="92">
        <v>2020.12</v>
      </c>
      <c r="N99" s="86">
        <v>49.66</v>
      </c>
      <c r="O99" s="92"/>
      <c r="P99" s="92"/>
      <c r="Q99" s="86">
        <v>49.66</v>
      </c>
      <c r="R99" s="92"/>
      <c r="S99" s="86">
        <v>49.66</v>
      </c>
      <c r="T99" s="92"/>
      <c r="U99" s="92"/>
      <c r="V99" s="92"/>
      <c r="W99" s="92"/>
      <c r="X99" s="92"/>
      <c r="Y99" s="151">
        <v>368</v>
      </c>
      <c r="Z99" s="151">
        <v>1544</v>
      </c>
      <c r="AA99" s="92">
        <v>1</v>
      </c>
      <c r="AB99" s="92"/>
      <c r="AC99" s="92"/>
      <c r="AD99" s="141" t="s">
        <v>68</v>
      </c>
      <c r="AE99" s="146" t="s">
        <v>50</v>
      </c>
      <c r="AF99" s="438" t="s">
        <v>43</v>
      </c>
      <c r="AG99" s="92"/>
    </row>
    <row r="100" ht="24.95" customHeight="1" spans="1:33">
      <c r="A100" s="705"/>
      <c r="B100" s="199" t="s">
        <v>114</v>
      </c>
      <c r="C100" s="146" t="s">
        <v>52</v>
      </c>
      <c r="D100" s="152" t="s">
        <v>45</v>
      </c>
      <c r="E100" s="92">
        <v>1</v>
      </c>
      <c r="F100" s="199" t="s">
        <v>114</v>
      </c>
      <c r="G100" s="92"/>
      <c r="H100" s="86">
        <v>368</v>
      </c>
      <c r="I100" s="92"/>
      <c r="J100" s="92"/>
      <c r="K100" s="86">
        <v>368</v>
      </c>
      <c r="L100" s="92">
        <v>2020.01</v>
      </c>
      <c r="M100" s="92">
        <v>2020.12</v>
      </c>
      <c r="N100" s="86">
        <v>49.66</v>
      </c>
      <c r="O100" s="92"/>
      <c r="P100" s="92"/>
      <c r="Q100" s="86">
        <v>49.66</v>
      </c>
      <c r="R100" s="92"/>
      <c r="S100" s="86">
        <v>49.66</v>
      </c>
      <c r="T100" s="92"/>
      <c r="U100" s="92"/>
      <c r="V100" s="92"/>
      <c r="W100" s="92"/>
      <c r="X100" s="92"/>
      <c r="Y100" s="151">
        <v>368</v>
      </c>
      <c r="Z100" s="151">
        <v>1544</v>
      </c>
      <c r="AA100" s="92">
        <v>1</v>
      </c>
      <c r="AB100" s="92"/>
      <c r="AC100" s="92"/>
      <c r="AD100" s="146" t="s">
        <v>115</v>
      </c>
      <c r="AE100" s="146" t="s">
        <v>116</v>
      </c>
      <c r="AF100" s="438" t="s">
        <v>43</v>
      </c>
      <c r="AG100" s="92"/>
    </row>
    <row r="101" ht="24.95" customHeight="1" spans="1:33">
      <c r="A101" s="705"/>
      <c r="B101" s="711" t="s">
        <v>123</v>
      </c>
      <c r="C101" s="141" t="s">
        <v>52</v>
      </c>
      <c r="D101" s="141" t="s">
        <v>45</v>
      </c>
      <c r="E101" s="92">
        <v>1</v>
      </c>
      <c r="F101" s="96"/>
      <c r="G101" s="92"/>
      <c r="H101" s="86">
        <v>368</v>
      </c>
      <c r="I101" s="92"/>
      <c r="J101" s="92"/>
      <c r="K101" s="86">
        <v>368</v>
      </c>
      <c r="L101" s="92">
        <v>2020.01</v>
      </c>
      <c r="M101" s="92">
        <v>2020.12</v>
      </c>
      <c r="N101" s="86">
        <v>11</v>
      </c>
      <c r="O101" s="92"/>
      <c r="P101" s="92"/>
      <c r="Q101" s="86">
        <v>11</v>
      </c>
      <c r="R101" s="92"/>
      <c r="S101" s="86">
        <v>11</v>
      </c>
      <c r="T101" s="92"/>
      <c r="U101" s="92"/>
      <c r="V101" s="92"/>
      <c r="W101" s="92"/>
      <c r="X101" s="92"/>
      <c r="Y101" s="151">
        <v>368</v>
      </c>
      <c r="Z101" s="151">
        <v>1544</v>
      </c>
      <c r="AA101" s="92">
        <v>1</v>
      </c>
      <c r="AB101" s="92"/>
      <c r="AC101" s="92"/>
      <c r="AD101" s="141" t="s">
        <v>68</v>
      </c>
      <c r="AE101" s="146" t="s">
        <v>50</v>
      </c>
      <c r="AF101" s="438" t="s">
        <v>43</v>
      </c>
      <c r="AG101" s="92"/>
    </row>
    <row r="102" ht="24.95" customHeight="1" spans="1:33">
      <c r="A102" s="705"/>
      <c r="B102" s="199" t="s">
        <v>114</v>
      </c>
      <c r="C102" s="141" t="s">
        <v>52</v>
      </c>
      <c r="D102" s="141" t="s">
        <v>45</v>
      </c>
      <c r="E102" s="92">
        <v>1</v>
      </c>
      <c r="F102" s="199" t="s">
        <v>114</v>
      </c>
      <c r="G102" s="92"/>
      <c r="H102" s="86">
        <v>368</v>
      </c>
      <c r="I102" s="92"/>
      <c r="J102" s="92"/>
      <c r="K102" s="86">
        <v>368</v>
      </c>
      <c r="L102" s="92">
        <v>2020.01</v>
      </c>
      <c r="M102" s="92">
        <v>2020.12</v>
      </c>
      <c r="N102" s="86">
        <v>11</v>
      </c>
      <c r="O102" s="92"/>
      <c r="P102" s="92"/>
      <c r="Q102" s="86">
        <v>11</v>
      </c>
      <c r="R102" s="92"/>
      <c r="S102" s="86">
        <v>11</v>
      </c>
      <c r="T102" s="92"/>
      <c r="U102" s="92"/>
      <c r="V102" s="92"/>
      <c r="W102" s="92"/>
      <c r="X102" s="92"/>
      <c r="Y102" s="151">
        <v>368</v>
      </c>
      <c r="Z102" s="151">
        <v>1544</v>
      </c>
      <c r="AA102" s="92">
        <v>1</v>
      </c>
      <c r="AB102" s="92"/>
      <c r="AC102" s="92"/>
      <c r="AD102" s="193" t="s">
        <v>115</v>
      </c>
      <c r="AE102" s="146" t="s">
        <v>116</v>
      </c>
      <c r="AF102" s="438" t="s">
        <v>43</v>
      </c>
      <c r="AG102" s="92"/>
    </row>
    <row r="103" ht="24.95" customHeight="1" spans="1:33">
      <c r="A103" s="705"/>
      <c r="B103" s="711" t="s">
        <v>124</v>
      </c>
      <c r="C103" s="712"/>
      <c r="D103" s="713"/>
      <c r="E103" s="92">
        <v>1</v>
      </c>
      <c r="F103" s="96"/>
      <c r="G103" s="92"/>
      <c r="H103" s="86">
        <v>210</v>
      </c>
      <c r="I103" s="92"/>
      <c r="J103" s="92"/>
      <c r="K103" s="86">
        <v>210</v>
      </c>
      <c r="L103" s="92">
        <v>2020.01</v>
      </c>
      <c r="M103" s="92">
        <v>2020.12</v>
      </c>
      <c r="N103" s="86">
        <v>39.92</v>
      </c>
      <c r="O103" s="92"/>
      <c r="P103" s="92"/>
      <c r="Q103" s="86">
        <v>39.92</v>
      </c>
      <c r="R103" s="92"/>
      <c r="S103" s="86">
        <v>39.92</v>
      </c>
      <c r="T103" s="92"/>
      <c r="U103" s="92"/>
      <c r="V103" s="92"/>
      <c r="W103" s="92"/>
      <c r="X103" s="92"/>
      <c r="Y103" s="151">
        <v>402</v>
      </c>
      <c r="Z103" s="151">
        <v>1601</v>
      </c>
      <c r="AA103" s="92">
        <v>1</v>
      </c>
      <c r="AB103" s="92"/>
      <c r="AC103" s="92"/>
      <c r="AD103" s="141" t="s">
        <v>68</v>
      </c>
      <c r="AE103" s="146" t="s">
        <v>50</v>
      </c>
      <c r="AF103" s="438" t="s">
        <v>43</v>
      </c>
      <c r="AG103" s="92"/>
    </row>
    <row r="104" ht="24.95" customHeight="1" spans="1:33">
      <c r="A104" s="705"/>
      <c r="B104" s="199" t="s">
        <v>72</v>
      </c>
      <c r="C104" s="712" t="s">
        <v>52</v>
      </c>
      <c r="D104" s="713" t="s">
        <v>45</v>
      </c>
      <c r="E104" s="92">
        <v>1</v>
      </c>
      <c r="F104" s="199" t="s">
        <v>72</v>
      </c>
      <c r="G104" s="92"/>
      <c r="H104" s="86">
        <v>210</v>
      </c>
      <c r="I104" s="92"/>
      <c r="J104" s="92"/>
      <c r="K104" s="86">
        <v>210</v>
      </c>
      <c r="L104" s="92">
        <v>2020.01</v>
      </c>
      <c r="M104" s="92">
        <v>2020.12</v>
      </c>
      <c r="N104" s="86">
        <v>39.92</v>
      </c>
      <c r="O104" s="92"/>
      <c r="P104" s="92"/>
      <c r="Q104" s="86">
        <v>39.92</v>
      </c>
      <c r="R104" s="92"/>
      <c r="S104" s="86">
        <v>39.92</v>
      </c>
      <c r="T104" s="92"/>
      <c r="U104" s="92"/>
      <c r="V104" s="92"/>
      <c r="W104" s="92"/>
      <c r="X104" s="92"/>
      <c r="Y104" s="151">
        <v>402</v>
      </c>
      <c r="Z104" s="151">
        <v>1601</v>
      </c>
      <c r="AA104" s="92">
        <v>1</v>
      </c>
      <c r="AB104" s="92"/>
      <c r="AC104" s="92"/>
      <c r="AD104" s="101" t="s">
        <v>73</v>
      </c>
      <c r="AE104" s="601" t="s">
        <v>74</v>
      </c>
      <c r="AF104" s="438" t="s">
        <v>43</v>
      </c>
      <c r="AG104" s="92"/>
    </row>
    <row r="105" ht="24.95" customHeight="1" spans="1:33">
      <c r="A105" s="705"/>
      <c r="B105" s="711" t="s">
        <v>125</v>
      </c>
      <c r="C105" s="712" t="s">
        <v>52</v>
      </c>
      <c r="D105" s="713" t="s">
        <v>45</v>
      </c>
      <c r="E105" s="92"/>
      <c r="F105" s="96"/>
      <c r="G105" s="92"/>
      <c r="H105" s="86"/>
      <c r="I105" s="92"/>
      <c r="J105" s="92"/>
      <c r="K105" s="86"/>
      <c r="L105" s="92"/>
      <c r="M105" s="92"/>
      <c r="N105" s="86"/>
      <c r="O105" s="92"/>
      <c r="P105" s="92"/>
      <c r="Q105" s="86"/>
      <c r="R105" s="92"/>
      <c r="S105" s="86"/>
      <c r="T105" s="92"/>
      <c r="U105" s="92"/>
      <c r="V105" s="92"/>
      <c r="W105" s="92"/>
      <c r="X105" s="92"/>
      <c r="Y105" s="151"/>
      <c r="Z105" s="151"/>
      <c r="AA105" s="92"/>
      <c r="AB105" s="92"/>
      <c r="AC105" s="92"/>
      <c r="AD105" s="101"/>
      <c r="AE105" s="712"/>
      <c r="AF105" s="601"/>
      <c r="AG105" s="92"/>
    </row>
    <row r="106" ht="24.95" customHeight="1" spans="1:33">
      <c r="A106" s="705"/>
      <c r="B106" s="199" t="s">
        <v>69</v>
      </c>
      <c r="C106" s="712" t="s">
        <v>52</v>
      </c>
      <c r="D106" s="713" t="s">
        <v>45</v>
      </c>
      <c r="E106" s="92"/>
      <c r="F106" s="199"/>
      <c r="G106" s="92"/>
      <c r="H106" s="86"/>
      <c r="I106" s="92"/>
      <c r="J106" s="92"/>
      <c r="K106" s="86"/>
      <c r="L106" s="92"/>
      <c r="M106" s="92"/>
      <c r="N106" s="86"/>
      <c r="O106" s="92"/>
      <c r="P106" s="92"/>
      <c r="Q106" s="86"/>
      <c r="R106" s="92"/>
      <c r="S106" s="86"/>
      <c r="T106" s="92"/>
      <c r="U106" s="92"/>
      <c r="V106" s="92"/>
      <c r="W106" s="92"/>
      <c r="X106" s="92"/>
      <c r="Y106" s="151"/>
      <c r="Z106" s="151"/>
      <c r="AA106" s="92"/>
      <c r="AB106" s="92"/>
      <c r="AC106" s="92"/>
      <c r="AD106" s="101"/>
      <c r="AE106" s="712"/>
      <c r="AF106" s="601"/>
      <c r="AG106" s="92"/>
    </row>
    <row r="107" ht="24.95" customHeight="1" spans="1:33">
      <c r="A107" s="705"/>
      <c r="B107" s="711" t="s">
        <v>126</v>
      </c>
      <c r="C107" s="713" t="s">
        <v>52</v>
      </c>
      <c r="D107" s="56" t="s">
        <v>45</v>
      </c>
      <c r="E107" s="92"/>
      <c r="F107" s="96"/>
      <c r="G107" s="92"/>
      <c r="H107" s="86"/>
      <c r="I107" s="92"/>
      <c r="J107" s="92"/>
      <c r="K107" s="86"/>
      <c r="L107" s="92"/>
      <c r="M107" s="92"/>
      <c r="N107" s="86"/>
      <c r="O107" s="92"/>
      <c r="P107" s="92"/>
      <c r="Q107" s="86"/>
      <c r="R107" s="92"/>
      <c r="S107" s="86"/>
      <c r="T107" s="92"/>
      <c r="U107" s="92"/>
      <c r="V107" s="92"/>
      <c r="W107" s="92"/>
      <c r="X107" s="92"/>
      <c r="Y107" s="151"/>
      <c r="Z107" s="151"/>
      <c r="AA107" s="92"/>
      <c r="AB107" s="92"/>
      <c r="AC107" s="92"/>
      <c r="AD107" s="141"/>
      <c r="AE107" s="146"/>
      <c r="AF107" s="438"/>
      <c r="AG107" s="92"/>
    </row>
    <row r="108" ht="24.95" customHeight="1" spans="1:33">
      <c r="A108" s="705"/>
      <c r="B108" s="199" t="s">
        <v>69</v>
      </c>
      <c r="C108" s="713" t="s">
        <v>52</v>
      </c>
      <c r="D108" s="56" t="s">
        <v>45</v>
      </c>
      <c r="E108" s="92"/>
      <c r="F108" s="199"/>
      <c r="G108" s="92"/>
      <c r="H108" s="86"/>
      <c r="I108" s="92"/>
      <c r="J108" s="92"/>
      <c r="K108" s="86"/>
      <c r="L108" s="92"/>
      <c r="M108" s="92"/>
      <c r="N108" s="86"/>
      <c r="O108" s="92"/>
      <c r="P108" s="92"/>
      <c r="Q108" s="86"/>
      <c r="R108" s="92"/>
      <c r="S108" s="86"/>
      <c r="T108" s="92"/>
      <c r="U108" s="92"/>
      <c r="V108" s="92"/>
      <c r="W108" s="92"/>
      <c r="X108" s="92"/>
      <c r="Y108" s="151"/>
      <c r="Z108" s="151"/>
      <c r="AA108" s="92"/>
      <c r="AB108" s="92"/>
      <c r="AC108" s="92"/>
      <c r="AD108" s="712"/>
      <c r="AE108" s="753"/>
      <c r="AF108" s="601"/>
      <c r="AG108" s="92"/>
    </row>
    <row r="109" ht="24.95" customHeight="1" spans="1:33">
      <c r="A109" s="705"/>
      <c r="B109" s="711" t="s">
        <v>128</v>
      </c>
      <c r="C109" s="712" t="s">
        <v>52</v>
      </c>
      <c r="D109" s="713" t="s">
        <v>129</v>
      </c>
      <c r="E109" s="92">
        <v>1</v>
      </c>
      <c r="F109" s="96"/>
      <c r="G109" s="92"/>
      <c r="H109" s="86">
        <v>40</v>
      </c>
      <c r="I109" s="92"/>
      <c r="J109" s="92"/>
      <c r="K109" s="86">
        <v>40</v>
      </c>
      <c r="L109" s="92">
        <v>2020.01</v>
      </c>
      <c r="M109" s="92">
        <v>2020.12</v>
      </c>
      <c r="N109" s="86">
        <v>40</v>
      </c>
      <c r="O109" s="92"/>
      <c r="P109" s="92"/>
      <c r="Q109" s="86">
        <v>40</v>
      </c>
      <c r="R109" s="92"/>
      <c r="S109" s="86">
        <v>40</v>
      </c>
      <c r="T109" s="92"/>
      <c r="U109" s="92"/>
      <c r="V109" s="92"/>
      <c r="W109" s="92"/>
      <c r="X109" s="92"/>
      <c r="Y109" s="151">
        <v>133</v>
      </c>
      <c r="Z109" s="151">
        <v>520</v>
      </c>
      <c r="AA109" s="92">
        <v>1</v>
      </c>
      <c r="AB109" s="92"/>
      <c r="AC109" s="92"/>
      <c r="AD109" s="101" t="s">
        <v>70</v>
      </c>
      <c r="AE109" s="712" t="s">
        <v>71</v>
      </c>
      <c r="AF109" s="438" t="s">
        <v>43</v>
      </c>
      <c r="AG109" s="92"/>
    </row>
    <row r="110" ht="24.95" customHeight="1" spans="1:33">
      <c r="A110" s="705"/>
      <c r="B110" s="199" t="s">
        <v>69</v>
      </c>
      <c r="C110" s="712" t="s">
        <v>52</v>
      </c>
      <c r="D110" s="713" t="s">
        <v>129</v>
      </c>
      <c r="E110" s="92">
        <v>1</v>
      </c>
      <c r="F110" s="199" t="s">
        <v>69</v>
      </c>
      <c r="G110" s="92"/>
      <c r="H110" s="86">
        <v>40</v>
      </c>
      <c r="I110" s="92"/>
      <c r="J110" s="92"/>
      <c r="K110" s="86">
        <v>40</v>
      </c>
      <c r="L110" s="92">
        <v>2020.01</v>
      </c>
      <c r="M110" s="92">
        <v>2020.12</v>
      </c>
      <c r="N110" s="86">
        <v>40</v>
      </c>
      <c r="O110" s="92"/>
      <c r="P110" s="92"/>
      <c r="Q110" s="86">
        <v>40</v>
      </c>
      <c r="R110" s="92"/>
      <c r="S110" s="86">
        <v>40</v>
      </c>
      <c r="T110" s="92"/>
      <c r="U110" s="92"/>
      <c r="V110" s="92"/>
      <c r="W110" s="92"/>
      <c r="X110" s="92"/>
      <c r="Y110" s="151">
        <v>133</v>
      </c>
      <c r="Z110" s="151">
        <v>520</v>
      </c>
      <c r="AA110" s="92">
        <v>1</v>
      </c>
      <c r="AB110" s="92"/>
      <c r="AC110" s="92"/>
      <c r="AD110" s="101" t="s">
        <v>70</v>
      </c>
      <c r="AE110" s="712" t="s">
        <v>71</v>
      </c>
      <c r="AF110" s="438" t="s">
        <v>43</v>
      </c>
      <c r="AG110" s="92"/>
    </row>
    <row r="111" ht="24.95" customHeight="1" spans="1:33">
      <c r="A111" s="705">
        <v>5</v>
      </c>
      <c r="B111" s="708" t="s">
        <v>130</v>
      </c>
      <c r="C111" s="708"/>
      <c r="D111" s="709" t="s">
        <v>131</v>
      </c>
      <c r="E111" s="708">
        <f>E112</f>
        <v>7</v>
      </c>
      <c r="F111" s="708">
        <f t="shared" ref="F111:AA111" si="15">F112</f>
        <v>0</v>
      </c>
      <c r="G111" s="708">
        <f t="shared" si="15"/>
        <v>0</v>
      </c>
      <c r="H111" s="708">
        <f t="shared" si="15"/>
        <v>60658</v>
      </c>
      <c r="I111" s="708">
        <f t="shared" si="15"/>
        <v>0</v>
      </c>
      <c r="J111" s="708">
        <f t="shared" si="15"/>
        <v>0</v>
      </c>
      <c r="K111" s="708">
        <f t="shared" si="15"/>
        <v>60658</v>
      </c>
      <c r="L111" s="708"/>
      <c r="M111" s="708"/>
      <c r="N111" s="708">
        <f t="shared" si="15"/>
        <v>1765.48</v>
      </c>
      <c r="O111" s="708">
        <f t="shared" si="15"/>
        <v>0</v>
      </c>
      <c r="P111" s="708">
        <f t="shared" si="15"/>
        <v>0</v>
      </c>
      <c r="Q111" s="708">
        <f t="shared" si="15"/>
        <v>1765.48</v>
      </c>
      <c r="R111" s="708">
        <f t="shared" si="15"/>
        <v>0</v>
      </c>
      <c r="S111" s="708">
        <f t="shared" si="15"/>
        <v>1765.48</v>
      </c>
      <c r="T111" s="708">
        <f t="shared" si="15"/>
        <v>0</v>
      </c>
      <c r="U111" s="708">
        <f t="shared" si="15"/>
        <v>0</v>
      </c>
      <c r="V111" s="708">
        <f t="shared" si="15"/>
        <v>0</v>
      </c>
      <c r="W111" s="708">
        <f t="shared" si="15"/>
        <v>0</v>
      </c>
      <c r="X111" s="708">
        <f t="shared" si="15"/>
        <v>0</v>
      </c>
      <c r="Y111" s="708">
        <f t="shared" si="15"/>
        <v>5361</v>
      </c>
      <c r="Z111" s="708">
        <f t="shared" si="15"/>
        <v>22690</v>
      </c>
      <c r="AA111" s="708">
        <f t="shared" si="15"/>
        <v>7</v>
      </c>
      <c r="AB111" s="708"/>
      <c r="AC111" s="708"/>
      <c r="AD111" s="708"/>
      <c r="AE111" s="708"/>
      <c r="AF111" s="708" t="s">
        <v>43</v>
      </c>
      <c r="AG111" s="708"/>
    </row>
    <row r="112" ht="58.5" customHeight="1" spans="1:33">
      <c r="A112" s="705">
        <v>7</v>
      </c>
      <c r="B112" s="92" t="s">
        <v>617</v>
      </c>
      <c r="C112" s="92"/>
      <c r="D112" s="76"/>
      <c r="E112" s="92">
        <f>E113+E118+E120+E124+E128</f>
        <v>7</v>
      </c>
      <c r="F112" s="92">
        <f t="shared" ref="F112:AA112" si="16">F113+F118+F120+F124+F128</f>
        <v>0</v>
      </c>
      <c r="G112" s="92">
        <f t="shared" si="16"/>
        <v>0</v>
      </c>
      <c r="H112" s="92">
        <f t="shared" si="16"/>
        <v>60658</v>
      </c>
      <c r="I112" s="92">
        <f t="shared" si="16"/>
        <v>0</v>
      </c>
      <c r="J112" s="92">
        <f t="shared" si="16"/>
        <v>0</v>
      </c>
      <c r="K112" s="92">
        <f t="shared" si="16"/>
        <v>60658</v>
      </c>
      <c r="L112" s="92"/>
      <c r="M112" s="92"/>
      <c r="N112" s="92">
        <f t="shared" si="16"/>
        <v>1765.48</v>
      </c>
      <c r="O112" s="92">
        <f t="shared" si="16"/>
        <v>0</v>
      </c>
      <c r="P112" s="92">
        <f t="shared" si="16"/>
        <v>0</v>
      </c>
      <c r="Q112" s="92">
        <f t="shared" si="16"/>
        <v>1765.48</v>
      </c>
      <c r="R112" s="92">
        <f t="shared" si="16"/>
        <v>0</v>
      </c>
      <c r="S112" s="92">
        <f t="shared" si="16"/>
        <v>1765.48</v>
      </c>
      <c r="T112" s="92">
        <f t="shared" si="16"/>
        <v>0</v>
      </c>
      <c r="U112" s="92">
        <f t="shared" si="16"/>
        <v>0</v>
      </c>
      <c r="V112" s="92">
        <f t="shared" si="16"/>
        <v>0</v>
      </c>
      <c r="W112" s="92">
        <f t="shared" si="16"/>
        <v>0</v>
      </c>
      <c r="X112" s="92">
        <f t="shared" si="16"/>
        <v>0</v>
      </c>
      <c r="Y112" s="92">
        <f t="shared" si="16"/>
        <v>5361</v>
      </c>
      <c r="Z112" s="92">
        <f t="shared" si="16"/>
        <v>22690</v>
      </c>
      <c r="AA112" s="92">
        <f t="shared" si="16"/>
        <v>7</v>
      </c>
      <c r="AB112" s="92"/>
      <c r="AC112" s="92"/>
      <c r="AD112" s="92"/>
      <c r="AE112" s="92"/>
      <c r="AF112" s="92" t="s">
        <v>43</v>
      </c>
      <c r="AG112" s="92"/>
    </row>
    <row r="113" ht="24.95" customHeight="1" spans="1:33">
      <c r="A113" s="705" t="s">
        <v>48</v>
      </c>
      <c r="B113" s="751" t="s">
        <v>133</v>
      </c>
      <c r="C113" s="146" t="s">
        <v>52</v>
      </c>
      <c r="D113" s="434" t="s">
        <v>134</v>
      </c>
      <c r="E113" s="92">
        <f>SUM(E114:E117)</f>
        <v>4</v>
      </c>
      <c r="F113" s="92">
        <f t="shared" ref="F113:AA113" si="17">SUM(F114:F117)</f>
        <v>0</v>
      </c>
      <c r="G113" s="92">
        <f t="shared" si="17"/>
        <v>0</v>
      </c>
      <c r="H113" s="92">
        <f t="shared" si="17"/>
        <v>52189</v>
      </c>
      <c r="I113" s="92">
        <f t="shared" si="17"/>
        <v>0</v>
      </c>
      <c r="J113" s="92">
        <f t="shared" si="17"/>
        <v>0</v>
      </c>
      <c r="K113" s="92">
        <f t="shared" si="17"/>
        <v>52189</v>
      </c>
      <c r="L113" s="92"/>
      <c r="M113" s="92"/>
      <c r="N113" s="92">
        <f t="shared" si="17"/>
        <v>1731.76</v>
      </c>
      <c r="O113" s="92">
        <f t="shared" si="17"/>
        <v>0</v>
      </c>
      <c r="P113" s="92">
        <f t="shared" si="17"/>
        <v>0</v>
      </c>
      <c r="Q113" s="92">
        <f t="shared" si="17"/>
        <v>1731.76</v>
      </c>
      <c r="R113" s="92">
        <f t="shared" si="17"/>
        <v>0</v>
      </c>
      <c r="S113" s="92">
        <f t="shared" si="17"/>
        <v>1731.76</v>
      </c>
      <c r="T113" s="92">
        <f t="shared" si="17"/>
        <v>0</v>
      </c>
      <c r="U113" s="92">
        <f t="shared" si="17"/>
        <v>0</v>
      </c>
      <c r="V113" s="92">
        <f t="shared" si="17"/>
        <v>0</v>
      </c>
      <c r="W113" s="92">
        <f t="shared" si="17"/>
        <v>0</v>
      </c>
      <c r="X113" s="92">
        <f t="shared" si="17"/>
        <v>0</v>
      </c>
      <c r="Y113" s="92">
        <f t="shared" si="17"/>
        <v>4967</v>
      </c>
      <c r="Z113" s="92">
        <f t="shared" si="17"/>
        <v>21136</v>
      </c>
      <c r="AA113" s="92">
        <f t="shared" si="17"/>
        <v>4</v>
      </c>
      <c r="AB113" s="92"/>
      <c r="AC113" s="92"/>
      <c r="AD113" s="141" t="s">
        <v>68</v>
      </c>
      <c r="AE113" s="146" t="s">
        <v>50</v>
      </c>
      <c r="AF113" s="438" t="s">
        <v>43</v>
      </c>
      <c r="AG113" s="92"/>
    </row>
    <row r="114" ht="24.95" customHeight="1" spans="1:33">
      <c r="A114" s="705"/>
      <c r="B114" s="714" t="s">
        <v>81</v>
      </c>
      <c r="C114" s="146" t="s">
        <v>52</v>
      </c>
      <c r="D114" s="141" t="s">
        <v>134</v>
      </c>
      <c r="E114" s="92">
        <v>1</v>
      </c>
      <c r="F114" s="714" t="s">
        <v>81</v>
      </c>
      <c r="G114" s="92"/>
      <c r="H114" s="92">
        <v>778</v>
      </c>
      <c r="I114" s="92"/>
      <c r="J114" s="92"/>
      <c r="K114" s="92">
        <v>778</v>
      </c>
      <c r="L114" s="92">
        <v>2020.01</v>
      </c>
      <c r="M114" s="92">
        <v>2020.12</v>
      </c>
      <c r="N114" s="92">
        <v>50</v>
      </c>
      <c r="O114" s="92"/>
      <c r="P114" s="92"/>
      <c r="Q114" s="92">
        <v>50</v>
      </c>
      <c r="R114" s="92"/>
      <c r="S114" s="92">
        <v>50</v>
      </c>
      <c r="T114" s="92"/>
      <c r="U114" s="92"/>
      <c r="V114" s="92"/>
      <c r="W114" s="92"/>
      <c r="X114" s="92"/>
      <c r="Y114" s="92">
        <v>406</v>
      </c>
      <c r="Z114" s="92">
        <v>1689</v>
      </c>
      <c r="AA114" s="92">
        <v>1</v>
      </c>
      <c r="AB114" s="92"/>
      <c r="AC114" s="92"/>
      <c r="AD114" s="193" t="s">
        <v>82</v>
      </c>
      <c r="AE114" s="146" t="s">
        <v>135</v>
      </c>
      <c r="AF114" s="438" t="s">
        <v>43</v>
      </c>
      <c r="AG114" s="92"/>
    </row>
    <row r="115" ht="24.95" customHeight="1" spans="1:33">
      <c r="A115" s="705"/>
      <c r="B115" s="199" t="s">
        <v>75</v>
      </c>
      <c r="C115" s="146" t="s">
        <v>52</v>
      </c>
      <c r="D115" s="141" t="s">
        <v>134</v>
      </c>
      <c r="E115" s="92">
        <v>1</v>
      </c>
      <c r="F115" s="199" t="s">
        <v>75</v>
      </c>
      <c r="G115" s="92"/>
      <c r="H115" s="92">
        <v>6986</v>
      </c>
      <c r="I115" s="92"/>
      <c r="J115" s="92"/>
      <c r="K115" s="92">
        <v>6986</v>
      </c>
      <c r="L115" s="92">
        <v>2020.01</v>
      </c>
      <c r="M115" s="92">
        <v>2020.12</v>
      </c>
      <c r="N115" s="92">
        <v>192.41</v>
      </c>
      <c r="O115" s="92"/>
      <c r="P115" s="92"/>
      <c r="Q115" s="92">
        <v>192.41</v>
      </c>
      <c r="R115" s="92"/>
      <c r="S115" s="92">
        <v>192.41</v>
      </c>
      <c r="T115" s="92"/>
      <c r="U115" s="92"/>
      <c r="V115" s="92"/>
      <c r="W115" s="92"/>
      <c r="X115" s="92"/>
      <c r="Y115" s="92">
        <v>579</v>
      </c>
      <c r="Z115" s="92">
        <v>2546</v>
      </c>
      <c r="AA115" s="92">
        <v>1</v>
      </c>
      <c r="AB115" s="92"/>
      <c r="AC115" s="92"/>
      <c r="AD115" s="146" t="s">
        <v>76</v>
      </c>
      <c r="AE115" s="146" t="s">
        <v>136</v>
      </c>
      <c r="AF115" s="438" t="s">
        <v>43</v>
      </c>
      <c r="AG115" s="92"/>
    </row>
    <row r="116" ht="24.95" customHeight="1" spans="1:33">
      <c r="A116" s="705"/>
      <c r="B116" s="714" t="s">
        <v>98</v>
      </c>
      <c r="C116" s="141" t="s">
        <v>52</v>
      </c>
      <c r="D116" s="141" t="s">
        <v>134</v>
      </c>
      <c r="E116" s="92">
        <v>1</v>
      </c>
      <c r="F116" s="714" t="s">
        <v>98</v>
      </c>
      <c r="G116" s="92"/>
      <c r="H116" s="92">
        <v>41889</v>
      </c>
      <c r="I116" s="92"/>
      <c r="J116" s="92"/>
      <c r="K116" s="92">
        <v>41889</v>
      </c>
      <c r="L116" s="92">
        <v>2020.01</v>
      </c>
      <c r="M116" s="92">
        <v>2020.12</v>
      </c>
      <c r="N116" s="92">
        <v>1235.75</v>
      </c>
      <c r="O116" s="92"/>
      <c r="P116" s="92"/>
      <c r="Q116" s="92">
        <v>1235.75</v>
      </c>
      <c r="R116" s="92"/>
      <c r="S116" s="92">
        <v>1235.75</v>
      </c>
      <c r="T116" s="92"/>
      <c r="U116" s="92"/>
      <c r="V116" s="92"/>
      <c r="W116" s="92"/>
      <c r="X116" s="92"/>
      <c r="Y116" s="92">
        <v>2126</v>
      </c>
      <c r="Z116" s="92">
        <v>8902</v>
      </c>
      <c r="AA116" s="92">
        <v>1</v>
      </c>
      <c r="AB116" s="92"/>
      <c r="AC116" s="92"/>
      <c r="AD116" s="146" t="s">
        <v>56</v>
      </c>
      <c r="AE116" s="141" t="s">
        <v>137</v>
      </c>
      <c r="AF116" s="438" t="s">
        <v>43</v>
      </c>
      <c r="AG116" s="92"/>
    </row>
    <row r="117" ht="24.95" customHeight="1" spans="1:33">
      <c r="A117" s="705"/>
      <c r="B117" s="199" t="s">
        <v>69</v>
      </c>
      <c r="C117" s="141" t="s">
        <v>52</v>
      </c>
      <c r="D117" s="141" t="s">
        <v>134</v>
      </c>
      <c r="E117" s="92">
        <v>1</v>
      </c>
      <c r="F117" s="199" t="s">
        <v>69</v>
      </c>
      <c r="G117" s="92"/>
      <c r="H117" s="92">
        <v>2536</v>
      </c>
      <c r="I117" s="92"/>
      <c r="J117" s="92"/>
      <c r="K117" s="92">
        <v>2536</v>
      </c>
      <c r="L117" s="92">
        <v>2020.01</v>
      </c>
      <c r="M117" s="92">
        <v>2020.12</v>
      </c>
      <c r="N117" s="92">
        <v>253.6</v>
      </c>
      <c r="O117" s="92"/>
      <c r="P117" s="92"/>
      <c r="Q117" s="92">
        <v>253.6</v>
      </c>
      <c r="R117" s="92"/>
      <c r="S117" s="92">
        <v>253.6</v>
      </c>
      <c r="T117" s="92"/>
      <c r="U117" s="92"/>
      <c r="V117" s="92"/>
      <c r="W117" s="92"/>
      <c r="X117" s="92"/>
      <c r="Y117" s="92">
        <v>1856</v>
      </c>
      <c r="Z117" s="92">
        <v>7999</v>
      </c>
      <c r="AA117" s="92">
        <v>1</v>
      </c>
      <c r="AB117" s="92"/>
      <c r="AC117" s="92"/>
      <c r="AD117" s="146" t="s">
        <v>70</v>
      </c>
      <c r="AE117" s="146" t="s">
        <v>138</v>
      </c>
      <c r="AF117" s="438" t="s">
        <v>43</v>
      </c>
      <c r="AG117" s="92"/>
    </row>
    <row r="118" ht="24.95" customHeight="1" spans="1:33">
      <c r="A118" s="705"/>
      <c r="B118" s="711" t="s">
        <v>139</v>
      </c>
      <c r="C118" s="146" t="s">
        <v>52</v>
      </c>
      <c r="D118" s="152" t="s">
        <v>140</v>
      </c>
      <c r="E118" s="92">
        <v>1</v>
      </c>
      <c r="F118" s="92"/>
      <c r="G118" s="92"/>
      <c r="H118" s="92">
        <v>7520</v>
      </c>
      <c r="I118" s="92"/>
      <c r="J118" s="92"/>
      <c r="K118" s="92">
        <v>7520</v>
      </c>
      <c r="L118" s="92">
        <v>2020.01</v>
      </c>
      <c r="M118" s="92">
        <v>2020.12</v>
      </c>
      <c r="N118" s="92">
        <v>5</v>
      </c>
      <c r="O118" s="92"/>
      <c r="P118" s="92"/>
      <c r="Q118" s="92">
        <v>5</v>
      </c>
      <c r="R118" s="92"/>
      <c r="S118" s="92">
        <v>5</v>
      </c>
      <c r="T118" s="92"/>
      <c r="U118" s="92"/>
      <c r="V118" s="92"/>
      <c r="W118" s="92"/>
      <c r="X118" s="92"/>
      <c r="Y118" s="92">
        <v>127</v>
      </c>
      <c r="Z118" s="92">
        <v>501</v>
      </c>
      <c r="AA118" s="92">
        <v>1</v>
      </c>
      <c r="AB118" s="92"/>
      <c r="AC118" s="92"/>
      <c r="AD118" s="141" t="s">
        <v>68</v>
      </c>
      <c r="AE118" s="146" t="s">
        <v>50</v>
      </c>
      <c r="AF118" s="438" t="s">
        <v>43</v>
      </c>
      <c r="AG118" s="92"/>
    </row>
    <row r="119" ht="24.95" customHeight="1" spans="1:33">
      <c r="A119" s="705"/>
      <c r="B119" s="714" t="s">
        <v>81</v>
      </c>
      <c r="C119" s="146" t="s">
        <v>52</v>
      </c>
      <c r="D119" s="152" t="s">
        <v>140</v>
      </c>
      <c r="E119" s="92">
        <v>1</v>
      </c>
      <c r="F119" s="714" t="s">
        <v>81</v>
      </c>
      <c r="G119" s="92"/>
      <c r="H119" s="92">
        <v>7520</v>
      </c>
      <c r="I119" s="92"/>
      <c r="J119" s="92"/>
      <c r="K119" s="92">
        <v>7520</v>
      </c>
      <c r="L119" s="92">
        <v>2020.01</v>
      </c>
      <c r="M119" s="92">
        <v>2020.12</v>
      </c>
      <c r="N119" s="92">
        <v>5</v>
      </c>
      <c r="O119" s="92"/>
      <c r="P119" s="92"/>
      <c r="Q119" s="92">
        <v>5</v>
      </c>
      <c r="R119" s="92"/>
      <c r="S119" s="92">
        <v>5</v>
      </c>
      <c r="T119" s="92"/>
      <c r="U119" s="92"/>
      <c r="V119" s="92"/>
      <c r="W119" s="92"/>
      <c r="X119" s="92"/>
      <c r="Y119" s="92">
        <v>127</v>
      </c>
      <c r="Z119" s="92">
        <v>501</v>
      </c>
      <c r="AA119" s="92">
        <v>1</v>
      </c>
      <c r="AB119" s="92"/>
      <c r="AC119" s="92"/>
      <c r="AD119" s="146" t="s">
        <v>68</v>
      </c>
      <c r="AE119" s="146" t="s">
        <v>50</v>
      </c>
      <c r="AF119" s="438" t="s">
        <v>43</v>
      </c>
      <c r="AG119" s="92"/>
    </row>
    <row r="120" ht="24.95" customHeight="1" spans="1:33">
      <c r="A120" s="705"/>
      <c r="B120" s="751" t="s">
        <v>141</v>
      </c>
      <c r="C120" s="146" t="s">
        <v>52</v>
      </c>
      <c r="D120" s="434"/>
      <c r="E120" s="92">
        <f>SUM(E121:E123)</f>
        <v>2</v>
      </c>
      <c r="F120" s="92">
        <f t="shared" ref="F120:AA120" si="18">SUM(F121:F123)</f>
        <v>0</v>
      </c>
      <c r="G120" s="92">
        <f t="shared" si="18"/>
        <v>0</v>
      </c>
      <c r="H120" s="92">
        <f t="shared" si="18"/>
        <v>949</v>
      </c>
      <c r="I120" s="92">
        <f t="shared" si="18"/>
        <v>0</v>
      </c>
      <c r="J120" s="92">
        <f t="shared" si="18"/>
        <v>0</v>
      </c>
      <c r="K120" s="92">
        <f t="shared" si="18"/>
        <v>949</v>
      </c>
      <c r="L120" s="92"/>
      <c r="M120" s="92"/>
      <c r="N120" s="92">
        <f t="shared" si="18"/>
        <v>28.72</v>
      </c>
      <c r="O120" s="92">
        <f t="shared" si="18"/>
        <v>0</v>
      </c>
      <c r="P120" s="92">
        <f t="shared" si="18"/>
        <v>0</v>
      </c>
      <c r="Q120" s="92">
        <f t="shared" si="18"/>
        <v>28.72</v>
      </c>
      <c r="R120" s="92">
        <f t="shared" si="18"/>
        <v>0</v>
      </c>
      <c r="S120" s="92">
        <f t="shared" si="18"/>
        <v>28.72</v>
      </c>
      <c r="T120" s="92">
        <f t="shared" si="18"/>
        <v>0</v>
      </c>
      <c r="U120" s="92">
        <f t="shared" si="18"/>
        <v>0</v>
      </c>
      <c r="V120" s="92">
        <f t="shared" si="18"/>
        <v>0</v>
      </c>
      <c r="W120" s="92">
        <f t="shared" si="18"/>
        <v>0</v>
      </c>
      <c r="X120" s="92">
        <f t="shared" si="18"/>
        <v>0</v>
      </c>
      <c r="Y120" s="92">
        <f t="shared" si="18"/>
        <v>267</v>
      </c>
      <c r="Z120" s="92">
        <f t="shared" si="18"/>
        <v>1053</v>
      </c>
      <c r="AA120" s="92">
        <f t="shared" si="18"/>
        <v>2</v>
      </c>
      <c r="AB120" s="92"/>
      <c r="AC120" s="92"/>
      <c r="AD120" s="141" t="s">
        <v>68</v>
      </c>
      <c r="AE120" s="146" t="s">
        <v>50</v>
      </c>
      <c r="AF120" s="438" t="s">
        <v>43</v>
      </c>
      <c r="AG120" s="92"/>
    </row>
    <row r="121" ht="24.95" customHeight="1" spans="1:33">
      <c r="A121" s="705"/>
      <c r="B121" s="714" t="s">
        <v>81</v>
      </c>
      <c r="C121" s="146" t="s">
        <v>52</v>
      </c>
      <c r="D121" s="152" t="s">
        <v>140</v>
      </c>
      <c r="E121" s="92">
        <v>1</v>
      </c>
      <c r="F121" s="714" t="s">
        <v>81</v>
      </c>
      <c r="G121" s="92"/>
      <c r="H121" s="92">
        <v>795</v>
      </c>
      <c r="I121" s="92"/>
      <c r="J121" s="92"/>
      <c r="K121" s="92">
        <v>795</v>
      </c>
      <c r="L121" s="92">
        <v>2020.01</v>
      </c>
      <c r="M121" s="92">
        <v>2020.12</v>
      </c>
      <c r="N121" s="92">
        <v>13.32</v>
      </c>
      <c r="O121" s="92"/>
      <c r="P121" s="92"/>
      <c r="Q121" s="92">
        <v>13.32</v>
      </c>
      <c r="R121" s="92"/>
      <c r="S121" s="92">
        <v>13.32</v>
      </c>
      <c r="T121" s="92"/>
      <c r="U121" s="92"/>
      <c r="V121" s="92"/>
      <c r="W121" s="92"/>
      <c r="X121" s="92"/>
      <c r="Y121" s="92">
        <v>191</v>
      </c>
      <c r="Z121" s="92">
        <v>738</v>
      </c>
      <c r="AA121" s="92">
        <v>1</v>
      </c>
      <c r="AB121" s="92"/>
      <c r="AC121" s="92"/>
      <c r="AD121" s="146" t="s">
        <v>82</v>
      </c>
      <c r="AE121" s="146" t="s">
        <v>135</v>
      </c>
      <c r="AF121" s="438" t="s">
        <v>43</v>
      </c>
      <c r="AG121" s="92"/>
    </row>
    <row r="122" ht="24.95" customHeight="1" spans="1:33">
      <c r="A122" s="705"/>
      <c r="B122" s="714" t="s">
        <v>98</v>
      </c>
      <c r="C122" s="146" t="s">
        <v>52</v>
      </c>
      <c r="D122" s="152" t="s">
        <v>140</v>
      </c>
      <c r="E122" s="92"/>
      <c r="F122" s="714"/>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146"/>
      <c r="AE122" s="141"/>
      <c r="AF122" s="438"/>
      <c r="AG122" s="92"/>
    </row>
    <row r="123" ht="24.95" customHeight="1" spans="1:33">
      <c r="A123" s="705"/>
      <c r="B123" s="199" t="s">
        <v>69</v>
      </c>
      <c r="C123" s="146" t="s">
        <v>52</v>
      </c>
      <c r="D123" s="152" t="s">
        <v>140</v>
      </c>
      <c r="E123" s="92">
        <v>1</v>
      </c>
      <c r="F123" s="199" t="s">
        <v>69</v>
      </c>
      <c r="G123" s="92"/>
      <c r="H123" s="92">
        <v>154</v>
      </c>
      <c r="I123" s="92"/>
      <c r="J123" s="92"/>
      <c r="K123" s="92">
        <v>154</v>
      </c>
      <c r="L123" s="92">
        <v>2020.01</v>
      </c>
      <c r="M123" s="92">
        <v>2020.12</v>
      </c>
      <c r="N123" s="92">
        <v>15.4</v>
      </c>
      <c r="O123" s="92"/>
      <c r="P123" s="92"/>
      <c r="Q123" s="92">
        <v>15.4</v>
      </c>
      <c r="R123" s="92"/>
      <c r="S123" s="92">
        <v>15.4</v>
      </c>
      <c r="T123" s="92"/>
      <c r="U123" s="92"/>
      <c r="V123" s="92"/>
      <c r="W123" s="92"/>
      <c r="X123" s="92"/>
      <c r="Y123" s="92">
        <v>76</v>
      </c>
      <c r="Z123" s="92">
        <v>315</v>
      </c>
      <c r="AA123" s="92">
        <v>1</v>
      </c>
      <c r="AB123" s="92"/>
      <c r="AC123" s="92"/>
      <c r="AD123" s="146" t="s">
        <v>70</v>
      </c>
      <c r="AE123" s="146" t="s">
        <v>138</v>
      </c>
      <c r="AF123" s="438" t="s">
        <v>43</v>
      </c>
      <c r="AG123" s="92"/>
    </row>
    <row r="124" ht="24.95" customHeight="1" spans="1:33">
      <c r="A124" s="705"/>
      <c r="B124" s="750" t="s">
        <v>142</v>
      </c>
      <c r="C124" s="141" t="s">
        <v>52</v>
      </c>
      <c r="D124" s="141" t="s">
        <v>134</v>
      </c>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141"/>
      <c r="AE124" s="146"/>
      <c r="AF124" s="438"/>
      <c r="AG124" s="92"/>
    </row>
    <row r="125" ht="24.95" customHeight="1" spans="1:33">
      <c r="A125" s="705"/>
      <c r="B125" s="714" t="s">
        <v>143</v>
      </c>
      <c r="C125" s="146" t="s">
        <v>52</v>
      </c>
      <c r="D125" s="152" t="s">
        <v>134</v>
      </c>
      <c r="E125" s="92"/>
      <c r="F125" s="714"/>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141"/>
      <c r="AE125" s="146"/>
      <c r="AF125" s="438"/>
      <c r="AG125" s="92"/>
    </row>
    <row r="126" ht="24.95" customHeight="1" spans="1:33">
      <c r="A126" s="705"/>
      <c r="B126" s="714" t="s">
        <v>81</v>
      </c>
      <c r="C126" s="146" t="s">
        <v>52</v>
      </c>
      <c r="D126" s="152" t="s">
        <v>134</v>
      </c>
      <c r="E126" s="92"/>
      <c r="F126" s="714"/>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146"/>
      <c r="AE126" s="146"/>
      <c r="AF126" s="438"/>
      <c r="AG126" s="92"/>
    </row>
    <row r="127" ht="24.95" customHeight="1" spans="1:33">
      <c r="A127" s="705"/>
      <c r="B127" s="714" t="s">
        <v>98</v>
      </c>
      <c r="C127" s="146" t="s">
        <v>52</v>
      </c>
      <c r="D127" s="152" t="s">
        <v>134</v>
      </c>
      <c r="E127" s="92"/>
      <c r="F127" s="714"/>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146"/>
      <c r="AE127" s="141"/>
      <c r="AF127" s="438"/>
      <c r="AG127" s="92"/>
    </row>
    <row r="128" ht="24.95" customHeight="1" spans="1:33">
      <c r="A128" s="705"/>
      <c r="B128" s="750" t="s">
        <v>144</v>
      </c>
      <c r="C128" s="141" t="s">
        <v>52</v>
      </c>
      <c r="D128" s="434" t="s">
        <v>145</v>
      </c>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141"/>
      <c r="AE128" s="146"/>
      <c r="AF128" s="438"/>
      <c r="AG128" s="92"/>
    </row>
    <row r="129" ht="24.95" customHeight="1" spans="1:33">
      <c r="A129" s="705"/>
      <c r="B129" s="714" t="s">
        <v>72</v>
      </c>
      <c r="C129" s="141" t="s">
        <v>52</v>
      </c>
      <c r="D129" s="434" t="s">
        <v>145</v>
      </c>
      <c r="E129" s="92"/>
      <c r="F129" s="714"/>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146"/>
      <c r="AE129" s="438"/>
      <c r="AF129" s="438"/>
      <c r="AG129" s="92"/>
    </row>
    <row r="130" ht="60" customHeight="1" spans="1:33">
      <c r="A130" s="705">
        <v>8</v>
      </c>
      <c r="B130" s="708" t="s">
        <v>146</v>
      </c>
      <c r="C130" s="708"/>
      <c r="D130" s="709" t="s">
        <v>147</v>
      </c>
      <c r="E130" s="708"/>
      <c r="F130" s="708"/>
      <c r="G130" s="708"/>
      <c r="H130" s="708"/>
      <c r="I130" s="708"/>
      <c r="J130" s="708"/>
      <c r="K130" s="708"/>
      <c r="L130" s="92"/>
      <c r="M130" s="92"/>
      <c r="N130" s="726"/>
      <c r="O130" s="726"/>
      <c r="P130" s="726"/>
      <c r="Q130" s="726"/>
      <c r="R130" s="726"/>
      <c r="S130" s="726"/>
      <c r="T130" s="726"/>
      <c r="U130" s="726"/>
      <c r="V130" s="726"/>
      <c r="W130" s="726"/>
      <c r="X130" s="726"/>
      <c r="Y130" s="726"/>
      <c r="Z130" s="726"/>
      <c r="AA130" s="708"/>
      <c r="AB130" s="708"/>
      <c r="AC130" s="708"/>
      <c r="AD130" s="708"/>
      <c r="AE130" s="708"/>
      <c r="AF130" s="708"/>
      <c r="AG130" s="708"/>
    </row>
    <row r="131" ht="24.95" customHeight="1" spans="1:33">
      <c r="A131" s="705" t="s">
        <v>48</v>
      </c>
      <c r="B131" s="92" t="s">
        <v>148</v>
      </c>
      <c r="C131" s="92"/>
      <c r="D131" s="76"/>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row>
    <row r="132" ht="47" customHeight="1" spans="1:33">
      <c r="A132" s="705">
        <v>9</v>
      </c>
      <c r="B132" s="708" t="s">
        <v>149</v>
      </c>
      <c r="C132" s="708"/>
      <c r="D132" s="709" t="s">
        <v>150</v>
      </c>
      <c r="E132" s="152">
        <f>SUM(E133:E144)</f>
        <v>5</v>
      </c>
      <c r="F132" s="152">
        <f t="shared" ref="F132:AA132" si="19">SUM(F133:F144)</f>
        <v>0</v>
      </c>
      <c r="G132" s="152">
        <f t="shared" si="19"/>
        <v>0</v>
      </c>
      <c r="H132" s="152">
        <f t="shared" si="19"/>
        <v>5</v>
      </c>
      <c r="I132" s="152">
        <f t="shared" si="19"/>
        <v>0</v>
      </c>
      <c r="J132" s="152">
        <f t="shared" si="19"/>
        <v>0</v>
      </c>
      <c r="K132" s="152">
        <f t="shared" si="19"/>
        <v>5</v>
      </c>
      <c r="L132" s="152"/>
      <c r="M132" s="152"/>
      <c r="N132" s="146">
        <f t="shared" si="19"/>
        <v>67.5</v>
      </c>
      <c r="O132" s="146">
        <f t="shared" si="19"/>
        <v>0</v>
      </c>
      <c r="P132" s="146">
        <f t="shared" si="19"/>
        <v>0</v>
      </c>
      <c r="Q132" s="146">
        <f t="shared" si="19"/>
        <v>67.5</v>
      </c>
      <c r="R132" s="146">
        <f t="shared" si="19"/>
        <v>0</v>
      </c>
      <c r="S132" s="146">
        <f t="shared" si="19"/>
        <v>67.5</v>
      </c>
      <c r="T132" s="146">
        <f t="shared" si="19"/>
        <v>0</v>
      </c>
      <c r="U132" s="146">
        <f t="shared" si="19"/>
        <v>0</v>
      </c>
      <c r="V132" s="146">
        <f t="shared" si="19"/>
        <v>0</v>
      </c>
      <c r="W132" s="146">
        <f t="shared" si="19"/>
        <v>0</v>
      </c>
      <c r="X132" s="146">
        <f t="shared" si="19"/>
        <v>0</v>
      </c>
      <c r="Y132" s="152">
        <f t="shared" si="19"/>
        <v>71</v>
      </c>
      <c r="Z132" s="152">
        <f t="shared" si="19"/>
        <v>255</v>
      </c>
      <c r="AA132" s="152">
        <f t="shared" si="19"/>
        <v>5</v>
      </c>
      <c r="AB132" s="708"/>
      <c r="AC132" s="708"/>
      <c r="AD132" s="141" t="s">
        <v>68</v>
      </c>
      <c r="AE132" s="146" t="s">
        <v>50</v>
      </c>
      <c r="AF132" s="438" t="s">
        <v>43</v>
      </c>
      <c r="AG132" s="708" t="s">
        <v>41</v>
      </c>
    </row>
    <row r="133" ht="33" customHeight="1" spans="1:33">
      <c r="A133" s="705"/>
      <c r="B133" s="199" t="s">
        <v>69</v>
      </c>
      <c r="C133" s="146" t="s">
        <v>52</v>
      </c>
      <c r="D133" s="152" t="s">
        <v>150</v>
      </c>
      <c r="E133" s="152"/>
      <c r="F133" s="714"/>
      <c r="G133" s="708"/>
      <c r="H133" s="152"/>
      <c r="I133" s="708"/>
      <c r="J133" s="708"/>
      <c r="K133" s="152"/>
      <c r="L133" s="92"/>
      <c r="M133" s="92"/>
      <c r="N133" s="726"/>
      <c r="O133" s="726"/>
      <c r="P133" s="726"/>
      <c r="Q133" s="726"/>
      <c r="R133" s="726"/>
      <c r="S133" s="726"/>
      <c r="T133" s="726"/>
      <c r="U133" s="726"/>
      <c r="V133" s="726"/>
      <c r="W133" s="726"/>
      <c r="X133" s="726"/>
      <c r="Y133" s="726"/>
      <c r="Z133" s="726"/>
      <c r="AA133" s="152"/>
      <c r="AB133" s="708"/>
      <c r="AC133" s="708"/>
      <c r="AD133" s="708"/>
      <c r="AE133" s="708"/>
      <c r="AF133" s="708"/>
      <c r="AG133" s="708"/>
    </row>
    <row r="134" ht="33" customHeight="1" spans="1:33">
      <c r="A134" s="705"/>
      <c r="B134" s="714" t="s">
        <v>151</v>
      </c>
      <c r="C134" s="146" t="s">
        <v>52</v>
      </c>
      <c r="D134" s="152" t="s">
        <v>150</v>
      </c>
      <c r="E134" s="152"/>
      <c r="F134" s="714"/>
      <c r="G134" s="708"/>
      <c r="H134" s="152"/>
      <c r="I134" s="708"/>
      <c r="J134" s="708"/>
      <c r="K134" s="152"/>
      <c r="L134" s="92"/>
      <c r="M134" s="92"/>
      <c r="N134" s="726"/>
      <c r="O134" s="726"/>
      <c r="P134" s="726"/>
      <c r="Q134" s="726"/>
      <c r="R134" s="726"/>
      <c r="S134" s="726"/>
      <c r="T134" s="726"/>
      <c r="U134" s="726"/>
      <c r="V134" s="726"/>
      <c r="W134" s="726"/>
      <c r="X134" s="726"/>
      <c r="Y134" s="726"/>
      <c r="Z134" s="726"/>
      <c r="AA134" s="152"/>
      <c r="AB134" s="708"/>
      <c r="AC134" s="708"/>
      <c r="AD134" s="708"/>
      <c r="AE134" s="708"/>
      <c r="AF134" s="708"/>
      <c r="AG134" s="708"/>
    </row>
    <row r="135" ht="33" customHeight="1" spans="1:33">
      <c r="A135" s="705"/>
      <c r="B135" s="714" t="s">
        <v>154</v>
      </c>
      <c r="C135" s="146" t="s">
        <v>52</v>
      </c>
      <c r="D135" s="152" t="s">
        <v>150</v>
      </c>
      <c r="E135" s="152"/>
      <c r="F135" s="714"/>
      <c r="G135" s="708"/>
      <c r="H135" s="152"/>
      <c r="I135" s="708"/>
      <c r="J135" s="708"/>
      <c r="K135" s="152"/>
      <c r="L135" s="92"/>
      <c r="M135" s="92"/>
      <c r="N135" s="726"/>
      <c r="O135" s="726"/>
      <c r="P135" s="726"/>
      <c r="Q135" s="726"/>
      <c r="R135" s="726"/>
      <c r="S135" s="726"/>
      <c r="T135" s="726"/>
      <c r="U135" s="726"/>
      <c r="V135" s="726"/>
      <c r="W135" s="726"/>
      <c r="X135" s="726"/>
      <c r="Y135" s="726"/>
      <c r="Z135" s="726"/>
      <c r="AA135" s="152"/>
      <c r="AB135" s="708"/>
      <c r="AC135" s="708"/>
      <c r="AD135" s="708"/>
      <c r="AE135" s="708"/>
      <c r="AF135" s="708"/>
      <c r="AG135" s="708"/>
    </row>
    <row r="136" ht="33" customHeight="1" spans="1:33">
      <c r="A136" s="705"/>
      <c r="B136" s="714" t="s">
        <v>81</v>
      </c>
      <c r="C136" s="146" t="s">
        <v>52</v>
      </c>
      <c r="D136" s="152" t="s">
        <v>150</v>
      </c>
      <c r="E136" s="152"/>
      <c r="F136" s="714"/>
      <c r="G136" s="708"/>
      <c r="H136" s="152"/>
      <c r="I136" s="708"/>
      <c r="J136" s="708"/>
      <c r="K136" s="152"/>
      <c r="L136" s="92"/>
      <c r="M136" s="92"/>
      <c r="N136" s="726"/>
      <c r="O136" s="726"/>
      <c r="P136" s="726"/>
      <c r="Q136" s="726"/>
      <c r="R136" s="726"/>
      <c r="S136" s="726"/>
      <c r="T136" s="726"/>
      <c r="U136" s="726"/>
      <c r="V136" s="726"/>
      <c r="W136" s="726"/>
      <c r="X136" s="726"/>
      <c r="Y136" s="726"/>
      <c r="Z136" s="726"/>
      <c r="AA136" s="152"/>
      <c r="AB136" s="708"/>
      <c r="AC136" s="708"/>
      <c r="AD136" s="708"/>
      <c r="AE136" s="708"/>
      <c r="AF136" s="708"/>
      <c r="AG136" s="708"/>
    </row>
    <row r="137" ht="33" customHeight="1" spans="1:33">
      <c r="A137" s="705"/>
      <c r="B137" s="714" t="s">
        <v>98</v>
      </c>
      <c r="C137" s="146" t="s">
        <v>52</v>
      </c>
      <c r="D137" s="152" t="s">
        <v>150</v>
      </c>
      <c r="E137" s="152"/>
      <c r="F137" s="199"/>
      <c r="G137" s="708"/>
      <c r="H137" s="152"/>
      <c r="I137" s="708"/>
      <c r="J137" s="708"/>
      <c r="K137" s="152"/>
      <c r="L137" s="92"/>
      <c r="M137" s="92"/>
      <c r="N137" s="726"/>
      <c r="O137" s="726"/>
      <c r="P137" s="726"/>
      <c r="Q137" s="726"/>
      <c r="R137" s="726"/>
      <c r="S137" s="726"/>
      <c r="T137" s="726"/>
      <c r="U137" s="726"/>
      <c r="V137" s="726"/>
      <c r="W137" s="726"/>
      <c r="X137" s="726"/>
      <c r="Y137" s="726"/>
      <c r="Z137" s="726"/>
      <c r="AA137" s="152"/>
      <c r="AB137" s="708"/>
      <c r="AC137" s="708"/>
      <c r="AD137" s="708"/>
      <c r="AE137" s="708"/>
      <c r="AF137" s="708"/>
      <c r="AG137" s="708"/>
    </row>
    <row r="138" ht="33" customHeight="1" spans="1:33">
      <c r="A138" s="705"/>
      <c r="B138" s="199" t="s">
        <v>75</v>
      </c>
      <c r="C138" s="146" t="s">
        <v>52</v>
      </c>
      <c r="D138" s="152" t="s">
        <v>150</v>
      </c>
      <c r="E138" s="152"/>
      <c r="F138" s="714"/>
      <c r="G138" s="708"/>
      <c r="H138" s="152"/>
      <c r="I138" s="708"/>
      <c r="J138" s="708"/>
      <c r="K138" s="152"/>
      <c r="L138" s="92"/>
      <c r="M138" s="92"/>
      <c r="N138" s="726"/>
      <c r="O138" s="726"/>
      <c r="P138" s="726"/>
      <c r="Q138" s="726"/>
      <c r="R138" s="726"/>
      <c r="S138" s="726"/>
      <c r="T138" s="726"/>
      <c r="U138" s="726"/>
      <c r="V138" s="726"/>
      <c r="W138" s="726"/>
      <c r="X138" s="726"/>
      <c r="Y138" s="726"/>
      <c r="Z138" s="726"/>
      <c r="AA138" s="152"/>
      <c r="AB138" s="708"/>
      <c r="AC138" s="708"/>
      <c r="AD138" s="708"/>
      <c r="AE138" s="708"/>
      <c r="AF138" s="708"/>
      <c r="AG138" s="708"/>
    </row>
    <row r="139" ht="33" customHeight="1" spans="1:33">
      <c r="A139" s="705"/>
      <c r="B139" s="714" t="s">
        <v>155</v>
      </c>
      <c r="C139" s="146" t="s">
        <v>52</v>
      </c>
      <c r="D139" s="152" t="s">
        <v>150</v>
      </c>
      <c r="E139" s="152"/>
      <c r="F139" s="714"/>
      <c r="G139" s="708"/>
      <c r="H139" s="152"/>
      <c r="I139" s="708"/>
      <c r="J139" s="708"/>
      <c r="K139" s="152"/>
      <c r="L139" s="92"/>
      <c r="M139" s="92"/>
      <c r="N139" s="726"/>
      <c r="O139" s="726"/>
      <c r="P139" s="726"/>
      <c r="Q139" s="726"/>
      <c r="R139" s="726"/>
      <c r="S139" s="726"/>
      <c r="T139" s="726"/>
      <c r="U139" s="726"/>
      <c r="V139" s="726"/>
      <c r="W139" s="726"/>
      <c r="X139" s="726"/>
      <c r="Y139" s="726"/>
      <c r="Z139" s="726"/>
      <c r="AA139" s="152"/>
      <c r="AB139" s="708"/>
      <c r="AC139" s="708"/>
      <c r="AD139" s="708"/>
      <c r="AE139" s="708"/>
      <c r="AF139" s="708"/>
      <c r="AG139" s="708"/>
    </row>
    <row r="140" ht="33" customHeight="1" spans="1:33">
      <c r="A140" s="705"/>
      <c r="B140" s="714" t="s">
        <v>102</v>
      </c>
      <c r="C140" s="146" t="s">
        <v>52</v>
      </c>
      <c r="D140" s="152" t="s">
        <v>150</v>
      </c>
      <c r="E140" s="754"/>
      <c r="F140" s="714"/>
      <c r="G140" s="708"/>
      <c r="H140" s="754"/>
      <c r="I140" s="708"/>
      <c r="J140" s="708"/>
      <c r="K140" s="754"/>
      <c r="L140" s="92"/>
      <c r="M140" s="92"/>
      <c r="N140" s="726"/>
      <c r="O140" s="726"/>
      <c r="P140" s="726"/>
      <c r="Q140" s="726"/>
      <c r="R140" s="726"/>
      <c r="S140" s="726"/>
      <c r="T140" s="726"/>
      <c r="U140" s="726"/>
      <c r="V140" s="726"/>
      <c r="W140" s="726"/>
      <c r="X140" s="726"/>
      <c r="Y140" s="726"/>
      <c r="Z140" s="726"/>
      <c r="AA140" s="754"/>
      <c r="AB140" s="708"/>
      <c r="AC140" s="708"/>
      <c r="AD140" s="708"/>
      <c r="AE140" s="708"/>
      <c r="AF140" s="708"/>
      <c r="AG140" s="708"/>
    </row>
    <row r="141" ht="33" customHeight="1" spans="1:33">
      <c r="A141" s="705"/>
      <c r="B141" s="714" t="s">
        <v>100</v>
      </c>
      <c r="C141" s="146" t="s">
        <v>52</v>
      </c>
      <c r="D141" s="152" t="s">
        <v>150</v>
      </c>
      <c r="E141" s="152">
        <v>5</v>
      </c>
      <c r="F141" s="714" t="s">
        <v>84</v>
      </c>
      <c r="G141" s="708"/>
      <c r="H141" s="152">
        <v>5</v>
      </c>
      <c r="I141" s="708"/>
      <c r="J141" s="708"/>
      <c r="K141" s="152">
        <v>5</v>
      </c>
      <c r="L141" s="92">
        <v>2020.01</v>
      </c>
      <c r="M141" s="92">
        <v>2020.12</v>
      </c>
      <c r="N141" s="146">
        <v>67.5</v>
      </c>
      <c r="O141" s="726"/>
      <c r="P141" s="726"/>
      <c r="Q141" s="146">
        <v>67.5</v>
      </c>
      <c r="R141" s="726"/>
      <c r="S141" s="146">
        <v>67.5</v>
      </c>
      <c r="T141" s="726"/>
      <c r="U141" s="726"/>
      <c r="V141" s="726"/>
      <c r="W141" s="726"/>
      <c r="X141" s="726"/>
      <c r="Y141" s="763">
        <v>71</v>
      </c>
      <c r="Z141" s="763">
        <v>255</v>
      </c>
      <c r="AA141" s="152">
        <v>5</v>
      </c>
      <c r="AB141" s="708"/>
      <c r="AC141" s="708"/>
      <c r="AD141" s="146" t="s">
        <v>79</v>
      </c>
      <c r="AE141" s="146" t="s">
        <v>157</v>
      </c>
      <c r="AF141" s="146" t="s">
        <v>43</v>
      </c>
      <c r="AG141" s="708"/>
    </row>
    <row r="142" ht="33" customHeight="1" spans="1:33">
      <c r="A142" s="705"/>
      <c r="B142" s="714" t="s">
        <v>84</v>
      </c>
      <c r="C142" s="146" t="s">
        <v>52</v>
      </c>
      <c r="D142" s="152" t="s">
        <v>150</v>
      </c>
      <c r="E142" s="152"/>
      <c r="F142" s="199"/>
      <c r="G142" s="708"/>
      <c r="H142" s="152"/>
      <c r="I142" s="708"/>
      <c r="J142" s="708"/>
      <c r="K142" s="152"/>
      <c r="L142" s="92"/>
      <c r="M142" s="92"/>
      <c r="N142" s="726"/>
      <c r="O142" s="726"/>
      <c r="P142" s="726"/>
      <c r="Q142" s="726"/>
      <c r="R142" s="726"/>
      <c r="S142" s="726"/>
      <c r="T142" s="726"/>
      <c r="U142" s="726"/>
      <c r="V142" s="726"/>
      <c r="W142" s="726"/>
      <c r="X142" s="726"/>
      <c r="Y142" s="726"/>
      <c r="Z142" s="726"/>
      <c r="AA142" s="152"/>
      <c r="AB142" s="708"/>
      <c r="AC142" s="708"/>
      <c r="AD142" s="708"/>
      <c r="AE142" s="708"/>
      <c r="AF142" s="708"/>
      <c r="AG142" s="708"/>
    </row>
    <row r="143" ht="33" customHeight="1" spans="1:33">
      <c r="A143" s="705"/>
      <c r="B143" s="199" t="s">
        <v>114</v>
      </c>
      <c r="C143" s="146" t="s">
        <v>52</v>
      </c>
      <c r="D143" s="152" t="s">
        <v>150</v>
      </c>
      <c r="E143" s="152"/>
      <c r="F143" s="714"/>
      <c r="G143" s="708"/>
      <c r="H143" s="152"/>
      <c r="I143" s="708"/>
      <c r="J143" s="708"/>
      <c r="K143" s="152"/>
      <c r="L143" s="92"/>
      <c r="M143" s="92"/>
      <c r="N143" s="726"/>
      <c r="O143" s="726"/>
      <c r="P143" s="726"/>
      <c r="Q143" s="726"/>
      <c r="R143" s="726"/>
      <c r="S143" s="726"/>
      <c r="T143" s="726"/>
      <c r="U143" s="726"/>
      <c r="V143" s="726"/>
      <c r="W143" s="726"/>
      <c r="X143" s="726"/>
      <c r="Y143" s="726"/>
      <c r="Z143" s="726"/>
      <c r="AA143" s="152"/>
      <c r="AB143" s="708"/>
      <c r="AC143" s="708"/>
      <c r="AD143" s="708"/>
      <c r="AE143" s="708"/>
      <c r="AF143" s="708"/>
      <c r="AG143" s="708"/>
    </row>
    <row r="144" ht="33" customHeight="1" spans="1:33">
      <c r="A144" s="705"/>
      <c r="B144" s="714" t="s">
        <v>143</v>
      </c>
      <c r="C144" s="146" t="s">
        <v>52</v>
      </c>
      <c r="D144" s="152" t="s">
        <v>150</v>
      </c>
      <c r="E144" s="152"/>
      <c r="F144" s="152"/>
      <c r="G144" s="708"/>
      <c r="H144" s="152"/>
      <c r="I144" s="708"/>
      <c r="J144" s="708"/>
      <c r="K144" s="152"/>
      <c r="L144" s="92"/>
      <c r="M144" s="92"/>
      <c r="N144" s="726"/>
      <c r="O144" s="726"/>
      <c r="P144" s="726"/>
      <c r="Q144" s="726"/>
      <c r="R144" s="726"/>
      <c r="S144" s="726"/>
      <c r="T144" s="726"/>
      <c r="U144" s="726"/>
      <c r="V144" s="726"/>
      <c r="W144" s="726"/>
      <c r="X144" s="726"/>
      <c r="Y144" s="726"/>
      <c r="Z144" s="726"/>
      <c r="AA144" s="152"/>
      <c r="AB144" s="708"/>
      <c r="AC144" s="708"/>
      <c r="AD144" s="708"/>
      <c r="AE144" s="708"/>
      <c r="AF144" s="708"/>
      <c r="AG144" s="708"/>
    </row>
    <row r="145" ht="24.95" customHeight="1" spans="1:33">
      <c r="A145" s="705">
        <v>10</v>
      </c>
      <c r="B145" s="708" t="s">
        <v>158</v>
      </c>
      <c r="C145" s="708"/>
      <c r="D145" s="709" t="s">
        <v>159</v>
      </c>
      <c r="E145" s="708">
        <f>E146+E147</f>
        <v>24</v>
      </c>
      <c r="F145" s="708">
        <f t="shared" ref="F145:AA145" si="20">F146+F147</f>
        <v>0</v>
      </c>
      <c r="G145" s="708">
        <f t="shared" si="20"/>
        <v>0</v>
      </c>
      <c r="H145" s="708">
        <f t="shared" si="20"/>
        <v>33041.5</v>
      </c>
      <c r="I145" s="708">
        <f t="shared" si="20"/>
        <v>0</v>
      </c>
      <c r="J145" s="708">
        <f t="shared" si="20"/>
        <v>0</v>
      </c>
      <c r="K145" s="708">
        <f t="shared" si="20"/>
        <v>33041.5</v>
      </c>
      <c r="L145" s="708"/>
      <c r="M145" s="708"/>
      <c r="N145" s="708">
        <f t="shared" si="20"/>
        <v>1570</v>
      </c>
      <c r="O145" s="708">
        <f t="shared" si="20"/>
        <v>0</v>
      </c>
      <c r="P145" s="708">
        <f t="shared" si="20"/>
        <v>0</v>
      </c>
      <c r="Q145" s="708">
        <f t="shared" si="20"/>
        <v>1570</v>
      </c>
      <c r="R145" s="708">
        <f t="shared" si="20"/>
        <v>0</v>
      </c>
      <c r="S145" s="708">
        <f t="shared" si="20"/>
        <v>1570</v>
      </c>
      <c r="T145" s="708">
        <f t="shared" si="20"/>
        <v>0</v>
      </c>
      <c r="U145" s="708">
        <f t="shared" si="20"/>
        <v>0</v>
      </c>
      <c r="V145" s="708">
        <f t="shared" si="20"/>
        <v>0</v>
      </c>
      <c r="W145" s="708">
        <f t="shared" si="20"/>
        <v>0</v>
      </c>
      <c r="X145" s="708">
        <f t="shared" si="20"/>
        <v>0</v>
      </c>
      <c r="Y145" s="708">
        <f t="shared" si="20"/>
        <v>6338</v>
      </c>
      <c r="Z145" s="708">
        <f t="shared" si="20"/>
        <v>27253.4</v>
      </c>
      <c r="AA145" s="708">
        <f t="shared" si="20"/>
        <v>24</v>
      </c>
      <c r="AB145" s="708"/>
      <c r="AC145" s="708"/>
      <c r="AD145" s="708"/>
      <c r="AE145" s="708"/>
      <c r="AF145" s="708" t="s">
        <v>160</v>
      </c>
      <c r="AG145" s="708" t="s">
        <v>41</v>
      </c>
    </row>
    <row r="146" s="570" customFormat="1" ht="50" customHeight="1" spans="1:33">
      <c r="A146" s="705"/>
      <c r="B146" s="755" t="s">
        <v>161</v>
      </c>
      <c r="C146" s="146" t="s">
        <v>162</v>
      </c>
      <c r="D146" s="152" t="s">
        <v>163</v>
      </c>
      <c r="E146" s="708"/>
      <c r="F146" s="708"/>
      <c r="G146" s="708"/>
      <c r="H146" s="708"/>
      <c r="I146" s="92"/>
      <c r="J146" s="708"/>
      <c r="K146" s="708"/>
      <c r="L146" s="92"/>
      <c r="M146" s="92"/>
      <c r="N146" s="726"/>
      <c r="O146" s="726"/>
      <c r="P146" s="726"/>
      <c r="Q146" s="726"/>
      <c r="R146" s="726"/>
      <c r="S146" s="726"/>
      <c r="T146" s="726"/>
      <c r="U146" s="726"/>
      <c r="V146" s="726"/>
      <c r="W146" s="726"/>
      <c r="X146" s="726"/>
      <c r="Y146" s="763"/>
      <c r="Z146" s="763"/>
      <c r="AA146" s="708"/>
      <c r="AB146" s="708"/>
      <c r="AC146" s="708"/>
      <c r="AD146" s="141"/>
      <c r="AE146" s="146"/>
      <c r="AF146" s="708"/>
      <c r="AG146" s="146"/>
    </row>
    <row r="147" s="570" customFormat="1" ht="41" customHeight="1" spans="1:33">
      <c r="A147" s="705" t="s">
        <v>48</v>
      </c>
      <c r="B147" s="755" t="s">
        <v>164</v>
      </c>
      <c r="C147" s="146" t="s">
        <v>162</v>
      </c>
      <c r="D147" s="152" t="s">
        <v>163</v>
      </c>
      <c r="E147" s="92">
        <f>SUM(E148:E160)</f>
        <v>24</v>
      </c>
      <c r="F147" s="92">
        <f t="shared" ref="F147:AA147" si="21">SUM(F148:F160)</f>
        <v>0</v>
      </c>
      <c r="G147" s="92">
        <f t="shared" si="21"/>
        <v>0</v>
      </c>
      <c r="H147" s="92">
        <f t="shared" si="21"/>
        <v>33041.5</v>
      </c>
      <c r="I147" s="92">
        <f t="shared" si="21"/>
        <v>0</v>
      </c>
      <c r="J147" s="92">
        <f t="shared" si="21"/>
        <v>0</v>
      </c>
      <c r="K147" s="92">
        <f t="shared" si="21"/>
        <v>33041.5</v>
      </c>
      <c r="L147" s="92"/>
      <c r="M147" s="92"/>
      <c r="N147" s="92">
        <f t="shared" si="21"/>
        <v>1570</v>
      </c>
      <c r="O147" s="92">
        <f t="shared" si="21"/>
        <v>0</v>
      </c>
      <c r="P147" s="92">
        <f t="shared" si="21"/>
        <v>0</v>
      </c>
      <c r="Q147" s="92">
        <f t="shared" si="21"/>
        <v>1570</v>
      </c>
      <c r="R147" s="92">
        <f t="shared" si="21"/>
        <v>0</v>
      </c>
      <c r="S147" s="92">
        <f t="shared" si="21"/>
        <v>1570</v>
      </c>
      <c r="T147" s="92">
        <f t="shared" si="21"/>
        <v>0</v>
      </c>
      <c r="U147" s="92">
        <f t="shared" si="21"/>
        <v>0</v>
      </c>
      <c r="V147" s="92">
        <f t="shared" si="21"/>
        <v>0</v>
      </c>
      <c r="W147" s="92">
        <f t="shared" si="21"/>
        <v>0</v>
      </c>
      <c r="X147" s="92">
        <f t="shared" si="21"/>
        <v>0</v>
      </c>
      <c r="Y147" s="92">
        <f t="shared" si="21"/>
        <v>6338</v>
      </c>
      <c r="Z147" s="92">
        <f t="shared" si="21"/>
        <v>27253.4</v>
      </c>
      <c r="AA147" s="92">
        <f t="shared" si="21"/>
        <v>24</v>
      </c>
      <c r="AB147" s="92"/>
      <c r="AC147" s="92"/>
      <c r="AD147" s="141" t="s">
        <v>165</v>
      </c>
      <c r="AE147" s="146" t="s">
        <v>166</v>
      </c>
      <c r="AF147" s="708" t="s">
        <v>160</v>
      </c>
      <c r="AG147" s="92"/>
    </row>
    <row r="148" s="694" customFormat="1" ht="41" customHeight="1" spans="1:33">
      <c r="A148" s="705"/>
      <c r="B148" s="755" t="s">
        <v>69</v>
      </c>
      <c r="C148" s="146" t="s">
        <v>162</v>
      </c>
      <c r="D148" s="152" t="s">
        <v>163</v>
      </c>
      <c r="E148" s="92">
        <v>1</v>
      </c>
      <c r="F148" s="708" t="s">
        <v>69</v>
      </c>
      <c r="G148" s="92"/>
      <c r="H148" s="92">
        <v>1143</v>
      </c>
      <c r="I148" s="92"/>
      <c r="J148" s="92"/>
      <c r="K148" s="92">
        <v>1143</v>
      </c>
      <c r="L148" s="92">
        <v>2020.01</v>
      </c>
      <c r="M148" s="92">
        <v>2020.12</v>
      </c>
      <c r="N148" s="146">
        <v>54</v>
      </c>
      <c r="O148" s="92"/>
      <c r="P148" s="92"/>
      <c r="Q148" s="146">
        <v>54</v>
      </c>
      <c r="R148" s="92"/>
      <c r="S148" s="146">
        <v>54</v>
      </c>
      <c r="T148" s="92"/>
      <c r="U148" s="92"/>
      <c r="V148" s="92"/>
      <c r="W148" s="92"/>
      <c r="X148" s="92"/>
      <c r="Y148" s="738">
        <v>243</v>
      </c>
      <c r="Z148" s="738">
        <v>1044.9</v>
      </c>
      <c r="AA148" s="92">
        <v>1</v>
      </c>
      <c r="AB148" s="92"/>
      <c r="AC148" s="92"/>
      <c r="AD148" s="141" t="s">
        <v>167</v>
      </c>
      <c r="AE148" s="146" t="s">
        <v>168</v>
      </c>
      <c r="AF148" s="708" t="s">
        <v>160</v>
      </c>
      <c r="AG148" s="92"/>
    </row>
    <row r="149" s="694" customFormat="1" ht="41" customHeight="1" spans="1:33">
      <c r="A149" s="705"/>
      <c r="B149" s="755" t="s">
        <v>51</v>
      </c>
      <c r="C149" s="146" t="s">
        <v>162</v>
      </c>
      <c r="D149" s="152" t="s">
        <v>163</v>
      </c>
      <c r="E149" s="92">
        <v>1</v>
      </c>
      <c r="F149" s="708" t="s">
        <v>51</v>
      </c>
      <c r="G149" s="92"/>
      <c r="H149" s="92">
        <v>1795.1</v>
      </c>
      <c r="I149" s="92"/>
      <c r="J149" s="92"/>
      <c r="K149" s="92">
        <v>1795.1</v>
      </c>
      <c r="L149" s="92">
        <v>2020.01</v>
      </c>
      <c r="M149" s="92">
        <v>2020.12</v>
      </c>
      <c r="N149" s="146">
        <v>85</v>
      </c>
      <c r="O149" s="92"/>
      <c r="P149" s="92"/>
      <c r="Q149" s="146">
        <v>85</v>
      </c>
      <c r="R149" s="92"/>
      <c r="S149" s="146">
        <v>85</v>
      </c>
      <c r="T149" s="92"/>
      <c r="U149" s="92"/>
      <c r="V149" s="92"/>
      <c r="W149" s="92"/>
      <c r="X149" s="92"/>
      <c r="Y149" s="738">
        <v>380</v>
      </c>
      <c r="Z149" s="738">
        <v>1634</v>
      </c>
      <c r="AA149" s="92">
        <v>1</v>
      </c>
      <c r="AB149" s="92"/>
      <c r="AC149" s="92"/>
      <c r="AD149" s="141" t="s">
        <v>169</v>
      </c>
      <c r="AE149" s="146" t="s">
        <v>170</v>
      </c>
      <c r="AF149" s="708" t="s">
        <v>160</v>
      </c>
      <c r="AG149" s="92"/>
    </row>
    <row r="150" s="694" customFormat="1" ht="41" customHeight="1" spans="1:33">
      <c r="A150" s="705"/>
      <c r="B150" s="755" t="s">
        <v>72</v>
      </c>
      <c r="C150" s="146" t="s">
        <v>162</v>
      </c>
      <c r="D150" s="152" t="s">
        <v>163</v>
      </c>
      <c r="E150" s="92">
        <v>1</v>
      </c>
      <c r="F150" s="708" t="s">
        <v>72</v>
      </c>
      <c r="G150" s="92"/>
      <c r="H150" s="92">
        <v>3285.6</v>
      </c>
      <c r="I150" s="92"/>
      <c r="J150" s="92"/>
      <c r="K150" s="92">
        <v>3285.6</v>
      </c>
      <c r="L150" s="92">
        <v>2020.01</v>
      </c>
      <c r="M150" s="92">
        <v>2020.12</v>
      </c>
      <c r="N150" s="146">
        <v>156</v>
      </c>
      <c r="O150" s="92"/>
      <c r="P150" s="92"/>
      <c r="Q150" s="146">
        <v>156</v>
      </c>
      <c r="R150" s="92"/>
      <c r="S150" s="146">
        <v>156</v>
      </c>
      <c r="T150" s="92"/>
      <c r="U150" s="92"/>
      <c r="V150" s="92"/>
      <c r="W150" s="92"/>
      <c r="X150" s="92"/>
      <c r="Y150" s="738">
        <v>724</v>
      </c>
      <c r="Z150" s="738">
        <v>3113.2</v>
      </c>
      <c r="AA150" s="92">
        <v>1</v>
      </c>
      <c r="AB150" s="92"/>
      <c r="AC150" s="92"/>
      <c r="AD150" s="141" t="s">
        <v>171</v>
      </c>
      <c r="AE150" s="146" t="s">
        <v>172</v>
      </c>
      <c r="AF150" s="708" t="s">
        <v>160</v>
      </c>
      <c r="AG150" s="92"/>
    </row>
    <row r="151" s="694" customFormat="1" ht="41" customHeight="1" spans="1:33">
      <c r="A151" s="705"/>
      <c r="B151" s="755" t="s">
        <v>91</v>
      </c>
      <c r="C151" s="146" t="s">
        <v>162</v>
      </c>
      <c r="D151" s="152" t="s">
        <v>163</v>
      </c>
      <c r="E151" s="92">
        <v>1</v>
      </c>
      <c r="F151" s="708" t="s">
        <v>91</v>
      </c>
      <c r="G151" s="92"/>
      <c r="H151" s="92">
        <v>3356.7</v>
      </c>
      <c r="I151" s="92"/>
      <c r="J151" s="92"/>
      <c r="K151" s="92">
        <v>3356.7</v>
      </c>
      <c r="L151" s="92">
        <v>2020.01</v>
      </c>
      <c r="M151" s="92">
        <v>2020.12</v>
      </c>
      <c r="N151" s="146">
        <v>159</v>
      </c>
      <c r="O151" s="92"/>
      <c r="P151" s="92"/>
      <c r="Q151" s="146">
        <v>159</v>
      </c>
      <c r="R151" s="92"/>
      <c r="S151" s="146">
        <v>159</v>
      </c>
      <c r="T151" s="92"/>
      <c r="U151" s="92"/>
      <c r="V151" s="92"/>
      <c r="W151" s="92"/>
      <c r="X151" s="92"/>
      <c r="Y151" s="738">
        <v>717</v>
      </c>
      <c r="Z151" s="738">
        <v>3083.1</v>
      </c>
      <c r="AA151" s="92">
        <v>1</v>
      </c>
      <c r="AB151" s="92"/>
      <c r="AC151" s="92"/>
      <c r="AD151" s="141" t="s">
        <v>82</v>
      </c>
      <c r="AE151" s="146" t="s">
        <v>173</v>
      </c>
      <c r="AF151" s="708" t="s">
        <v>160</v>
      </c>
      <c r="AG151" s="92"/>
    </row>
    <row r="152" s="694" customFormat="1" ht="41" customHeight="1" spans="1:33">
      <c r="A152" s="705"/>
      <c r="B152" s="755" t="s">
        <v>55</v>
      </c>
      <c r="C152" s="146" t="s">
        <v>162</v>
      </c>
      <c r="D152" s="152" t="s">
        <v>163</v>
      </c>
      <c r="E152" s="92">
        <v>1</v>
      </c>
      <c r="F152" s="708" t="s">
        <v>55</v>
      </c>
      <c r="G152" s="92"/>
      <c r="H152" s="92">
        <v>2982.7</v>
      </c>
      <c r="I152" s="92"/>
      <c r="J152" s="92"/>
      <c r="K152" s="92">
        <v>2982.7</v>
      </c>
      <c r="L152" s="92">
        <v>2020.01</v>
      </c>
      <c r="M152" s="92">
        <v>2020.12</v>
      </c>
      <c r="N152" s="146">
        <v>142</v>
      </c>
      <c r="O152" s="92"/>
      <c r="P152" s="92"/>
      <c r="Q152" s="146">
        <v>142</v>
      </c>
      <c r="R152" s="92"/>
      <c r="S152" s="146">
        <v>142</v>
      </c>
      <c r="T152" s="92"/>
      <c r="U152" s="92"/>
      <c r="V152" s="92"/>
      <c r="W152" s="92"/>
      <c r="X152" s="92"/>
      <c r="Y152" s="738">
        <v>722</v>
      </c>
      <c r="Z152" s="738">
        <v>3104.6</v>
      </c>
      <c r="AA152" s="92">
        <v>1</v>
      </c>
      <c r="AB152" s="92"/>
      <c r="AC152" s="92"/>
      <c r="AD152" s="141" t="s">
        <v>174</v>
      </c>
      <c r="AE152" s="146" t="s">
        <v>175</v>
      </c>
      <c r="AF152" s="708" t="s">
        <v>160</v>
      </c>
      <c r="AG152" s="92"/>
    </row>
    <row r="153" s="694" customFormat="1" ht="41" customHeight="1" spans="1:33">
      <c r="A153" s="705"/>
      <c r="B153" s="755" t="s">
        <v>75</v>
      </c>
      <c r="C153" s="146" t="s">
        <v>162</v>
      </c>
      <c r="D153" s="152" t="s">
        <v>163</v>
      </c>
      <c r="E153" s="92">
        <v>1</v>
      </c>
      <c r="F153" s="708" t="s">
        <v>75</v>
      </c>
      <c r="G153" s="92"/>
      <c r="H153" s="92">
        <v>3661.5</v>
      </c>
      <c r="I153" s="92"/>
      <c r="J153" s="92"/>
      <c r="K153" s="92">
        <v>3661.5</v>
      </c>
      <c r="L153" s="92">
        <v>2020.01</v>
      </c>
      <c r="M153" s="92">
        <v>2020.12</v>
      </c>
      <c r="N153" s="146">
        <v>174</v>
      </c>
      <c r="O153" s="92"/>
      <c r="P153" s="92"/>
      <c r="Q153" s="146">
        <v>174</v>
      </c>
      <c r="R153" s="92"/>
      <c r="S153" s="146">
        <v>174</v>
      </c>
      <c r="T153" s="92"/>
      <c r="U153" s="92"/>
      <c r="V153" s="92"/>
      <c r="W153" s="92"/>
      <c r="X153" s="92"/>
      <c r="Y153" s="738">
        <v>741</v>
      </c>
      <c r="Z153" s="738">
        <v>3186.3</v>
      </c>
      <c r="AA153" s="92">
        <v>1</v>
      </c>
      <c r="AB153" s="92"/>
      <c r="AC153" s="92"/>
      <c r="AD153" s="141" t="s">
        <v>176</v>
      </c>
      <c r="AE153" s="146" t="s">
        <v>177</v>
      </c>
      <c r="AF153" s="708" t="s">
        <v>160</v>
      </c>
      <c r="AG153" s="92"/>
    </row>
    <row r="154" s="694" customFormat="1" ht="41" customHeight="1" spans="1:33">
      <c r="A154" s="705"/>
      <c r="B154" s="755" t="s">
        <v>58</v>
      </c>
      <c r="C154" s="146" t="s">
        <v>162</v>
      </c>
      <c r="D154" s="152" t="s">
        <v>163</v>
      </c>
      <c r="E154" s="92">
        <v>1</v>
      </c>
      <c r="F154" s="708" t="s">
        <v>58</v>
      </c>
      <c r="G154" s="92"/>
      <c r="H154" s="92">
        <v>1108</v>
      </c>
      <c r="I154" s="92"/>
      <c r="J154" s="92"/>
      <c r="K154" s="92">
        <v>1108</v>
      </c>
      <c r="L154" s="92">
        <v>2020.01</v>
      </c>
      <c r="M154" s="92">
        <v>2020.12</v>
      </c>
      <c r="N154" s="146">
        <v>53</v>
      </c>
      <c r="O154" s="92"/>
      <c r="P154" s="92"/>
      <c r="Q154" s="146">
        <v>53</v>
      </c>
      <c r="R154" s="92"/>
      <c r="S154" s="146">
        <v>53</v>
      </c>
      <c r="T154" s="92"/>
      <c r="U154" s="92"/>
      <c r="V154" s="92"/>
      <c r="W154" s="92"/>
      <c r="X154" s="92"/>
      <c r="Y154" s="738">
        <v>225</v>
      </c>
      <c r="Z154" s="738">
        <v>967.5</v>
      </c>
      <c r="AA154" s="92">
        <v>1</v>
      </c>
      <c r="AB154" s="92"/>
      <c r="AC154" s="92"/>
      <c r="AD154" s="141" t="s">
        <v>178</v>
      </c>
      <c r="AE154" s="146" t="s">
        <v>179</v>
      </c>
      <c r="AF154" s="708" t="s">
        <v>160</v>
      </c>
      <c r="AG154" s="92"/>
    </row>
    <row r="155" s="694" customFormat="1" ht="41" customHeight="1" spans="1:33">
      <c r="A155" s="705"/>
      <c r="B155" s="755" t="s">
        <v>61</v>
      </c>
      <c r="C155" s="146" t="s">
        <v>162</v>
      </c>
      <c r="D155" s="152" t="s">
        <v>163</v>
      </c>
      <c r="E155" s="92">
        <v>1</v>
      </c>
      <c r="F155" s="708" t="s">
        <v>61</v>
      </c>
      <c r="G155" s="92"/>
      <c r="H155" s="92">
        <v>6485.5</v>
      </c>
      <c r="I155" s="92"/>
      <c r="J155" s="92"/>
      <c r="K155" s="92">
        <v>6485.5</v>
      </c>
      <c r="L155" s="92">
        <v>2020.01</v>
      </c>
      <c r="M155" s="92">
        <v>2020.12</v>
      </c>
      <c r="N155" s="146">
        <v>308</v>
      </c>
      <c r="O155" s="92"/>
      <c r="P155" s="92"/>
      <c r="Q155" s="146">
        <v>308</v>
      </c>
      <c r="R155" s="92"/>
      <c r="S155" s="146">
        <v>308</v>
      </c>
      <c r="T155" s="92"/>
      <c r="U155" s="92"/>
      <c r="V155" s="92"/>
      <c r="W155" s="92"/>
      <c r="X155" s="92"/>
      <c r="Y155" s="738">
        <v>1312</v>
      </c>
      <c r="Z155" s="738">
        <v>5641.6</v>
      </c>
      <c r="AA155" s="92">
        <v>1</v>
      </c>
      <c r="AB155" s="92"/>
      <c r="AC155" s="92"/>
      <c r="AD155" s="141" t="s">
        <v>180</v>
      </c>
      <c r="AE155" s="146" t="s">
        <v>181</v>
      </c>
      <c r="AF155" s="708" t="s">
        <v>160</v>
      </c>
      <c r="AG155" s="92"/>
    </row>
    <row r="156" s="694" customFormat="1" ht="41" customHeight="1" spans="1:33">
      <c r="A156" s="705"/>
      <c r="B156" s="755" t="s">
        <v>78</v>
      </c>
      <c r="C156" s="146" t="s">
        <v>162</v>
      </c>
      <c r="D156" s="152" t="s">
        <v>163</v>
      </c>
      <c r="E156" s="92">
        <v>1</v>
      </c>
      <c r="F156" s="708" t="s">
        <v>78</v>
      </c>
      <c r="G156" s="92"/>
      <c r="H156" s="92">
        <v>1870</v>
      </c>
      <c r="I156" s="92"/>
      <c r="J156" s="92"/>
      <c r="K156" s="92">
        <v>1870</v>
      </c>
      <c r="L156" s="92">
        <v>2020.01</v>
      </c>
      <c r="M156" s="92">
        <v>2020.12</v>
      </c>
      <c r="N156" s="146">
        <v>89</v>
      </c>
      <c r="O156" s="92"/>
      <c r="P156" s="92"/>
      <c r="Q156" s="146">
        <v>89</v>
      </c>
      <c r="R156" s="92"/>
      <c r="S156" s="146">
        <v>89</v>
      </c>
      <c r="T156" s="92"/>
      <c r="U156" s="92"/>
      <c r="V156" s="92"/>
      <c r="W156" s="92"/>
      <c r="X156" s="92"/>
      <c r="Y156" s="738">
        <v>385</v>
      </c>
      <c r="Z156" s="738">
        <v>1655.5</v>
      </c>
      <c r="AA156" s="92">
        <v>1</v>
      </c>
      <c r="AB156" s="92"/>
      <c r="AC156" s="92"/>
      <c r="AD156" s="141" t="s">
        <v>79</v>
      </c>
      <c r="AE156" s="146" t="s">
        <v>182</v>
      </c>
      <c r="AF156" s="708" t="s">
        <v>160</v>
      </c>
      <c r="AG156" s="92"/>
    </row>
    <row r="157" s="694" customFormat="1" ht="41" customHeight="1" spans="1:33">
      <c r="A157" s="705"/>
      <c r="B157" s="755" t="s">
        <v>114</v>
      </c>
      <c r="C157" s="146" t="s">
        <v>162</v>
      </c>
      <c r="D157" s="152" t="s">
        <v>163</v>
      </c>
      <c r="E157" s="92">
        <v>1</v>
      </c>
      <c r="F157" s="708" t="s">
        <v>114</v>
      </c>
      <c r="G157" s="92"/>
      <c r="H157" s="92">
        <v>625</v>
      </c>
      <c r="I157" s="92"/>
      <c r="J157" s="92"/>
      <c r="K157" s="92">
        <v>625</v>
      </c>
      <c r="L157" s="92">
        <v>2020.01</v>
      </c>
      <c r="M157" s="92">
        <v>2020.12</v>
      </c>
      <c r="N157" s="146">
        <v>30</v>
      </c>
      <c r="O157" s="92"/>
      <c r="P157" s="92"/>
      <c r="Q157" s="146">
        <v>30</v>
      </c>
      <c r="R157" s="92"/>
      <c r="S157" s="146">
        <v>30</v>
      </c>
      <c r="T157" s="92"/>
      <c r="U157" s="92"/>
      <c r="V157" s="92"/>
      <c r="W157" s="92"/>
      <c r="X157" s="92"/>
      <c r="Y157" s="738">
        <v>126</v>
      </c>
      <c r="Z157" s="738">
        <v>541.8</v>
      </c>
      <c r="AA157" s="92">
        <v>1</v>
      </c>
      <c r="AB157" s="92"/>
      <c r="AC157" s="92"/>
      <c r="AD157" s="141" t="s">
        <v>183</v>
      </c>
      <c r="AE157" s="146" t="s">
        <v>184</v>
      </c>
      <c r="AF157" s="708" t="s">
        <v>160</v>
      </c>
      <c r="AG157" s="92"/>
    </row>
    <row r="158" s="694" customFormat="1" ht="41" customHeight="1" spans="1:33">
      <c r="A158" s="705"/>
      <c r="B158" s="755" t="s">
        <v>64</v>
      </c>
      <c r="C158" s="146" t="s">
        <v>162</v>
      </c>
      <c r="D158" s="152" t="s">
        <v>163</v>
      </c>
      <c r="E158" s="92">
        <v>1</v>
      </c>
      <c r="F158" s="708" t="s">
        <v>64</v>
      </c>
      <c r="G158" s="92"/>
      <c r="H158" s="92">
        <v>2553.4</v>
      </c>
      <c r="I158" s="92"/>
      <c r="J158" s="92"/>
      <c r="K158" s="92">
        <v>2553.4</v>
      </c>
      <c r="L158" s="92">
        <v>2020.01</v>
      </c>
      <c r="M158" s="92">
        <v>2020.12</v>
      </c>
      <c r="N158" s="146">
        <v>121</v>
      </c>
      <c r="O158" s="92"/>
      <c r="P158" s="92"/>
      <c r="Q158" s="146">
        <v>121</v>
      </c>
      <c r="R158" s="92"/>
      <c r="S158" s="146">
        <v>121</v>
      </c>
      <c r="T158" s="92"/>
      <c r="U158" s="92"/>
      <c r="V158" s="92"/>
      <c r="W158" s="92"/>
      <c r="X158" s="92"/>
      <c r="Y158" s="738">
        <v>527</v>
      </c>
      <c r="Z158" s="738">
        <v>2266.1</v>
      </c>
      <c r="AA158" s="92">
        <v>1</v>
      </c>
      <c r="AB158" s="92"/>
      <c r="AC158" s="92"/>
      <c r="AD158" s="141" t="s">
        <v>185</v>
      </c>
      <c r="AE158" s="146" t="s">
        <v>186</v>
      </c>
      <c r="AF158" s="708" t="s">
        <v>160</v>
      </c>
      <c r="AG158" s="92"/>
    </row>
    <row r="159" s="694" customFormat="1" ht="41" customHeight="1" spans="1:33">
      <c r="A159" s="705"/>
      <c r="B159" s="755" t="s">
        <v>92</v>
      </c>
      <c r="C159" s="146" t="s">
        <v>162</v>
      </c>
      <c r="D159" s="152" t="s">
        <v>163</v>
      </c>
      <c r="E159" s="92">
        <v>1</v>
      </c>
      <c r="F159" s="708" t="s">
        <v>92</v>
      </c>
      <c r="G159" s="92"/>
      <c r="H159" s="92">
        <v>1175</v>
      </c>
      <c r="I159" s="92"/>
      <c r="J159" s="92"/>
      <c r="K159" s="92">
        <v>1175</v>
      </c>
      <c r="L159" s="92">
        <v>2020.01</v>
      </c>
      <c r="M159" s="92">
        <v>2020.12</v>
      </c>
      <c r="N159" s="146">
        <v>56</v>
      </c>
      <c r="O159" s="92"/>
      <c r="P159" s="92"/>
      <c r="Q159" s="146">
        <v>56</v>
      </c>
      <c r="R159" s="92"/>
      <c r="S159" s="146">
        <v>56</v>
      </c>
      <c r="T159" s="92"/>
      <c r="U159" s="92"/>
      <c r="V159" s="92"/>
      <c r="W159" s="92"/>
      <c r="X159" s="92"/>
      <c r="Y159" s="738">
        <v>236</v>
      </c>
      <c r="Z159" s="738">
        <v>1014.8</v>
      </c>
      <c r="AA159" s="92">
        <v>1</v>
      </c>
      <c r="AB159" s="92"/>
      <c r="AC159" s="92"/>
      <c r="AD159" s="141" t="s">
        <v>187</v>
      </c>
      <c r="AE159" s="146" t="s">
        <v>188</v>
      </c>
      <c r="AF159" s="708" t="s">
        <v>160</v>
      </c>
      <c r="AG159" s="92"/>
    </row>
    <row r="160" ht="24.95" customHeight="1" spans="1:33">
      <c r="A160" s="705" t="s">
        <v>48</v>
      </c>
      <c r="B160" s="92" t="s">
        <v>189</v>
      </c>
      <c r="C160" s="92" t="s">
        <v>162</v>
      </c>
      <c r="D160" s="76" t="s">
        <v>163</v>
      </c>
      <c r="E160" s="92">
        <v>12</v>
      </c>
      <c r="F160" s="92" t="s">
        <v>643</v>
      </c>
      <c r="G160" s="92"/>
      <c r="H160" s="92">
        <v>3000</v>
      </c>
      <c r="I160" s="92"/>
      <c r="J160" s="92"/>
      <c r="K160" s="738">
        <v>3000</v>
      </c>
      <c r="L160" s="92">
        <v>2020.01</v>
      </c>
      <c r="M160" s="92">
        <v>2020.12</v>
      </c>
      <c r="N160" s="724">
        <v>143</v>
      </c>
      <c r="O160" s="724"/>
      <c r="P160" s="724"/>
      <c r="Q160" s="724">
        <v>143</v>
      </c>
      <c r="R160" s="92"/>
      <c r="S160" s="92">
        <v>143</v>
      </c>
      <c r="T160" s="92"/>
      <c r="U160" s="92"/>
      <c r="V160" s="92"/>
      <c r="W160" s="92"/>
      <c r="X160" s="92"/>
      <c r="Y160" s="92"/>
      <c r="Z160" s="92"/>
      <c r="AA160" s="92">
        <v>12</v>
      </c>
      <c r="AB160" s="92"/>
      <c r="AC160" s="92"/>
      <c r="AD160" s="141" t="s">
        <v>165</v>
      </c>
      <c r="AE160" s="146" t="s">
        <v>166</v>
      </c>
      <c r="AF160" s="708" t="s">
        <v>160</v>
      </c>
      <c r="AG160" s="92"/>
    </row>
    <row r="161" ht="24.95" customHeight="1" spans="1:33">
      <c r="A161" s="705">
        <v>11</v>
      </c>
      <c r="B161" s="708" t="s">
        <v>190</v>
      </c>
      <c r="C161" s="708"/>
      <c r="D161" s="709"/>
      <c r="E161" s="708"/>
      <c r="F161" s="708"/>
      <c r="G161" s="708"/>
      <c r="H161" s="708"/>
      <c r="I161" s="708"/>
      <c r="J161" s="708"/>
      <c r="K161" s="708"/>
      <c r="L161" s="708"/>
      <c r="M161" s="708"/>
      <c r="N161" s="726"/>
      <c r="O161" s="726"/>
      <c r="P161" s="726"/>
      <c r="Q161" s="726"/>
      <c r="R161" s="726"/>
      <c r="S161" s="726"/>
      <c r="T161" s="726"/>
      <c r="U161" s="726"/>
      <c r="V161" s="726"/>
      <c r="W161" s="726"/>
      <c r="X161" s="726"/>
      <c r="Y161" s="726"/>
      <c r="Z161" s="726"/>
      <c r="AA161" s="708"/>
      <c r="AB161" s="708"/>
      <c r="AC161" s="708"/>
      <c r="AD161" s="708"/>
      <c r="AE161" s="708"/>
      <c r="AF161" s="708"/>
      <c r="AG161" s="708"/>
    </row>
    <row r="162" spans="1:33">
      <c r="A162" s="705" t="s">
        <v>48</v>
      </c>
      <c r="B162" s="92" t="s">
        <v>191</v>
      </c>
      <c r="C162" s="92"/>
      <c r="D162" s="76" t="s">
        <v>192</v>
      </c>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row>
    <row r="163" ht="24.95" customHeight="1" spans="1:33">
      <c r="A163" s="705">
        <v>13</v>
      </c>
      <c r="B163" s="708" t="s">
        <v>193</v>
      </c>
      <c r="C163" s="708"/>
      <c r="D163" s="709" t="s">
        <v>194</v>
      </c>
      <c r="E163" s="708"/>
      <c r="F163" s="708"/>
      <c r="G163" s="708"/>
      <c r="H163" s="708"/>
      <c r="I163" s="708"/>
      <c r="J163" s="708"/>
      <c r="K163" s="708"/>
      <c r="L163" s="708"/>
      <c r="M163" s="708"/>
      <c r="N163" s="726"/>
      <c r="O163" s="726"/>
      <c r="P163" s="726"/>
      <c r="Q163" s="726"/>
      <c r="R163" s="726"/>
      <c r="S163" s="726"/>
      <c r="T163" s="726"/>
      <c r="U163" s="726"/>
      <c r="V163" s="726"/>
      <c r="W163" s="761"/>
      <c r="X163" s="761"/>
      <c r="Y163" s="761"/>
      <c r="Z163" s="761"/>
      <c r="AA163" s="764"/>
      <c r="AB163" s="708"/>
      <c r="AC163" s="708"/>
      <c r="AD163" s="708"/>
      <c r="AE163" s="708"/>
      <c r="AF163" s="708" t="s">
        <v>195</v>
      </c>
      <c r="AG163" s="708"/>
    </row>
    <row r="164" ht="32.1" customHeight="1" spans="1:33">
      <c r="A164" s="705">
        <v>19</v>
      </c>
      <c r="B164" s="708" t="s">
        <v>196</v>
      </c>
      <c r="C164" s="708"/>
      <c r="D164" s="709"/>
      <c r="E164" s="708"/>
      <c r="F164" s="708"/>
      <c r="G164" s="708"/>
      <c r="H164" s="708"/>
      <c r="I164" s="708"/>
      <c r="J164" s="708"/>
      <c r="K164" s="708"/>
      <c r="L164" s="708"/>
      <c r="M164" s="708"/>
      <c r="N164" s="708"/>
      <c r="O164" s="708"/>
      <c r="P164" s="708"/>
      <c r="Q164" s="708"/>
      <c r="R164" s="708"/>
      <c r="S164" s="708"/>
      <c r="T164" s="708"/>
      <c r="U164" s="708"/>
      <c r="V164" s="708"/>
      <c r="W164" s="708"/>
      <c r="X164" s="708"/>
      <c r="Y164" s="708"/>
      <c r="Z164" s="708"/>
      <c r="AA164" s="708"/>
      <c r="AB164" s="708"/>
      <c r="AC164" s="708"/>
      <c r="AD164" s="708"/>
      <c r="AE164" s="708"/>
      <c r="AF164" s="708"/>
      <c r="AG164" s="708" t="s">
        <v>41</v>
      </c>
    </row>
    <row r="165" ht="24.95" customHeight="1" spans="1:33">
      <c r="A165" s="705">
        <v>20</v>
      </c>
      <c r="B165" s="756" t="s">
        <v>197</v>
      </c>
      <c r="C165" s="757"/>
      <c r="D165" s="705" t="s">
        <v>150</v>
      </c>
      <c r="E165" s="757"/>
      <c r="F165" s="757"/>
      <c r="G165" s="757"/>
      <c r="H165" s="757"/>
      <c r="I165" s="757"/>
      <c r="J165" s="757"/>
      <c r="K165" s="757"/>
      <c r="L165" s="757"/>
      <c r="M165" s="757"/>
      <c r="N165" s="759"/>
      <c r="O165" s="759"/>
      <c r="P165" s="759"/>
      <c r="Q165" s="759"/>
      <c r="R165" s="759"/>
      <c r="S165" s="759"/>
      <c r="T165" s="759"/>
      <c r="U165" s="759"/>
      <c r="V165" s="759"/>
      <c r="W165" s="759"/>
      <c r="X165" s="759"/>
      <c r="Y165" s="759"/>
      <c r="Z165" s="759"/>
      <c r="AA165" s="757"/>
      <c r="AB165" s="757"/>
      <c r="AC165" s="757"/>
      <c r="AD165" s="757"/>
      <c r="AE165" s="757"/>
      <c r="AF165" s="757"/>
      <c r="AG165" s="757" t="s">
        <v>41</v>
      </c>
    </row>
    <row r="166" ht="24.95" customHeight="1" spans="1:33">
      <c r="A166" s="705">
        <v>21</v>
      </c>
      <c r="B166" s="756" t="s">
        <v>198</v>
      </c>
      <c r="C166" s="757"/>
      <c r="D166" s="705" t="s">
        <v>150</v>
      </c>
      <c r="E166" s="757"/>
      <c r="F166" s="757"/>
      <c r="G166" s="757"/>
      <c r="H166" s="757"/>
      <c r="I166" s="757"/>
      <c r="J166" s="757"/>
      <c r="K166" s="757"/>
      <c r="L166" s="757"/>
      <c r="M166" s="757"/>
      <c r="N166" s="759"/>
      <c r="O166" s="759"/>
      <c r="P166" s="759"/>
      <c r="Q166" s="759"/>
      <c r="R166" s="759"/>
      <c r="S166" s="759"/>
      <c r="T166" s="759"/>
      <c r="U166" s="759"/>
      <c r="V166" s="762"/>
      <c r="W166" s="762"/>
      <c r="X166" s="762"/>
      <c r="Y166" s="762"/>
      <c r="Z166" s="762"/>
      <c r="AA166" s="757"/>
      <c r="AB166" s="757"/>
      <c r="AC166" s="757"/>
      <c r="AD166" s="757"/>
      <c r="AE166" s="757"/>
      <c r="AF166" s="757" t="s">
        <v>497</v>
      </c>
      <c r="AG166" s="757" t="s">
        <v>41</v>
      </c>
    </row>
    <row r="167" ht="24.95" customHeight="1" spans="1:33">
      <c r="A167" s="705"/>
      <c r="B167" s="714" t="s">
        <v>101</v>
      </c>
      <c r="C167" s="757"/>
      <c r="D167" s="705"/>
      <c r="E167" s="757"/>
      <c r="F167" s="757"/>
      <c r="G167" s="757"/>
      <c r="H167" s="757"/>
      <c r="I167" s="757"/>
      <c r="J167" s="757"/>
      <c r="K167" s="757"/>
      <c r="L167" s="757"/>
      <c r="M167" s="757"/>
      <c r="N167" s="759"/>
      <c r="O167" s="759"/>
      <c r="P167" s="759"/>
      <c r="Q167" s="759"/>
      <c r="R167" s="759"/>
      <c r="S167" s="759"/>
      <c r="T167" s="759"/>
      <c r="U167" s="759"/>
      <c r="V167" s="762"/>
      <c r="W167" s="762"/>
      <c r="X167" s="762"/>
      <c r="Y167" s="762"/>
      <c r="Z167" s="762"/>
      <c r="AA167" s="757"/>
      <c r="AB167" s="757"/>
      <c r="AC167" s="757"/>
      <c r="AD167" s="757"/>
      <c r="AE167" s="757"/>
      <c r="AF167" s="757"/>
      <c r="AG167" s="757"/>
    </row>
    <row r="168" ht="24.95" customHeight="1" spans="1:33">
      <c r="A168" s="705"/>
      <c r="B168" s="714" t="s">
        <v>151</v>
      </c>
      <c r="C168" s="757"/>
      <c r="D168" s="705"/>
      <c r="E168" s="757"/>
      <c r="F168" s="757"/>
      <c r="G168" s="757"/>
      <c r="H168" s="757"/>
      <c r="I168" s="757"/>
      <c r="J168" s="757"/>
      <c r="K168" s="757"/>
      <c r="L168" s="757"/>
      <c r="M168" s="757"/>
      <c r="N168" s="759"/>
      <c r="O168" s="759"/>
      <c r="P168" s="759"/>
      <c r="Q168" s="759"/>
      <c r="R168" s="759"/>
      <c r="S168" s="759"/>
      <c r="T168" s="759"/>
      <c r="U168" s="759"/>
      <c r="V168" s="762"/>
      <c r="W168" s="762"/>
      <c r="X168" s="762"/>
      <c r="Y168" s="762"/>
      <c r="Z168" s="762"/>
      <c r="AA168" s="757"/>
      <c r="AB168" s="757"/>
      <c r="AC168" s="757"/>
      <c r="AD168" s="757"/>
      <c r="AE168" s="757"/>
      <c r="AF168" s="757"/>
      <c r="AG168" s="757"/>
    </row>
    <row r="169" ht="24.95" customHeight="1" spans="1:33">
      <c r="A169" s="705"/>
      <c r="B169" s="714" t="s">
        <v>154</v>
      </c>
      <c r="C169" s="757"/>
      <c r="D169" s="705"/>
      <c r="E169" s="757"/>
      <c r="F169" s="757"/>
      <c r="G169" s="757"/>
      <c r="H169" s="757"/>
      <c r="I169" s="757"/>
      <c r="J169" s="757"/>
      <c r="K169" s="757"/>
      <c r="L169" s="757"/>
      <c r="M169" s="757"/>
      <c r="N169" s="759"/>
      <c r="O169" s="759"/>
      <c r="P169" s="759"/>
      <c r="Q169" s="759"/>
      <c r="R169" s="759"/>
      <c r="S169" s="759"/>
      <c r="T169" s="759"/>
      <c r="U169" s="759"/>
      <c r="V169" s="762"/>
      <c r="W169" s="762"/>
      <c r="X169" s="762"/>
      <c r="Y169" s="762"/>
      <c r="Z169" s="762"/>
      <c r="AA169" s="757"/>
      <c r="AB169" s="757"/>
      <c r="AC169" s="757"/>
      <c r="AD169" s="757"/>
      <c r="AE169" s="757"/>
      <c r="AF169" s="757"/>
      <c r="AG169" s="757"/>
    </row>
    <row r="170" ht="24.95" customHeight="1" spans="1:33">
      <c r="A170" s="705"/>
      <c r="B170" s="714" t="s">
        <v>81</v>
      </c>
      <c r="C170" s="757"/>
      <c r="D170" s="705"/>
      <c r="E170" s="757"/>
      <c r="F170" s="757"/>
      <c r="G170" s="757"/>
      <c r="H170" s="757"/>
      <c r="I170" s="757"/>
      <c r="J170" s="757"/>
      <c r="K170" s="757"/>
      <c r="L170" s="757"/>
      <c r="M170" s="757"/>
      <c r="N170" s="759"/>
      <c r="O170" s="759"/>
      <c r="P170" s="759"/>
      <c r="Q170" s="759"/>
      <c r="R170" s="759"/>
      <c r="S170" s="759"/>
      <c r="T170" s="759"/>
      <c r="U170" s="759"/>
      <c r="V170" s="762"/>
      <c r="W170" s="762"/>
      <c r="X170" s="762"/>
      <c r="Y170" s="762"/>
      <c r="Z170" s="762"/>
      <c r="AA170" s="757"/>
      <c r="AB170" s="757"/>
      <c r="AC170" s="757"/>
      <c r="AD170" s="757"/>
      <c r="AE170" s="757"/>
      <c r="AF170" s="757"/>
      <c r="AG170" s="757"/>
    </row>
    <row r="171" ht="24.95" customHeight="1" spans="1:33">
      <c r="A171" s="705"/>
      <c r="B171" s="714" t="s">
        <v>98</v>
      </c>
      <c r="C171" s="757"/>
      <c r="D171" s="705"/>
      <c r="E171" s="757"/>
      <c r="F171" s="757"/>
      <c r="G171" s="757"/>
      <c r="H171" s="757"/>
      <c r="I171" s="757"/>
      <c r="J171" s="757"/>
      <c r="K171" s="757"/>
      <c r="L171" s="757"/>
      <c r="M171" s="757"/>
      <c r="N171" s="759"/>
      <c r="O171" s="759"/>
      <c r="P171" s="759"/>
      <c r="Q171" s="759"/>
      <c r="R171" s="759"/>
      <c r="S171" s="759"/>
      <c r="T171" s="759"/>
      <c r="U171" s="759"/>
      <c r="V171" s="762"/>
      <c r="W171" s="762"/>
      <c r="X171" s="762"/>
      <c r="Y171" s="762"/>
      <c r="Z171" s="762"/>
      <c r="AA171" s="757"/>
      <c r="AB171" s="757"/>
      <c r="AC171" s="757"/>
      <c r="AD171" s="757"/>
      <c r="AE171" s="757"/>
      <c r="AF171" s="757"/>
      <c r="AG171" s="757"/>
    </row>
    <row r="172" ht="24.95" customHeight="1" spans="1:33">
      <c r="A172" s="705"/>
      <c r="B172" s="714" t="s">
        <v>211</v>
      </c>
      <c r="C172" s="757"/>
      <c r="D172" s="705"/>
      <c r="E172" s="757"/>
      <c r="F172" s="757"/>
      <c r="G172" s="757"/>
      <c r="H172" s="757"/>
      <c r="I172" s="757"/>
      <c r="J172" s="757"/>
      <c r="K172" s="757"/>
      <c r="L172" s="757"/>
      <c r="M172" s="757"/>
      <c r="N172" s="759"/>
      <c r="O172" s="759"/>
      <c r="P172" s="759"/>
      <c r="Q172" s="759"/>
      <c r="R172" s="759"/>
      <c r="S172" s="759"/>
      <c r="T172" s="759"/>
      <c r="U172" s="759"/>
      <c r="V172" s="762"/>
      <c r="W172" s="762"/>
      <c r="X172" s="762"/>
      <c r="Y172" s="762"/>
      <c r="Z172" s="762"/>
      <c r="AA172" s="757"/>
      <c r="AB172" s="757"/>
      <c r="AC172" s="757"/>
      <c r="AD172" s="757"/>
      <c r="AE172" s="757"/>
      <c r="AF172" s="757"/>
      <c r="AG172" s="757"/>
    </row>
    <row r="173" ht="24.95" customHeight="1" spans="1:33">
      <c r="A173" s="705"/>
      <c r="B173" s="714" t="s">
        <v>155</v>
      </c>
      <c r="C173" s="757"/>
      <c r="D173" s="705"/>
      <c r="E173" s="757"/>
      <c r="F173" s="757"/>
      <c r="G173" s="757"/>
      <c r="H173" s="757"/>
      <c r="I173" s="757"/>
      <c r="J173" s="757"/>
      <c r="K173" s="757"/>
      <c r="L173" s="757"/>
      <c r="M173" s="757"/>
      <c r="N173" s="759"/>
      <c r="O173" s="759"/>
      <c r="P173" s="759"/>
      <c r="Q173" s="759"/>
      <c r="R173" s="759"/>
      <c r="S173" s="759"/>
      <c r="T173" s="759"/>
      <c r="U173" s="759"/>
      <c r="V173" s="762"/>
      <c r="W173" s="762"/>
      <c r="X173" s="762"/>
      <c r="Y173" s="762"/>
      <c r="Z173" s="762"/>
      <c r="AA173" s="757"/>
      <c r="AB173" s="757"/>
      <c r="AC173" s="757"/>
      <c r="AD173" s="757"/>
      <c r="AE173" s="757"/>
      <c r="AF173" s="757"/>
      <c r="AG173" s="757"/>
    </row>
    <row r="174" ht="24.95" customHeight="1" spans="1:33">
      <c r="A174" s="705"/>
      <c r="B174" s="714" t="s">
        <v>102</v>
      </c>
      <c r="C174" s="757"/>
      <c r="D174" s="705"/>
      <c r="E174" s="757"/>
      <c r="F174" s="757"/>
      <c r="G174" s="757"/>
      <c r="H174" s="757"/>
      <c r="I174" s="757"/>
      <c r="J174" s="757"/>
      <c r="K174" s="757"/>
      <c r="L174" s="757"/>
      <c r="M174" s="757"/>
      <c r="N174" s="759"/>
      <c r="O174" s="759"/>
      <c r="P174" s="759"/>
      <c r="Q174" s="759"/>
      <c r="R174" s="759"/>
      <c r="S174" s="759"/>
      <c r="T174" s="759"/>
      <c r="U174" s="759"/>
      <c r="V174" s="762"/>
      <c r="W174" s="762"/>
      <c r="X174" s="762"/>
      <c r="Y174" s="762"/>
      <c r="Z174" s="762"/>
      <c r="AA174" s="757"/>
      <c r="AB174" s="757"/>
      <c r="AC174" s="757"/>
      <c r="AD174" s="757"/>
      <c r="AE174" s="757"/>
      <c r="AF174" s="757"/>
      <c r="AG174" s="757"/>
    </row>
    <row r="175" ht="24.95" customHeight="1" spans="1:33">
      <c r="A175" s="705"/>
      <c r="B175" s="714" t="s">
        <v>100</v>
      </c>
      <c r="C175" s="757"/>
      <c r="D175" s="705"/>
      <c r="E175" s="757"/>
      <c r="F175" s="757"/>
      <c r="G175" s="757"/>
      <c r="H175" s="757"/>
      <c r="I175" s="757"/>
      <c r="J175" s="757"/>
      <c r="K175" s="757"/>
      <c r="L175" s="757"/>
      <c r="M175" s="757"/>
      <c r="N175" s="759"/>
      <c r="O175" s="759"/>
      <c r="P175" s="759"/>
      <c r="Q175" s="759"/>
      <c r="R175" s="759"/>
      <c r="S175" s="759"/>
      <c r="T175" s="759"/>
      <c r="U175" s="759"/>
      <c r="V175" s="762"/>
      <c r="W175" s="762"/>
      <c r="X175" s="762"/>
      <c r="Y175" s="762"/>
      <c r="Z175" s="762"/>
      <c r="AA175" s="757"/>
      <c r="AB175" s="757"/>
      <c r="AC175" s="757"/>
      <c r="AD175" s="757"/>
      <c r="AE175" s="757"/>
      <c r="AF175" s="757"/>
      <c r="AG175" s="757"/>
    </row>
    <row r="176" ht="24.95" customHeight="1" spans="1:33">
      <c r="A176" s="705"/>
      <c r="B176" s="714" t="s">
        <v>84</v>
      </c>
      <c r="C176" s="757"/>
      <c r="D176" s="705"/>
      <c r="E176" s="757"/>
      <c r="F176" s="757"/>
      <c r="G176" s="757"/>
      <c r="H176" s="757"/>
      <c r="I176" s="757"/>
      <c r="J176" s="757"/>
      <c r="K176" s="757"/>
      <c r="L176" s="757"/>
      <c r="M176" s="757"/>
      <c r="N176" s="759"/>
      <c r="O176" s="759"/>
      <c r="P176" s="759"/>
      <c r="Q176" s="759"/>
      <c r="R176" s="759"/>
      <c r="S176" s="759"/>
      <c r="T176" s="759"/>
      <c r="U176" s="759"/>
      <c r="V176" s="762"/>
      <c r="W176" s="762"/>
      <c r="X176" s="762"/>
      <c r="Y176" s="762"/>
      <c r="Z176" s="762"/>
      <c r="AA176" s="757"/>
      <c r="AB176" s="757"/>
      <c r="AC176" s="757"/>
      <c r="AD176" s="757"/>
      <c r="AE176" s="757"/>
      <c r="AF176" s="757"/>
      <c r="AG176" s="757"/>
    </row>
    <row r="177" ht="24.95" customHeight="1" spans="1:33">
      <c r="A177" s="705"/>
      <c r="B177" s="714" t="s">
        <v>143</v>
      </c>
      <c r="C177" s="757"/>
      <c r="D177" s="705"/>
      <c r="E177" s="757"/>
      <c r="F177" s="757"/>
      <c r="G177" s="757"/>
      <c r="H177" s="757"/>
      <c r="I177" s="757"/>
      <c r="J177" s="757"/>
      <c r="K177" s="757"/>
      <c r="L177" s="757"/>
      <c r="M177" s="757"/>
      <c r="N177" s="759"/>
      <c r="O177" s="759"/>
      <c r="P177" s="759"/>
      <c r="Q177" s="759"/>
      <c r="R177" s="759"/>
      <c r="S177" s="759"/>
      <c r="T177" s="759"/>
      <c r="U177" s="759"/>
      <c r="V177" s="762"/>
      <c r="W177" s="762"/>
      <c r="X177" s="762"/>
      <c r="Y177" s="762"/>
      <c r="Z177" s="762"/>
      <c r="AA177" s="757"/>
      <c r="AB177" s="757"/>
      <c r="AC177" s="757"/>
      <c r="AD177" s="757"/>
      <c r="AE177" s="757"/>
      <c r="AF177" s="757"/>
      <c r="AG177" s="757"/>
    </row>
    <row r="178" ht="24.95" customHeight="1" spans="1:33">
      <c r="A178" s="705">
        <v>22</v>
      </c>
      <c r="B178" s="757" t="s">
        <v>223</v>
      </c>
      <c r="C178" s="757"/>
      <c r="D178" s="705"/>
      <c r="E178" s="757"/>
      <c r="F178" s="757"/>
      <c r="G178" s="757"/>
      <c r="H178" s="757"/>
      <c r="I178" s="757"/>
      <c r="J178" s="757"/>
      <c r="K178" s="757"/>
      <c r="L178" s="757"/>
      <c r="M178" s="757"/>
      <c r="N178" s="759"/>
      <c r="O178" s="759"/>
      <c r="P178" s="759"/>
      <c r="Q178" s="759"/>
      <c r="R178" s="759"/>
      <c r="S178" s="759"/>
      <c r="T178" s="759"/>
      <c r="U178" s="759"/>
      <c r="V178" s="759"/>
      <c r="W178" s="759"/>
      <c r="X178" s="759"/>
      <c r="Y178" s="759"/>
      <c r="Z178" s="759"/>
      <c r="AA178" s="757"/>
      <c r="AB178" s="757"/>
      <c r="AC178" s="757"/>
      <c r="AD178" s="757"/>
      <c r="AE178" s="757"/>
      <c r="AF178" s="757" t="s">
        <v>160</v>
      </c>
      <c r="AG178" s="757" t="s">
        <v>41</v>
      </c>
    </row>
    <row r="179" ht="24.95" customHeight="1" spans="1:33">
      <c r="A179" s="705" t="s">
        <v>48</v>
      </c>
      <c r="B179" s="757" t="s">
        <v>148</v>
      </c>
      <c r="C179" s="757"/>
      <c r="D179" s="705"/>
      <c r="E179" s="757"/>
      <c r="F179" s="757"/>
      <c r="G179" s="757"/>
      <c r="H179" s="757"/>
      <c r="I179" s="757"/>
      <c r="J179" s="757"/>
      <c r="K179" s="757"/>
      <c r="L179" s="757"/>
      <c r="M179" s="757"/>
      <c r="N179" s="759"/>
      <c r="O179" s="759"/>
      <c r="P179" s="759"/>
      <c r="Q179" s="759"/>
      <c r="R179" s="759"/>
      <c r="S179" s="759"/>
      <c r="T179" s="759"/>
      <c r="U179" s="759"/>
      <c r="V179" s="759"/>
      <c r="W179" s="759"/>
      <c r="X179" s="759"/>
      <c r="Y179" s="759"/>
      <c r="Z179" s="759"/>
      <c r="AA179" s="757"/>
      <c r="AB179" s="757"/>
      <c r="AC179" s="757"/>
      <c r="AD179" s="757"/>
      <c r="AE179" s="757"/>
      <c r="AF179" s="757"/>
      <c r="AG179" s="757"/>
    </row>
    <row r="180" ht="44.25" customHeight="1" spans="1:33">
      <c r="A180" s="705">
        <v>23</v>
      </c>
      <c r="B180" s="757" t="s">
        <v>224</v>
      </c>
      <c r="C180" s="757"/>
      <c r="D180" s="705" t="s">
        <v>150</v>
      </c>
      <c r="E180" s="757"/>
      <c r="F180" s="757"/>
      <c r="G180" s="757"/>
      <c r="H180" s="757"/>
      <c r="I180" s="757"/>
      <c r="J180" s="757"/>
      <c r="K180" s="757"/>
      <c r="L180" s="757"/>
      <c r="M180" s="757"/>
      <c r="N180" s="759"/>
      <c r="O180" s="759"/>
      <c r="P180" s="759"/>
      <c r="Q180" s="759"/>
      <c r="R180" s="759"/>
      <c r="S180" s="759"/>
      <c r="T180" s="759"/>
      <c r="U180" s="759"/>
      <c r="V180" s="759"/>
      <c r="W180" s="759"/>
      <c r="X180" s="759"/>
      <c r="Y180" s="759"/>
      <c r="Z180" s="759"/>
      <c r="AA180" s="757"/>
      <c r="AB180" s="757"/>
      <c r="AC180" s="757"/>
      <c r="AD180" s="765"/>
      <c r="AE180" s="757"/>
      <c r="AF180" s="757" t="s">
        <v>43</v>
      </c>
      <c r="AG180" s="757" t="s">
        <v>41</v>
      </c>
    </row>
    <row r="181" ht="24.95" customHeight="1" spans="1:33">
      <c r="A181" s="705" t="s">
        <v>48</v>
      </c>
      <c r="B181" s="757" t="s">
        <v>148</v>
      </c>
      <c r="C181" s="757"/>
      <c r="D181" s="705"/>
      <c r="E181" s="757"/>
      <c r="F181" s="757"/>
      <c r="G181" s="757"/>
      <c r="H181" s="757"/>
      <c r="I181" s="757"/>
      <c r="J181" s="757"/>
      <c r="K181" s="757"/>
      <c r="L181" s="757"/>
      <c r="M181" s="757"/>
      <c r="N181" s="757"/>
      <c r="O181" s="757"/>
      <c r="P181" s="757"/>
      <c r="Q181" s="757"/>
      <c r="R181" s="757"/>
      <c r="S181" s="757"/>
      <c r="T181" s="757"/>
      <c r="U181" s="757"/>
      <c r="V181" s="757"/>
      <c r="W181" s="757"/>
      <c r="X181" s="757"/>
      <c r="Y181" s="757"/>
      <c r="Z181" s="757"/>
      <c r="AA181" s="757"/>
      <c r="AB181" s="757"/>
      <c r="AC181" s="757"/>
      <c r="AD181" s="757"/>
      <c r="AE181" s="757"/>
      <c r="AF181" s="757"/>
      <c r="AG181" s="757"/>
    </row>
    <row r="182" ht="24.95" customHeight="1" spans="1:33">
      <c r="A182" s="705">
        <v>24</v>
      </c>
      <c r="B182" s="757" t="s">
        <v>225</v>
      </c>
      <c r="C182" s="757"/>
      <c r="D182" s="705" t="s">
        <v>150</v>
      </c>
      <c r="E182" s="757"/>
      <c r="F182" s="757"/>
      <c r="G182" s="757"/>
      <c r="H182" s="757"/>
      <c r="I182" s="757"/>
      <c r="J182" s="757"/>
      <c r="K182" s="757"/>
      <c r="L182" s="757"/>
      <c r="M182" s="757"/>
      <c r="N182" s="759"/>
      <c r="O182" s="759"/>
      <c r="P182" s="759"/>
      <c r="Q182" s="759"/>
      <c r="R182" s="759"/>
      <c r="S182" s="759"/>
      <c r="T182" s="759"/>
      <c r="U182" s="759"/>
      <c r="V182" s="759"/>
      <c r="W182" s="759"/>
      <c r="X182" s="759"/>
      <c r="Y182" s="759"/>
      <c r="Z182" s="759"/>
      <c r="AA182" s="757"/>
      <c r="AB182" s="757"/>
      <c r="AC182" s="757"/>
      <c r="AD182" s="765"/>
      <c r="AE182" s="757"/>
      <c r="AF182" s="757" t="s">
        <v>43</v>
      </c>
      <c r="AG182" s="757" t="s">
        <v>41</v>
      </c>
    </row>
    <row r="183" ht="24.95" customHeight="1" spans="1:33">
      <c r="A183" s="705" t="s">
        <v>48</v>
      </c>
      <c r="B183" s="757" t="s">
        <v>148</v>
      </c>
      <c r="C183" s="757"/>
      <c r="D183" s="705"/>
      <c r="E183" s="757"/>
      <c r="F183" s="757"/>
      <c r="G183" s="757"/>
      <c r="H183" s="757"/>
      <c r="I183" s="757"/>
      <c r="J183" s="757"/>
      <c r="K183" s="757"/>
      <c r="L183" s="757"/>
      <c r="M183" s="757"/>
      <c r="N183" s="759"/>
      <c r="O183" s="759"/>
      <c r="P183" s="759"/>
      <c r="Q183" s="759"/>
      <c r="R183" s="759"/>
      <c r="S183" s="759"/>
      <c r="T183" s="759"/>
      <c r="U183" s="759"/>
      <c r="V183" s="757"/>
      <c r="W183" s="757"/>
      <c r="X183" s="757"/>
      <c r="Y183" s="757"/>
      <c r="Z183" s="757"/>
      <c r="AA183" s="757"/>
      <c r="AB183" s="757"/>
      <c r="AC183" s="757"/>
      <c r="AD183" s="757"/>
      <c r="AE183" s="757"/>
      <c r="AF183" s="757"/>
      <c r="AG183" s="757"/>
    </row>
    <row r="184" ht="29.1" customHeight="1" spans="1:33">
      <c r="A184" s="705">
        <v>25</v>
      </c>
      <c r="B184" s="757" t="s">
        <v>226</v>
      </c>
      <c r="C184" s="757"/>
      <c r="D184" s="705" t="s">
        <v>202</v>
      </c>
      <c r="E184" s="757"/>
      <c r="F184" s="757"/>
      <c r="G184" s="757"/>
      <c r="H184" s="757"/>
      <c r="I184" s="757"/>
      <c r="J184" s="757"/>
      <c r="K184" s="757"/>
      <c r="L184" s="757"/>
      <c r="M184" s="757"/>
      <c r="N184" s="759"/>
      <c r="O184" s="759"/>
      <c r="P184" s="759"/>
      <c r="Q184" s="759"/>
      <c r="R184" s="759"/>
      <c r="S184" s="759"/>
      <c r="T184" s="759"/>
      <c r="U184" s="759"/>
      <c r="V184" s="759"/>
      <c r="W184" s="759"/>
      <c r="X184" s="759"/>
      <c r="Y184" s="759"/>
      <c r="Z184" s="759"/>
      <c r="AA184" s="757"/>
      <c r="AB184" s="757"/>
      <c r="AC184" s="757"/>
      <c r="AD184" s="757"/>
      <c r="AE184" s="757"/>
      <c r="AF184" s="757"/>
      <c r="AG184" s="757" t="s">
        <v>41</v>
      </c>
    </row>
    <row r="185" ht="24.95" customHeight="1" spans="1:33">
      <c r="A185" s="705" t="s">
        <v>48</v>
      </c>
      <c r="B185" s="757" t="s">
        <v>148</v>
      </c>
      <c r="C185" s="757"/>
      <c r="D185" s="705"/>
      <c r="E185" s="757"/>
      <c r="F185" s="757"/>
      <c r="G185" s="757"/>
      <c r="H185" s="757"/>
      <c r="I185" s="757"/>
      <c r="J185" s="757"/>
      <c r="K185" s="757"/>
      <c r="L185" s="757"/>
      <c r="M185" s="757"/>
      <c r="N185" s="759"/>
      <c r="O185" s="759"/>
      <c r="P185" s="759"/>
      <c r="Q185" s="759"/>
      <c r="R185" s="759"/>
      <c r="S185" s="759"/>
      <c r="T185" s="759"/>
      <c r="U185" s="759"/>
      <c r="V185" s="757"/>
      <c r="W185" s="757"/>
      <c r="X185" s="757"/>
      <c r="Y185" s="757"/>
      <c r="Z185" s="757"/>
      <c r="AA185" s="757"/>
      <c r="AB185" s="757"/>
      <c r="AC185" s="757"/>
      <c r="AD185" s="757"/>
      <c r="AE185" s="757"/>
      <c r="AF185" s="757"/>
      <c r="AG185" s="757"/>
    </row>
    <row r="186" s="570" customFormat="1" ht="24.95" customHeight="1" spans="1:33">
      <c r="A186" s="705"/>
      <c r="B186" s="757" t="s">
        <v>227</v>
      </c>
      <c r="C186" s="757"/>
      <c r="D186" s="705"/>
      <c r="E186" s="757"/>
      <c r="F186" s="757"/>
      <c r="G186" s="757"/>
      <c r="H186" s="757"/>
      <c r="I186" s="757"/>
      <c r="J186" s="757"/>
      <c r="K186" s="757"/>
      <c r="L186" s="757"/>
      <c r="M186" s="757"/>
      <c r="N186" s="759"/>
      <c r="O186" s="759"/>
      <c r="P186" s="759"/>
      <c r="Q186" s="759"/>
      <c r="R186" s="759"/>
      <c r="S186" s="759"/>
      <c r="T186" s="759"/>
      <c r="U186" s="759"/>
      <c r="V186" s="757"/>
      <c r="W186" s="757"/>
      <c r="X186" s="757"/>
      <c r="Y186" s="757"/>
      <c r="Z186" s="757"/>
      <c r="AA186" s="757"/>
      <c r="AB186" s="757"/>
      <c r="AC186" s="757"/>
      <c r="AD186" s="757"/>
      <c r="AE186" s="757"/>
      <c r="AF186" s="757"/>
      <c r="AG186" s="757"/>
    </row>
    <row r="187" s="570" customFormat="1" ht="24.95" customHeight="1" spans="1:33">
      <c r="A187" s="705"/>
      <c r="B187" s="757" t="s">
        <v>228</v>
      </c>
      <c r="C187" s="146" t="s">
        <v>52</v>
      </c>
      <c r="D187" s="705" t="s">
        <v>150</v>
      </c>
      <c r="E187" s="757"/>
      <c r="F187" s="757"/>
      <c r="G187" s="757"/>
      <c r="H187" s="757"/>
      <c r="I187" s="757"/>
      <c r="J187" s="757"/>
      <c r="K187" s="757"/>
      <c r="L187" s="757"/>
      <c r="M187" s="757"/>
      <c r="N187" s="759"/>
      <c r="O187" s="759"/>
      <c r="P187" s="759"/>
      <c r="Q187" s="759"/>
      <c r="R187" s="759"/>
      <c r="S187" s="759"/>
      <c r="T187" s="759"/>
      <c r="U187" s="759"/>
      <c r="V187" s="757"/>
      <c r="W187" s="757"/>
      <c r="X187" s="757"/>
      <c r="Y187" s="766"/>
      <c r="Z187" s="766"/>
      <c r="AA187" s="757"/>
      <c r="AB187" s="757"/>
      <c r="AC187" s="757"/>
      <c r="AD187" s="141"/>
      <c r="AE187" s="146"/>
      <c r="AF187" s="438"/>
      <c r="AG187" s="757"/>
    </row>
    <row r="188" s="570" customFormat="1" ht="24.95" customHeight="1" spans="1:33">
      <c r="A188" s="705"/>
      <c r="B188" s="758" t="s">
        <v>55</v>
      </c>
      <c r="C188" s="146" t="s">
        <v>52</v>
      </c>
      <c r="D188" s="705" t="s">
        <v>150</v>
      </c>
      <c r="E188" s="757"/>
      <c r="F188" s="757"/>
      <c r="G188" s="757"/>
      <c r="H188" s="757"/>
      <c r="I188" s="757"/>
      <c r="J188" s="757"/>
      <c r="K188" s="757"/>
      <c r="L188" s="757"/>
      <c r="M188" s="757"/>
      <c r="N188" s="760"/>
      <c r="O188" s="759"/>
      <c r="P188" s="760"/>
      <c r="Q188" s="759"/>
      <c r="R188" s="759"/>
      <c r="S188" s="760"/>
      <c r="T188" s="759"/>
      <c r="U188" s="759"/>
      <c r="V188" s="757"/>
      <c r="W188" s="757"/>
      <c r="X188" s="757"/>
      <c r="Y188" s="766"/>
      <c r="Z188" s="766"/>
      <c r="AA188" s="757"/>
      <c r="AB188" s="757"/>
      <c r="AC188" s="757"/>
      <c r="AD188" s="146"/>
      <c r="AE188" s="146"/>
      <c r="AF188" s="146"/>
      <c r="AG188" s="757"/>
    </row>
    <row r="189" s="570" customFormat="1" ht="24.95" customHeight="1" spans="1:33">
      <c r="A189" s="705"/>
      <c r="B189" s="758" t="s">
        <v>69</v>
      </c>
      <c r="C189" s="146" t="s">
        <v>52</v>
      </c>
      <c r="D189" s="705" t="s">
        <v>150</v>
      </c>
      <c r="E189" s="757"/>
      <c r="F189" s="757"/>
      <c r="G189" s="757"/>
      <c r="H189" s="757"/>
      <c r="I189" s="757"/>
      <c r="J189" s="757"/>
      <c r="K189" s="757"/>
      <c r="L189" s="757"/>
      <c r="M189" s="757"/>
      <c r="N189" s="760"/>
      <c r="O189" s="759"/>
      <c r="P189" s="760"/>
      <c r="Q189" s="759"/>
      <c r="R189" s="759"/>
      <c r="S189" s="760"/>
      <c r="T189" s="759"/>
      <c r="U189" s="759"/>
      <c r="V189" s="757"/>
      <c r="W189" s="757"/>
      <c r="X189" s="757"/>
      <c r="Y189" s="766"/>
      <c r="Z189" s="766"/>
      <c r="AA189" s="757"/>
      <c r="AB189" s="757"/>
      <c r="AC189" s="757"/>
      <c r="AD189" s="146"/>
      <c r="AE189" s="146"/>
      <c r="AF189" s="146"/>
      <c r="AG189" s="757"/>
    </row>
    <row r="190" s="570" customFormat="1" ht="24.95" customHeight="1" spans="1:33">
      <c r="A190" s="705"/>
      <c r="B190" s="758" t="s">
        <v>75</v>
      </c>
      <c r="C190" s="146" t="s">
        <v>52</v>
      </c>
      <c r="D190" s="705" t="s">
        <v>150</v>
      </c>
      <c r="E190" s="757"/>
      <c r="F190" s="757"/>
      <c r="G190" s="757"/>
      <c r="H190" s="757"/>
      <c r="I190" s="757"/>
      <c r="J190" s="757"/>
      <c r="K190" s="757"/>
      <c r="L190" s="757"/>
      <c r="M190" s="757"/>
      <c r="N190" s="760"/>
      <c r="O190" s="759"/>
      <c r="P190" s="760"/>
      <c r="Q190" s="759"/>
      <c r="R190" s="759"/>
      <c r="S190" s="760"/>
      <c r="T190" s="759"/>
      <c r="U190" s="759"/>
      <c r="V190" s="757"/>
      <c r="W190" s="757"/>
      <c r="X190" s="757"/>
      <c r="Y190" s="766"/>
      <c r="Z190" s="766"/>
      <c r="AA190" s="757"/>
      <c r="AB190" s="757"/>
      <c r="AC190" s="757"/>
      <c r="AD190" s="146"/>
      <c r="AE190" s="753"/>
      <c r="AF190" s="146"/>
      <c r="AG190" s="757"/>
    </row>
    <row r="191" s="570" customFormat="1" ht="24.95" customHeight="1" spans="1:33">
      <c r="A191" s="705"/>
      <c r="B191" s="758" t="s">
        <v>64</v>
      </c>
      <c r="C191" s="146" t="s">
        <v>52</v>
      </c>
      <c r="D191" s="705" t="s">
        <v>150</v>
      </c>
      <c r="E191" s="757"/>
      <c r="F191" s="757"/>
      <c r="G191" s="757"/>
      <c r="H191" s="757"/>
      <c r="I191" s="757"/>
      <c r="J191" s="757"/>
      <c r="K191" s="757"/>
      <c r="L191" s="757"/>
      <c r="M191" s="757"/>
      <c r="N191" s="760"/>
      <c r="O191" s="759"/>
      <c r="P191" s="760"/>
      <c r="Q191" s="759"/>
      <c r="R191" s="759"/>
      <c r="S191" s="760"/>
      <c r="T191" s="759"/>
      <c r="U191" s="759"/>
      <c r="V191" s="757"/>
      <c r="W191" s="757"/>
      <c r="X191" s="757"/>
      <c r="Y191" s="766"/>
      <c r="Z191" s="766"/>
      <c r="AA191" s="757"/>
      <c r="AB191" s="757"/>
      <c r="AC191" s="757"/>
      <c r="AD191" s="146"/>
      <c r="AE191" s="146"/>
      <c r="AF191" s="146"/>
      <c r="AG191" s="757"/>
    </row>
    <row r="192" s="570" customFormat="1" ht="34" customHeight="1" spans="1:33">
      <c r="A192" s="705"/>
      <c r="B192" s="758" t="s">
        <v>229</v>
      </c>
      <c r="C192" s="146" t="s">
        <v>52</v>
      </c>
      <c r="D192" s="705" t="s">
        <v>150</v>
      </c>
      <c r="E192" s="757"/>
      <c r="F192" s="757"/>
      <c r="G192" s="757"/>
      <c r="H192" s="757"/>
      <c r="I192" s="757"/>
      <c r="J192" s="757"/>
      <c r="K192" s="757"/>
      <c r="L192" s="757"/>
      <c r="M192" s="757"/>
      <c r="N192" s="760"/>
      <c r="O192" s="759"/>
      <c r="P192" s="760"/>
      <c r="Q192" s="759"/>
      <c r="R192" s="759"/>
      <c r="S192" s="760"/>
      <c r="T192" s="759"/>
      <c r="U192" s="759"/>
      <c r="V192" s="757"/>
      <c r="W192" s="757"/>
      <c r="X192" s="757"/>
      <c r="Y192" s="766"/>
      <c r="Z192" s="766"/>
      <c r="AA192" s="757"/>
      <c r="AB192" s="757"/>
      <c r="AC192" s="757"/>
      <c r="AD192" s="146"/>
      <c r="AE192" s="146"/>
      <c r="AF192" s="146"/>
      <c r="AG192" s="757"/>
    </row>
    <row r="193" s="570" customFormat="1" ht="24.95" customHeight="1" spans="1:33">
      <c r="A193" s="705"/>
      <c r="B193" s="767" t="s">
        <v>58</v>
      </c>
      <c r="C193" s="146" t="s">
        <v>52</v>
      </c>
      <c r="D193" s="705" t="s">
        <v>150</v>
      </c>
      <c r="E193" s="757"/>
      <c r="F193" s="757"/>
      <c r="G193" s="757"/>
      <c r="H193" s="757"/>
      <c r="I193" s="757"/>
      <c r="J193" s="757"/>
      <c r="K193" s="757"/>
      <c r="L193" s="92"/>
      <c r="M193" s="92"/>
      <c r="N193" s="760"/>
      <c r="O193" s="759"/>
      <c r="P193" s="760"/>
      <c r="Q193" s="759"/>
      <c r="R193" s="759"/>
      <c r="S193" s="760"/>
      <c r="T193" s="759"/>
      <c r="U193" s="759"/>
      <c r="V193" s="757"/>
      <c r="W193" s="757"/>
      <c r="X193" s="757"/>
      <c r="Y193" s="766"/>
      <c r="Z193" s="766"/>
      <c r="AA193" s="757"/>
      <c r="AB193" s="757"/>
      <c r="AC193" s="757"/>
      <c r="AD193" s="744"/>
      <c r="AE193" s="744"/>
      <c r="AF193" s="438"/>
      <c r="AG193" s="757"/>
    </row>
    <row r="194" s="570" customFormat="1" ht="24.95" customHeight="1" spans="1:33">
      <c r="A194" s="705"/>
      <c r="B194" s="767" t="s">
        <v>64</v>
      </c>
      <c r="C194" s="146" t="s">
        <v>52</v>
      </c>
      <c r="D194" s="705" t="s">
        <v>150</v>
      </c>
      <c r="E194" s="757"/>
      <c r="F194" s="757"/>
      <c r="G194" s="757"/>
      <c r="H194" s="757"/>
      <c r="I194" s="757"/>
      <c r="J194" s="757"/>
      <c r="K194" s="757"/>
      <c r="L194" s="92"/>
      <c r="M194" s="92"/>
      <c r="N194" s="760"/>
      <c r="O194" s="759"/>
      <c r="P194" s="760"/>
      <c r="Q194" s="759"/>
      <c r="R194" s="759"/>
      <c r="S194" s="760"/>
      <c r="T194" s="759"/>
      <c r="U194" s="759"/>
      <c r="V194" s="757"/>
      <c r="W194" s="757"/>
      <c r="X194" s="757"/>
      <c r="Y194" s="766"/>
      <c r="Z194" s="766"/>
      <c r="AA194" s="757"/>
      <c r="AB194" s="757"/>
      <c r="AC194" s="757"/>
      <c r="AD194" s="146"/>
      <c r="AE194" s="146"/>
      <c r="AF194" s="438"/>
      <c r="AG194" s="757"/>
    </row>
    <row r="195" s="570" customFormat="1" ht="24.95" customHeight="1" spans="1:33">
      <c r="A195" s="705"/>
      <c r="B195" s="767" t="s">
        <v>75</v>
      </c>
      <c r="C195" s="146" t="s">
        <v>52</v>
      </c>
      <c r="D195" s="705" t="s">
        <v>150</v>
      </c>
      <c r="E195" s="757"/>
      <c r="F195" s="757"/>
      <c r="G195" s="757"/>
      <c r="H195" s="757"/>
      <c r="I195" s="757"/>
      <c r="J195" s="757"/>
      <c r="K195" s="757"/>
      <c r="L195" s="92"/>
      <c r="M195" s="92"/>
      <c r="N195" s="760"/>
      <c r="O195" s="759"/>
      <c r="P195" s="760"/>
      <c r="Q195" s="759"/>
      <c r="R195" s="759"/>
      <c r="S195" s="760"/>
      <c r="T195" s="759"/>
      <c r="U195" s="759"/>
      <c r="V195" s="757"/>
      <c r="W195" s="757"/>
      <c r="X195" s="757"/>
      <c r="Y195" s="766"/>
      <c r="Z195" s="766"/>
      <c r="AA195" s="757"/>
      <c r="AB195" s="757"/>
      <c r="AC195" s="757"/>
      <c r="AD195" s="146"/>
      <c r="AE195" s="146"/>
      <c r="AF195" s="438"/>
      <c r="AG195" s="757"/>
    </row>
    <row r="196" s="570" customFormat="1" ht="24.95" customHeight="1" spans="1:33">
      <c r="A196" s="705"/>
      <c r="B196" s="767" t="s">
        <v>91</v>
      </c>
      <c r="C196" s="146" t="s">
        <v>52</v>
      </c>
      <c r="D196" s="705" t="s">
        <v>150</v>
      </c>
      <c r="E196" s="757"/>
      <c r="F196" s="757"/>
      <c r="G196" s="757"/>
      <c r="H196" s="757"/>
      <c r="I196" s="757"/>
      <c r="J196" s="757"/>
      <c r="K196" s="757"/>
      <c r="L196" s="92"/>
      <c r="M196" s="92"/>
      <c r="N196" s="760"/>
      <c r="O196" s="759"/>
      <c r="P196" s="760"/>
      <c r="Q196" s="759"/>
      <c r="R196" s="759"/>
      <c r="S196" s="760"/>
      <c r="T196" s="759"/>
      <c r="U196" s="759"/>
      <c r="V196" s="757"/>
      <c r="W196" s="757"/>
      <c r="X196" s="757"/>
      <c r="Y196" s="766"/>
      <c r="Z196" s="766"/>
      <c r="AA196" s="757"/>
      <c r="AB196" s="757"/>
      <c r="AC196" s="757"/>
      <c r="AD196" s="146"/>
      <c r="AE196" s="146"/>
      <c r="AF196" s="438"/>
      <c r="AG196" s="757"/>
    </row>
    <row r="197" s="570" customFormat="1" ht="34" customHeight="1" spans="1:33">
      <c r="A197" s="705"/>
      <c r="B197" s="768" t="s">
        <v>230</v>
      </c>
      <c r="C197" s="146" t="s">
        <v>52</v>
      </c>
      <c r="D197" s="705" t="s">
        <v>150</v>
      </c>
      <c r="E197" s="757"/>
      <c r="F197" s="757"/>
      <c r="G197" s="757"/>
      <c r="H197" s="757"/>
      <c r="I197" s="757"/>
      <c r="J197" s="757"/>
      <c r="K197" s="757"/>
      <c r="L197" s="757"/>
      <c r="M197" s="757"/>
      <c r="N197" s="760"/>
      <c r="O197" s="760"/>
      <c r="P197" s="760"/>
      <c r="Q197" s="760"/>
      <c r="R197" s="760"/>
      <c r="S197" s="760"/>
      <c r="T197" s="760"/>
      <c r="U197" s="760"/>
      <c r="V197" s="760"/>
      <c r="W197" s="760"/>
      <c r="X197" s="766"/>
      <c r="Y197" s="766"/>
      <c r="Z197" s="766"/>
      <c r="AA197" s="757"/>
      <c r="AB197" s="757"/>
      <c r="AC197" s="757"/>
      <c r="AD197" s="146"/>
      <c r="AE197" s="146"/>
      <c r="AF197" s="146"/>
      <c r="AG197" s="757"/>
    </row>
    <row r="198" s="570" customFormat="1" ht="24.95" customHeight="1" spans="1:33">
      <c r="A198" s="705"/>
      <c r="B198" s="758" t="s">
        <v>75</v>
      </c>
      <c r="C198" s="146" t="s">
        <v>52</v>
      </c>
      <c r="D198" s="705" t="s">
        <v>150</v>
      </c>
      <c r="E198" s="757"/>
      <c r="F198" s="757"/>
      <c r="G198" s="757"/>
      <c r="H198" s="757"/>
      <c r="I198" s="757"/>
      <c r="J198" s="757"/>
      <c r="K198" s="757"/>
      <c r="L198" s="92"/>
      <c r="M198" s="92"/>
      <c r="N198" s="760"/>
      <c r="O198" s="759"/>
      <c r="P198" s="760"/>
      <c r="Q198" s="759"/>
      <c r="R198" s="759"/>
      <c r="S198" s="760"/>
      <c r="T198" s="759"/>
      <c r="U198" s="759"/>
      <c r="V198" s="757"/>
      <c r="W198" s="757"/>
      <c r="X198" s="92"/>
      <c r="Y198" s="766"/>
      <c r="Z198" s="766"/>
      <c r="AA198" s="757"/>
      <c r="AB198" s="757"/>
      <c r="AC198" s="757"/>
      <c r="AD198" s="146"/>
      <c r="AE198" s="146"/>
      <c r="AF198" s="438"/>
      <c r="AG198" s="757"/>
    </row>
    <row r="199" s="570" customFormat="1" ht="24.95" customHeight="1" spans="1:33">
      <c r="A199" s="705"/>
      <c r="B199" s="758" t="s">
        <v>64</v>
      </c>
      <c r="C199" s="146" t="s">
        <v>52</v>
      </c>
      <c r="D199" s="705" t="s">
        <v>150</v>
      </c>
      <c r="E199" s="757"/>
      <c r="F199" s="757"/>
      <c r="G199" s="757"/>
      <c r="H199" s="757"/>
      <c r="I199" s="757"/>
      <c r="J199" s="757"/>
      <c r="K199" s="757"/>
      <c r="L199" s="92"/>
      <c r="M199" s="92"/>
      <c r="N199" s="760"/>
      <c r="O199" s="759"/>
      <c r="P199" s="760"/>
      <c r="Q199" s="759"/>
      <c r="R199" s="759"/>
      <c r="S199" s="760"/>
      <c r="T199" s="759"/>
      <c r="U199" s="759"/>
      <c r="V199" s="757"/>
      <c r="W199" s="757"/>
      <c r="X199" s="92"/>
      <c r="Y199" s="766"/>
      <c r="Z199" s="766"/>
      <c r="AA199" s="757"/>
      <c r="AB199" s="757"/>
      <c r="AC199" s="757"/>
      <c r="AD199" s="146"/>
      <c r="AE199" s="146"/>
      <c r="AF199" s="438"/>
      <c r="AG199" s="757"/>
    </row>
    <row r="200" s="570" customFormat="1" ht="24.95" customHeight="1" spans="1:33">
      <c r="A200" s="705"/>
      <c r="B200" s="758" t="s">
        <v>231</v>
      </c>
      <c r="C200" s="146" t="s">
        <v>52</v>
      </c>
      <c r="D200" s="705" t="s">
        <v>150</v>
      </c>
      <c r="E200" s="757"/>
      <c r="F200" s="757"/>
      <c r="G200" s="769"/>
      <c r="H200" s="757"/>
      <c r="I200" s="757"/>
      <c r="J200" s="757"/>
      <c r="K200" s="757"/>
      <c r="L200" s="757"/>
      <c r="M200" s="757"/>
      <c r="N200" s="760"/>
      <c r="O200" s="760"/>
      <c r="P200" s="760"/>
      <c r="Q200" s="760"/>
      <c r="R200" s="760"/>
      <c r="S200" s="760"/>
      <c r="T200" s="760"/>
      <c r="U200" s="760"/>
      <c r="V200" s="760"/>
      <c r="W200" s="760"/>
      <c r="X200" s="757"/>
      <c r="Y200" s="766"/>
      <c r="Z200" s="766"/>
      <c r="AA200" s="757"/>
      <c r="AB200" s="757"/>
      <c r="AC200" s="757"/>
      <c r="AD200" s="146"/>
      <c r="AE200" s="146"/>
      <c r="AF200" s="146"/>
      <c r="AG200" s="757"/>
    </row>
    <row r="201" s="570" customFormat="1" ht="48" customHeight="1" spans="1:33">
      <c r="A201" s="705"/>
      <c r="B201" s="769" t="s">
        <v>91</v>
      </c>
      <c r="C201" s="146" t="s">
        <v>52</v>
      </c>
      <c r="D201" s="705" t="s">
        <v>150</v>
      </c>
      <c r="E201" s="757"/>
      <c r="F201" s="757"/>
      <c r="G201" s="757"/>
      <c r="H201" s="757"/>
      <c r="I201" s="757"/>
      <c r="J201" s="757"/>
      <c r="K201" s="757"/>
      <c r="L201" s="92"/>
      <c r="M201" s="92"/>
      <c r="N201" s="760"/>
      <c r="O201" s="759"/>
      <c r="P201" s="760"/>
      <c r="Q201" s="759"/>
      <c r="R201" s="759"/>
      <c r="S201" s="760"/>
      <c r="T201" s="759"/>
      <c r="U201" s="759"/>
      <c r="V201" s="757"/>
      <c r="W201" s="757"/>
      <c r="X201" s="757"/>
      <c r="Y201" s="766"/>
      <c r="Z201" s="766"/>
      <c r="AA201" s="757"/>
      <c r="AB201" s="757"/>
      <c r="AC201" s="757"/>
      <c r="AD201" s="146"/>
      <c r="AE201" s="146"/>
      <c r="AF201" s="438"/>
      <c r="AG201" s="757"/>
    </row>
    <row r="202" s="570" customFormat="1" ht="24.95" customHeight="1" spans="1:33">
      <c r="A202" s="705"/>
      <c r="B202" s="758" t="s">
        <v>64</v>
      </c>
      <c r="C202" s="146" t="s">
        <v>52</v>
      </c>
      <c r="D202" s="705" t="s">
        <v>150</v>
      </c>
      <c r="E202" s="757"/>
      <c r="F202" s="757"/>
      <c r="G202" s="757"/>
      <c r="H202" s="757"/>
      <c r="I202" s="757"/>
      <c r="J202" s="757"/>
      <c r="K202" s="757"/>
      <c r="L202" s="92"/>
      <c r="M202" s="92"/>
      <c r="N202" s="760"/>
      <c r="O202" s="759"/>
      <c r="P202" s="760"/>
      <c r="Q202" s="759"/>
      <c r="R202" s="759"/>
      <c r="S202" s="760"/>
      <c r="T202" s="759"/>
      <c r="U202" s="759"/>
      <c r="V202" s="757"/>
      <c r="W202" s="757"/>
      <c r="X202" s="757"/>
      <c r="Y202" s="766"/>
      <c r="Z202" s="766"/>
      <c r="AA202" s="757"/>
      <c r="AB202" s="757"/>
      <c r="AC202" s="757"/>
      <c r="AD202" s="146"/>
      <c r="AE202" s="146"/>
      <c r="AF202" s="438"/>
      <c r="AG202" s="757"/>
    </row>
    <row r="203" s="570" customFormat="1" ht="24.95" customHeight="1" spans="1:33">
      <c r="A203" s="705"/>
      <c r="B203" s="758" t="s">
        <v>55</v>
      </c>
      <c r="C203" s="146" t="s">
        <v>52</v>
      </c>
      <c r="D203" s="705" t="s">
        <v>150</v>
      </c>
      <c r="E203" s="757"/>
      <c r="F203" s="757"/>
      <c r="G203" s="757"/>
      <c r="H203" s="757"/>
      <c r="I203" s="757"/>
      <c r="J203" s="757"/>
      <c r="K203" s="757"/>
      <c r="L203" s="92"/>
      <c r="M203" s="92"/>
      <c r="N203" s="760"/>
      <c r="O203" s="759"/>
      <c r="P203" s="760"/>
      <c r="Q203" s="759"/>
      <c r="R203" s="759"/>
      <c r="S203" s="760"/>
      <c r="T203" s="759"/>
      <c r="U203" s="759"/>
      <c r="V203" s="757"/>
      <c r="W203" s="757"/>
      <c r="X203" s="757"/>
      <c r="Y203" s="766"/>
      <c r="Z203" s="766"/>
      <c r="AA203" s="757"/>
      <c r="AB203" s="757"/>
      <c r="AC203" s="757"/>
      <c r="AD203" s="141"/>
      <c r="AE203" s="146"/>
      <c r="AF203" s="438"/>
      <c r="AG203" s="757"/>
    </row>
    <row r="204" s="570" customFormat="1" ht="24.95" customHeight="1" spans="1:33">
      <c r="A204" s="705"/>
      <c r="B204" s="758" t="s">
        <v>232</v>
      </c>
      <c r="C204" s="146" t="s">
        <v>52</v>
      </c>
      <c r="D204" s="705" t="s">
        <v>150</v>
      </c>
      <c r="E204" s="757"/>
      <c r="F204" s="757"/>
      <c r="G204" s="757"/>
      <c r="H204" s="757"/>
      <c r="I204" s="757"/>
      <c r="J204" s="757"/>
      <c r="K204" s="757"/>
      <c r="L204" s="757"/>
      <c r="M204" s="757"/>
      <c r="N204" s="759"/>
      <c r="O204" s="759"/>
      <c r="P204" s="759"/>
      <c r="Q204" s="759"/>
      <c r="R204" s="759"/>
      <c r="S204" s="759"/>
      <c r="T204" s="759"/>
      <c r="U204" s="759"/>
      <c r="V204" s="759"/>
      <c r="W204" s="759"/>
      <c r="X204" s="757"/>
      <c r="Y204" s="766"/>
      <c r="Z204" s="766"/>
      <c r="AA204" s="757"/>
      <c r="AB204" s="757"/>
      <c r="AC204" s="757"/>
      <c r="AD204" s="146"/>
      <c r="AE204" s="146"/>
      <c r="AF204" s="146"/>
      <c r="AG204" s="757"/>
    </row>
    <row r="205" s="570" customFormat="1" ht="24.95" customHeight="1" spans="1:33">
      <c r="A205" s="705"/>
      <c r="B205" s="758" t="s">
        <v>69</v>
      </c>
      <c r="C205" s="146" t="s">
        <v>52</v>
      </c>
      <c r="D205" s="705" t="s">
        <v>150</v>
      </c>
      <c r="E205" s="757"/>
      <c r="F205" s="757"/>
      <c r="G205" s="757"/>
      <c r="H205" s="757"/>
      <c r="I205" s="757"/>
      <c r="J205" s="757"/>
      <c r="K205" s="757"/>
      <c r="L205" s="92"/>
      <c r="M205" s="92"/>
      <c r="N205" s="760"/>
      <c r="O205" s="759"/>
      <c r="P205" s="760"/>
      <c r="Q205" s="759"/>
      <c r="R205" s="759"/>
      <c r="S205" s="760"/>
      <c r="T205" s="759"/>
      <c r="U205" s="759"/>
      <c r="V205" s="757"/>
      <c r="W205" s="757"/>
      <c r="X205" s="757"/>
      <c r="Y205" s="766"/>
      <c r="Z205" s="766"/>
      <c r="AA205" s="757"/>
      <c r="AB205" s="757"/>
      <c r="AC205" s="757"/>
      <c r="AD205" s="141"/>
      <c r="AE205" s="146"/>
      <c r="AF205" s="438"/>
      <c r="AG205" s="757"/>
    </row>
    <row r="206" s="570" customFormat="1" ht="24.95" customHeight="1" spans="1:33">
      <c r="A206" s="705"/>
      <c r="B206" s="767" t="s">
        <v>51</v>
      </c>
      <c r="C206" s="146" t="s">
        <v>52</v>
      </c>
      <c r="D206" s="705" t="s">
        <v>150</v>
      </c>
      <c r="E206" s="757"/>
      <c r="F206" s="757"/>
      <c r="G206" s="769"/>
      <c r="H206" s="757"/>
      <c r="I206" s="757"/>
      <c r="J206" s="757"/>
      <c r="K206" s="757"/>
      <c r="L206" s="92"/>
      <c r="M206" s="92"/>
      <c r="N206" s="760"/>
      <c r="O206" s="759"/>
      <c r="P206" s="760"/>
      <c r="Q206" s="759"/>
      <c r="R206" s="759"/>
      <c r="S206" s="760"/>
      <c r="T206" s="759"/>
      <c r="U206" s="759"/>
      <c r="V206" s="757"/>
      <c r="W206" s="757"/>
      <c r="X206" s="757"/>
      <c r="Y206" s="766"/>
      <c r="Z206" s="766"/>
      <c r="AA206" s="757"/>
      <c r="AB206" s="757"/>
      <c r="AC206" s="757"/>
      <c r="AD206" s="743"/>
      <c r="AE206" s="146"/>
      <c r="AF206" s="438"/>
      <c r="AG206" s="757"/>
    </row>
    <row r="207" s="570" customFormat="1" ht="25" customHeight="1" spans="1:33">
      <c r="A207" s="705"/>
      <c r="B207" s="767" t="s">
        <v>72</v>
      </c>
      <c r="C207" s="146" t="s">
        <v>52</v>
      </c>
      <c r="D207" s="705" t="s">
        <v>150</v>
      </c>
      <c r="E207" s="757"/>
      <c r="F207" s="757"/>
      <c r="G207" s="769"/>
      <c r="H207" s="757"/>
      <c r="I207" s="757"/>
      <c r="J207" s="757"/>
      <c r="K207" s="757"/>
      <c r="L207" s="92"/>
      <c r="M207" s="92"/>
      <c r="N207" s="760"/>
      <c r="O207" s="759"/>
      <c r="P207" s="760"/>
      <c r="Q207" s="759"/>
      <c r="R207" s="759"/>
      <c r="S207" s="760"/>
      <c r="T207" s="759"/>
      <c r="U207" s="759"/>
      <c r="V207" s="757"/>
      <c r="W207" s="757"/>
      <c r="X207" s="757"/>
      <c r="Y207" s="766"/>
      <c r="Z207" s="766"/>
      <c r="AA207" s="757"/>
      <c r="AB207" s="757"/>
      <c r="AC207" s="757"/>
      <c r="AD207" s="146"/>
      <c r="AE207" s="438"/>
      <c r="AF207" s="438"/>
      <c r="AG207" s="757"/>
    </row>
    <row r="208" s="570" customFormat="1" ht="24.95" customHeight="1" spans="1:33">
      <c r="A208" s="705"/>
      <c r="B208" s="767" t="s">
        <v>91</v>
      </c>
      <c r="C208" s="146" t="s">
        <v>52</v>
      </c>
      <c r="D208" s="705" t="s">
        <v>150</v>
      </c>
      <c r="E208" s="757"/>
      <c r="F208" s="757"/>
      <c r="G208" s="769"/>
      <c r="H208" s="757"/>
      <c r="I208" s="757"/>
      <c r="J208" s="757"/>
      <c r="K208" s="757"/>
      <c r="L208" s="92"/>
      <c r="M208" s="92"/>
      <c r="N208" s="760"/>
      <c r="O208" s="759"/>
      <c r="P208" s="760"/>
      <c r="Q208" s="759"/>
      <c r="R208" s="759"/>
      <c r="S208" s="760"/>
      <c r="T208" s="759"/>
      <c r="U208" s="759"/>
      <c r="V208" s="757"/>
      <c r="W208" s="757"/>
      <c r="X208" s="757"/>
      <c r="Y208" s="766"/>
      <c r="Z208" s="766"/>
      <c r="AA208" s="757"/>
      <c r="AB208" s="757"/>
      <c r="AC208" s="757"/>
      <c r="AD208" s="146"/>
      <c r="AE208" s="146"/>
      <c r="AF208" s="438"/>
      <c r="AG208" s="757"/>
    </row>
    <row r="209" s="570" customFormat="1" ht="24.95" customHeight="1" spans="1:33">
      <c r="A209" s="705"/>
      <c r="B209" s="767" t="s">
        <v>55</v>
      </c>
      <c r="C209" s="146" t="s">
        <v>52</v>
      </c>
      <c r="D209" s="705" t="s">
        <v>150</v>
      </c>
      <c r="E209" s="757"/>
      <c r="F209" s="757"/>
      <c r="G209" s="769"/>
      <c r="H209" s="757"/>
      <c r="I209" s="757"/>
      <c r="J209" s="757"/>
      <c r="K209" s="757"/>
      <c r="L209" s="92"/>
      <c r="M209" s="92"/>
      <c r="N209" s="760"/>
      <c r="O209" s="759"/>
      <c r="P209" s="760"/>
      <c r="Q209" s="759"/>
      <c r="R209" s="759"/>
      <c r="S209" s="760"/>
      <c r="T209" s="759"/>
      <c r="U209" s="759"/>
      <c r="V209" s="757"/>
      <c r="W209" s="757"/>
      <c r="X209" s="757"/>
      <c r="Y209" s="766"/>
      <c r="Z209" s="766"/>
      <c r="AA209" s="757"/>
      <c r="AB209" s="757"/>
      <c r="AC209" s="757"/>
      <c r="AD209" s="141"/>
      <c r="AE209" s="146"/>
      <c r="AF209" s="438"/>
      <c r="AG209" s="757"/>
    </row>
    <row r="210" s="570" customFormat="1" ht="24.95" customHeight="1" spans="1:33">
      <c r="A210" s="705"/>
      <c r="B210" s="767" t="s">
        <v>75</v>
      </c>
      <c r="C210" s="146" t="s">
        <v>52</v>
      </c>
      <c r="D210" s="705" t="s">
        <v>150</v>
      </c>
      <c r="E210" s="757"/>
      <c r="F210" s="757"/>
      <c r="G210" s="769"/>
      <c r="H210" s="757"/>
      <c r="I210" s="757"/>
      <c r="J210" s="757"/>
      <c r="K210" s="757"/>
      <c r="L210" s="92"/>
      <c r="M210" s="92"/>
      <c r="N210" s="760"/>
      <c r="O210" s="759"/>
      <c r="P210" s="760"/>
      <c r="Q210" s="759"/>
      <c r="R210" s="759"/>
      <c r="S210" s="760"/>
      <c r="T210" s="759"/>
      <c r="U210" s="759"/>
      <c r="V210" s="757"/>
      <c r="W210" s="757"/>
      <c r="X210" s="757"/>
      <c r="Y210" s="766"/>
      <c r="Z210" s="766"/>
      <c r="AA210" s="757"/>
      <c r="AB210" s="757"/>
      <c r="AC210" s="757"/>
      <c r="AD210" s="146"/>
      <c r="AE210" s="146"/>
      <c r="AF210" s="438"/>
      <c r="AG210" s="757"/>
    </row>
    <row r="211" s="570" customFormat="1" ht="37" customHeight="1" spans="1:33">
      <c r="A211" s="705"/>
      <c r="B211" s="767" t="s">
        <v>58</v>
      </c>
      <c r="C211" s="146" t="s">
        <v>52</v>
      </c>
      <c r="D211" s="705" t="s">
        <v>150</v>
      </c>
      <c r="E211" s="757"/>
      <c r="F211" s="757"/>
      <c r="G211" s="757"/>
      <c r="H211" s="757"/>
      <c r="I211" s="757"/>
      <c r="J211" s="757"/>
      <c r="K211" s="757"/>
      <c r="L211" s="92"/>
      <c r="M211" s="92"/>
      <c r="N211" s="760"/>
      <c r="O211" s="759"/>
      <c r="P211" s="760"/>
      <c r="Q211" s="759"/>
      <c r="R211" s="759"/>
      <c r="S211" s="760"/>
      <c r="T211" s="759"/>
      <c r="U211" s="759"/>
      <c r="V211" s="757"/>
      <c r="W211" s="757"/>
      <c r="Y211" s="766"/>
      <c r="Z211" s="766"/>
      <c r="AA211" s="757"/>
      <c r="AB211" s="757"/>
      <c r="AC211" s="757"/>
      <c r="AD211" s="744"/>
      <c r="AE211" s="744"/>
      <c r="AF211" s="438"/>
      <c r="AG211" s="757"/>
    </row>
    <row r="212" s="570" customFormat="1" ht="24.95" customHeight="1" spans="1:33">
      <c r="A212" s="705"/>
      <c r="B212" s="767" t="s">
        <v>61</v>
      </c>
      <c r="C212" s="146" t="s">
        <v>52</v>
      </c>
      <c r="D212" s="705" t="s">
        <v>150</v>
      </c>
      <c r="E212" s="757"/>
      <c r="F212" s="757"/>
      <c r="G212" s="757"/>
      <c r="H212" s="757"/>
      <c r="I212" s="757"/>
      <c r="J212" s="757"/>
      <c r="K212" s="757"/>
      <c r="L212" s="92"/>
      <c r="M212" s="92"/>
      <c r="N212" s="759"/>
      <c r="O212" s="759"/>
      <c r="P212" s="759"/>
      <c r="Q212" s="759"/>
      <c r="R212" s="759"/>
      <c r="S212" s="759"/>
      <c r="T212" s="759"/>
      <c r="U212" s="759"/>
      <c r="V212" s="757"/>
      <c r="W212" s="757"/>
      <c r="X212" s="757"/>
      <c r="Y212" s="766"/>
      <c r="Z212" s="766"/>
      <c r="AA212" s="757"/>
      <c r="AB212" s="757"/>
      <c r="AC212" s="757"/>
      <c r="AD212" s="146"/>
      <c r="AE212" s="146"/>
      <c r="AF212" s="438"/>
      <c r="AG212" s="757"/>
    </row>
    <row r="213" s="570" customFormat="1" ht="24.95" customHeight="1" spans="1:33">
      <c r="A213" s="705"/>
      <c r="B213" s="767" t="s">
        <v>78</v>
      </c>
      <c r="C213" s="146" t="s">
        <v>52</v>
      </c>
      <c r="D213" s="705" t="s">
        <v>150</v>
      </c>
      <c r="E213" s="757"/>
      <c r="F213" s="757"/>
      <c r="G213" s="769"/>
      <c r="H213" s="757"/>
      <c r="I213" s="757"/>
      <c r="J213" s="757"/>
      <c r="K213" s="757"/>
      <c r="L213" s="92"/>
      <c r="M213" s="92"/>
      <c r="N213" s="760"/>
      <c r="O213" s="759"/>
      <c r="P213" s="760"/>
      <c r="Q213" s="759"/>
      <c r="R213" s="759"/>
      <c r="S213" s="760"/>
      <c r="T213" s="759"/>
      <c r="U213" s="759"/>
      <c r="V213" s="757"/>
      <c r="W213" s="757"/>
      <c r="X213" s="757"/>
      <c r="Y213" s="766"/>
      <c r="Z213" s="766"/>
      <c r="AA213" s="757"/>
      <c r="AB213" s="757"/>
      <c r="AC213" s="757"/>
      <c r="AD213" s="146"/>
      <c r="AE213" s="146"/>
      <c r="AF213" s="438"/>
      <c r="AG213" s="757"/>
    </row>
    <row r="214" s="570" customFormat="1" ht="24.95" customHeight="1" spans="1:33">
      <c r="A214" s="705"/>
      <c r="B214" s="767" t="s">
        <v>64</v>
      </c>
      <c r="C214" s="146" t="s">
        <v>52</v>
      </c>
      <c r="D214" s="705" t="s">
        <v>150</v>
      </c>
      <c r="E214" s="757"/>
      <c r="F214" s="757"/>
      <c r="G214" s="769"/>
      <c r="H214" s="757"/>
      <c r="I214" s="757"/>
      <c r="J214" s="757"/>
      <c r="K214" s="757"/>
      <c r="L214" s="92"/>
      <c r="M214" s="92"/>
      <c r="N214" s="760"/>
      <c r="O214" s="759"/>
      <c r="P214" s="760"/>
      <c r="Q214" s="759"/>
      <c r="R214" s="759"/>
      <c r="S214" s="760"/>
      <c r="T214" s="759"/>
      <c r="U214" s="759"/>
      <c r="V214" s="757"/>
      <c r="W214" s="757"/>
      <c r="X214" s="757"/>
      <c r="Y214" s="766"/>
      <c r="Z214" s="766"/>
      <c r="AA214" s="757"/>
      <c r="AB214" s="757"/>
      <c r="AC214" s="757"/>
      <c r="AD214" s="146"/>
      <c r="AE214" s="146"/>
      <c r="AF214" s="438"/>
      <c r="AG214" s="757"/>
    </row>
    <row r="215" s="570" customFormat="1" ht="24.95" customHeight="1" spans="1:33">
      <c r="A215" s="705"/>
      <c r="B215" s="767" t="s">
        <v>92</v>
      </c>
      <c r="C215" s="146" t="s">
        <v>52</v>
      </c>
      <c r="D215" s="705" t="s">
        <v>150</v>
      </c>
      <c r="E215" s="757"/>
      <c r="F215" s="757"/>
      <c r="G215" s="757"/>
      <c r="H215" s="757"/>
      <c r="I215" s="757"/>
      <c r="J215" s="757"/>
      <c r="K215" s="757"/>
      <c r="L215" s="92"/>
      <c r="M215" s="92"/>
      <c r="N215" s="759"/>
      <c r="O215" s="759"/>
      <c r="P215" s="759"/>
      <c r="Q215" s="759"/>
      <c r="R215" s="759"/>
      <c r="S215" s="759"/>
      <c r="T215" s="759"/>
      <c r="U215" s="759"/>
      <c r="V215" s="757"/>
      <c r="W215" s="757"/>
      <c r="X215" s="757"/>
      <c r="Y215" s="766"/>
      <c r="Z215" s="766"/>
      <c r="AA215" s="757"/>
      <c r="AB215" s="757"/>
      <c r="AC215" s="757"/>
      <c r="AD215" s="146"/>
      <c r="AE215" s="146"/>
      <c r="AF215" s="748"/>
      <c r="AG215" s="757"/>
    </row>
    <row r="216" s="570" customFormat="1" ht="24.95" customHeight="1" spans="1:33">
      <c r="A216" s="705"/>
      <c r="B216" s="767" t="s">
        <v>233</v>
      </c>
      <c r="C216" s="146" t="s">
        <v>52</v>
      </c>
      <c r="D216" s="705" t="s">
        <v>150</v>
      </c>
      <c r="E216" s="757"/>
      <c r="F216" s="758"/>
      <c r="G216" s="769"/>
      <c r="H216" s="757"/>
      <c r="I216" s="757"/>
      <c r="J216" s="757"/>
      <c r="K216" s="757"/>
      <c r="L216" s="92"/>
      <c r="M216" s="92"/>
      <c r="N216" s="760"/>
      <c r="O216" s="759"/>
      <c r="P216" s="760"/>
      <c r="Q216" s="759"/>
      <c r="R216" s="759"/>
      <c r="S216" s="760"/>
      <c r="T216" s="759"/>
      <c r="U216" s="759"/>
      <c r="V216" s="757"/>
      <c r="W216" s="757"/>
      <c r="X216" s="769"/>
      <c r="Y216" s="766"/>
      <c r="Z216" s="766"/>
      <c r="AA216" s="757"/>
      <c r="AB216" s="757"/>
      <c r="AC216" s="757"/>
      <c r="AD216" s="146"/>
      <c r="AE216" s="438"/>
      <c r="AF216" s="438"/>
      <c r="AG216" s="757"/>
    </row>
    <row r="217" s="570" customFormat="1" ht="24.95" customHeight="1" spans="1:33">
      <c r="A217" s="705"/>
      <c r="B217" s="767" t="s">
        <v>234</v>
      </c>
      <c r="C217" s="146" t="s">
        <v>52</v>
      </c>
      <c r="D217" s="705" t="s">
        <v>150</v>
      </c>
      <c r="E217" s="757"/>
      <c r="F217" s="758"/>
      <c r="G217" s="757"/>
      <c r="H217" s="757"/>
      <c r="I217" s="757"/>
      <c r="J217" s="757"/>
      <c r="K217" s="757"/>
      <c r="L217" s="92"/>
      <c r="M217" s="92"/>
      <c r="N217" s="759"/>
      <c r="O217" s="759"/>
      <c r="P217" s="759"/>
      <c r="Q217" s="759"/>
      <c r="R217" s="759"/>
      <c r="S217" s="759"/>
      <c r="T217" s="759"/>
      <c r="U217" s="759"/>
      <c r="V217" s="757"/>
      <c r="W217" s="757"/>
      <c r="X217" s="757"/>
      <c r="Y217" s="766"/>
      <c r="Z217" s="766"/>
      <c r="AA217" s="757"/>
      <c r="AB217" s="757"/>
      <c r="AC217" s="757"/>
      <c r="AD217" s="146"/>
      <c r="AE217" s="146"/>
      <c r="AF217" s="438"/>
      <c r="AG217" s="757"/>
    </row>
    <row r="218" s="570" customFormat="1" ht="40" customHeight="1" spans="1:33">
      <c r="A218" s="705"/>
      <c r="B218" s="768" t="s">
        <v>235</v>
      </c>
      <c r="C218" s="146" t="s">
        <v>52</v>
      </c>
      <c r="D218" s="705" t="s">
        <v>150</v>
      </c>
      <c r="E218" s="757"/>
      <c r="F218" s="757"/>
      <c r="G218" s="757"/>
      <c r="H218" s="757"/>
      <c r="I218" s="757"/>
      <c r="J218" s="757"/>
      <c r="K218" s="757"/>
      <c r="L218" s="757"/>
      <c r="M218" s="757"/>
      <c r="N218" s="759"/>
      <c r="O218" s="759"/>
      <c r="P218" s="759"/>
      <c r="Q218" s="759"/>
      <c r="R218" s="759"/>
      <c r="S218" s="759"/>
      <c r="T218" s="759"/>
      <c r="U218" s="759"/>
      <c r="V218" s="759"/>
      <c r="W218" s="759"/>
      <c r="X218" s="757"/>
      <c r="Y218" s="757"/>
      <c r="Z218" s="757"/>
      <c r="AA218" s="757"/>
      <c r="AB218" s="757"/>
      <c r="AC218" s="757"/>
      <c r="AD218" s="757"/>
      <c r="AE218" s="757"/>
      <c r="AF218" s="757"/>
      <c r="AG218" s="757"/>
    </row>
    <row r="219" s="570" customFormat="1" ht="24.95" customHeight="1" spans="1:33">
      <c r="A219" s="705"/>
      <c r="B219" s="758" t="s">
        <v>91</v>
      </c>
      <c r="C219" s="146" t="s">
        <v>52</v>
      </c>
      <c r="D219" s="705" t="s">
        <v>202</v>
      </c>
      <c r="E219" s="757"/>
      <c r="F219" s="757"/>
      <c r="G219" s="769"/>
      <c r="H219" s="757"/>
      <c r="I219" s="757"/>
      <c r="J219" s="757"/>
      <c r="K219" s="757"/>
      <c r="L219" s="92"/>
      <c r="M219" s="92"/>
      <c r="N219" s="760"/>
      <c r="O219" s="759"/>
      <c r="P219" s="760"/>
      <c r="Q219" s="759"/>
      <c r="R219" s="759"/>
      <c r="S219" s="760"/>
      <c r="T219" s="759"/>
      <c r="U219" s="759"/>
      <c r="V219" s="757"/>
      <c r="W219" s="757"/>
      <c r="X219" s="769"/>
      <c r="Y219" s="766"/>
      <c r="Z219" s="766"/>
      <c r="AA219" s="757"/>
      <c r="AB219" s="757"/>
      <c r="AC219" s="757"/>
      <c r="AD219" s="146"/>
      <c r="AE219" s="146"/>
      <c r="AF219" s="438"/>
      <c r="AG219" s="757"/>
    </row>
    <row r="220" s="570" customFormat="1" ht="24.95" customHeight="1" spans="1:33">
      <c r="A220" s="705"/>
      <c r="B220" s="758" t="s">
        <v>51</v>
      </c>
      <c r="C220" s="146" t="s">
        <v>52</v>
      </c>
      <c r="D220" s="705" t="s">
        <v>202</v>
      </c>
      <c r="E220" s="757"/>
      <c r="F220" s="757"/>
      <c r="G220" s="769"/>
      <c r="H220" s="757"/>
      <c r="I220" s="757"/>
      <c r="J220" s="757"/>
      <c r="K220" s="757"/>
      <c r="L220" s="92"/>
      <c r="M220" s="92"/>
      <c r="N220" s="760"/>
      <c r="O220" s="759"/>
      <c r="P220" s="760"/>
      <c r="Q220" s="759"/>
      <c r="R220" s="759"/>
      <c r="S220" s="760"/>
      <c r="T220" s="759"/>
      <c r="U220" s="759"/>
      <c r="V220" s="757"/>
      <c r="W220" s="757"/>
      <c r="X220" s="769"/>
      <c r="Y220" s="766"/>
      <c r="Z220" s="766"/>
      <c r="AA220" s="757"/>
      <c r="AB220" s="757"/>
      <c r="AC220" s="757"/>
      <c r="AD220" s="743"/>
      <c r="AE220" s="146"/>
      <c r="AF220" s="438"/>
      <c r="AG220" s="757"/>
    </row>
    <row r="221" s="570" customFormat="1" ht="24.95" customHeight="1" spans="1:33">
      <c r="A221" s="705"/>
      <c r="B221" s="758" t="s">
        <v>75</v>
      </c>
      <c r="C221" s="146" t="s">
        <v>52</v>
      </c>
      <c r="D221" s="705" t="s">
        <v>202</v>
      </c>
      <c r="E221" s="757"/>
      <c r="F221" s="757"/>
      <c r="G221" s="769"/>
      <c r="H221" s="757"/>
      <c r="I221" s="757"/>
      <c r="J221" s="757"/>
      <c r="K221" s="757"/>
      <c r="L221" s="92"/>
      <c r="M221" s="92"/>
      <c r="N221" s="760"/>
      <c r="O221" s="759"/>
      <c r="P221" s="760"/>
      <c r="Q221" s="759"/>
      <c r="R221" s="759"/>
      <c r="S221" s="760"/>
      <c r="T221" s="759"/>
      <c r="U221" s="759"/>
      <c r="V221" s="757"/>
      <c r="W221" s="757"/>
      <c r="X221" s="769"/>
      <c r="Y221" s="766"/>
      <c r="Z221" s="766"/>
      <c r="AA221" s="757"/>
      <c r="AB221" s="757"/>
      <c r="AC221" s="757"/>
      <c r="AD221" s="146"/>
      <c r="AE221" s="146"/>
      <c r="AF221" s="438"/>
      <c r="AG221" s="757"/>
    </row>
    <row r="222" s="570" customFormat="1" ht="24.95" customHeight="1" spans="1:33">
      <c r="A222" s="705"/>
      <c r="B222" s="758" t="s">
        <v>55</v>
      </c>
      <c r="C222" s="146" t="s">
        <v>52</v>
      </c>
      <c r="D222" s="705" t="s">
        <v>202</v>
      </c>
      <c r="E222" s="757"/>
      <c r="F222" s="757"/>
      <c r="G222" s="769"/>
      <c r="H222" s="757"/>
      <c r="I222" s="757"/>
      <c r="J222" s="757"/>
      <c r="K222" s="757"/>
      <c r="L222" s="92"/>
      <c r="M222" s="92"/>
      <c r="N222" s="760"/>
      <c r="O222" s="759"/>
      <c r="P222" s="760"/>
      <c r="Q222" s="759"/>
      <c r="R222" s="759"/>
      <c r="S222" s="760"/>
      <c r="T222" s="759"/>
      <c r="U222" s="759"/>
      <c r="V222" s="757"/>
      <c r="W222" s="757"/>
      <c r="X222" s="769"/>
      <c r="Y222" s="766"/>
      <c r="Z222" s="766"/>
      <c r="AA222" s="757"/>
      <c r="AB222" s="757"/>
      <c r="AC222" s="757"/>
      <c r="AD222" s="141"/>
      <c r="AE222" s="146"/>
      <c r="AF222" s="438"/>
      <c r="AG222" s="757"/>
    </row>
    <row r="223" s="570" customFormat="1" ht="24.95" customHeight="1" spans="1:33">
      <c r="A223" s="705"/>
      <c r="B223" s="758" t="s">
        <v>69</v>
      </c>
      <c r="C223" s="146" t="s">
        <v>52</v>
      </c>
      <c r="D223" s="705" t="s">
        <v>202</v>
      </c>
      <c r="E223" s="757"/>
      <c r="F223" s="757"/>
      <c r="G223" s="769"/>
      <c r="H223" s="757"/>
      <c r="I223" s="757"/>
      <c r="J223" s="757"/>
      <c r="K223" s="757"/>
      <c r="L223" s="92"/>
      <c r="M223" s="92"/>
      <c r="N223" s="760"/>
      <c r="O223" s="759"/>
      <c r="P223" s="760"/>
      <c r="Q223" s="759"/>
      <c r="R223" s="759"/>
      <c r="S223" s="760"/>
      <c r="T223" s="759"/>
      <c r="U223" s="759"/>
      <c r="V223" s="757"/>
      <c r="W223" s="757"/>
      <c r="X223" s="769"/>
      <c r="Y223" s="766"/>
      <c r="Z223" s="766"/>
      <c r="AA223" s="757"/>
      <c r="AB223" s="757"/>
      <c r="AC223" s="757"/>
      <c r="AD223" s="146"/>
      <c r="AE223" s="146"/>
      <c r="AF223" s="438"/>
      <c r="AG223" s="757"/>
    </row>
    <row r="224" s="570" customFormat="1" ht="30" customHeight="1" spans="1:33">
      <c r="A224" s="705"/>
      <c r="B224" s="768" t="s">
        <v>236</v>
      </c>
      <c r="C224" s="146" t="s">
        <v>52</v>
      </c>
      <c r="D224" s="705"/>
      <c r="E224" s="757"/>
      <c r="F224" s="757"/>
      <c r="G224" s="757"/>
      <c r="H224" s="757"/>
      <c r="I224" s="757"/>
      <c r="J224" s="757"/>
      <c r="K224" s="757"/>
      <c r="L224" s="757"/>
      <c r="M224" s="757"/>
      <c r="N224" s="759"/>
      <c r="O224" s="759"/>
      <c r="P224" s="759"/>
      <c r="Q224" s="759"/>
      <c r="R224" s="759"/>
      <c r="S224" s="759"/>
      <c r="T224" s="759"/>
      <c r="U224" s="759"/>
      <c r="V224" s="759"/>
      <c r="W224" s="759"/>
      <c r="Y224" s="757"/>
      <c r="Z224" s="757"/>
      <c r="AA224" s="757"/>
      <c r="AB224" s="757"/>
      <c r="AC224" s="757"/>
      <c r="AD224" s="757"/>
      <c r="AE224" s="757"/>
      <c r="AF224" s="757"/>
      <c r="AG224" s="757"/>
    </row>
    <row r="225" s="570" customFormat="1" ht="24.95" customHeight="1" spans="1:33">
      <c r="A225" s="705"/>
      <c r="B225" s="758" t="s">
        <v>69</v>
      </c>
      <c r="C225" s="146" t="s">
        <v>52</v>
      </c>
      <c r="D225" s="705" t="s">
        <v>45</v>
      </c>
      <c r="E225" s="757"/>
      <c r="F225" s="757"/>
      <c r="G225" s="769"/>
      <c r="H225" s="757"/>
      <c r="I225" s="757"/>
      <c r="J225" s="757"/>
      <c r="K225" s="757"/>
      <c r="L225" s="92"/>
      <c r="M225" s="92"/>
      <c r="N225" s="760"/>
      <c r="O225" s="759"/>
      <c r="P225" s="760"/>
      <c r="Q225" s="759"/>
      <c r="R225" s="759"/>
      <c r="S225" s="760"/>
      <c r="T225" s="759"/>
      <c r="U225" s="759"/>
      <c r="V225" s="757"/>
      <c r="W225" s="757"/>
      <c r="X225" s="757"/>
      <c r="Y225" s="766"/>
      <c r="Z225" s="766"/>
      <c r="AA225" s="757"/>
      <c r="AB225" s="757"/>
      <c r="AC225" s="757"/>
      <c r="AD225" s="146"/>
      <c r="AE225" s="146"/>
      <c r="AF225" s="146"/>
      <c r="AG225" s="757"/>
    </row>
    <row r="226" s="570" customFormat="1" ht="24.95" customHeight="1" spans="1:33">
      <c r="A226" s="705"/>
      <c r="B226" s="758" t="s">
        <v>51</v>
      </c>
      <c r="C226" s="146" t="s">
        <v>52</v>
      </c>
      <c r="D226" s="705" t="s">
        <v>45</v>
      </c>
      <c r="E226" s="757"/>
      <c r="F226" s="757"/>
      <c r="G226" s="769"/>
      <c r="H226" s="757"/>
      <c r="I226" s="757"/>
      <c r="J226" s="757"/>
      <c r="K226" s="757"/>
      <c r="L226" s="92"/>
      <c r="M226" s="92"/>
      <c r="N226" s="760"/>
      <c r="O226" s="759"/>
      <c r="P226" s="760"/>
      <c r="Q226" s="759"/>
      <c r="R226" s="759"/>
      <c r="S226" s="760"/>
      <c r="T226" s="759"/>
      <c r="U226" s="759"/>
      <c r="V226" s="757"/>
      <c r="W226" s="757"/>
      <c r="X226" s="757"/>
      <c r="Y226" s="766"/>
      <c r="Z226" s="766"/>
      <c r="AA226" s="757"/>
      <c r="AB226" s="757"/>
      <c r="AC226" s="757"/>
      <c r="AD226" s="743"/>
      <c r="AE226" s="146"/>
      <c r="AF226" s="146"/>
      <c r="AG226" s="757"/>
    </row>
    <row r="227" s="570" customFormat="1" ht="24.95" customHeight="1" spans="1:33">
      <c r="A227" s="705"/>
      <c r="B227" s="758" t="s">
        <v>91</v>
      </c>
      <c r="C227" s="146" t="s">
        <v>52</v>
      </c>
      <c r="D227" s="705" t="s">
        <v>45</v>
      </c>
      <c r="E227" s="757"/>
      <c r="F227" s="757"/>
      <c r="G227" s="769"/>
      <c r="H227" s="757"/>
      <c r="I227" s="757"/>
      <c r="J227" s="757"/>
      <c r="K227" s="757"/>
      <c r="L227" s="92"/>
      <c r="M227" s="92"/>
      <c r="N227" s="760"/>
      <c r="O227" s="759"/>
      <c r="P227" s="760"/>
      <c r="Q227" s="759"/>
      <c r="R227" s="759"/>
      <c r="S227" s="760"/>
      <c r="T227" s="759"/>
      <c r="U227" s="759"/>
      <c r="V227" s="757"/>
      <c r="W227" s="757"/>
      <c r="X227" s="757"/>
      <c r="Y227" s="766"/>
      <c r="Z227" s="766"/>
      <c r="AA227" s="757"/>
      <c r="AB227" s="757"/>
      <c r="AC227" s="757"/>
      <c r="AD227" s="146"/>
      <c r="AE227" s="146"/>
      <c r="AF227" s="146"/>
      <c r="AG227" s="757"/>
    </row>
    <row r="228" s="570" customFormat="1" ht="24.95" customHeight="1" spans="1:33">
      <c r="A228" s="705"/>
      <c r="B228" s="758" t="s">
        <v>75</v>
      </c>
      <c r="C228" s="146" t="s">
        <v>52</v>
      </c>
      <c r="D228" s="705" t="s">
        <v>45</v>
      </c>
      <c r="E228" s="757"/>
      <c r="F228" s="757"/>
      <c r="G228" s="769"/>
      <c r="H228" s="757"/>
      <c r="I228" s="757"/>
      <c r="J228" s="757"/>
      <c r="K228" s="757"/>
      <c r="L228" s="92"/>
      <c r="M228" s="92"/>
      <c r="N228" s="760"/>
      <c r="O228" s="759"/>
      <c r="P228" s="760"/>
      <c r="Q228" s="759"/>
      <c r="R228" s="759"/>
      <c r="S228" s="760"/>
      <c r="T228" s="759"/>
      <c r="U228" s="759"/>
      <c r="V228" s="757"/>
      <c r="W228" s="757"/>
      <c r="X228" s="757"/>
      <c r="Y228" s="766"/>
      <c r="Z228" s="766"/>
      <c r="AA228" s="757"/>
      <c r="AB228" s="757"/>
      <c r="AC228" s="757"/>
      <c r="AD228" s="146"/>
      <c r="AE228" s="753"/>
      <c r="AF228" s="146"/>
      <c r="AG228" s="757"/>
    </row>
    <row r="229" s="570" customFormat="1" ht="24.95" customHeight="1" spans="1:33">
      <c r="A229" s="705"/>
      <c r="B229" s="758" t="s">
        <v>58</v>
      </c>
      <c r="C229" s="146" t="s">
        <v>52</v>
      </c>
      <c r="D229" s="705" t="s">
        <v>45</v>
      </c>
      <c r="E229" s="757"/>
      <c r="F229" s="757"/>
      <c r="G229" s="769"/>
      <c r="H229" s="757"/>
      <c r="I229" s="757"/>
      <c r="J229" s="757"/>
      <c r="K229" s="757"/>
      <c r="L229" s="92"/>
      <c r="M229" s="92"/>
      <c r="N229" s="760"/>
      <c r="O229" s="759"/>
      <c r="P229" s="760"/>
      <c r="Q229" s="759"/>
      <c r="R229" s="759"/>
      <c r="S229" s="760"/>
      <c r="T229" s="759"/>
      <c r="U229" s="759"/>
      <c r="V229" s="757"/>
      <c r="W229" s="757"/>
      <c r="X229" s="757"/>
      <c r="Y229" s="766"/>
      <c r="Z229" s="766"/>
      <c r="AA229" s="757"/>
      <c r="AB229" s="757"/>
      <c r="AC229" s="757"/>
      <c r="AD229" s="146"/>
      <c r="AE229" s="146"/>
      <c r="AF229" s="146"/>
      <c r="AG229" s="757"/>
    </row>
    <row r="230" s="570" customFormat="1" ht="24.95" customHeight="1" spans="1:33">
      <c r="A230" s="705"/>
      <c r="B230" s="758" t="s">
        <v>114</v>
      </c>
      <c r="C230" s="146" t="s">
        <v>52</v>
      </c>
      <c r="D230" s="705" t="s">
        <v>45</v>
      </c>
      <c r="E230" s="757"/>
      <c r="F230" s="757"/>
      <c r="G230" s="769"/>
      <c r="H230" s="757"/>
      <c r="I230" s="757"/>
      <c r="J230" s="757"/>
      <c r="K230" s="757"/>
      <c r="L230" s="92"/>
      <c r="M230" s="92"/>
      <c r="N230" s="760"/>
      <c r="O230" s="759"/>
      <c r="P230" s="760"/>
      <c r="Q230" s="759"/>
      <c r="R230" s="759"/>
      <c r="S230" s="760"/>
      <c r="T230" s="759"/>
      <c r="U230" s="759"/>
      <c r="V230" s="757"/>
      <c r="W230" s="757"/>
      <c r="X230" s="757"/>
      <c r="Y230" s="766"/>
      <c r="Z230" s="766"/>
      <c r="AA230" s="757"/>
      <c r="AB230" s="757"/>
      <c r="AC230" s="757"/>
      <c r="AD230" s="146"/>
      <c r="AE230" s="146"/>
      <c r="AF230" s="146"/>
      <c r="AG230" s="757"/>
    </row>
    <row r="231" s="570" customFormat="1" ht="24.95" customHeight="1" spans="1:33">
      <c r="A231" s="705"/>
      <c r="B231" s="758" t="s">
        <v>78</v>
      </c>
      <c r="C231" s="146" t="s">
        <v>52</v>
      </c>
      <c r="D231" s="705" t="s">
        <v>45</v>
      </c>
      <c r="E231" s="757"/>
      <c r="F231" s="757"/>
      <c r="G231" s="769"/>
      <c r="H231" s="757"/>
      <c r="I231" s="757"/>
      <c r="J231" s="757"/>
      <c r="K231" s="757"/>
      <c r="L231" s="92"/>
      <c r="M231" s="92"/>
      <c r="N231" s="760"/>
      <c r="O231" s="759"/>
      <c r="P231" s="760"/>
      <c r="Q231" s="759"/>
      <c r="R231" s="759"/>
      <c r="S231" s="760"/>
      <c r="T231" s="759"/>
      <c r="U231" s="759"/>
      <c r="V231" s="757"/>
      <c r="W231" s="757"/>
      <c r="X231" s="757"/>
      <c r="Y231" s="766"/>
      <c r="Z231" s="766"/>
      <c r="AA231" s="757"/>
      <c r="AB231" s="757"/>
      <c r="AC231" s="757"/>
      <c r="AD231" s="146"/>
      <c r="AE231" s="146"/>
      <c r="AF231" s="146"/>
      <c r="AG231" s="757"/>
    </row>
    <row r="232" ht="32.1" customHeight="1" spans="1:33">
      <c r="A232" s="705">
        <v>26</v>
      </c>
      <c r="B232" s="706" t="s">
        <v>238</v>
      </c>
      <c r="C232" s="706"/>
      <c r="D232" s="707" t="s">
        <v>147</v>
      </c>
      <c r="E232" s="706">
        <f>E233+E275+E288+E339</f>
        <v>97</v>
      </c>
      <c r="F232" s="706">
        <f t="shared" ref="F232:AA232" si="22">F233+F275+F288+F339</f>
        <v>0</v>
      </c>
      <c r="G232" s="706">
        <f t="shared" si="22"/>
        <v>0</v>
      </c>
      <c r="H232" s="706">
        <f t="shared" si="22"/>
        <v>63009</v>
      </c>
      <c r="I232" s="706">
        <f t="shared" si="22"/>
        <v>0</v>
      </c>
      <c r="J232" s="706">
        <f t="shared" si="22"/>
        <v>0</v>
      </c>
      <c r="K232" s="706">
        <f t="shared" si="22"/>
        <v>63009</v>
      </c>
      <c r="L232" s="706"/>
      <c r="M232" s="706"/>
      <c r="N232" s="706">
        <f t="shared" si="22"/>
        <v>3727.42</v>
      </c>
      <c r="O232" s="706">
        <f t="shared" si="22"/>
        <v>60</v>
      </c>
      <c r="P232" s="706">
        <f t="shared" si="22"/>
        <v>0</v>
      </c>
      <c r="Q232" s="706">
        <f t="shared" si="22"/>
        <v>3667.42</v>
      </c>
      <c r="R232" s="706">
        <f t="shared" si="22"/>
        <v>2265.9</v>
      </c>
      <c r="S232" s="706">
        <f t="shared" si="22"/>
        <v>801.52</v>
      </c>
      <c r="T232" s="706">
        <f t="shared" si="22"/>
        <v>0</v>
      </c>
      <c r="U232" s="706">
        <f t="shared" si="22"/>
        <v>660</v>
      </c>
      <c r="V232" s="706">
        <f t="shared" si="22"/>
        <v>0</v>
      </c>
      <c r="W232" s="706">
        <f t="shared" si="22"/>
        <v>0</v>
      </c>
      <c r="X232" s="706">
        <f t="shared" si="22"/>
        <v>0</v>
      </c>
      <c r="Y232" s="739">
        <f t="shared" si="22"/>
        <v>41255</v>
      </c>
      <c r="Z232" s="739">
        <f t="shared" si="22"/>
        <v>124640.7</v>
      </c>
      <c r="AA232" s="706">
        <f t="shared" si="22"/>
        <v>97</v>
      </c>
      <c r="AB232" s="706"/>
      <c r="AC232" s="706"/>
      <c r="AD232" s="706"/>
      <c r="AE232" s="706"/>
      <c r="AF232" s="706"/>
      <c r="AG232" s="706" t="s">
        <v>41</v>
      </c>
    </row>
    <row r="233" ht="24.95" customHeight="1" spans="1:33">
      <c r="A233" s="705">
        <v>27</v>
      </c>
      <c r="B233" s="708" t="s">
        <v>239</v>
      </c>
      <c r="C233" s="708"/>
      <c r="D233" s="709" t="s">
        <v>147</v>
      </c>
      <c r="E233" s="708">
        <f>E234+E260+E247</f>
        <v>36</v>
      </c>
      <c r="F233" s="708">
        <f t="shared" ref="F233:AA233" si="23">F234+F260+F247</f>
        <v>0</v>
      </c>
      <c r="G233" s="708">
        <f t="shared" si="23"/>
        <v>0</v>
      </c>
      <c r="H233" s="708">
        <f t="shared" si="23"/>
        <v>41968</v>
      </c>
      <c r="I233" s="708">
        <f t="shared" si="23"/>
        <v>0</v>
      </c>
      <c r="J233" s="708">
        <f t="shared" si="23"/>
        <v>0</v>
      </c>
      <c r="K233" s="708">
        <f t="shared" si="23"/>
        <v>41968</v>
      </c>
      <c r="L233" s="708"/>
      <c r="M233" s="708"/>
      <c r="N233" s="708">
        <f t="shared" si="23"/>
        <v>801.52</v>
      </c>
      <c r="O233" s="708">
        <f t="shared" si="23"/>
        <v>0</v>
      </c>
      <c r="P233" s="708">
        <f t="shared" si="23"/>
        <v>0</v>
      </c>
      <c r="Q233" s="708">
        <f t="shared" si="23"/>
        <v>801.52</v>
      </c>
      <c r="R233" s="708">
        <f t="shared" si="23"/>
        <v>0</v>
      </c>
      <c r="S233" s="708">
        <f t="shared" si="23"/>
        <v>801.52</v>
      </c>
      <c r="T233" s="708">
        <f t="shared" si="23"/>
        <v>0</v>
      </c>
      <c r="U233" s="708">
        <f t="shared" si="23"/>
        <v>0</v>
      </c>
      <c r="V233" s="708">
        <f t="shared" si="23"/>
        <v>0</v>
      </c>
      <c r="W233" s="708">
        <f t="shared" si="23"/>
        <v>0</v>
      </c>
      <c r="X233" s="708">
        <f t="shared" si="23"/>
        <v>0</v>
      </c>
      <c r="Y233" s="708">
        <f t="shared" si="23"/>
        <v>28879</v>
      </c>
      <c r="Z233" s="708">
        <f t="shared" si="23"/>
        <v>80236</v>
      </c>
      <c r="AA233" s="708">
        <f t="shared" si="23"/>
        <v>36</v>
      </c>
      <c r="AB233" s="708"/>
      <c r="AC233" s="708"/>
      <c r="AD233" s="708"/>
      <c r="AE233" s="708"/>
      <c r="AF233" s="708"/>
      <c r="AG233" s="708" t="s">
        <v>41</v>
      </c>
    </row>
    <row r="234" ht="24.95" customHeight="1" spans="1:33">
      <c r="A234" s="705">
        <v>28</v>
      </c>
      <c r="B234" s="770" t="s">
        <v>241</v>
      </c>
      <c r="C234" s="770" t="s">
        <v>52</v>
      </c>
      <c r="D234" s="771" t="s">
        <v>147</v>
      </c>
      <c r="E234" s="770">
        <f>SUM(E235:E246)</f>
        <v>12</v>
      </c>
      <c r="F234" s="770">
        <f t="shared" ref="F234:AA234" si="24">SUM(F235:F246)</f>
        <v>0</v>
      </c>
      <c r="G234" s="770">
        <f t="shared" si="24"/>
        <v>0</v>
      </c>
      <c r="H234" s="770">
        <f t="shared" si="24"/>
        <v>17641</v>
      </c>
      <c r="I234" s="770">
        <f t="shared" si="24"/>
        <v>0</v>
      </c>
      <c r="J234" s="770">
        <f t="shared" si="24"/>
        <v>0</v>
      </c>
      <c r="K234" s="770">
        <f t="shared" si="24"/>
        <v>17641</v>
      </c>
      <c r="L234" s="770"/>
      <c r="M234" s="770"/>
      <c r="N234" s="770">
        <f t="shared" si="24"/>
        <v>176.41</v>
      </c>
      <c r="O234" s="770">
        <f t="shared" si="24"/>
        <v>0</v>
      </c>
      <c r="P234" s="770">
        <f t="shared" si="24"/>
        <v>0</v>
      </c>
      <c r="Q234" s="770">
        <f t="shared" si="24"/>
        <v>176.41</v>
      </c>
      <c r="R234" s="770">
        <f t="shared" si="24"/>
        <v>0</v>
      </c>
      <c r="S234" s="770">
        <f t="shared" si="24"/>
        <v>176.41</v>
      </c>
      <c r="T234" s="770">
        <f t="shared" si="24"/>
        <v>0</v>
      </c>
      <c r="U234" s="770">
        <f t="shared" si="24"/>
        <v>0</v>
      </c>
      <c r="V234" s="770">
        <f t="shared" si="24"/>
        <v>0</v>
      </c>
      <c r="W234" s="770">
        <f t="shared" si="24"/>
        <v>0</v>
      </c>
      <c r="X234" s="770">
        <f t="shared" si="24"/>
        <v>0</v>
      </c>
      <c r="Y234" s="770">
        <f t="shared" si="24"/>
        <v>11581</v>
      </c>
      <c r="Z234" s="770">
        <f t="shared" si="24"/>
        <v>29610</v>
      </c>
      <c r="AA234" s="770">
        <f t="shared" si="24"/>
        <v>12</v>
      </c>
      <c r="AB234" s="770"/>
      <c r="AC234" s="770"/>
      <c r="AD234" s="772" t="s">
        <v>242</v>
      </c>
      <c r="AE234" s="772" t="s">
        <v>243</v>
      </c>
      <c r="AF234" s="773" t="s">
        <v>195</v>
      </c>
      <c r="AG234" s="92" t="s">
        <v>41</v>
      </c>
    </row>
    <row r="235" ht="24.95" customHeight="1" spans="1:33">
      <c r="A235" s="705"/>
      <c r="B235" s="92" t="s">
        <v>101</v>
      </c>
      <c r="C235" s="92" t="s">
        <v>52</v>
      </c>
      <c r="D235" s="76" t="s">
        <v>147</v>
      </c>
      <c r="E235" s="92">
        <v>1</v>
      </c>
      <c r="F235" s="92" t="s">
        <v>101</v>
      </c>
      <c r="G235" s="92"/>
      <c r="H235" s="92">
        <f>N235/0.01</f>
        <v>1500</v>
      </c>
      <c r="I235" s="92">
        <f>O235/0.01</f>
        <v>0</v>
      </c>
      <c r="J235" s="92">
        <f>P235/0.01</f>
        <v>0</v>
      </c>
      <c r="K235" s="92">
        <f>Q235/0.01</f>
        <v>1500</v>
      </c>
      <c r="L235" s="92">
        <v>2020.01</v>
      </c>
      <c r="M235" s="92">
        <v>2020.12</v>
      </c>
      <c r="N235" s="724">
        <v>15</v>
      </c>
      <c r="O235" s="724"/>
      <c r="P235" s="724"/>
      <c r="Q235" s="724">
        <v>15</v>
      </c>
      <c r="R235" s="724"/>
      <c r="S235" s="724">
        <v>15</v>
      </c>
      <c r="T235" s="724"/>
      <c r="U235" s="724"/>
      <c r="V235" s="724"/>
      <c r="W235" s="724"/>
      <c r="X235" s="724"/>
      <c r="Y235" s="738">
        <v>1361</v>
      </c>
      <c r="Z235" s="738">
        <v>5190</v>
      </c>
      <c r="AA235" s="92">
        <v>1</v>
      </c>
      <c r="AB235" s="92"/>
      <c r="AC235" s="92"/>
      <c r="AD235" s="146" t="s">
        <v>244</v>
      </c>
      <c r="AE235" s="193" t="s">
        <v>245</v>
      </c>
      <c r="AF235" s="146" t="s">
        <v>195</v>
      </c>
      <c r="AG235" s="92"/>
    </row>
    <row r="236" ht="24.95" customHeight="1" spans="1:33">
      <c r="A236" s="705"/>
      <c r="B236" s="92" t="s">
        <v>151</v>
      </c>
      <c r="C236" s="92" t="s">
        <v>52</v>
      </c>
      <c r="D236" s="76" t="s">
        <v>147</v>
      </c>
      <c r="E236" s="92">
        <v>1</v>
      </c>
      <c r="F236" s="92" t="s">
        <v>151</v>
      </c>
      <c r="G236" s="92"/>
      <c r="H236" s="92">
        <f t="shared" ref="H236:H246" si="25">N236/0.01</f>
        <v>2740</v>
      </c>
      <c r="I236" s="92">
        <f t="shared" ref="I236:I246" si="26">O236/0.01</f>
        <v>0</v>
      </c>
      <c r="J236" s="92">
        <f t="shared" ref="J236:J246" si="27">P236/0.01</f>
        <v>0</v>
      </c>
      <c r="K236" s="92">
        <f t="shared" ref="K236:K246" si="28">Q236/0.01</f>
        <v>2740</v>
      </c>
      <c r="L236" s="92">
        <v>2020.01</v>
      </c>
      <c r="M236" s="92">
        <v>2020.12</v>
      </c>
      <c r="N236" s="724">
        <v>27.4</v>
      </c>
      <c r="O236" s="724"/>
      <c r="P236" s="724"/>
      <c r="Q236" s="724">
        <v>27.4</v>
      </c>
      <c r="R236" s="724"/>
      <c r="S236" s="724">
        <v>27.4</v>
      </c>
      <c r="T236" s="724"/>
      <c r="U236" s="724"/>
      <c r="V236" s="724"/>
      <c r="W236" s="724"/>
      <c r="X236" s="724"/>
      <c r="Y236" s="738">
        <v>2740</v>
      </c>
      <c r="Z236" s="738">
        <v>2740</v>
      </c>
      <c r="AA236" s="92">
        <v>1</v>
      </c>
      <c r="AB236" s="92"/>
      <c r="AC236" s="92"/>
      <c r="AD236" s="146" t="s">
        <v>169</v>
      </c>
      <c r="AE236" s="146" t="s">
        <v>246</v>
      </c>
      <c r="AF236" s="146" t="s">
        <v>195</v>
      </c>
      <c r="AG236" s="92"/>
    </row>
    <row r="237" ht="24.95" customHeight="1" spans="1:33">
      <c r="A237" s="705"/>
      <c r="B237" s="92" t="s">
        <v>154</v>
      </c>
      <c r="C237" s="92" t="s">
        <v>52</v>
      </c>
      <c r="D237" s="76" t="s">
        <v>147</v>
      </c>
      <c r="E237" s="92">
        <v>1</v>
      </c>
      <c r="F237" s="92" t="s">
        <v>154</v>
      </c>
      <c r="G237" s="92"/>
      <c r="H237" s="92">
        <f t="shared" si="25"/>
        <v>1600</v>
      </c>
      <c r="I237" s="92">
        <f t="shared" si="26"/>
        <v>0</v>
      </c>
      <c r="J237" s="92">
        <f t="shared" si="27"/>
        <v>0</v>
      </c>
      <c r="K237" s="92">
        <f t="shared" si="28"/>
        <v>1600</v>
      </c>
      <c r="L237" s="92">
        <v>2020.01</v>
      </c>
      <c r="M237" s="92">
        <v>2020.12</v>
      </c>
      <c r="N237" s="724">
        <v>16</v>
      </c>
      <c r="O237" s="724"/>
      <c r="P237" s="724"/>
      <c r="Q237" s="724">
        <v>16</v>
      </c>
      <c r="R237" s="724"/>
      <c r="S237" s="724">
        <v>16</v>
      </c>
      <c r="T237" s="724"/>
      <c r="U237" s="724"/>
      <c r="V237" s="724"/>
      <c r="W237" s="724"/>
      <c r="X237" s="724"/>
      <c r="Y237" s="738">
        <v>780</v>
      </c>
      <c r="Z237" s="738">
        <v>3300</v>
      </c>
      <c r="AA237" s="92">
        <v>1</v>
      </c>
      <c r="AB237" s="92"/>
      <c r="AC237" s="92"/>
      <c r="AD237" s="146" t="s">
        <v>247</v>
      </c>
      <c r="AE237" s="146" t="s">
        <v>248</v>
      </c>
      <c r="AF237" s="146" t="s">
        <v>195</v>
      </c>
      <c r="AG237" s="92"/>
    </row>
    <row r="238" ht="24.95" customHeight="1" spans="1:33">
      <c r="A238" s="705"/>
      <c r="B238" s="92" t="s">
        <v>81</v>
      </c>
      <c r="C238" s="92" t="s">
        <v>52</v>
      </c>
      <c r="D238" s="76" t="s">
        <v>147</v>
      </c>
      <c r="E238" s="92">
        <v>1</v>
      </c>
      <c r="F238" s="92" t="s">
        <v>81</v>
      </c>
      <c r="G238" s="92"/>
      <c r="H238" s="92">
        <f t="shared" si="25"/>
        <v>1600</v>
      </c>
      <c r="I238" s="92">
        <f t="shared" si="26"/>
        <v>0</v>
      </c>
      <c r="J238" s="92">
        <f t="shared" si="27"/>
        <v>0</v>
      </c>
      <c r="K238" s="92">
        <f t="shared" si="28"/>
        <v>1600</v>
      </c>
      <c r="L238" s="92">
        <v>2020.01</v>
      </c>
      <c r="M238" s="92">
        <v>2020.12</v>
      </c>
      <c r="N238" s="724">
        <v>16</v>
      </c>
      <c r="O238" s="724"/>
      <c r="P238" s="724"/>
      <c r="Q238" s="724">
        <v>16</v>
      </c>
      <c r="R238" s="724"/>
      <c r="S238" s="724">
        <v>16</v>
      </c>
      <c r="T238" s="724"/>
      <c r="U238" s="724"/>
      <c r="V238" s="724"/>
      <c r="W238" s="724"/>
      <c r="X238" s="724"/>
      <c r="Y238" s="738">
        <v>762</v>
      </c>
      <c r="Z238" s="738">
        <v>3350</v>
      </c>
      <c r="AA238" s="92">
        <v>1</v>
      </c>
      <c r="AB238" s="92"/>
      <c r="AC238" s="92"/>
      <c r="AD238" s="146" t="s">
        <v>249</v>
      </c>
      <c r="AE238" s="146" t="s">
        <v>250</v>
      </c>
      <c r="AF238" s="146" t="s">
        <v>195</v>
      </c>
      <c r="AG238" s="92"/>
    </row>
    <row r="239" ht="24.95" customHeight="1" spans="1:33">
      <c r="A239" s="705"/>
      <c r="B239" s="92" t="s">
        <v>98</v>
      </c>
      <c r="C239" s="92" t="s">
        <v>52</v>
      </c>
      <c r="D239" s="76" t="s">
        <v>147</v>
      </c>
      <c r="E239" s="92">
        <v>1</v>
      </c>
      <c r="F239" s="92" t="s">
        <v>98</v>
      </c>
      <c r="G239" s="92"/>
      <c r="H239" s="92">
        <f t="shared" si="25"/>
        <v>1900</v>
      </c>
      <c r="I239" s="92">
        <f t="shared" si="26"/>
        <v>0</v>
      </c>
      <c r="J239" s="92">
        <f t="shared" si="27"/>
        <v>0</v>
      </c>
      <c r="K239" s="92">
        <f t="shared" si="28"/>
        <v>1900</v>
      </c>
      <c r="L239" s="92">
        <v>2020.01</v>
      </c>
      <c r="M239" s="92">
        <v>2020.12</v>
      </c>
      <c r="N239" s="724">
        <v>19</v>
      </c>
      <c r="O239" s="724"/>
      <c r="P239" s="724"/>
      <c r="Q239" s="724">
        <v>19</v>
      </c>
      <c r="R239" s="724"/>
      <c r="S239" s="724">
        <v>19</v>
      </c>
      <c r="T239" s="724"/>
      <c r="U239" s="724"/>
      <c r="V239" s="724"/>
      <c r="W239" s="724"/>
      <c r="X239" s="724"/>
      <c r="Y239" s="738">
        <v>1330</v>
      </c>
      <c r="Z239" s="738">
        <v>5935</v>
      </c>
      <c r="AA239" s="92">
        <v>1</v>
      </c>
      <c r="AB239" s="92"/>
      <c r="AC239" s="92"/>
      <c r="AD239" s="774" t="s">
        <v>209</v>
      </c>
      <c r="AE239" s="774" t="s">
        <v>251</v>
      </c>
      <c r="AF239" s="146" t="s">
        <v>195</v>
      </c>
      <c r="AG239" s="92"/>
    </row>
    <row r="240" ht="24.95" customHeight="1" spans="1:33">
      <c r="A240" s="705"/>
      <c r="B240" s="92" t="s">
        <v>211</v>
      </c>
      <c r="C240" s="92" t="s">
        <v>52</v>
      </c>
      <c r="D240" s="76" t="s">
        <v>147</v>
      </c>
      <c r="E240" s="92">
        <v>1</v>
      </c>
      <c r="F240" s="92" t="s">
        <v>211</v>
      </c>
      <c r="G240" s="92"/>
      <c r="H240" s="92">
        <f t="shared" si="25"/>
        <v>1800</v>
      </c>
      <c r="I240" s="92">
        <f t="shared" si="26"/>
        <v>0</v>
      </c>
      <c r="J240" s="92">
        <f t="shared" si="27"/>
        <v>0</v>
      </c>
      <c r="K240" s="92">
        <f t="shared" si="28"/>
        <v>1800</v>
      </c>
      <c r="L240" s="92">
        <v>2020.01</v>
      </c>
      <c r="M240" s="92">
        <v>2020.12</v>
      </c>
      <c r="N240" s="724">
        <v>18</v>
      </c>
      <c r="O240" s="724"/>
      <c r="P240" s="724"/>
      <c r="Q240" s="724">
        <v>18</v>
      </c>
      <c r="R240" s="724"/>
      <c r="S240" s="724">
        <v>18</v>
      </c>
      <c r="T240" s="724"/>
      <c r="U240" s="724"/>
      <c r="V240" s="724"/>
      <c r="W240" s="724"/>
      <c r="X240" s="724"/>
      <c r="Y240" s="738">
        <v>640</v>
      </c>
      <c r="Z240" s="738">
        <v>3850</v>
      </c>
      <c r="AA240" s="92">
        <v>1</v>
      </c>
      <c r="AB240" s="92"/>
      <c r="AC240" s="92"/>
      <c r="AD240" s="146" t="s">
        <v>76</v>
      </c>
      <c r="AE240" s="146" t="s">
        <v>252</v>
      </c>
      <c r="AF240" s="146" t="s">
        <v>195</v>
      </c>
      <c r="AG240" s="92"/>
    </row>
    <row r="241" ht="24.95" customHeight="1" spans="1:33">
      <c r="A241" s="705"/>
      <c r="B241" s="92" t="s">
        <v>155</v>
      </c>
      <c r="C241" s="92" t="s">
        <v>52</v>
      </c>
      <c r="D241" s="76" t="s">
        <v>147</v>
      </c>
      <c r="E241" s="92">
        <v>1</v>
      </c>
      <c r="F241" s="92" t="s">
        <v>155</v>
      </c>
      <c r="G241" s="92"/>
      <c r="H241" s="92">
        <f t="shared" si="25"/>
        <v>1100</v>
      </c>
      <c r="I241" s="92">
        <f t="shared" si="26"/>
        <v>0</v>
      </c>
      <c r="J241" s="92">
        <f t="shared" si="27"/>
        <v>0</v>
      </c>
      <c r="K241" s="92">
        <f t="shared" si="28"/>
        <v>1100</v>
      </c>
      <c r="L241" s="92">
        <v>2020.01</v>
      </c>
      <c r="M241" s="92">
        <v>2020.12</v>
      </c>
      <c r="N241" s="724">
        <v>11</v>
      </c>
      <c r="O241" s="724"/>
      <c r="P241" s="724"/>
      <c r="Q241" s="724">
        <v>11</v>
      </c>
      <c r="R241" s="724"/>
      <c r="S241" s="724">
        <v>11</v>
      </c>
      <c r="T241" s="724"/>
      <c r="U241" s="724"/>
      <c r="V241" s="724"/>
      <c r="W241" s="724"/>
      <c r="X241" s="724"/>
      <c r="Y241" s="738">
        <v>310</v>
      </c>
      <c r="Z241" s="738">
        <v>450</v>
      </c>
      <c r="AA241" s="92">
        <v>1</v>
      </c>
      <c r="AB241" s="92"/>
      <c r="AC241" s="92"/>
      <c r="AD241" s="146" t="s">
        <v>253</v>
      </c>
      <c r="AE241" s="146" t="s">
        <v>254</v>
      </c>
      <c r="AF241" s="146" t="s">
        <v>195</v>
      </c>
      <c r="AG241" s="92"/>
    </row>
    <row r="242" ht="24.95" customHeight="1" spans="1:33">
      <c r="A242" s="705"/>
      <c r="B242" s="92" t="s">
        <v>102</v>
      </c>
      <c r="C242" s="92" t="s">
        <v>52</v>
      </c>
      <c r="D242" s="76" t="s">
        <v>147</v>
      </c>
      <c r="E242" s="92">
        <v>1</v>
      </c>
      <c r="F242" s="92" t="s">
        <v>102</v>
      </c>
      <c r="G242" s="92"/>
      <c r="H242" s="92">
        <f t="shared" si="25"/>
        <v>2200</v>
      </c>
      <c r="I242" s="92">
        <f t="shared" si="26"/>
        <v>0</v>
      </c>
      <c r="J242" s="92">
        <f t="shared" si="27"/>
        <v>0</v>
      </c>
      <c r="K242" s="92">
        <f t="shared" si="28"/>
        <v>2200</v>
      </c>
      <c r="L242" s="92">
        <v>2020.01</v>
      </c>
      <c r="M242" s="92">
        <v>2020.12</v>
      </c>
      <c r="N242" s="724">
        <v>22</v>
      </c>
      <c r="O242" s="724"/>
      <c r="P242" s="724"/>
      <c r="Q242" s="724">
        <v>22</v>
      </c>
      <c r="R242" s="724"/>
      <c r="S242" s="724">
        <v>22</v>
      </c>
      <c r="T242" s="724"/>
      <c r="U242" s="724"/>
      <c r="V242" s="724"/>
      <c r="W242" s="724"/>
      <c r="X242" s="724"/>
      <c r="Y242" s="738">
        <v>2200</v>
      </c>
      <c r="Z242" s="738">
        <v>2200</v>
      </c>
      <c r="AA242" s="92">
        <v>1</v>
      </c>
      <c r="AB242" s="92"/>
      <c r="AC242" s="92"/>
      <c r="AD242" s="146" t="s">
        <v>255</v>
      </c>
      <c r="AE242" s="146" t="s">
        <v>256</v>
      </c>
      <c r="AF242" s="146" t="s">
        <v>195</v>
      </c>
      <c r="AG242" s="92"/>
    </row>
    <row r="243" ht="24.95" customHeight="1" spans="1:33">
      <c r="A243" s="705"/>
      <c r="B243" s="92" t="s">
        <v>100</v>
      </c>
      <c r="C243" s="92" t="s">
        <v>52</v>
      </c>
      <c r="D243" s="76" t="s">
        <v>147</v>
      </c>
      <c r="E243" s="92">
        <v>1</v>
      </c>
      <c r="F243" s="92" t="s">
        <v>100</v>
      </c>
      <c r="G243" s="92"/>
      <c r="H243" s="92">
        <f t="shared" si="25"/>
        <v>422</v>
      </c>
      <c r="I243" s="92">
        <f t="shared" si="26"/>
        <v>0</v>
      </c>
      <c r="J243" s="92">
        <f t="shared" si="27"/>
        <v>0</v>
      </c>
      <c r="K243" s="92">
        <f t="shared" si="28"/>
        <v>422</v>
      </c>
      <c r="L243" s="92">
        <v>2020.01</v>
      </c>
      <c r="M243" s="92">
        <v>2020.12</v>
      </c>
      <c r="N243" s="724">
        <v>4.22</v>
      </c>
      <c r="O243" s="724"/>
      <c r="P243" s="724"/>
      <c r="Q243" s="724">
        <v>4.22</v>
      </c>
      <c r="R243" s="724"/>
      <c r="S243" s="724">
        <v>4.22</v>
      </c>
      <c r="T243" s="724"/>
      <c r="U243" s="724"/>
      <c r="V243" s="724"/>
      <c r="W243" s="724"/>
      <c r="X243" s="724"/>
      <c r="Y243" s="738">
        <v>369</v>
      </c>
      <c r="Z243" s="738">
        <v>422</v>
      </c>
      <c r="AA243" s="92">
        <v>1</v>
      </c>
      <c r="AB243" s="92"/>
      <c r="AC243" s="92"/>
      <c r="AD243" s="146" t="s">
        <v>79</v>
      </c>
      <c r="AE243" s="146" t="s">
        <v>257</v>
      </c>
      <c r="AF243" s="146" t="s">
        <v>195</v>
      </c>
      <c r="AG243" s="92"/>
    </row>
    <row r="244" ht="24.95" customHeight="1" spans="1:33">
      <c r="A244" s="705"/>
      <c r="B244" s="92" t="s">
        <v>84</v>
      </c>
      <c r="C244" s="92" t="s">
        <v>52</v>
      </c>
      <c r="D244" s="76" t="s">
        <v>147</v>
      </c>
      <c r="E244" s="92">
        <v>1</v>
      </c>
      <c r="F244" s="92" t="s">
        <v>84</v>
      </c>
      <c r="G244" s="92"/>
      <c r="H244" s="92">
        <f t="shared" si="25"/>
        <v>1600</v>
      </c>
      <c r="I244" s="92">
        <f t="shared" si="26"/>
        <v>0</v>
      </c>
      <c r="J244" s="92">
        <f t="shared" si="27"/>
        <v>0</v>
      </c>
      <c r="K244" s="92">
        <f t="shared" si="28"/>
        <v>1600</v>
      </c>
      <c r="L244" s="92">
        <v>2020.01</v>
      </c>
      <c r="M244" s="92">
        <v>2020.12</v>
      </c>
      <c r="N244" s="724">
        <v>16</v>
      </c>
      <c r="O244" s="724"/>
      <c r="P244" s="724"/>
      <c r="Q244" s="724">
        <v>16</v>
      </c>
      <c r="R244" s="724"/>
      <c r="S244" s="724">
        <v>16</v>
      </c>
      <c r="T244" s="724"/>
      <c r="U244" s="724"/>
      <c r="V244" s="724"/>
      <c r="W244" s="724"/>
      <c r="X244" s="724"/>
      <c r="Y244" s="738">
        <v>556</v>
      </c>
      <c r="Z244" s="738">
        <v>714</v>
      </c>
      <c r="AA244" s="92">
        <v>1</v>
      </c>
      <c r="AB244" s="92"/>
      <c r="AC244" s="92"/>
      <c r="AD244" s="146" t="s">
        <v>185</v>
      </c>
      <c r="AE244" s="146" t="s">
        <v>258</v>
      </c>
      <c r="AF244" s="146" t="s">
        <v>195</v>
      </c>
      <c r="AG244" s="92"/>
    </row>
    <row r="245" ht="24.95" customHeight="1" spans="1:33">
      <c r="A245" s="705"/>
      <c r="B245" s="92" t="s">
        <v>259</v>
      </c>
      <c r="C245" s="92" t="s">
        <v>52</v>
      </c>
      <c r="D245" s="76" t="s">
        <v>147</v>
      </c>
      <c r="E245" s="92">
        <v>1</v>
      </c>
      <c r="F245" s="92" t="s">
        <v>259</v>
      </c>
      <c r="G245" s="92"/>
      <c r="H245" s="92">
        <f t="shared" si="25"/>
        <v>29</v>
      </c>
      <c r="I245" s="92">
        <f t="shared" si="26"/>
        <v>0</v>
      </c>
      <c r="J245" s="92">
        <f t="shared" si="27"/>
        <v>0</v>
      </c>
      <c r="K245" s="92">
        <f t="shared" si="28"/>
        <v>29</v>
      </c>
      <c r="L245" s="92">
        <v>2020.01</v>
      </c>
      <c r="M245" s="92">
        <v>2020.12</v>
      </c>
      <c r="N245" s="724">
        <v>0.29</v>
      </c>
      <c r="O245" s="724"/>
      <c r="P245" s="724"/>
      <c r="Q245" s="724">
        <v>0.29</v>
      </c>
      <c r="R245" s="724"/>
      <c r="S245" s="724">
        <v>0.29</v>
      </c>
      <c r="T245" s="724"/>
      <c r="U245" s="724"/>
      <c r="V245" s="724"/>
      <c r="W245" s="724"/>
      <c r="X245" s="724"/>
      <c r="Y245" s="738">
        <v>23</v>
      </c>
      <c r="Z245" s="738">
        <v>29</v>
      </c>
      <c r="AA245" s="92">
        <v>1</v>
      </c>
      <c r="AB245" s="92"/>
      <c r="AC245" s="92"/>
      <c r="AD245" s="146" t="s">
        <v>260</v>
      </c>
      <c r="AE245" s="146" t="s">
        <v>261</v>
      </c>
      <c r="AF245" s="146" t="s">
        <v>195</v>
      </c>
      <c r="AG245" s="92"/>
    </row>
    <row r="246" ht="24.95" customHeight="1" spans="1:33">
      <c r="A246" s="705"/>
      <c r="B246" s="92" t="s">
        <v>143</v>
      </c>
      <c r="C246" s="92" t="s">
        <v>52</v>
      </c>
      <c r="D246" s="76" t="s">
        <v>147</v>
      </c>
      <c r="E246" s="92">
        <v>1</v>
      </c>
      <c r="F246" s="92" t="s">
        <v>143</v>
      </c>
      <c r="G246" s="92"/>
      <c r="H246" s="92">
        <f t="shared" si="25"/>
        <v>1150</v>
      </c>
      <c r="I246" s="92">
        <f t="shared" si="26"/>
        <v>0</v>
      </c>
      <c r="J246" s="92">
        <f t="shared" si="27"/>
        <v>0</v>
      </c>
      <c r="K246" s="92">
        <f t="shared" si="28"/>
        <v>1150</v>
      </c>
      <c r="L246" s="92">
        <v>2020.01</v>
      </c>
      <c r="M246" s="92">
        <v>2020.12</v>
      </c>
      <c r="N246" s="724">
        <v>11.5</v>
      </c>
      <c r="O246" s="724"/>
      <c r="P246" s="724"/>
      <c r="Q246" s="724">
        <v>11.5</v>
      </c>
      <c r="R246" s="724"/>
      <c r="S246" s="724">
        <v>11.5</v>
      </c>
      <c r="T246" s="724"/>
      <c r="U246" s="724"/>
      <c r="V246" s="724"/>
      <c r="W246" s="724"/>
      <c r="X246" s="724"/>
      <c r="Y246" s="738">
        <v>510</v>
      </c>
      <c r="Z246" s="738">
        <v>1430</v>
      </c>
      <c r="AA246" s="92">
        <v>1</v>
      </c>
      <c r="AB246" s="92"/>
      <c r="AC246" s="92"/>
      <c r="AD246" s="775" t="s">
        <v>262</v>
      </c>
      <c r="AE246" s="775" t="s">
        <v>263</v>
      </c>
      <c r="AF246" s="146" t="s">
        <v>195</v>
      </c>
      <c r="AG246" s="92"/>
    </row>
    <row r="247" ht="24.95" customHeight="1" spans="1:33">
      <c r="A247" s="705" t="s">
        <v>48</v>
      </c>
      <c r="B247" s="770" t="s">
        <v>264</v>
      </c>
      <c r="C247" s="770"/>
      <c r="D247" s="771" t="s">
        <v>147</v>
      </c>
      <c r="E247" s="770">
        <f>SUM(E248:E259)</f>
        <v>12</v>
      </c>
      <c r="F247" s="770">
        <f t="shared" ref="F247:AA247" si="29">SUM(F248:F259)</f>
        <v>0</v>
      </c>
      <c r="G247" s="770">
        <f t="shared" si="29"/>
        <v>0</v>
      </c>
      <c r="H247" s="770">
        <f t="shared" si="29"/>
        <v>10470</v>
      </c>
      <c r="I247" s="770">
        <f t="shared" si="29"/>
        <v>0</v>
      </c>
      <c r="J247" s="770">
        <f t="shared" si="29"/>
        <v>0</v>
      </c>
      <c r="K247" s="770">
        <f t="shared" si="29"/>
        <v>10470</v>
      </c>
      <c r="L247" s="770"/>
      <c r="M247" s="770"/>
      <c r="N247" s="770">
        <f t="shared" si="29"/>
        <v>209.4</v>
      </c>
      <c r="O247" s="770">
        <f t="shared" si="29"/>
        <v>0</v>
      </c>
      <c r="P247" s="770">
        <f t="shared" si="29"/>
        <v>0</v>
      </c>
      <c r="Q247" s="770">
        <f t="shared" si="29"/>
        <v>209.4</v>
      </c>
      <c r="R247" s="770">
        <f t="shared" si="29"/>
        <v>0</v>
      </c>
      <c r="S247" s="770">
        <f t="shared" si="29"/>
        <v>209.4</v>
      </c>
      <c r="T247" s="770">
        <f t="shared" si="29"/>
        <v>0</v>
      </c>
      <c r="U247" s="770">
        <f t="shared" si="29"/>
        <v>0</v>
      </c>
      <c r="V247" s="770">
        <f t="shared" si="29"/>
        <v>0</v>
      </c>
      <c r="W247" s="770">
        <f t="shared" si="29"/>
        <v>0</v>
      </c>
      <c r="X247" s="770">
        <f t="shared" si="29"/>
        <v>0</v>
      </c>
      <c r="Y247" s="770">
        <f t="shared" si="29"/>
        <v>7467</v>
      </c>
      <c r="Z247" s="770">
        <f t="shared" si="29"/>
        <v>20895</v>
      </c>
      <c r="AA247" s="770">
        <f t="shared" si="29"/>
        <v>12</v>
      </c>
      <c r="AB247" s="770"/>
      <c r="AC247" s="770"/>
      <c r="AD247" s="772" t="s">
        <v>242</v>
      </c>
      <c r="AE247" s="772" t="s">
        <v>243</v>
      </c>
      <c r="AF247" s="773" t="s">
        <v>195</v>
      </c>
      <c r="AG247" s="92"/>
    </row>
    <row r="248" ht="24.95" customHeight="1" spans="1:33">
      <c r="A248" s="705">
        <v>29</v>
      </c>
      <c r="B248" s="92" t="s">
        <v>101</v>
      </c>
      <c r="C248" s="92" t="s">
        <v>52</v>
      </c>
      <c r="D248" s="76" t="s">
        <v>147</v>
      </c>
      <c r="E248" s="92">
        <v>1</v>
      </c>
      <c r="F248" s="92" t="s">
        <v>101</v>
      </c>
      <c r="G248" s="92"/>
      <c r="H248" s="152">
        <f>N248/0.02</f>
        <v>1100</v>
      </c>
      <c r="I248" s="152">
        <f>O248/0.02</f>
        <v>0</v>
      </c>
      <c r="J248" s="152">
        <f>P248/0.02</f>
        <v>0</v>
      </c>
      <c r="K248" s="152">
        <f>Q248/0.02</f>
        <v>1100</v>
      </c>
      <c r="L248" s="92">
        <v>2020.01</v>
      </c>
      <c r="M248" s="92">
        <v>2020.12</v>
      </c>
      <c r="N248" s="724">
        <v>22</v>
      </c>
      <c r="O248" s="724"/>
      <c r="P248" s="724"/>
      <c r="Q248" s="724">
        <v>22</v>
      </c>
      <c r="R248" s="724"/>
      <c r="S248" s="724">
        <v>22</v>
      </c>
      <c r="T248" s="724"/>
      <c r="U248" s="724"/>
      <c r="V248" s="724"/>
      <c r="W248" s="724"/>
      <c r="X248" s="724"/>
      <c r="Y248" s="738">
        <v>864</v>
      </c>
      <c r="Z248" s="738">
        <v>3275</v>
      </c>
      <c r="AA248" s="92">
        <v>1</v>
      </c>
      <c r="AB248" s="92"/>
      <c r="AC248" s="92"/>
      <c r="AD248" s="146" t="s">
        <v>244</v>
      </c>
      <c r="AE248" s="193" t="s">
        <v>245</v>
      </c>
      <c r="AF248" s="146" t="s">
        <v>195</v>
      </c>
      <c r="AG248" s="92" t="s">
        <v>41</v>
      </c>
    </row>
    <row r="249" ht="24.95" customHeight="1" spans="1:33">
      <c r="A249" s="705"/>
      <c r="B249" s="92" t="s">
        <v>151</v>
      </c>
      <c r="C249" s="92" t="s">
        <v>52</v>
      </c>
      <c r="D249" s="76" t="s">
        <v>147</v>
      </c>
      <c r="E249" s="92">
        <v>1</v>
      </c>
      <c r="F249" s="92" t="s">
        <v>151</v>
      </c>
      <c r="G249" s="92"/>
      <c r="H249" s="152">
        <f t="shared" ref="H249:H259" si="30">N249/0.02</f>
        <v>770</v>
      </c>
      <c r="I249" s="152">
        <f t="shared" ref="I249:I259" si="31">O249/0.02</f>
        <v>0</v>
      </c>
      <c r="J249" s="152">
        <f t="shared" ref="J249:J259" si="32">P249/0.02</f>
        <v>0</v>
      </c>
      <c r="K249" s="152">
        <f t="shared" ref="K249:K259" si="33">Q249/0.02</f>
        <v>770</v>
      </c>
      <c r="L249" s="92">
        <v>2020.01</v>
      </c>
      <c r="M249" s="92">
        <v>2020.12</v>
      </c>
      <c r="N249" s="724">
        <v>15.4</v>
      </c>
      <c r="O249" s="724"/>
      <c r="P249" s="724"/>
      <c r="Q249" s="724">
        <v>15.4</v>
      </c>
      <c r="R249" s="724"/>
      <c r="S249" s="724">
        <v>15.4</v>
      </c>
      <c r="T249" s="724"/>
      <c r="U249" s="724"/>
      <c r="V249" s="724"/>
      <c r="W249" s="724"/>
      <c r="X249" s="724"/>
      <c r="Y249" s="738">
        <v>770</v>
      </c>
      <c r="Z249" s="738">
        <v>770</v>
      </c>
      <c r="AA249" s="92">
        <v>1</v>
      </c>
      <c r="AB249" s="92"/>
      <c r="AC249" s="92"/>
      <c r="AD249" s="146" t="s">
        <v>169</v>
      </c>
      <c r="AE249" s="146" t="s">
        <v>246</v>
      </c>
      <c r="AF249" s="146" t="s">
        <v>195</v>
      </c>
      <c r="AG249" s="92"/>
    </row>
    <row r="250" ht="24.95" customHeight="1" spans="1:33">
      <c r="A250" s="705"/>
      <c r="B250" s="92" t="s">
        <v>154</v>
      </c>
      <c r="C250" s="92" t="s">
        <v>52</v>
      </c>
      <c r="D250" s="76" t="s">
        <v>147</v>
      </c>
      <c r="E250" s="92">
        <v>1</v>
      </c>
      <c r="F250" s="92" t="s">
        <v>154</v>
      </c>
      <c r="G250" s="92"/>
      <c r="H250" s="152">
        <f t="shared" si="30"/>
        <v>1000</v>
      </c>
      <c r="I250" s="152">
        <f t="shared" si="31"/>
        <v>0</v>
      </c>
      <c r="J250" s="152">
        <f t="shared" si="32"/>
        <v>0</v>
      </c>
      <c r="K250" s="152">
        <f t="shared" si="33"/>
        <v>1000</v>
      </c>
      <c r="L250" s="92">
        <v>2020.01</v>
      </c>
      <c r="M250" s="92">
        <v>2020.12</v>
      </c>
      <c r="N250" s="724">
        <v>20</v>
      </c>
      <c r="O250" s="724"/>
      <c r="P250" s="724"/>
      <c r="Q250" s="724">
        <v>20</v>
      </c>
      <c r="R250" s="724"/>
      <c r="S250" s="724">
        <v>20</v>
      </c>
      <c r="T250" s="724"/>
      <c r="U250" s="724"/>
      <c r="V250" s="724"/>
      <c r="W250" s="724"/>
      <c r="X250" s="724"/>
      <c r="Y250" s="738">
        <v>755</v>
      </c>
      <c r="Z250" s="738">
        <v>3000</v>
      </c>
      <c r="AA250" s="92">
        <v>1</v>
      </c>
      <c r="AB250" s="92"/>
      <c r="AC250" s="92"/>
      <c r="AD250" s="146" t="s">
        <v>247</v>
      </c>
      <c r="AE250" s="146" t="s">
        <v>248</v>
      </c>
      <c r="AF250" s="146" t="s">
        <v>195</v>
      </c>
      <c r="AG250" s="92"/>
    </row>
    <row r="251" ht="24.95" customHeight="1" spans="1:33">
      <c r="A251" s="705"/>
      <c r="B251" s="92" t="s">
        <v>81</v>
      </c>
      <c r="C251" s="92" t="s">
        <v>52</v>
      </c>
      <c r="D251" s="76" t="s">
        <v>147</v>
      </c>
      <c r="E251" s="92">
        <v>1</v>
      </c>
      <c r="F251" s="92" t="s">
        <v>81</v>
      </c>
      <c r="G251" s="92"/>
      <c r="H251" s="152">
        <f t="shared" si="30"/>
        <v>850</v>
      </c>
      <c r="I251" s="152">
        <f t="shared" si="31"/>
        <v>0</v>
      </c>
      <c r="J251" s="152">
        <f t="shared" si="32"/>
        <v>0</v>
      </c>
      <c r="K251" s="152">
        <f t="shared" si="33"/>
        <v>850</v>
      </c>
      <c r="L251" s="92">
        <v>2020.01</v>
      </c>
      <c r="M251" s="92">
        <v>2020.12</v>
      </c>
      <c r="N251" s="724">
        <v>17</v>
      </c>
      <c r="O251" s="724"/>
      <c r="P251" s="724"/>
      <c r="Q251" s="724">
        <v>17</v>
      </c>
      <c r="R251" s="724"/>
      <c r="S251" s="724">
        <v>17</v>
      </c>
      <c r="T251" s="724"/>
      <c r="U251" s="724"/>
      <c r="V251" s="724"/>
      <c r="W251" s="724"/>
      <c r="X251" s="724"/>
      <c r="Y251" s="738">
        <v>462</v>
      </c>
      <c r="Z251" s="738">
        <v>2500</v>
      </c>
      <c r="AA251" s="92">
        <v>1</v>
      </c>
      <c r="AB251" s="92"/>
      <c r="AC251" s="92"/>
      <c r="AD251" s="146" t="s">
        <v>249</v>
      </c>
      <c r="AE251" s="146" t="s">
        <v>250</v>
      </c>
      <c r="AF251" s="146" t="s">
        <v>195</v>
      </c>
      <c r="AG251" s="92"/>
    </row>
    <row r="252" ht="24.95" customHeight="1" spans="1:33">
      <c r="A252" s="705"/>
      <c r="B252" s="92" t="s">
        <v>98</v>
      </c>
      <c r="C252" s="92" t="s">
        <v>52</v>
      </c>
      <c r="D252" s="76" t="s">
        <v>147</v>
      </c>
      <c r="E252" s="92">
        <v>1</v>
      </c>
      <c r="F252" s="92" t="s">
        <v>98</v>
      </c>
      <c r="G252" s="92"/>
      <c r="H252" s="152">
        <f t="shared" si="30"/>
        <v>1600</v>
      </c>
      <c r="I252" s="152">
        <f t="shared" si="31"/>
        <v>0</v>
      </c>
      <c r="J252" s="152">
        <f t="shared" si="32"/>
        <v>0</v>
      </c>
      <c r="K252" s="152">
        <f t="shared" si="33"/>
        <v>1600</v>
      </c>
      <c r="L252" s="92">
        <v>2020.01</v>
      </c>
      <c r="M252" s="92">
        <v>2020.12</v>
      </c>
      <c r="N252" s="724">
        <v>32</v>
      </c>
      <c r="O252" s="724"/>
      <c r="P252" s="724"/>
      <c r="Q252" s="724">
        <v>32</v>
      </c>
      <c r="R252" s="724"/>
      <c r="S252" s="724">
        <v>32</v>
      </c>
      <c r="T252" s="724"/>
      <c r="U252" s="724"/>
      <c r="V252" s="724"/>
      <c r="W252" s="724"/>
      <c r="X252" s="724"/>
      <c r="Y252" s="738">
        <v>1096</v>
      </c>
      <c r="Z252" s="738">
        <v>4763</v>
      </c>
      <c r="AA252" s="92">
        <v>1</v>
      </c>
      <c r="AB252" s="92"/>
      <c r="AC252" s="92"/>
      <c r="AD252" s="774" t="s">
        <v>209</v>
      </c>
      <c r="AE252" s="774" t="s">
        <v>251</v>
      </c>
      <c r="AF252" s="146" t="s">
        <v>195</v>
      </c>
      <c r="AG252" s="92"/>
    </row>
    <row r="253" ht="24.95" customHeight="1" spans="1:33">
      <c r="A253" s="705"/>
      <c r="B253" s="92" t="s">
        <v>211</v>
      </c>
      <c r="C253" s="92" t="s">
        <v>52</v>
      </c>
      <c r="D253" s="76" t="s">
        <v>147</v>
      </c>
      <c r="E253" s="92">
        <v>1</v>
      </c>
      <c r="F253" s="92" t="s">
        <v>211</v>
      </c>
      <c r="G253" s="92"/>
      <c r="H253" s="152">
        <f t="shared" si="30"/>
        <v>950</v>
      </c>
      <c r="I253" s="152">
        <f t="shared" si="31"/>
        <v>0</v>
      </c>
      <c r="J253" s="152">
        <f t="shared" si="32"/>
        <v>0</v>
      </c>
      <c r="K253" s="152">
        <f t="shared" si="33"/>
        <v>950</v>
      </c>
      <c r="L253" s="92">
        <v>2020.01</v>
      </c>
      <c r="M253" s="92">
        <v>2020.12</v>
      </c>
      <c r="N253" s="724">
        <v>19</v>
      </c>
      <c r="O253" s="724"/>
      <c r="P253" s="724"/>
      <c r="Q253" s="724">
        <v>19</v>
      </c>
      <c r="R253" s="724"/>
      <c r="S253" s="724">
        <v>19</v>
      </c>
      <c r="T253" s="724"/>
      <c r="U253" s="724"/>
      <c r="V253" s="724"/>
      <c r="W253" s="724"/>
      <c r="X253" s="724"/>
      <c r="Y253" s="738">
        <v>682</v>
      </c>
      <c r="Z253" s="738">
        <v>2850</v>
      </c>
      <c r="AA253" s="92">
        <v>1</v>
      </c>
      <c r="AB253" s="92"/>
      <c r="AC253" s="92"/>
      <c r="AD253" s="146" t="s">
        <v>76</v>
      </c>
      <c r="AE253" s="146" t="s">
        <v>252</v>
      </c>
      <c r="AF253" s="146" t="s">
        <v>195</v>
      </c>
      <c r="AG253" s="92"/>
    </row>
    <row r="254" ht="24.95" customHeight="1" spans="1:33">
      <c r="A254" s="705"/>
      <c r="B254" s="92" t="s">
        <v>155</v>
      </c>
      <c r="C254" s="92" t="s">
        <v>52</v>
      </c>
      <c r="D254" s="76" t="s">
        <v>147</v>
      </c>
      <c r="E254" s="92">
        <v>1</v>
      </c>
      <c r="F254" s="92" t="s">
        <v>155</v>
      </c>
      <c r="G254" s="92"/>
      <c r="H254" s="152">
        <f t="shared" si="30"/>
        <v>650</v>
      </c>
      <c r="I254" s="152">
        <f t="shared" si="31"/>
        <v>0</v>
      </c>
      <c r="J254" s="152">
        <f t="shared" si="32"/>
        <v>0</v>
      </c>
      <c r="K254" s="152">
        <f t="shared" si="33"/>
        <v>650</v>
      </c>
      <c r="L254" s="92">
        <v>2020.01</v>
      </c>
      <c r="M254" s="92">
        <v>2020.12</v>
      </c>
      <c r="N254" s="724">
        <v>13</v>
      </c>
      <c r="O254" s="724"/>
      <c r="P254" s="724"/>
      <c r="Q254" s="724">
        <v>13</v>
      </c>
      <c r="R254" s="724"/>
      <c r="S254" s="724">
        <v>13</v>
      </c>
      <c r="T254" s="724"/>
      <c r="U254" s="724"/>
      <c r="V254" s="724"/>
      <c r="W254" s="724"/>
      <c r="X254" s="724"/>
      <c r="Y254" s="738">
        <v>171</v>
      </c>
      <c r="Z254" s="738">
        <v>254</v>
      </c>
      <c r="AA254" s="92">
        <v>1</v>
      </c>
      <c r="AB254" s="92"/>
      <c r="AC254" s="92"/>
      <c r="AD254" s="146" t="s">
        <v>253</v>
      </c>
      <c r="AE254" s="146" t="s">
        <v>254</v>
      </c>
      <c r="AF254" s="146" t="s">
        <v>195</v>
      </c>
      <c r="AG254" s="92"/>
    </row>
    <row r="255" ht="24.95" customHeight="1" spans="1:33">
      <c r="A255" s="705"/>
      <c r="B255" s="92" t="s">
        <v>102</v>
      </c>
      <c r="C255" s="92" t="s">
        <v>52</v>
      </c>
      <c r="D255" s="76" t="s">
        <v>147</v>
      </c>
      <c r="E255" s="92">
        <v>1</v>
      </c>
      <c r="F255" s="92" t="s">
        <v>102</v>
      </c>
      <c r="G255" s="92"/>
      <c r="H255" s="152">
        <f t="shared" si="30"/>
        <v>1800</v>
      </c>
      <c r="I255" s="152">
        <f t="shared" si="31"/>
        <v>0</v>
      </c>
      <c r="J255" s="152">
        <f t="shared" si="32"/>
        <v>0</v>
      </c>
      <c r="K255" s="152">
        <f t="shared" si="33"/>
        <v>1800</v>
      </c>
      <c r="L255" s="92">
        <v>2020.01</v>
      </c>
      <c r="M255" s="92">
        <v>2020.12</v>
      </c>
      <c r="N255" s="724">
        <v>36</v>
      </c>
      <c r="O255" s="724"/>
      <c r="P255" s="724"/>
      <c r="Q255" s="724">
        <v>36</v>
      </c>
      <c r="R255" s="724"/>
      <c r="S255" s="724">
        <v>36</v>
      </c>
      <c r="T255" s="724"/>
      <c r="U255" s="724"/>
      <c r="V255" s="724"/>
      <c r="W255" s="724"/>
      <c r="X255" s="724"/>
      <c r="Y255" s="738">
        <v>1800</v>
      </c>
      <c r="Z255" s="738">
        <v>1800</v>
      </c>
      <c r="AA255" s="92">
        <v>1</v>
      </c>
      <c r="AB255" s="92"/>
      <c r="AC255" s="92"/>
      <c r="AD255" s="146" t="s">
        <v>255</v>
      </c>
      <c r="AE255" s="146" t="s">
        <v>256</v>
      </c>
      <c r="AF255" s="146" t="s">
        <v>195</v>
      </c>
      <c r="AG255" s="92"/>
    </row>
    <row r="256" ht="24.95" customHeight="1" spans="1:33">
      <c r="A256" s="705"/>
      <c r="B256" s="92" t="s">
        <v>100</v>
      </c>
      <c r="C256" s="92" t="s">
        <v>52</v>
      </c>
      <c r="D256" s="76" t="s">
        <v>147</v>
      </c>
      <c r="E256" s="92">
        <v>1</v>
      </c>
      <c r="F256" s="92" t="s">
        <v>100</v>
      </c>
      <c r="G256" s="92"/>
      <c r="H256" s="152">
        <f t="shared" si="30"/>
        <v>347</v>
      </c>
      <c r="I256" s="152">
        <f t="shared" si="31"/>
        <v>0</v>
      </c>
      <c r="J256" s="152">
        <f t="shared" si="32"/>
        <v>0</v>
      </c>
      <c r="K256" s="152">
        <f t="shared" si="33"/>
        <v>347</v>
      </c>
      <c r="L256" s="92">
        <v>2020.01</v>
      </c>
      <c r="M256" s="92">
        <v>2020.12</v>
      </c>
      <c r="N256" s="724">
        <v>6.94</v>
      </c>
      <c r="O256" s="724"/>
      <c r="P256" s="724"/>
      <c r="Q256" s="724">
        <v>6.94</v>
      </c>
      <c r="R256" s="724"/>
      <c r="S256" s="724">
        <v>6.94</v>
      </c>
      <c r="T256" s="724"/>
      <c r="U256" s="724"/>
      <c r="V256" s="724"/>
      <c r="W256" s="724"/>
      <c r="X256" s="724"/>
      <c r="Y256" s="738">
        <v>301</v>
      </c>
      <c r="Z256" s="738">
        <v>347</v>
      </c>
      <c r="AA256" s="92">
        <v>1</v>
      </c>
      <c r="AB256" s="92"/>
      <c r="AC256" s="92"/>
      <c r="AD256" s="146" t="s">
        <v>79</v>
      </c>
      <c r="AE256" s="146" t="s">
        <v>257</v>
      </c>
      <c r="AF256" s="146" t="s">
        <v>195</v>
      </c>
      <c r="AG256" s="92"/>
    </row>
    <row r="257" ht="24.95" customHeight="1" spans="1:33">
      <c r="A257" s="705"/>
      <c r="B257" s="92" t="s">
        <v>84</v>
      </c>
      <c r="C257" s="92" t="s">
        <v>52</v>
      </c>
      <c r="D257" s="76" t="s">
        <v>147</v>
      </c>
      <c r="E257" s="92">
        <v>1</v>
      </c>
      <c r="F257" s="92" t="s">
        <v>84</v>
      </c>
      <c r="G257" s="92"/>
      <c r="H257" s="152">
        <f t="shared" si="30"/>
        <v>650</v>
      </c>
      <c r="I257" s="152">
        <f t="shared" si="31"/>
        <v>0</v>
      </c>
      <c r="J257" s="152">
        <f t="shared" si="32"/>
        <v>0</v>
      </c>
      <c r="K257" s="152">
        <f t="shared" si="33"/>
        <v>650</v>
      </c>
      <c r="L257" s="92">
        <v>2020.01</v>
      </c>
      <c r="M257" s="92">
        <v>2020.12</v>
      </c>
      <c r="N257" s="724">
        <v>13</v>
      </c>
      <c r="O257" s="724"/>
      <c r="P257" s="724"/>
      <c r="Q257" s="724">
        <v>13</v>
      </c>
      <c r="R257" s="724"/>
      <c r="S257" s="724">
        <v>13</v>
      </c>
      <c r="T257" s="724"/>
      <c r="U257" s="724"/>
      <c r="V257" s="724"/>
      <c r="W257" s="724"/>
      <c r="X257" s="724"/>
      <c r="Y257" s="738">
        <v>324</v>
      </c>
      <c r="Z257" s="738">
        <v>431</v>
      </c>
      <c r="AA257" s="92">
        <v>1</v>
      </c>
      <c r="AB257" s="92"/>
      <c r="AC257" s="92"/>
      <c r="AD257" s="146" t="s">
        <v>185</v>
      </c>
      <c r="AE257" s="146" t="s">
        <v>258</v>
      </c>
      <c r="AF257" s="146" t="s">
        <v>195</v>
      </c>
      <c r="AG257" s="92"/>
    </row>
    <row r="258" ht="24.95" customHeight="1" spans="1:33">
      <c r="A258" s="705"/>
      <c r="B258" s="92" t="s">
        <v>259</v>
      </c>
      <c r="C258" s="92" t="s">
        <v>52</v>
      </c>
      <c r="D258" s="76" t="s">
        <v>147</v>
      </c>
      <c r="E258" s="92">
        <v>1</v>
      </c>
      <c r="F258" s="92" t="s">
        <v>259</v>
      </c>
      <c r="G258" s="92"/>
      <c r="H258" s="152">
        <f t="shared" si="30"/>
        <v>53</v>
      </c>
      <c r="I258" s="152">
        <f t="shared" si="31"/>
        <v>0</v>
      </c>
      <c r="J258" s="152">
        <f t="shared" si="32"/>
        <v>0</v>
      </c>
      <c r="K258" s="152">
        <f t="shared" si="33"/>
        <v>53</v>
      </c>
      <c r="L258" s="92">
        <v>2020.01</v>
      </c>
      <c r="M258" s="92">
        <v>2020.12</v>
      </c>
      <c r="N258" s="724">
        <v>1.06</v>
      </c>
      <c r="O258" s="724"/>
      <c r="P258" s="724"/>
      <c r="Q258" s="724">
        <v>1.06</v>
      </c>
      <c r="R258" s="724"/>
      <c r="S258" s="724">
        <v>1.06</v>
      </c>
      <c r="T258" s="724"/>
      <c r="U258" s="724"/>
      <c r="V258" s="724"/>
      <c r="W258" s="724"/>
      <c r="X258" s="724"/>
      <c r="Y258" s="738">
        <v>38</v>
      </c>
      <c r="Z258" s="738">
        <v>53</v>
      </c>
      <c r="AA258" s="92">
        <v>1</v>
      </c>
      <c r="AB258" s="92"/>
      <c r="AC258" s="92"/>
      <c r="AD258" s="146" t="s">
        <v>260</v>
      </c>
      <c r="AE258" s="146" t="s">
        <v>261</v>
      </c>
      <c r="AF258" s="146" t="s">
        <v>195</v>
      </c>
      <c r="AG258" s="92"/>
    </row>
    <row r="259" ht="24.95" customHeight="1" spans="1:33">
      <c r="A259" s="705"/>
      <c r="B259" s="92" t="s">
        <v>143</v>
      </c>
      <c r="C259" s="92" t="s">
        <v>52</v>
      </c>
      <c r="D259" s="76" t="s">
        <v>147</v>
      </c>
      <c r="E259" s="92">
        <v>1</v>
      </c>
      <c r="F259" s="92" t="s">
        <v>143</v>
      </c>
      <c r="G259" s="92"/>
      <c r="H259" s="152">
        <f t="shared" si="30"/>
        <v>700</v>
      </c>
      <c r="I259" s="152">
        <f t="shared" si="31"/>
        <v>0</v>
      </c>
      <c r="J259" s="152">
        <f t="shared" si="32"/>
        <v>0</v>
      </c>
      <c r="K259" s="152">
        <f t="shared" si="33"/>
        <v>700</v>
      </c>
      <c r="L259" s="92">
        <v>2020.01</v>
      </c>
      <c r="M259" s="92">
        <v>2020.12</v>
      </c>
      <c r="N259" s="724">
        <v>14</v>
      </c>
      <c r="O259" s="724"/>
      <c r="P259" s="724"/>
      <c r="Q259" s="724">
        <v>14</v>
      </c>
      <c r="R259" s="724"/>
      <c r="S259" s="724">
        <v>14</v>
      </c>
      <c r="T259" s="724"/>
      <c r="U259" s="724"/>
      <c r="V259" s="724"/>
      <c r="W259" s="724"/>
      <c r="X259" s="724"/>
      <c r="Y259" s="738">
        <v>204</v>
      </c>
      <c r="Z259" s="738">
        <v>852</v>
      </c>
      <c r="AA259" s="92">
        <v>1</v>
      </c>
      <c r="AB259" s="92"/>
      <c r="AC259" s="92"/>
      <c r="AD259" s="775" t="s">
        <v>262</v>
      </c>
      <c r="AE259" s="775" t="s">
        <v>263</v>
      </c>
      <c r="AF259" s="146" t="s">
        <v>195</v>
      </c>
      <c r="AG259" s="92"/>
    </row>
    <row r="260" ht="24.95" customHeight="1" spans="1:33">
      <c r="A260" s="705"/>
      <c r="B260" s="770" t="s">
        <v>265</v>
      </c>
      <c r="C260" s="770"/>
      <c r="D260" s="771" t="s">
        <v>147</v>
      </c>
      <c r="E260" s="770">
        <f>SUM(E261:E272)</f>
        <v>12</v>
      </c>
      <c r="F260" s="770">
        <f t="shared" ref="F260:AA260" si="34">SUM(F261:F272)</f>
        <v>0</v>
      </c>
      <c r="G260" s="770">
        <f t="shared" si="34"/>
        <v>0</v>
      </c>
      <c r="H260" s="770">
        <f t="shared" si="34"/>
        <v>13857</v>
      </c>
      <c r="I260" s="770">
        <f t="shared" si="34"/>
        <v>0</v>
      </c>
      <c r="J260" s="770">
        <f t="shared" si="34"/>
        <v>0</v>
      </c>
      <c r="K260" s="770">
        <f t="shared" si="34"/>
        <v>13857</v>
      </c>
      <c r="L260" s="770"/>
      <c r="M260" s="770"/>
      <c r="N260" s="770">
        <f t="shared" si="34"/>
        <v>415.71</v>
      </c>
      <c r="O260" s="770">
        <f t="shared" si="34"/>
        <v>0</v>
      </c>
      <c r="P260" s="770">
        <f t="shared" si="34"/>
        <v>0</v>
      </c>
      <c r="Q260" s="770">
        <f t="shared" si="34"/>
        <v>415.71</v>
      </c>
      <c r="R260" s="770">
        <f t="shared" si="34"/>
        <v>0</v>
      </c>
      <c r="S260" s="770">
        <f t="shared" si="34"/>
        <v>415.71</v>
      </c>
      <c r="T260" s="770">
        <f t="shared" si="34"/>
        <v>0</v>
      </c>
      <c r="U260" s="770">
        <f t="shared" si="34"/>
        <v>0</v>
      </c>
      <c r="V260" s="770">
        <f t="shared" si="34"/>
        <v>0</v>
      </c>
      <c r="W260" s="770">
        <f t="shared" si="34"/>
        <v>0</v>
      </c>
      <c r="X260" s="770">
        <f t="shared" si="34"/>
        <v>0</v>
      </c>
      <c r="Y260" s="770">
        <f t="shared" si="34"/>
        <v>9831</v>
      </c>
      <c r="Z260" s="770">
        <f t="shared" si="34"/>
        <v>29731</v>
      </c>
      <c r="AA260" s="770">
        <f t="shared" si="34"/>
        <v>12</v>
      </c>
      <c r="AB260" s="770"/>
      <c r="AC260" s="770"/>
      <c r="AD260" s="772" t="s">
        <v>242</v>
      </c>
      <c r="AE260" s="772" t="s">
        <v>243</v>
      </c>
      <c r="AF260" s="773" t="s">
        <v>195</v>
      </c>
      <c r="AG260" s="92"/>
    </row>
    <row r="261" ht="24.95" customHeight="1" spans="1:33">
      <c r="A261" s="705" t="s">
        <v>48</v>
      </c>
      <c r="B261" s="92" t="s">
        <v>101</v>
      </c>
      <c r="C261" s="92" t="s">
        <v>52</v>
      </c>
      <c r="D261" s="76" t="s">
        <v>147</v>
      </c>
      <c r="E261" s="92">
        <v>1</v>
      </c>
      <c r="F261" s="92" t="s">
        <v>101</v>
      </c>
      <c r="G261" s="92"/>
      <c r="H261" s="92">
        <f>N261/0.03</f>
        <v>1000</v>
      </c>
      <c r="I261" s="92">
        <f>O261/0.03</f>
        <v>0</v>
      </c>
      <c r="J261" s="92">
        <f>P261/0.03</f>
        <v>0</v>
      </c>
      <c r="K261" s="92">
        <f>Q261/0.03</f>
        <v>1000</v>
      </c>
      <c r="L261" s="92">
        <v>2020.01</v>
      </c>
      <c r="M261" s="92">
        <v>2020.12</v>
      </c>
      <c r="N261" s="92">
        <v>30</v>
      </c>
      <c r="O261" s="92"/>
      <c r="P261" s="92"/>
      <c r="Q261" s="92">
        <v>30</v>
      </c>
      <c r="R261" s="92"/>
      <c r="S261" s="92">
        <v>30</v>
      </c>
      <c r="T261" s="92"/>
      <c r="U261" s="92"/>
      <c r="V261" s="92"/>
      <c r="W261" s="92"/>
      <c r="X261" s="92"/>
      <c r="Y261" s="738">
        <v>741</v>
      </c>
      <c r="Z261" s="738">
        <v>2828</v>
      </c>
      <c r="AA261" s="92">
        <v>1</v>
      </c>
      <c r="AB261" s="92"/>
      <c r="AC261" s="92"/>
      <c r="AD261" s="146" t="s">
        <v>244</v>
      </c>
      <c r="AE261" s="193" t="s">
        <v>245</v>
      </c>
      <c r="AF261" s="146" t="s">
        <v>195</v>
      </c>
      <c r="AG261" s="92"/>
    </row>
    <row r="262" ht="24.95" customHeight="1" spans="1:33">
      <c r="A262" s="705">
        <v>30</v>
      </c>
      <c r="B262" s="92" t="s">
        <v>151</v>
      </c>
      <c r="C262" s="92" t="s">
        <v>52</v>
      </c>
      <c r="D262" s="76" t="s">
        <v>147</v>
      </c>
      <c r="E262" s="92">
        <v>1</v>
      </c>
      <c r="F262" s="92" t="s">
        <v>151</v>
      </c>
      <c r="G262" s="92"/>
      <c r="H262" s="92">
        <f t="shared" ref="H262:H272" si="35">N262/0.03</f>
        <v>480</v>
      </c>
      <c r="I262" s="92">
        <f t="shared" ref="I262:I272" si="36">O262/0.03</f>
        <v>0</v>
      </c>
      <c r="J262" s="92">
        <f t="shared" ref="J262:J272" si="37">P262/0.03</f>
        <v>0</v>
      </c>
      <c r="K262" s="92">
        <f t="shared" ref="K262:K272" si="38">Q262/0.03</f>
        <v>480</v>
      </c>
      <c r="L262" s="92">
        <v>2020.01</v>
      </c>
      <c r="M262" s="92">
        <v>2020.12</v>
      </c>
      <c r="N262" s="776">
        <v>14.4</v>
      </c>
      <c r="O262" s="776"/>
      <c r="P262" s="776"/>
      <c r="Q262" s="776">
        <v>14.4</v>
      </c>
      <c r="R262" s="738"/>
      <c r="S262" s="776">
        <v>14.4</v>
      </c>
      <c r="T262" s="738"/>
      <c r="U262" s="738"/>
      <c r="V262" s="738"/>
      <c r="W262" s="738"/>
      <c r="X262" s="738"/>
      <c r="Y262" s="738">
        <v>480</v>
      </c>
      <c r="Z262" s="738">
        <v>2160</v>
      </c>
      <c r="AA262" s="92">
        <v>1</v>
      </c>
      <c r="AB262" s="92"/>
      <c r="AC262" s="92"/>
      <c r="AD262" s="146" t="s">
        <v>169</v>
      </c>
      <c r="AE262" s="146" t="s">
        <v>246</v>
      </c>
      <c r="AF262" s="146" t="s">
        <v>195</v>
      </c>
      <c r="AG262" s="92" t="s">
        <v>41</v>
      </c>
    </row>
    <row r="263" ht="24.95" customHeight="1" spans="1:33">
      <c r="A263" s="705"/>
      <c r="B263" s="92" t="s">
        <v>154</v>
      </c>
      <c r="C263" s="92" t="s">
        <v>52</v>
      </c>
      <c r="D263" s="76" t="s">
        <v>147</v>
      </c>
      <c r="E263" s="92">
        <v>1</v>
      </c>
      <c r="F263" s="92" t="s">
        <v>154</v>
      </c>
      <c r="G263" s="92"/>
      <c r="H263" s="92">
        <f t="shared" si="35"/>
        <v>1000</v>
      </c>
      <c r="I263" s="92">
        <f t="shared" si="36"/>
        <v>0</v>
      </c>
      <c r="J263" s="92">
        <f t="shared" si="37"/>
        <v>0</v>
      </c>
      <c r="K263" s="92">
        <f t="shared" si="38"/>
        <v>1000</v>
      </c>
      <c r="L263" s="92">
        <v>2020.01</v>
      </c>
      <c r="M263" s="92">
        <v>2020.12</v>
      </c>
      <c r="N263" s="776">
        <v>30</v>
      </c>
      <c r="O263" s="776"/>
      <c r="P263" s="776"/>
      <c r="Q263" s="776">
        <v>30</v>
      </c>
      <c r="R263" s="738"/>
      <c r="S263" s="776">
        <v>30</v>
      </c>
      <c r="T263" s="738"/>
      <c r="U263" s="738"/>
      <c r="V263" s="738"/>
      <c r="W263" s="738"/>
      <c r="X263" s="738"/>
      <c r="Y263" s="738">
        <v>860</v>
      </c>
      <c r="Z263" s="738">
        <v>3000</v>
      </c>
      <c r="AA263" s="92">
        <v>1</v>
      </c>
      <c r="AB263" s="92"/>
      <c r="AC263" s="92"/>
      <c r="AD263" s="146" t="s">
        <v>247</v>
      </c>
      <c r="AE263" s="146" t="s">
        <v>248</v>
      </c>
      <c r="AF263" s="146" t="s">
        <v>195</v>
      </c>
      <c r="AG263" s="92"/>
    </row>
    <row r="264" ht="24.95" customHeight="1" spans="1:33">
      <c r="A264" s="705"/>
      <c r="B264" s="92" t="s">
        <v>81</v>
      </c>
      <c r="C264" s="92" t="s">
        <v>52</v>
      </c>
      <c r="D264" s="76" t="s">
        <v>147</v>
      </c>
      <c r="E264" s="92">
        <v>1</v>
      </c>
      <c r="F264" s="92" t="s">
        <v>81</v>
      </c>
      <c r="G264" s="92"/>
      <c r="H264" s="92">
        <f t="shared" si="35"/>
        <v>1000</v>
      </c>
      <c r="I264" s="92">
        <f t="shared" si="36"/>
        <v>0</v>
      </c>
      <c r="J264" s="92">
        <f t="shared" si="37"/>
        <v>0</v>
      </c>
      <c r="K264" s="92">
        <f t="shared" si="38"/>
        <v>1000</v>
      </c>
      <c r="L264" s="92">
        <v>2020.01</v>
      </c>
      <c r="M264" s="92">
        <v>2020.12</v>
      </c>
      <c r="N264" s="776">
        <v>30</v>
      </c>
      <c r="O264" s="776"/>
      <c r="P264" s="776"/>
      <c r="Q264" s="776">
        <v>30</v>
      </c>
      <c r="R264" s="738"/>
      <c r="S264" s="776">
        <v>30</v>
      </c>
      <c r="T264" s="738"/>
      <c r="U264" s="738"/>
      <c r="V264" s="738"/>
      <c r="W264" s="738"/>
      <c r="X264" s="738"/>
      <c r="Y264" s="738">
        <v>700</v>
      </c>
      <c r="Z264" s="738">
        <v>3250</v>
      </c>
      <c r="AA264" s="92">
        <v>1</v>
      </c>
      <c r="AB264" s="92"/>
      <c r="AC264" s="92"/>
      <c r="AD264" s="146" t="s">
        <v>249</v>
      </c>
      <c r="AE264" s="146" t="s">
        <v>250</v>
      </c>
      <c r="AF264" s="146" t="s">
        <v>195</v>
      </c>
      <c r="AG264" s="92"/>
    </row>
    <row r="265" ht="24.95" customHeight="1" spans="1:33">
      <c r="A265" s="705"/>
      <c r="B265" s="92" t="s">
        <v>98</v>
      </c>
      <c r="C265" s="92" t="s">
        <v>52</v>
      </c>
      <c r="D265" s="76" t="s">
        <v>147</v>
      </c>
      <c r="E265" s="92">
        <v>1</v>
      </c>
      <c r="F265" s="92" t="s">
        <v>98</v>
      </c>
      <c r="G265" s="92"/>
      <c r="H265" s="92">
        <f t="shared" si="35"/>
        <v>1600</v>
      </c>
      <c r="I265" s="92">
        <f t="shared" si="36"/>
        <v>0</v>
      </c>
      <c r="J265" s="92">
        <f t="shared" si="37"/>
        <v>0</v>
      </c>
      <c r="K265" s="92">
        <f t="shared" si="38"/>
        <v>1600</v>
      </c>
      <c r="L265" s="92">
        <v>2020.01</v>
      </c>
      <c r="M265" s="92">
        <v>2020.12</v>
      </c>
      <c r="N265" s="776">
        <v>48</v>
      </c>
      <c r="O265" s="776"/>
      <c r="P265" s="776"/>
      <c r="Q265" s="776">
        <v>48</v>
      </c>
      <c r="R265" s="738"/>
      <c r="S265" s="776">
        <v>48</v>
      </c>
      <c r="T265" s="738"/>
      <c r="U265" s="738"/>
      <c r="V265" s="738"/>
      <c r="W265" s="738"/>
      <c r="X265" s="738"/>
      <c r="Y265" s="738">
        <v>1153</v>
      </c>
      <c r="Z265" s="738">
        <v>5104</v>
      </c>
      <c r="AA265" s="92">
        <v>1</v>
      </c>
      <c r="AB265" s="92"/>
      <c r="AC265" s="92"/>
      <c r="AD265" s="774" t="s">
        <v>209</v>
      </c>
      <c r="AE265" s="774" t="s">
        <v>251</v>
      </c>
      <c r="AF265" s="146" t="s">
        <v>195</v>
      </c>
      <c r="AG265" s="92"/>
    </row>
    <row r="266" ht="24.95" customHeight="1" spans="1:33">
      <c r="A266" s="705"/>
      <c r="B266" s="92" t="s">
        <v>211</v>
      </c>
      <c r="C266" s="92" t="s">
        <v>52</v>
      </c>
      <c r="D266" s="76" t="s">
        <v>147</v>
      </c>
      <c r="E266" s="92">
        <v>1</v>
      </c>
      <c r="F266" s="92" t="s">
        <v>211</v>
      </c>
      <c r="G266" s="92"/>
      <c r="H266" s="92">
        <f t="shared" si="35"/>
        <v>1000</v>
      </c>
      <c r="I266" s="92">
        <f t="shared" si="36"/>
        <v>0</v>
      </c>
      <c r="J266" s="92">
        <f t="shared" si="37"/>
        <v>0</v>
      </c>
      <c r="K266" s="92">
        <f t="shared" si="38"/>
        <v>1000</v>
      </c>
      <c r="L266" s="92">
        <v>2020.01</v>
      </c>
      <c r="M266" s="92">
        <v>2020.12</v>
      </c>
      <c r="N266" s="776">
        <v>30</v>
      </c>
      <c r="O266" s="776"/>
      <c r="P266" s="776"/>
      <c r="Q266" s="776">
        <v>30</v>
      </c>
      <c r="R266" s="738"/>
      <c r="S266" s="776">
        <v>30</v>
      </c>
      <c r="T266" s="738"/>
      <c r="U266" s="738"/>
      <c r="V266" s="738"/>
      <c r="W266" s="738"/>
      <c r="X266" s="738"/>
      <c r="Y266" s="738">
        <v>853</v>
      </c>
      <c r="Z266" s="738">
        <v>3350</v>
      </c>
      <c r="AA266" s="92">
        <v>1</v>
      </c>
      <c r="AB266" s="92"/>
      <c r="AC266" s="92"/>
      <c r="AD266" s="146" t="s">
        <v>76</v>
      </c>
      <c r="AE266" s="146" t="s">
        <v>252</v>
      </c>
      <c r="AF266" s="146" t="s">
        <v>195</v>
      </c>
      <c r="AG266" s="92"/>
    </row>
    <row r="267" ht="24.95" customHeight="1" spans="1:33">
      <c r="A267" s="705"/>
      <c r="B267" s="92" t="s">
        <v>155</v>
      </c>
      <c r="C267" s="92" t="s">
        <v>52</v>
      </c>
      <c r="D267" s="76" t="s">
        <v>147</v>
      </c>
      <c r="E267" s="92">
        <v>1</v>
      </c>
      <c r="F267" s="92" t="s">
        <v>155</v>
      </c>
      <c r="G267" s="92"/>
      <c r="H267" s="92">
        <f t="shared" si="35"/>
        <v>600</v>
      </c>
      <c r="I267" s="92">
        <f t="shared" si="36"/>
        <v>0</v>
      </c>
      <c r="J267" s="92">
        <f t="shared" si="37"/>
        <v>0</v>
      </c>
      <c r="K267" s="92">
        <f t="shared" si="38"/>
        <v>600</v>
      </c>
      <c r="L267" s="92">
        <v>2020.01</v>
      </c>
      <c r="M267" s="92">
        <v>2020.12</v>
      </c>
      <c r="N267" s="776">
        <v>18</v>
      </c>
      <c r="O267" s="776"/>
      <c r="P267" s="776"/>
      <c r="Q267" s="776">
        <v>18</v>
      </c>
      <c r="R267" s="738"/>
      <c r="S267" s="776">
        <v>18</v>
      </c>
      <c r="T267" s="738"/>
      <c r="U267" s="738"/>
      <c r="V267" s="738"/>
      <c r="W267" s="738"/>
      <c r="X267" s="738"/>
      <c r="Y267" s="738">
        <v>319</v>
      </c>
      <c r="Z267" s="738">
        <v>562</v>
      </c>
      <c r="AA267" s="92">
        <v>1</v>
      </c>
      <c r="AB267" s="92"/>
      <c r="AC267" s="92"/>
      <c r="AD267" s="146" t="s">
        <v>253</v>
      </c>
      <c r="AE267" s="146" t="s">
        <v>254</v>
      </c>
      <c r="AF267" s="146" t="s">
        <v>195</v>
      </c>
      <c r="AG267" s="92"/>
    </row>
    <row r="268" ht="24.95" customHeight="1" spans="1:33">
      <c r="A268" s="705"/>
      <c r="B268" s="92" t="s">
        <v>102</v>
      </c>
      <c r="C268" s="92" t="s">
        <v>52</v>
      </c>
      <c r="D268" s="76" t="s">
        <v>147</v>
      </c>
      <c r="E268" s="92">
        <v>1</v>
      </c>
      <c r="F268" s="92" t="s">
        <v>102</v>
      </c>
      <c r="G268" s="92"/>
      <c r="H268" s="92">
        <f t="shared" si="35"/>
        <v>1800</v>
      </c>
      <c r="I268" s="92">
        <f t="shared" si="36"/>
        <v>0</v>
      </c>
      <c r="J268" s="92">
        <f t="shared" si="37"/>
        <v>0</v>
      </c>
      <c r="K268" s="92">
        <f t="shared" si="38"/>
        <v>1800</v>
      </c>
      <c r="L268" s="92">
        <v>2020.01</v>
      </c>
      <c r="M268" s="92">
        <v>2020.12</v>
      </c>
      <c r="N268" s="776">
        <v>54</v>
      </c>
      <c r="O268" s="776"/>
      <c r="P268" s="776"/>
      <c r="Q268" s="776">
        <v>54</v>
      </c>
      <c r="R268" s="738"/>
      <c r="S268" s="776">
        <v>54</v>
      </c>
      <c r="T268" s="738"/>
      <c r="U268" s="738"/>
      <c r="V268" s="738"/>
      <c r="W268" s="738"/>
      <c r="X268" s="738"/>
      <c r="Y268" s="738">
        <v>1800</v>
      </c>
      <c r="Z268" s="738">
        <v>1800</v>
      </c>
      <c r="AA268" s="92">
        <v>1</v>
      </c>
      <c r="AB268" s="92"/>
      <c r="AC268" s="92"/>
      <c r="AD268" s="146" t="s">
        <v>255</v>
      </c>
      <c r="AE268" s="146" t="s">
        <v>256</v>
      </c>
      <c r="AF268" s="146" t="s">
        <v>195</v>
      </c>
      <c r="AG268" s="92"/>
    </row>
    <row r="269" ht="24.95" customHeight="1" spans="1:33">
      <c r="A269" s="705"/>
      <c r="B269" s="92" t="s">
        <v>100</v>
      </c>
      <c r="C269" s="92" t="s">
        <v>52</v>
      </c>
      <c r="D269" s="76" t="s">
        <v>147</v>
      </c>
      <c r="E269" s="92">
        <v>1</v>
      </c>
      <c r="F269" s="92" t="s">
        <v>100</v>
      </c>
      <c r="G269" s="92"/>
      <c r="H269" s="92">
        <f t="shared" si="35"/>
        <v>2584</v>
      </c>
      <c r="I269" s="92">
        <f t="shared" si="36"/>
        <v>0</v>
      </c>
      <c r="J269" s="92">
        <f t="shared" si="37"/>
        <v>0</v>
      </c>
      <c r="K269" s="92">
        <f t="shared" si="38"/>
        <v>2584</v>
      </c>
      <c r="L269" s="92">
        <v>2020.01</v>
      </c>
      <c r="M269" s="92">
        <v>2020.12</v>
      </c>
      <c r="N269" s="776">
        <v>77.52</v>
      </c>
      <c r="O269" s="776"/>
      <c r="P269" s="776"/>
      <c r="Q269" s="776">
        <v>77.52</v>
      </c>
      <c r="R269" s="738"/>
      <c r="S269" s="776">
        <v>77.52</v>
      </c>
      <c r="T269" s="738"/>
      <c r="U269" s="738"/>
      <c r="V269" s="738"/>
      <c r="W269" s="738"/>
      <c r="X269" s="738"/>
      <c r="Y269" s="738">
        <v>1195</v>
      </c>
      <c r="Z269" s="738">
        <v>2584</v>
      </c>
      <c r="AA269" s="92">
        <v>1</v>
      </c>
      <c r="AB269" s="92"/>
      <c r="AC269" s="92"/>
      <c r="AD269" s="146" t="s">
        <v>79</v>
      </c>
      <c r="AE269" s="146" t="s">
        <v>257</v>
      </c>
      <c r="AF269" s="146" t="s">
        <v>195</v>
      </c>
      <c r="AG269" s="92"/>
    </row>
    <row r="270" ht="24.95" customHeight="1" spans="1:33">
      <c r="A270" s="705"/>
      <c r="B270" s="92" t="s">
        <v>84</v>
      </c>
      <c r="C270" s="92" t="s">
        <v>52</v>
      </c>
      <c r="D270" s="76" t="s">
        <v>147</v>
      </c>
      <c r="E270" s="92">
        <v>1</v>
      </c>
      <c r="F270" s="92" t="s">
        <v>84</v>
      </c>
      <c r="G270" s="92"/>
      <c r="H270" s="92">
        <f t="shared" si="35"/>
        <v>1714</v>
      </c>
      <c r="I270" s="92">
        <f t="shared" si="36"/>
        <v>0</v>
      </c>
      <c r="J270" s="92">
        <f t="shared" si="37"/>
        <v>0</v>
      </c>
      <c r="K270" s="92">
        <f t="shared" si="38"/>
        <v>1714</v>
      </c>
      <c r="L270" s="92">
        <v>2020.01</v>
      </c>
      <c r="M270" s="92">
        <v>2020.12</v>
      </c>
      <c r="N270" s="776">
        <v>51.42</v>
      </c>
      <c r="O270" s="776"/>
      <c r="P270" s="776"/>
      <c r="Q270" s="776">
        <v>51.42</v>
      </c>
      <c r="R270" s="738"/>
      <c r="S270" s="776">
        <v>51.42</v>
      </c>
      <c r="T270" s="738"/>
      <c r="U270" s="738"/>
      <c r="V270" s="738"/>
      <c r="W270" s="738"/>
      <c r="X270" s="738"/>
      <c r="Y270" s="738">
        <v>1064</v>
      </c>
      <c r="Z270" s="738">
        <v>1714</v>
      </c>
      <c r="AA270" s="92">
        <v>1</v>
      </c>
      <c r="AB270" s="92"/>
      <c r="AC270" s="92"/>
      <c r="AD270" s="146" t="s">
        <v>185</v>
      </c>
      <c r="AE270" s="146" t="s">
        <v>258</v>
      </c>
      <c r="AF270" s="146" t="s">
        <v>195</v>
      </c>
      <c r="AG270" s="92"/>
    </row>
    <row r="271" ht="24.95" customHeight="1" spans="1:33">
      <c r="A271" s="705"/>
      <c r="B271" s="92" t="s">
        <v>259</v>
      </c>
      <c r="C271" s="92" t="s">
        <v>52</v>
      </c>
      <c r="D271" s="76" t="s">
        <v>147</v>
      </c>
      <c r="E271" s="92">
        <v>1</v>
      </c>
      <c r="F271" s="92" t="s">
        <v>259</v>
      </c>
      <c r="G271" s="92"/>
      <c r="H271" s="92">
        <f t="shared" si="35"/>
        <v>479</v>
      </c>
      <c r="I271" s="92">
        <f t="shared" si="36"/>
        <v>0</v>
      </c>
      <c r="J271" s="92">
        <f t="shared" si="37"/>
        <v>0</v>
      </c>
      <c r="K271" s="92">
        <f t="shared" si="38"/>
        <v>479</v>
      </c>
      <c r="L271" s="92">
        <v>2020.01</v>
      </c>
      <c r="M271" s="92">
        <v>2020.12</v>
      </c>
      <c r="N271" s="776">
        <v>14.37</v>
      </c>
      <c r="O271" s="776"/>
      <c r="P271" s="776"/>
      <c r="Q271" s="776">
        <v>14.37</v>
      </c>
      <c r="R271" s="738"/>
      <c r="S271" s="776">
        <v>14.37</v>
      </c>
      <c r="T271" s="738"/>
      <c r="U271" s="738"/>
      <c r="V271" s="738"/>
      <c r="W271" s="738"/>
      <c r="X271" s="738"/>
      <c r="Y271" s="738">
        <v>278</v>
      </c>
      <c r="Z271" s="738">
        <v>479</v>
      </c>
      <c r="AA271" s="92">
        <v>1</v>
      </c>
      <c r="AB271" s="92"/>
      <c r="AC271" s="92"/>
      <c r="AD271" s="146" t="s">
        <v>260</v>
      </c>
      <c r="AE271" s="146" t="s">
        <v>261</v>
      </c>
      <c r="AF271" s="146" t="s">
        <v>195</v>
      </c>
      <c r="AG271" s="92"/>
    </row>
    <row r="272" ht="24.95" customHeight="1" spans="1:33">
      <c r="A272" s="705"/>
      <c r="B272" s="92" t="s">
        <v>143</v>
      </c>
      <c r="C272" s="92" t="s">
        <v>52</v>
      </c>
      <c r="D272" s="76" t="s">
        <v>147</v>
      </c>
      <c r="E272" s="92">
        <v>1</v>
      </c>
      <c r="F272" s="92" t="s">
        <v>143</v>
      </c>
      <c r="G272" s="92"/>
      <c r="H272" s="92">
        <f t="shared" si="35"/>
        <v>600</v>
      </c>
      <c r="I272" s="92">
        <f t="shared" si="36"/>
        <v>0</v>
      </c>
      <c r="J272" s="92">
        <f t="shared" si="37"/>
        <v>0</v>
      </c>
      <c r="K272" s="92">
        <f t="shared" si="38"/>
        <v>600</v>
      </c>
      <c r="L272" s="92">
        <v>2020.01</v>
      </c>
      <c r="M272" s="92">
        <v>2020.12</v>
      </c>
      <c r="N272" s="776">
        <v>18</v>
      </c>
      <c r="O272" s="776"/>
      <c r="P272" s="776"/>
      <c r="Q272" s="776">
        <v>18</v>
      </c>
      <c r="R272" s="738"/>
      <c r="S272" s="776">
        <v>18</v>
      </c>
      <c r="T272" s="738"/>
      <c r="U272" s="738"/>
      <c r="V272" s="738"/>
      <c r="W272" s="738"/>
      <c r="X272" s="738"/>
      <c r="Y272" s="738">
        <v>388</v>
      </c>
      <c r="Z272" s="738">
        <v>2900</v>
      </c>
      <c r="AA272" s="92">
        <v>1</v>
      </c>
      <c r="AB272" s="92"/>
      <c r="AC272" s="92"/>
      <c r="AD272" s="775" t="s">
        <v>262</v>
      </c>
      <c r="AE272" s="775" t="s">
        <v>263</v>
      </c>
      <c r="AF272" s="146" t="s">
        <v>195</v>
      </c>
      <c r="AG272" s="92"/>
    </row>
    <row r="273" ht="24.95" customHeight="1" spans="1:33">
      <c r="A273" s="705">
        <v>31</v>
      </c>
      <c r="B273" s="92" t="s">
        <v>266</v>
      </c>
      <c r="C273" s="92"/>
      <c r="D273" s="76" t="s">
        <v>147</v>
      </c>
      <c r="E273" s="92"/>
      <c r="F273" s="92"/>
      <c r="G273" s="92"/>
      <c r="H273" s="92"/>
      <c r="I273" s="92"/>
      <c r="J273" s="92"/>
      <c r="K273" s="92"/>
      <c r="L273" s="92"/>
      <c r="M273" s="92"/>
      <c r="N273" s="724"/>
      <c r="O273" s="724"/>
      <c r="P273" s="724"/>
      <c r="Q273" s="724"/>
      <c r="R273" s="724"/>
      <c r="S273" s="724"/>
      <c r="T273" s="724"/>
      <c r="U273" s="724"/>
      <c r="V273" s="724"/>
      <c r="W273" s="724"/>
      <c r="X273" s="724"/>
      <c r="Y273" s="724"/>
      <c r="Z273" s="724"/>
      <c r="AA273" s="92"/>
      <c r="AB273" s="92"/>
      <c r="AC273" s="92"/>
      <c r="AD273" s="92"/>
      <c r="AE273" s="92"/>
      <c r="AF273" s="92" t="s">
        <v>195</v>
      </c>
      <c r="AG273" s="92" t="s">
        <v>41</v>
      </c>
    </row>
    <row r="274" ht="24.95" customHeight="1" spans="1:33">
      <c r="A274" s="705" t="s">
        <v>48</v>
      </c>
      <c r="B274" s="92" t="s">
        <v>148</v>
      </c>
      <c r="C274" s="92"/>
      <c r="D274" s="76"/>
      <c r="E274" s="92"/>
      <c r="F274" s="92"/>
      <c r="G274" s="92"/>
      <c r="H274" s="92"/>
      <c r="I274" s="92"/>
      <c r="J274" s="92"/>
      <c r="K274" s="92"/>
      <c r="L274" s="92"/>
      <c r="M274" s="92"/>
      <c r="N274" s="724"/>
      <c r="O274" s="724"/>
      <c r="P274" s="724"/>
      <c r="Q274" s="724"/>
      <c r="R274" s="724"/>
      <c r="S274" s="724"/>
      <c r="T274" s="724"/>
      <c r="U274" s="724"/>
      <c r="V274" s="724"/>
      <c r="W274" s="724"/>
      <c r="X274" s="724"/>
      <c r="Y274" s="724"/>
      <c r="Z274" s="724"/>
      <c r="AA274" s="92"/>
      <c r="AB274" s="92"/>
      <c r="AC274" s="92"/>
      <c r="AD274" s="92"/>
      <c r="AE274" s="92"/>
      <c r="AF274" s="92"/>
      <c r="AG274" s="92"/>
    </row>
    <row r="275" ht="24.95" customHeight="1" spans="1:33">
      <c r="A275" s="705">
        <v>32</v>
      </c>
      <c r="B275" s="708" t="s">
        <v>267</v>
      </c>
      <c r="C275" s="708"/>
      <c r="D275" s="709" t="s">
        <v>194</v>
      </c>
      <c r="E275" s="708">
        <f>SUM(E276:E287)</f>
        <v>12</v>
      </c>
      <c r="F275" s="708">
        <f t="shared" ref="F275:AA275" si="39">SUM(F276:F287)</f>
        <v>0</v>
      </c>
      <c r="G275" s="708">
        <f t="shared" si="39"/>
        <v>0</v>
      </c>
      <c r="H275" s="708">
        <f t="shared" si="39"/>
        <v>1500</v>
      </c>
      <c r="I275" s="708">
        <f t="shared" si="39"/>
        <v>0</v>
      </c>
      <c r="J275" s="708">
        <f t="shared" si="39"/>
        <v>0</v>
      </c>
      <c r="K275" s="708">
        <f t="shared" si="39"/>
        <v>1500</v>
      </c>
      <c r="L275" s="708"/>
      <c r="M275" s="708"/>
      <c r="N275" s="726">
        <f t="shared" si="39"/>
        <v>60</v>
      </c>
      <c r="O275" s="726">
        <f t="shared" si="39"/>
        <v>60</v>
      </c>
      <c r="P275" s="726">
        <f t="shared" si="39"/>
        <v>0</v>
      </c>
      <c r="Q275" s="726">
        <f t="shared" si="39"/>
        <v>0</v>
      </c>
      <c r="R275" s="726">
        <f t="shared" si="39"/>
        <v>0</v>
      </c>
      <c r="S275" s="726">
        <f t="shared" si="39"/>
        <v>0</v>
      </c>
      <c r="T275" s="726">
        <f t="shared" si="39"/>
        <v>0</v>
      </c>
      <c r="U275" s="726">
        <f t="shared" si="39"/>
        <v>60</v>
      </c>
      <c r="V275" s="726">
        <f t="shared" si="39"/>
        <v>0</v>
      </c>
      <c r="W275" s="708">
        <f t="shared" si="39"/>
        <v>0</v>
      </c>
      <c r="X275" s="708">
        <f t="shared" si="39"/>
        <v>0</v>
      </c>
      <c r="Y275" s="708">
        <f t="shared" si="39"/>
        <v>1500</v>
      </c>
      <c r="Z275" s="708">
        <f t="shared" si="39"/>
        <v>3518</v>
      </c>
      <c r="AA275" s="708">
        <f t="shared" si="39"/>
        <v>12</v>
      </c>
      <c r="AB275" s="708"/>
      <c r="AC275" s="708"/>
      <c r="AD275" s="193" t="s">
        <v>242</v>
      </c>
      <c r="AE275" s="193" t="s">
        <v>243</v>
      </c>
      <c r="AF275" s="146" t="s">
        <v>195</v>
      </c>
      <c r="AG275" s="708" t="s">
        <v>41</v>
      </c>
    </row>
    <row r="276" ht="24.95" customHeight="1" spans="1:33">
      <c r="A276" s="705"/>
      <c r="B276" s="708" t="s">
        <v>101</v>
      </c>
      <c r="C276" s="708" t="s">
        <v>52</v>
      </c>
      <c r="D276" s="709" t="s">
        <v>147</v>
      </c>
      <c r="E276" s="92">
        <v>1</v>
      </c>
      <c r="F276" s="708" t="s">
        <v>101</v>
      </c>
      <c r="G276" s="708"/>
      <c r="H276" s="708">
        <v>160</v>
      </c>
      <c r="I276" s="92"/>
      <c r="J276" s="708"/>
      <c r="K276" s="92">
        <v>160</v>
      </c>
      <c r="L276" s="92">
        <v>2020.01</v>
      </c>
      <c r="M276" s="92">
        <v>2020.12</v>
      </c>
      <c r="N276" s="726">
        <v>6.4</v>
      </c>
      <c r="O276" s="726">
        <v>6.4</v>
      </c>
      <c r="P276" s="726"/>
      <c r="Q276" s="726"/>
      <c r="R276" s="726"/>
      <c r="S276" s="726"/>
      <c r="T276" s="726"/>
      <c r="U276" s="726">
        <v>6.4</v>
      </c>
      <c r="V276" s="726"/>
      <c r="W276" s="726" t="s">
        <v>240</v>
      </c>
      <c r="X276" s="726" t="s">
        <v>47</v>
      </c>
      <c r="Y276" s="763">
        <v>160</v>
      </c>
      <c r="Z276" s="763">
        <v>160</v>
      </c>
      <c r="AA276" s="92">
        <v>1</v>
      </c>
      <c r="AB276" s="708"/>
      <c r="AC276" s="708"/>
      <c r="AD276" s="438" t="s">
        <v>244</v>
      </c>
      <c r="AE276" s="146" t="s">
        <v>245</v>
      </c>
      <c r="AF276" s="146" t="s">
        <v>195</v>
      </c>
      <c r="AG276" s="708"/>
    </row>
    <row r="277" ht="24.95" customHeight="1" spans="1:33">
      <c r="A277" s="705"/>
      <c r="B277" s="708" t="s">
        <v>151</v>
      </c>
      <c r="C277" s="708" t="s">
        <v>52</v>
      </c>
      <c r="D277" s="709" t="s">
        <v>147</v>
      </c>
      <c r="E277" s="92">
        <v>1</v>
      </c>
      <c r="F277" s="708" t="s">
        <v>151</v>
      </c>
      <c r="G277" s="708"/>
      <c r="H277" s="708">
        <v>160</v>
      </c>
      <c r="I277" s="92"/>
      <c r="J277" s="708"/>
      <c r="K277" s="92">
        <v>160</v>
      </c>
      <c r="L277" s="92">
        <v>2020.01</v>
      </c>
      <c r="M277" s="92">
        <v>2020.12</v>
      </c>
      <c r="N277" s="726">
        <v>6.4</v>
      </c>
      <c r="O277" s="726">
        <v>6.4</v>
      </c>
      <c r="P277" s="726"/>
      <c r="Q277" s="726"/>
      <c r="R277" s="726"/>
      <c r="S277" s="726"/>
      <c r="T277" s="726"/>
      <c r="U277" s="726">
        <v>6.4</v>
      </c>
      <c r="V277" s="726"/>
      <c r="W277" s="726" t="s">
        <v>240</v>
      </c>
      <c r="X277" s="726" t="s">
        <v>47</v>
      </c>
      <c r="Y277" s="763">
        <v>160</v>
      </c>
      <c r="Z277" s="763">
        <v>150</v>
      </c>
      <c r="AA277" s="92">
        <v>1</v>
      </c>
      <c r="AB277" s="708"/>
      <c r="AC277" s="708"/>
      <c r="AD277" s="438" t="s">
        <v>169</v>
      </c>
      <c r="AE277" s="146" t="s">
        <v>246</v>
      </c>
      <c r="AF277" s="146" t="s">
        <v>195</v>
      </c>
      <c r="AG277" s="708"/>
    </row>
    <row r="278" ht="24.95" customHeight="1" spans="1:33">
      <c r="A278" s="705"/>
      <c r="B278" s="708" t="s">
        <v>154</v>
      </c>
      <c r="C278" s="708" t="s">
        <v>52</v>
      </c>
      <c r="D278" s="709" t="s">
        <v>147</v>
      </c>
      <c r="E278" s="92">
        <v>1</v>
      </c>
      <c r="F278" s="708" t="s">
        <v>154</v>
      </c>
      <c r="G278" s="708"/>
      <c r="H278" s="708">
        <v>150</v>
      </c>
      <c r="I278" s="92"/>
      <c r="J278" s="708"/>
      <c r="K278" s="92">
        <v>150</v>
      </c>
      <c r="L278" s="92">
        <v>2020.01</v>
      </c>
      <c r="M278" s="92">
        <v>2020.12</v>
      </c>
      <c r="N278" s="726">
        <v>6</v>
      </c>
      <c r="O278" s="726">
        <v>6</v>
      </c>
      <c r="P278" s="726"/>
      <c r="Q278" s="726"/>
      <c r="R278" s="726"/>
      <c r="S278" s="726"/>
      <c r="T278" s="726"/>
      <c r="U278" s="726">
        <v>6</v>
      </c>
      <c r="V278" s="726"/>
      <c r="W278" s="726" t="s">
        <v>240</v>
      </c>
      <c r="X278" s="726" t="s">
        <v>47</v>
      </c>
      <c r="Y278" s="763">
        <v>150</v>
      </c>
      <c r="Z278" s="763">
        <v>150</v>
      </c>
      <c r="AA278" s="92">
        <v>1</v>
      </c>
      <c r="AB278" s="708"/>
      <c r="AC278" s="708"/>
      <c r="AD278" s="438" t="s">
        <v>247</v>
      </c>
      <c r="AE278" s="146" t="s">
        <v>248</v>
      </c>
      <c r="AF278" s="146" t="s">
        <v>195</v>
      </c>
      <c r="AG278" s="708"/>
    </row>
    <row r="279" ht="24.95" customHeight="1" spans="1:33">
      <c r="A279" s="705"/>
      <c r="B279" s="708" t="s">
        <v>81</v>
      </c>
      <c r="C279" s="708" t="s">
        <v>52</v>
      </c>
      <c r="D279" s="709" t="s">
        <v>147</v>
      </c>
      <c r="E279" s="92">
        <v>1</v>
      </c>
      <c r="F279" s="708" t="s">
        <v>81</v>
      </c>
      <c r="G279" s="708"/>
      <c r="H279" s="708">
        <v>150</v>
      </c>
      <c r="I279" s="92"/>
      <c r="J279" s="708"/>
      <c r="K279" s="92">
        <v>150</v>
      </c>
      <c r="L279" s="92">
        <v>2020.01</v>
      </c>
      <c r="M279" s="92">
        <v>2020.12</v>
      </c>
      <c r="N279" s="726">
        <v>6</v>
      </c>
      <c r="O279" s="726">
        <v>6</v>
      </c>
      <c r="P279" s="726"/>
      <c r="Q279" s="726"/>
      <c r="R279" s="726"/>
      <c r="S279" s="726"/>
      <c r="T279" s="726"/>
      <c r="U279" s="726">
        <v>6</v>
      </c>
      <c r="V279" s="726"/>
      <c r="W279" s="726" t="s">
        <v>240</v>
      </c>
      <c r="X279" s="726" t="s">
        <v>47</v>
      </c>
      <c r="Y279" s="763">
        <v>150</v>
      </c>
      <c r="Z279" s="763">
        <v>470</v>
      </c>
      <c r="AA279" s="92">
        <v>1</v>
      </c>
      <c r="AB279" s="708"/>
      <c r="AC279" s="708"/>
      <c r="AD279" s="438" t="s">
        <v>249</v>
      </c>
      <c r="AE279" s="146" t="s">
        <v>250</v>
      </c>
      <c r="AF279" s="146" t="s">
        <v>195</v>
      </c>
      <c r="AG279" s="708"/>
    </row>
    <row r="280" ht="24.95" customHeight="1" spans="1:33">
      <c r="A280" s="705"/>
      <c r="B280" s="708" t="s">
        <v>98</v>
      </c>
      <c r="C280" s="708" t="s">
        <v>52</v>
      </c>
      <c r="D280" s="709" t="s">
        <v>147</v>
      </c>
      <c r="E280" s="92">
        <v>1</v>
      </c>
      <c r="F280" s="708" t="s">
        <v>98</v>
      </c>
      <c r="G280" s="708"/>
      <c r="H280" s="708">
        <v>160</v>
      </c>
      <c r="I280" s="92"/>
      <c r="J280" s="708"/>
      <c r="K280" s="92">
        <v>160</v>
      </c>
      <c r="L280" s="92">
        <v>2020.01</v>
      </c>
      <c r="M280" s="92">
        <v>2020.12</v>
      </c>
      <c r="N280" s="726">
        <v>6.4</v>
      </c>
      <c r="O280" s="726">
        <v>6.4</v>
      </c>
      <c r="P280" s="726"/>
      <c r="Q280" s="726"/>
      <c r="R280" s="726"/>
      <c r="S280" s="726"/>
      <c r="T280" s="726"/>
      <c r="U280" s="726">
        <v>6.4</v>
      </c>
      <c r="V280" s="726"/>
      <c r="W280" s="726" t="s">
        <v>240</v>
      </c>
      <c r="X280" s="726" t="s">
        <v>47</v>
      </c>
      <c r="Y280" s="763">
        <v>160</v>
      </c>
      <c r="Z280" s="763">
        <v>491</v>
      </c>
      <c r="AA280" s="92">
        <v>1</v>
      </c>
      <c r="AB280" s="708"/>
      <c r="AC280" s="708"/>
      <c r="AD280" s="438" t="s">
        <v>209</v>
      </c>
      <c r="AE280" s="146" t="s">
        <v>251</v>
      </c>
      <c r="AF280" s="146" t="s">
        <v>195</v>
      </c>
      <c r="AG280" s="708"/>
    </row>
    <row r="281" ht="24.95" customHeight="1" spans="1:33">
      <c r="A281" s="705"/>
      <c r="B281" s="708" t="s">
        <v>211</v>
      </c>
      <c r="C281" s="708" t="s">
        <v>52</v>
      </c>
      <c r="D281" s="709" t="s">
        <v>147</v>
      </c>
      <c r="E281" s="92">
        <v>1</v>
      </c>
      <c r="F281" s="708" t="s">
        <v>211</v>
      </c>
      <c r="G281" s="708"/>
      <c r="H281" s="708">
        <v>150</v>
      </c>
      <c r="I281" s="92"/>
      <c r="J281" s="708"/>
      <c r="K281" s="92">
        <v>150</v>
      </c>
      <c r="L281" s="92">
        <v>2020.01</v>
      </c>
      <c r="M281" s="92">
        <v>2020.12</v>
      </c>
      <c r="N281" s="726">
        <v>6</v>
      </c>
      <c r="O281" s="726">
        <v>6</v>
      </c>
      <c r="P281" s="726"/>
      <c r="Q281" s="726"/>
      <c r="R281" s="726"/>
      <c r="S281" s="726"/>
      <c r="T281" s="726"/>
      <c r="U281" s="726">
        <v>6</v>
      </c>
      <c r="V281" s="726"/>
      <c r="W281" s="726" t="s">
        <v>240</v>
      </c>
      <c r="X281" s="726" t="s">
        <v>47</v>
      </c>
      <c r="Y281" s="763">
        <v>150</v>
      </c>
      <c r="Z281" s="763">
        <v>1565</v>
      </c>
      <c r="AA281" s="92">
        <v>1</v>
      </c>
      <c r="AB281" s="708"/>
      <c r="AC281" s="708"/>
      <c r="AD281" s="438" t="s">
        <v>76</v>
      </c>
      <c r="AE281" s="146" t="s">
        <v>252</v>
      </c>
      <c r="AF281" s="146" t="s">
        <v>195</v>
      </c>
      <c r="AG281" s="708"/>
    </row>
    <row r="282" ht="24.95" customHeight="1" spans="1:33">
      <c r="A282" s="705"/>
      <c r="B282" s="708" t="s">
        <v>155</v>
      </c>
      <c r="C282" s="708" t="s">
        <v>52</v>
      </c>
      <c r="D282" s="709" t="s">
        <v>147</v>
      </c>
      <c r="E282" s="92">
        <v>1</v>
      </c>
      <c r="F282" s="708" t="s">
        <v>155</v>
      </c>
      <c r="G282" s="708"/>
      <c r="H282" s="708">
        <v>100</v>
      </c>
      <c r="I282" s="92"/>
      <c r="J282" s="708"/>
      <c r="K282" s="92">
        <v>100</v>
      </c>
      <c r="L282" s="92">
        <v>2020.01</v>
      </c>
      <c r="M282" s="92">
        <v>2020.12</v>
      </c>
      <c r="N282" s="726">
        <v>4</v>
      </c>
      <c r="O282" s="726">
        <v>4</v>
      </c>
      <c r="P282" s="726"/>
      <c r="Q282" s="726"/>
      <c r="R282" s="726"/>
      <c r="S282" s="726"/>
      <c r="T282" s="726"/>
      <c r="U282" s="726">
        <v>4</v>
      </c>
      <c r="V282" s="726"/>
      <c r="W282" s="726" t="s">
        <v>240</v>
      </c>
      <c r="X282" s="726" t="s">
        <v>47</v>
      </c>
      <c r="Y282" s="763">
        <v>100</v>
      </c>
      <c r="Z282" s="763">
        <v>62</v>
      </c>
      <c r="AA282" s="92">
        <v>1</v>
      </c>
      <c r="AB282" s="708"/>
      <c r="AC282" s="708"/>
      <c r="AD282" s="438" t="s">
        <v>253</v>
      </c>
      <c r="AE282" s="146" t="s">
        <v>254</v>
      </c>
      <c r="AF282" s="146" t="s">
        <v>195</v>
      </c>
      <c r="AG282" s="708"/>
    </row>
    <row r="283" ht="24.95" customHeight="1" spans="1:33">
      <c r="A283" s="705"/>
      <c r="B283" s="708" t="s">
        <v>102</v>
      </c>
      <c r="C283" s="708" t="s">
        <v>52</v>
      </c>
      <c r="D283" s="709" t="s">
        <v>147</v>
      </c>
      <c r="E283" s="92">
        <v>1</v>
      </c>
      <c r="F283" s="708" t="s">
        <v>102</v>
      </c>
      <c r="G283" s="708"/>
      <c r="H283" s="708">
        <v>150</v>
      </c>
      <c r="I283" s="92"/>
      <c r="J283" s="708"/>
      <c r="K283" s="92">
        <v>150</v>
      </c>
      <c r="L283" s="92">
        <v>2020.01</v>
      </c>
      <c r="M283" s="92">
        <v>2020.12</v>
      </c>
      <c r="N283" s="726">
        <v>6</v>
      </c>
      <c r="O283" s="726">
        <v>6</v>
      </c>
      <c r="P283" s="726"/>
      <c r="Q283" s="726"/>
      <c r="R283" s="726"/>
      <c r="S283" s="726"/>
      <c r="T283" s="726"/>
      <c r="U283" s="726">
        <v>6</v>
      </c>
      <c r="V283" s="726"/>
      <c r="W283" s="726" t="s">
        <v>240</v>
      </c>
      <c r="X283" s="726" t="s">
        <v>47</v>
      </c>
      <c r="Y283" s="763">
        <v>150</v>
      </c>
      <c r="Z283" s="763">
        <v>150</v>
      </c>
      <c r="AA283" s="92">
        <v>1</v>
      </c>
      <c r="AB283" s="708"/>
      <c r="AC283" s="708"/>
      <c r="AD283" s="146" t="s">
        <v>255</v>
      </c>
      <c r="AE283" s="146" t="s">
        <v>256</v>
      </c>
      <c r="AF283" s="146" t="s">
        <v>195</v>
      </c>
      <c r="AG283" s="708"/>
    </row>
    <row r="284" ht="24.95" customHeight="1" spans="1:33">
      <c r="A284" s="705"/>
      <c r="B284" s="708" t="s">
        <v>100</v>
      </c>
      <c r="C284" s="708" t="s">
        <v>52</v>
      </c>
      <c r="D284" s="709" t="s">
        <v>147</v>
      </c>
      <c r="E284" s="92">
        <v>1</v>
      </c>
      <c r="F284" s="708" t="s">
        <v>100</v>
      </c>
      <c r="G284" s="708"/>
      <c r="H284" s="708">
        <v>80</v>
      </c>
      <c r="I284" s="92"/>
      <c r="J284" s="708"/>
      <c r="K284" s="92">
        <v>80</v>
      </c>
      <c r="L284" s="92">
        <v>2020.01</v>
      </c>
      <c r="M284" s="92">
        <v>2020.12</v>
      </c>
      <c r="N284" s="726">
        <v>3.2</v>
      </c>
      <c r="O284" s="726">
        <v>3.2</v>
      </c>
      <c r="P284" s="726"/>
      <c r="Q284" s="726"/>
      <c r="R284" s="726"/>
      <c r="S284" s="726"/>
      <c r="T284" s="726"/>
      <c r="U284" s="726">
        <v>3.2</v>
      </c>
      <c r="V284" s="726"/>
      <c r="W284" s="726" t="s">
        <v>240</v>
      </c>
      <c r="X284" s="726" t="s">
        <v>47</v>
      </c>
      <c r="Y284" s="763">
        <v>80</v>
      </c>
      <c r="Z284" s="763">
        <v>80</v>
      </c>
      <c r="AA284" s="92">
        <v>1</v>
      </c>
      <c r="AB284" s="708"/>
      <c r="AC284" s="708"/>
      <c r="AD284" s="438" t="s">
        <v>79</v>
      </c>
      <c r="AE284" s="146" t="s">
        <v>257</v>
      </c>
      <c r="AF284" s="146" t="s">
        <v>195</v>
      </c>
      <c r="AG284" s="708"/>
    </row>
    <row r="285" ht="24.95" customHeight="1" spans="1:33">
      <c r="A285" s="705"/>
      <c r="B285" s="708" t="s">
        <v>84</v>
      </c>
      <c r="C285" s="708" t="s">
        <v>52</v>
      </c>
      <c r="D285" s="709" t="s">
        <v>147</v>
      </c>
      <c r="E285" s="92">
        <v>1</v>
      </c>
      <c r="F285" s="708" t="s">
        <v>84</v>
      </c>
      <c r="G285" s="708"/>
      <c r="H285" s="708">
        <v>100</v>
      </c>
      <c r="I285" s="92"/>
      <c r="J285" s="708"/>
      <c r="K285" s="92">
        <v>100</v>
      </c>
      <c r="L285" s="92">
        <v>2020.01</v>
      </c>
      <c r="M285" s="92">
        <v>2020.12</v>
      </c>
      <c r="N285" s="726">
        <v>4</v>
      </c>
      <c r="O285" s="726">
        <v>4</v>
      </c>
      <c r="P285" s="726"/>
      <c r="Q285" s="726"/>
      <c r="R285" s="726"/>
      <c r="S285" s="726"/>
      <c r="T285" s="726"/>
      <c r="U285" s="726">
        <v>4</v>
      </c>
      <c r="V285" s="726"/>
      <c r="W285" s="726" t="s">
        <v>240</v>
      </c>
      <c r="X285" s="726" t="s">
        <v>47</v>
      </c>
      <c r="Y285" s="763">
        <v>100</v>
      </c>
      <c r="Z285" s="763">
        <v>100</v>
      </c>
      <c r="AA285" s="92">
        <v>1</v>
      </c>
      <c r="AB285" s="708"/>
      <c r="AC285" s="708"/>
      <c r="AD285" s="438" t="s">
        <v>185</v>
      </c>
      <c r="AE285" s="146" t="s">
        <v>258</v>
      </c>
      <c r="AF285" s="146" t="s">
        <v>195</v>
      </c>
      <c r="AG285" s="708"/>
    </row>
    <row r="286" ht="24.95" customHeight="1" spans="1:33">
      <c r="A286" s="705"/>
      <c r="B286" s="708" t="s">
        <v>259</v>
      </c>
      <c r="C286" s="708" t="s">
        <v>52</v>
      </c>
      <c r="D286" s="709" t="s">
        <v>147</v>
      </c>
      <c r="E286" s="92">
        <v>1</v>
      </c>
      <c r="F286" s="708" t="s">
        <v>259</v>
      </c>
      <c r="G286" s="708"/>
      <c r="H286" s="708">
        <v>40</v>
      </c>
      <c r="I286" s="92"/>
      <c r="J286" s="708"/>
      <c r="K286" s="92">
        <v>40</v>
      </c>
      <c r="L286" s="92">
        <v>2020.01</v>
      </c>
      <c r="M286" s="92">
        <v>2020.12</v>
      </c>
      <c r="N286" s="726">
        <v>1.6</v>
      </c>
      <c r="O286" s="726">
        <v>1.6</v>
      </c>
      <c r="P286" s="726"/>
      <c r="Q286" s="726"/>
      <c r="R286" s="726"/>
      <c r="S286" s="726"/>
      <c r="T286" s="726"/>
      <c r="U286" s="726">
        <v>1.6</v>
      </c>
      <c r="V286" s="726"/>
      <c r="W286" s="726" t="s">
        <v>240</v>
      </c>
      <c r="X286" s="726" t="s">
        <v>47</v>
      </c>
      <c r="Y286" s="763">
        <v>40</v>
      </c>
      <c r="Z286" s="763">
        <v>40</v>
      </c>
      <c r="AA286" s="92">
        <v>1</v>
      </c>
      <c r="AB286" s="708"/>
      <c r="AC286" s="708"/>
      <c r="AD286" s="438" t="s">
        <v>260</v>
      </c>
      <c r="AE286" s="146" t="s">
        <v>261</v>
      </c>
      <c r="AF286" s="146" t="s">
        <v>195</v>
      </c>
      <c r="AG286" s="708"/>
    </row>
    <row r="287" ht="24.95" customHeight="1" spans="1:33">
      <c r="A287" s="705"/>
      <c r="B287" s="708" t="s">
        <v>143</v>
      </c>
      <c r="C287" s="708" t="s">
        <v>52</v>
      </c>
      <c r="D287" s="709" t="s">
        <v>147</v>
      </c>
      <c r="E287" s="92">
        <v>1</v>
      </c>
      <c r="F287" s="708" t="s">
        <v>143</v>
      </c>
      <c r="G287" s="708"/>
      <c r="H287" s="708">
        <v>100</v>
      </c>
      <c r="I287" s="92"/>
      <c r="J287" s="708"/>
      <c r="K287" s="92">
        <v>100</v>
      </c>
      <c r="L287" s="92">
        <v>2020.01</v>
      </c>
      <c r="M287" s="92">
        <v>2020.12</v>
      </c>
      <c r="N287" s="726">
        <v>4</v>
      </c>
      <c r="O287" s="726">
        <v>4</v>
      </c>
      <c r="P287" s="726"/>
      <c r="Q287" s="726"/>
      <c r="R287" s="726"/>
      <c r="S287" s="726"/>
      <c r="T287" s="726"/>
      <c r="U287" s="726">
        <v>4</v>
      </c>
      <c r="V287" s="726"/>
      <c r="W287" s="726" t="s">
        <v>240</v>
      </c>
      <c r="X287" s="726" t="s">
        <v>47</v>
      </c>
      <c r="Y287" s="763">
        <v>100</v>
      </c>
      <c r="Z287" s="763">
        <v>100</v>
      </c>
      <c r="AA287" s="92">
        <v>1</v>
      </c>
      <c r="AB287" s="708"/>
      <c r="AC287" s="708"/>
      <c r="AD287" s="777" t="s">
        <v>262</v>
      </c>
      <c r="AE287" s="777" t="s">
        <v>263</v>
      </c>
      <c r="AF287" s="146" t="s">
        <v>195</v>
      </c>
      <c r="AG287" s="708"/>
    </row>
    <row r="288" ht="24.95" customHeight="1" spans="1:33">
      <c r="A288" s="705">
        <v>33</v>
      </c>
      <c r="B288" s="708" t="s">
        <v>268</v>
      </c>
      <c r="C288" s="708"/>
      <c r="D288" s="709" t="s">
        <v>147</v>
      </c>
      <c r="E288" s="708">
        <f>E313+E326</f>
        <v>24</v>
      </c>
      <c r="F288" s="708">
        <f t="shared" ref="F288:AA288" si="40">F313+F326</f>
        <v>0</v>
      </c>
      <c r="G288" s="708">
        <f t="shared" si="40"/>
        <v>0</v>
      </c>
      <c r="H288" s="708">
        <f t="shared" si="40"/>
        <v>3765</v>
      </c>
      <c r="I288" s="708">
        <f t="shared" si="40"/>
        <v>0</v>
      </c>
      <c r="J288" s="708">
        <f t="shared" si="40"/>
        <v>0</v>
      </c>
      <c r="K288" s="708">
        <f t="shared" si="40"/>
        <v>3765</v>
      </c>
      <c r="L288" s="708">
        <f t="shared" si="40"/>
        <v>0</v>
      </c>
      <c r="M288" s="708">
        <f t="shared" si="40"/>
        <v>0</v>
      </c>
      <c r="N288" s="708">
        <f t="shared" si="40"/>
        <v>1134.6</v>
      </c>
      <c r="O288" s="708">
        <f t="shared" si="40"/>
        <v>0</v>
      </c>
      <c r="P288" s="708">
        <f t="shared" si="40"/>
        <v>0</v>
      </c>
      <c r="Q288" s="708">
        <f t="shared" si="40"/>
        <v>1134.6</v>
      </c>
      <c r="R288" s="708">
        <f t="shared" si="40"/>
        <v>534.6</v>
      </c>
      <c r="S288" s="708">
        <f t="shared" si="40"/>
        <v>0</v>
      </c>
      <c r="T288" s="708">
        <f t="shared" si="40"/>
        <v>0</v>
      </c>
      <c r="U288" s="708">
        <f t="shared" si="40"/>
        <v>600</v>
      </c>
      <c r="V288" s="708">
        <f t="shared" si="40"/>
        <v>0</v>
      </c>
      <c r="W288" s="708">
        <f t="shared" si="40"/>
        <v>0</v>
      </c>
      <c r="X288" s="708">
        <f t="shared" si="40"/>
        <v>0</v>
      </c>
      <c r="Y288" s="708">
        <f t="shared" si="40"/>
        <v>3330</v>
      </c>
      <c r="Z288" s="708">
        <f t="shared" si="40"/>
        <v>13917</v>
      </c>
      <c r="AA288" s="708">
        <f t="shared" si="40"/>
        <v>24</v>
      </c>
      <c r="AB288" s="708"/>
      <c r="AC288" s="708"/>
      <c r="AD288" s="708"/>
      <c r="AE288" s="708"/>
      <c r="AF288" s="708"/>
      <c r="AG288" s="708" t="s">
        <v>41</v>
      </c>
    </row>
    <row r="289" ht="24.95" customHeight="1" spans="1:33">
      <c r="A289" s="705">
        <v>34</v>
      </c>
      <c r="B289" s="92" t="s">
        <v>269</v>
      </c>
      <c r="C289" s="92"/>
      <c r="D289" s="76" t="s">
        <v>147</v>
      </c>
      <c r="E289" s="92"/>
      <c r="F289" s="92"/>
      <c r="G289" s="92"/>
      <c r="H289" s="92"/>
      <c r="I289" s="92"/>
      <c r="J289" s="92"/>
      <c r="K289" s="92"/>
      <c r="L289" s="92"/>
      <c r="M289" s="92"/>
      <c r="N289" s="724"/>
      <c r="O289" s="724"/>
      <c r="P289" s="724"/>
      <c r="Q289" s="724"/>
      <c r="R289" s="724"/>
      <c r="S289" s="724"/>
      <c r="T289" s="724"/>
      <c r="U289" s="724"/>
      <c r="V289" s="724"/>
      <c r="W289" s="724"/>
      <c r="X289" s="724"/>
      <c r="Y289" s="724"/>
      <c r="Z289" s="724"/>
      <c r="AA289" s="92"/>
      <c r="AB289" s="92"/>
      <c r="AC289" s="92"/>
      <c r="AD289" s="92"/>
      <c r="AE289" s="92"/>
      <c r="AF289" s="92" t="s">
        <v>201</v>
      </c>
      <c r="AG289" s="92" t="s">
        <v>41</v>
      </c>
    </row>
    <row r="290" ht="24.95" customHeight="1" spans="1:33">
      <c r="A290" s="705" t="s">
        <v>48</v>
      </c>
      <c r="B290" s="92" t="s">
        <v>148</v>
      </c>
      <c r="C290" s="92"/>
      <c r="D290" s="76"/>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row>
    <row r="291" ht="24.95" customHeight="1" spans="1:33">
      <c r="A291" s="705">
        <v>35</v>
      </c>
      <c r="B291" s="92" t="s">
        <v>270</v>
      </c>
      <c r="C291" s="92"/>
      <c r="D291" s="76" t="s">
        <v>147</v>
      </c>
      <c r="E291" s="92"/>
      <c r="F291" s="92"/>
      <c r="G291" s="92"/>
      <c r="H291" s="92"/>
      <c r="I291" s="92"/>
      <c r="J291" s="92"/>
      <c r="K291" s="92"/>
      <c r="L291" s="92"/>
      <c r="M291" s="92"/>
      <c r="N291" s="724"/>
      <c r="O291" s="724"/>
      <c r="P291" s="724"/>
      <c r="Q291" s="724"/>
      <c r="R291" s="724"/>
      <c r="S291" s="724"/>
      <c r="T291" s="724"/>
      <c r="U291" s="724"/>
      <c r="V291" s="724"/>
      <c r="W291" s="724"/>
      <c r="X291" s="724"/>
      <c r="Y291" s="724"/>
      <c r="Z291" s="724"/>
      <c r="AA291" s="92"/>
      <c r="AB291" s="92"/>
      <c r="AC291" s="92"/>
      <c r="AD291" s="92"/>
      <c r="AE291" s="92"/>
      <c r="AF291" s="92" t="s">
        <v>271</v>
      </c>
      <c r="AG291" s="92" t="s">
        <v>41</v>
      </c>
    </row>
    <row r="292" ht="24.95" customHeight="1" spans="1:33">
      <c r="A292" s="705" t="s">
        <v>48</v>
      </c>
      <c r="B292" s="92" t="s">
        <v>148</v>
      </c>
      <c r="C292" s="92"/>
      <c r="D292" s="76"/>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row>
    <row r="293" ht="24.95" customHeight="1" spans="1:33">
      <c r="A293" s="705">
        <v>36</v>
      </c>
      <c r="B293" s="92" t="s">
        <v>272</v>
      </c>
      <c r="C293" s="92"/>
      <c r="D293" s="76" t="s">
        <v>147</v>
      </c>
      <c r="E293" s="92"/>
      <c r="F293" s="92"/>
      <c r="G293" s="92"/>
      <c r="H293" s="92"/>
      <c r="I293" s="92"/>
      <c r="J293" s="92"/>
      <c r="K293" s="92"/>
      <c r="L293" s="92"/>
      <c r="M293" s="92"/>
      <c r="N293" s="724"/>
      <c r="O293" s="724"/>
      <c r="P293" s="724"/>
      <c r="Q293" s="724"/>
      <c r="R293" s="724"/>
      <c r="S293" s="724"/>
      <c r="T293" s="724"/>
      <c r="U293" s="724"/>
      <c r="V293" s="724"/>
      <c r="W293" s="724"/>
      <c r="X293" s="724"/>
      <c r="Y293" s="724"/>
      <c r="Z293" s="724"/>
      <c r="AA293" s="92"/>
      <c r="AB293" s="92"/>
      <c r="AC293" s="92"/>
      <c r="AD293" s="92"/>
      <c r="AE293" s="92"/>
      <c r="AF293" s="92" t="s">
        <v>273</v>
      </c>
      <c r="AG293" s="92" t="s">
        <v>41</v>
      </c>
    </row>
    <row r="294" ht="24.95" customHeight="1" spans="1:33">
      <c r="A294" s="705" t="s">
        <v>48</v>
      </c>
      <c r="B294" s="92" t="s">
        <v>148</v>
      </c>
      <c r="C294" s="92"/>
      <c r="D294" s="76"/>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row>
    <row r="295" ht="24.95" customHeight="1" spans="1:33">
      <c r="A295" s="705">
        <v>37</v>
      </c>
      <c r="B295" s="92" t="s">
        <v>274</v>
      </c>
      <c r="C295" s="92"/>
      <c r="D295" s="76" t="s">
        <v>147</v>
      </c>
      <c r="E295" s="92"/>
      <c r="F295" s="92"/>
      <c r="G295" s="92"/>
      <c r="H295" s="92"/>
      <c r="I295" s="92"/>
      <c r="J295" s="92"/>
      <c r="K295" s="92"/>
      <c r="L295" s="92"/>
      <c r="M295" s="92"/>
      <c r="N295" s="724"/>
      <c r="O295" s="724"/>
      <c r="P295" s="724"/>
      <c r="Q295" s="724"/>
      <c r="R295" s="724"/>
      <c r="S295" s="724"/>
      <c r="T295" s="724"/>
      <c r="U295" s="724"/>
      <c r="V295" s="724"/>
      <c r="W295" s="724"/>
      <c r="X295" s="724"/>
      <c r="Y295" s="724"/>
      <c r="Z295" s="724"/>
      <c r="AA295" s="92"/>
      <c r="AB295" s="92"/>
      <c r="AC295" s="92"/>
      <c r="AD295" s="92"/>
      <c r="AE295" s="92"/>
      <c r="AF295" s="92" t="s">
        <v>275</v>
      </c>
      <c r="AG295" s="92" t="s">
        <v>41</v>
      </c>
    </row>
    <row r="296" ht="24.95" customHeight="1" spans="1:33">
      <c r="A296" s="705" t="s">
        <v>48</v>
      </c>
      <c r="B296" s="92" t="s">
        <v>148</v>
      </c>
      <c r="C296" s="92"/>
      <c r="D296" s="76"/>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row>
    <row r="297" ht="24.95" customHeight="1" spans="1:33">
      <c r="A297" s="705">
        <v>38</v>
      </c>
      <c r="B297" s="92" t="s">
        <v>276</v>
      </c>
      <c r="C297" s="92"/>
      <c r="D297" s="76" t="s">
        <v>147</v>
      </c>
      <c r="E297" s="92"/>
      <c r="F297" s="92"/>
      <c r="G297" s="92"/>
      <c r="H297" s="92"/>
      <c r="I297" s="92"/>
      <c r="J297" s="92"/>
      <c r="K297" s="92"/>
      <c r="L297" s="92"/>
      <c r="M297" s="92"/>
      <c r="N297" s="724"/>
      <c r="O297" s="724"/>
      <c r="P297" s="724"/>
      <c r="Q297" s="724"/>
      <c r="R297" s="724"/>
      <c r="S297" s="724"/>
      <c r="T297" s="724"/>
      <c r="U297" s="724"/>
      <c r="V297" s="724"/>
      <c r="W297" s="724"/>
      <c r="X297" s="724"/>
      <c r="Y297" s="724"/>
      <c r="Z297" s="724"/>
      <c r="AA297" s="92"/>
      <c r="AB297" s="92"/>
      <c r="AC297" s="92"/>
      <c r="AD297" s="92"/>
      <c r="AE297" s="92"/>
      <c r="AF297" s="92" t="s">
        <v>277</v>
      </c>
      <c r="AG297" s="92" t="s">
        <v>41</v>
      </c>
    </row>
    <row r="298" ht="24.95" customHeight="1" spans="1:33">
      <c r="A298" s="705" t="s">
        <v>48</v>
      </c>
      <c r="B298" s="92" t="s">
        <v>148</v>
      </c>
      <c r="C298" s="92"/>
      <c r="D298" s="76"/>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row>
    <row r="299" ht="24.95" customHeight="1" spans="1:33">
      <c r="A299" s="705">
        <v>39</v>
      </c>
      <c r="B299" s="92" t="s">
        <v>278</v>
      </c>
      <c r="C299" s="92"/>
      <c r="D299" s="76" t="s">
        <v>147</v>
      </c>
      <c r="E299" s="92"/>
      <c r="F299" s="92"/>
      <c r="G299" s="92"/>
      <c r="H299" s="92"/>
      <c r="I299" s="92"/>
      <c r="J299" s="92"/>
      <c r="K299" s="92"/>
      <c r="L299" s="92"/>
      <c r="M299" s="92"/>
      <c r="N299" s="724"/>
      <c r="O299" s="724"/>
      <c r="P299" s="724"/>
      <c r="Q299" s="724"/>
      <c r="R299" s="724"/>
      <c r="S299" s="724"/>
      <c r="T299" s="724"/>
      <c r="U299" s="724"/>
      <c r="V299" s="724"/>
      <c r="W299" s="724"/>
      <c r="X299" s="724"/>
      <c r="Y299" s="724"/>
      <c r="Z299" s="724"/>
      <c r="AA299" s="92"/>
      <c r="AB299" s="92"/>
      <c r="AC299" s="92"/>
      <c r="AD299" s="92"/>
      <c r="AE299" s="92"/>
      <c r="AF299" s="92" t="s">
        <v>195</v>
      </c>
      <c r="AG299" s="92"/>
    </row>
    <row r="300" ht="24.95" customHeight="1" spans="1:33">
      <c r="A300" s="705" t="s">
        <v>48</v>
      </c>
      <c r="B300" s="92" t="s">
        <v>148</v>
      </c>
      <c r="C300" s="92"/>
      <c r="D300" s="76"/>
      <c r="E300" s="92"/>
      <c r="F300" s="92"/>
      <c r="G300" s="92"/>
      <c r="H300" s="92"/>
      <c r="I300" s="92"/>
      <c r="J300" s="92"/>
      <c r="K300" s="92"/>
      <c r="L300" s="92"/>
      <c r="M300" s="92"/>
      <c r="N300" s="724"/>
      <c r="O300" s="724"/>
      <c r="P300" s="724"/>
      <c r="Q300" s="724"/>
      <c r="R300" s="724"/>
      <c r="S300" s="724"/>
      <c r="T300" s="724"/>
      <c r="U300" s="724"/>
      <c r="V300" s="92"/>
      <c r="W300" s="92"/>
      <c r="X300" s="92"/>
      <c r="Y300" s="92"/>
      <c r="Z300" s="92"/>
      <c r="AA300" s="92"/>
      <c r="AB300" s="92"/>
      <c r="AC300" s="92"/>
      <c r="AD300" s="92"/>
      <c r="AE300" s="92"/>
      <c r="AF300" s="92"/>
      <c r="AG300" s="92"/>
    </row>
    <row r="301" ht="44.25" customHeight="1" spans="1:33">
      <c r="A301" s="705">
        <v>40</v>
      </c>
      <c r="B301" s="92" t="s">
        <v>279</v>
      </c>
      <c r="C301" s="92"/>
      <c r="D301" s="76" t="s">
        <v>147</v>
      </c>
      <c r="E301" s="92"/>
      <c r="F301" s="92"/>
      <c r="G301" s="92"/>
      <c r="H301" s="92"/>
      <c r="I301" s="92"/>
      <c r="J301" s="92"/>
      <c r="K301" s="92"/>
      <c r="L301" s="92"/>
      <c r="M301" s="92"/>
      <c r="N301" s="724"/>
      <c r="O301" s="724"/>
      <c r="P301" s="724"/>
      <c r="Q301" s="724"/>
      <c r="R301" s="724"/>
      <c r="S301" s="724"/>
      <c r="T301" s="724"/>
      <c r="U301" s="724"/>
      <c r="V301" s="724"/>
      <c r="W301" s="724"/>
      <c r="X301" s="724"/>
      <c r="Y301" s="724"/>
      <c r="Z301" s="724"/>
      <c r="AA301" s="92"/>
      <c r="AB301" s="92"/>
      <c r="AC301" s="92"/>
      <c r="AD301" s="92"/>
      <c r="AE301" s="92"/>
      <c r="AF301" s="92" t="s">
        <v>195</v>
      </c>
      <c r="AG301" s="92"/>
    </row>
    <row r="302" ht="24.95" customHeight="1" spans="1:33">
      <c r="A302" s="705" t="s">
        <v>48</v>
      </c>
      <c r="B302" s="92" t="s">
        <v>148</v>
      </c>
      <c r="C302" s="92"/>
      <c r="D302" s="76"/>
      <c r="E302" s="92"/>
      <c r="F302" s="92"/>
      <c r="G302" s="92"/>
      <c r="H302" s="92"/>
      <c r="I302" s="92"/>
      <c r="J302" s="92"/>
      <c r="K302" s="92"/>
      <c r="L302" s="92"/>
      <c r="M302" s="92"/>
      <c r="N302" s="724"/>
      <c r="O302" s="724"/>
      <c r="P302" s="724"/>
      <c r="Q302" s="724"/>
      <c r="R302" s="724"/>
      <c r="S302" s="724"/>
      <c r="T302" s="724"/>
      <c r="U302" s="724"/>
      <c r="V302" s="92"/>
      <c r="W302" s="92"/>
      <c r="X302" s="92"/>
      <c r="Y302" s="92"/>
      <c r="Z302" s="92"/>
      <c r="AA302" s="92"/>
      <c r="AB302" s="92"/>
      <c r="AC302" s="92"/>
      <c r="AD302" s="92"/>
      <c r="AE302" s="92"/>
      <c r="AF302" s="92"/>
      <c r="AG302" s="92"/>
    </row>
    <row r="303" ht="24.95" customHeight="1" spans="1:33">
      <c r="A303" s="705">
        <v>41</v>
      </c>
      <c r="B303" s="92" t="s">
        <v>280</v>
      </c>
      <c r="C303" s="92"/>
      <c r="D303" s="76" t="s">
        <v>147</v>
      </c>
      <c r="E303" s="92"/>
      <c r="F303" s="92"/>
      <c r="G303" s="92"/>
      <c r="H303" s="92"/>
      <c r="I303" s="92"/>
      <c r="J303" s="92"/>
      <c r="K303" s="92"/>
      <c r="L303" s="92"/>
      <c r="M303" s="92"/>
      <c r="N303" s="724"/>
      <c r="O303" s="724"/>
      <c r="P303" s="724"/>
      <c r="Q303" s="724"/>
      <c r="R303" s="724"/>
      <c r="S303" s="724"/>
      <c r="T303" s="724"/>
      <c r="U303" s="724"/>
      <c r="V303" s="724"/>
      <c r="W303" s="724"/>
      <c r="X303" s="724"/>
      <c r="Y303" s="724"/>
      <c r="Z303" s="724"/>
      <c r="AA303" s="92"/>
      <c r="AB303" s="92"/>
      <c r="AC303" s="92"/>
      <c r="AD303" s="92"/>
      <c r="AE303" s="92"/>
      <c r="AF303" s="92" t="s">
        <v>195</v>
      </c>
      <c r="AG303" s="92"/>
    </row>
    <row r="304" ht="24.95" customHeight="1" spans="1:33">
      <c r="A304" s="705" t="s">
        <v>48</v>
      </c>
      <c r="B304" s="92" t="s">
        <v>148</v>
      </c>
      <c r="C304" s="92"/>
      <c r="D304" s="76"/>
      <c r="E304" s="92"/>
      <c r="F304" s="92"/>
      <c r="G304" s="92"/>
      <c r="H304" s="92"/>
      <c r="I304" s="92"/>
      <c r="J304" s="92"/>
      <c r="K304" s="92"/>
      <c r="L304" s="92"/>
      <c r="M304" s="92"/>
      <c r="N304" s="724"/>
      <c r="O304" s="724"/>
      <c r="P304" s="724"/>
      <c r="Q304" s="724"/>
      <c r="R304" s="724"/>
      <c r="S304" s="724"/>
      <c r="T304" s="724"/>
      <c r="U304" s="724"/>
      <c r="V304" s="92"/>
      <c r="W304" s="92"/>
      <c r="X304" s="92"/>
      <c r="Y304" s="92"/>
      <c r="Z304" s="92"/>
      <c r="AA304" s="92"/>
      <c r="AB304" s="92"/>
      <c r="AC304" s="92"/>
      <c r="AD304" s="92"/>
      <c r="AE304" s="92"/>
      <c r="AF304" s="92"/>
      <c r="AG304" s="92"/>
    </row>
    <row r="305" ht="24.95" customHeight="1" spans="1:33">
      <c r="A305" s="705">
        <v>42</v>
      </c>
      <c r="B305" s="92" t="s">
        <v>281</v>
      </c>
      <c r="C305" s="92"/>
      <c r="D305" s="76" t="s">
        <v>147</v>
      </c>
      <c r="E305" s="92"/>
      <c r="F305" s="92"/>
      <c r="G305" s="92"/>
      <c r="H305" s="92"/>
      <c r="I305" s="92"/>
      <c r="J305" s="92"/>
      <c r="K305" s="92"/>
      <c r="L305" s="92"/>
      <c r="M305" s="92"/>
      <c r="N305" s="724"/>
      <c r="O305" s="724"/>
      <c r="P305" s="724"/>
      <c r="Q305" s="724"/>
      <c r="R305" s="724"/>
      <c r="S305" s="724"/>
      <c r="T305" s="724"/>
      <c r="U305" s="724"/>
      <c r="V305" s="724"/>
      <c r="W305" s="724"/>
      <c r="X305" s="724"/>
      <c r="Y305" s="724"/>
      <c r="Z305" s="724"/>
      <c r="AA305" s="92"/>
      <c r="AB305" s="92"/>
      <c r="AC305" s="92"/>
      <c r="AD305" s="92"/>
      <c r="AE305" s="92"/>
      <c r="AF305" s="92" t="s">
        <v>195</v>
      </c>
      <c r="AG305" s="92"/>
    </row>
    <row r="306" ht="24.95" customHeight="1" spans="1:33">
      <c r="A306" s="705" t="s">
        <v>48</v>
      </c>
      <c r="B306" s="92" t="s">
        <v>148</v>
      </c>
      <c r="C306" s="92"/>
      <c r="D306" s="76"/>
      <c r="E306" s="92"/>
      <c r="F306" s="92"/>
      <c r="G306" s="92"/>
      <c r="H306" s="92"/>
      <c r="I306" s="92"/>
      <c r="J306" s="92"/>
      <c r="K306" s="92"/>
      <c r="L306" s="92"/>
      <c r="M306" s="92"/>
      <c r="N306" s="724"/>
      <c r="O306" s="724"/>
      <c r="P306" s="724"/>
      <c r="Q306" s="724"/>
      <c r="R306" s="92"/>
      <c r="S306" s="92"/>
      <c r="T306" s="92"/>
      <c r="U306" s="92"/>
      <c r="V306" s="92"/>
      <c r="W306" s="92"/>
      <c r="X306" s="92"/>
      <c r="Y306" s="92"/>
      <c r="Z306" s="92"/>
      <c r="AA306" s="92"/>
      <c r="AB306" s="92"/>
      <c r="AC306" s="92"/>
      <c r="AD306" s="92"/>
      <c r="AE306" s="92"/>
      <c r="AF306" s="92"/>
      <c r="AG306" s="92"/>
    </row>
    <row r="307" ht="24.95" customHeight="1" spans="1:33">
      <c r="A307" s="705">
        <v>43</v>
      </c>
      <c r="B307" s="92" t="s">
        <v>282</v>
      </c>
      <c r="C307" s="92"/>
      <c r="D307" s="76" t="s">
        <v>147</v>
      </c>
      <c r="E307" s="92"/>
      <c r="F307" s="92"/>
      <c r="G307" s="92"/>
      <c r="H307" s="92"/>
      <c r="I307" s="92"/>
      <c r="J307" s="92"/>
      <c r="K307" s="92"/>
      <c r="L307" s="92"/>
      <c r="M307" s="92"/>
      <c r="N307" s="724"/>
      <c r="O307" s="724"/>
      <c r="P307" s="724"/>
      <c r="Q307" s="724"/>
      <c r="R307" s="724"/>
      <c r="S307" s="724"/>
      <c r="T307" s="724"/>
      <c r="U307" s="724"/>
      <c r="V307" s="724"/>
      <c r="W307" s="724"/>
      <c r="X307" s="724"/>
      <c r="Y307" s="724"/>
      <c r="Z307" s="724"/>
      <c r="AA307" s="92"/>
      <c r="AB307" s="92"/>
      <c r="AC307" s="92"/>
      <c r="AD307" s="92"/>
      <c r="AE307" s="92"/>
      <c r="AF307" s="92" t="s">
        <v>195</v>
      </c>
      <c r="AG307" s="92"/>
    </row>
    <row r="308" ht="24.95" customHeight="1" spans="1:33">
      <c r="A308" s="705" t="s">
        <v>48</v>
      </c>
      <c r="B308" s="92" t="s">
        <v>148</v>
      </c>
      <c r="C308" s="92"/>
      <c r="D308" s="76"/>
      <c r="E308" s="92"/>
      <c r="F308" s="92"/>
      <c r="G308" s="92"/>
      <c r="H308" s="92"/>
      <c r="I308" s="92"/>
      <c r="J308" s="92"/>
      <c r="K308" s="92"/>
      <c r="L308" s="92"/>
      <c r="M308" s="92"/>
      <c r="N308" s="724"/>
      <c r="O308" s="724"/>
      <c r="P308" s="724"/>
      <c r="Q308" s="724"/>
      <c r="R308" s="92"/>
      <c r="S308" s="92"/>
      <c r="T308" s="92"/>
      <c r="U308" s="92"/>
      <c r="V308" s="92"/>
      <c r="W308" s="92"/>
      <c r="X308" s="92"/>
      <c r="Y308" s="92"/>
      <c r="Z308" s="92"/>
      <c r="AA308" s="92"/>
      <c r="AB308" s="92"/>
      <c r="AC308" s="92"/>
      <c r="AD308" s="92"/>
      <c r="AE308" s="92"/>
      <c r="AF308" s="92"/>
      <c r="AG308" s="92"/>
    </row>
    <row r="309" ht="24.95" customHeight="1" spans="1:33">
      <c r="A309" s="705">
        <v>44</v>
      </c>
      <c r="B309" s="92" t="s">
        <v>283</v>
      </c>
      <c r="C309" s="92"/>
      <c r="D309" s="76"/>
      <c r="E309" s="92"/>
      <c r="F309" s="92"/>
      <c r="G309" s="92"/>
      <c r="H309" s="92"/>
      <c r="I309" s="92"/>
      <c r="J309" s="92"/>
      <c r="K309" s="92"/>
      <c r="L309" s="92"/>
      <c r="M309" s="92"/>
      <c r="N309" s="724"/>
      <c r="O309" s="724"/>
      <c r="P309" s="724"/>
      <c r="Q309" s="724"/>
      <c r="R309" s="724"/>
      <c r="S309" s="724"/>
      <c r="T309" s="724"/>
      <c r="U309" s="724"/>
      <c r="V309" s="724"/>
      <c r="W309" s="724"/>
      <c r="X309" s="724"/>
      <c r="Y309" s="724"/>
      <c r="Z309" s="724"/>
      <c r="AA309" s="92"/>
      <c r="AB309" s="92"/>
      <c r="AC309" s="92"/>
      <c r="AD309" s="92"/>
      <c r="AE309" s="92"/>
      <c r="AF309" s="92" t="s">
        <v>195</v>
      </c>
      <c r="AG309" s="92"/>
    </row>
    <row r="310" ht="24.95" customHeight="1" spans="1:33">
      <c r="A310" s="705" t="s">
        <v>48</v>
      </c>
      <c r="B310" s="92" t="s">
        <v>148</v>
      </c>
      <c r="C310" s="73"/>
      <c r="D310" s="71"/>
      <c r="E310" s="73"/>
      <c r="F310" s="73"/>
      <c r="G310" s="73"/>
      <c r="H310" s="73"/>
      <c r="I310" s="73"/>
      <c r="J310" s="73"/>
      <c r="K310" s="73"/>
      <c r="L310" s="73"/>
      <c r="M310" s="73"/>
      <c r="N310" s="724"/>
      <c r="O310" s="724"/>
      <c r="P310" s="724"/>
      <c r="Q310" s="724"/>
      <c r="R310" s="73"/>
      <c r="S310" s="73"/>
      <c r="T310" s="73"/>
      <c r="U310" s="73"/>
      <c r="V310" s="73"/>
      <c r="W310" s="73"/>
      <c r="X310" s="73"/>
      <c r="Y310" s="73"/>
      <c r="Z310" s="73"/>
      <c r="AA310" s="92"/>
      <c r="AB310" s="73"/>
      <c r="AC310" s="73"/>
      <c r="AD310" s="92"/>
      <c r="AE310" s="92"/>
      <c r="AF310" s="92"/>
      <c r="AG310" s="92"/>
    </row>
    <row r="311" ht="53.25" customHeight="1" spans="1:33">
      <c r="A311" s="705">
        <v>45</v>
      </c>
      <c r="B311" s="92" t="s">
        <v>284</v>
      </c>
      <c r="C311" s="92"/>
      <c r="D311" s="76"/>
      <c r="E311" s="92"/>
      <c r="F311" s="92"/>
      <c r="G311" s="92"/>
      <c r="H311" s="92"/>
      <c r="I311" s="92"/>
      <c r="J311" s="92"/>
      <c r="K311" s="92"/>
      <c r="L311" s="92"/>
      <c r="M311" s="92"/>
      <c r="N311" s="724"/>
      <c r="O311" s="724"/>
      <c r="P311" s="724"/>
      <c r="Q311" s="724"/>
      <c r="R311" s="724"/>
      <c r="S311" s="724"/>
      <c r="T311" s="724"/>
      <c r="U311" s="724"/>
      <c r="V311" s="724"/>
      <c r="W311" s="724"/>
      <c r="X311" s="724"/>
      <c r="Y311" s="724"/>
      <c r="Z311" s="724"/>
      <c r="AA311" s="92"/>
      <c r="AB311" s="92"/>
      <c r="AC311" s="92"/>
      <c r="AD311" s="92"/>
      <c r="AE311" s="92"/>
      <c r="AF311" s="92" t="s">
        <v>195</v>
      </c>
      <c r="AG311" s="92"/>
    </row>
    <row r="312" ht="37.5" customHeight="1" spans="1:33">
      <c r="A312" s="705" t="s">
        <v>48</v>
      </c>
      <c r="B312" s="92" t="s">
        <v>148</v>
      </c>
      <c r="C312" s="73"/>
      <c r="D312" s="71"/>
      <c r="E312" s="73"/>
      <c r="F312" s="73"/>
      <c r="G312" s="73"/>
      <c r="H312" s="73"/>
      <c r="I312" s="73"/>
      <c r="J312" s="73"/>
      <c r="K312" s="73"/>
      <c r="L312" s="73"/>
      <c r="M312" s="73"/>
      <c r="N312" s="724"/>
      <c r="O312" s="724"/>
      <c r="P312" s="724"/>
      <c r="Q312" s="724"/>
      <c r="R312" s="73"/>
      <c r="S312" s="73"/>
      <c r="T312" s="73"/>
      <c r="U312" s="73"/>
      <c r="V312" s="73"/>
      <c r="W312" s="73"/>
      <c r="X312" s="73"/>
      <c r="Y312" s="73"/>
      <c r="Z312" s="73"/>
      <c r="AA312" s="92"/>
      <c r="AB312" s="73"/>
      <c r="AC312" s="73"/>
      <c r="AD312" s="92"/>
      <c r="AE312" s="92"/>
      <c r="AF312" s="92"/>
      <c r="AG312" s="92"/>
    </row>
    <row r="313" ht="24.95" customHeight="1" spans="1:33">
      <c r="A313" s="705"/>
      <c r="B313" s="750" t="s">
        <v>285</v>
      </c>
      <c r="C313" s="146" t="s">
        <v>52</v>
      </c>
      <c r="D313" s="152" t="s">
        <v>147</v>
      </c>
      <c r="E313" s="708">
        <f>SUM(E314:E325)</f>
        <v>12</v>
      </c>
      <c r="F313" s="708">
        <f t="shared" ref="F313:AA313" si="41">SUM(F314:F325)</f>
        <v>0</v>
      </c>
      <c r="G313" s="708">
        <f t="shared" si="41"/>
        <v>0</v>
      </c>
      <c r="H313" s="708">
        <f t="shared" si="41"/>
        <v>3000</v>
      </c>
      <c r="I313" s="708">
        <f t="shared" si="41"/>
        <v>0</v>
      </c>
      <c r="J313" s="708">
        <f t="shared" si="41"/>
        <v>0</v>
      </c>
      <c r="K313" s="708">
        <f t="shared" si="41"/>
        <v>3000</v>
      </c>
      <c r="L313" s="708"/>
      <c r="M313" s="708"/>
      <c r="N313" s="726">
        <f t="shared" si="41"/>
        <v>600</v>
      </c>
      <c r="O313" s="726">
        <f t="shared" si="41"/>
        <v>0</v>
      </c>
      <c r="P313" s="726">
        <f t="shared" si="41"/>
        <v>0</v>
      </c>
      <c r="Q313" s="726">
        <f t="shared" si="41"/>
        <v>600</v>
      </c>
      <c r="R313" s="726">
        <f t="shared" si="41"/>
        <v>0</v>
      </c>
      <c r="S313" s="726">
        <f t="shared" si="41"/>
        <v>0</v>
      </c>
      <c r="T313" s="726">
        <f t="shared" si="41"/>
        <v>0</v>
      </c>
      <c r="U313" s="726">
        <f t="shared" si="41"/>
        <v>600</v>
      </c>
      <c r="V313" s="726">
        <f t="shared" si="41"/>
        <v>0</v>
      </c>
      <c r="W313" s="708">
        <f t="shared" si="41"/>
        <v>0</v>
      </c>
      <c r="X313" s="708">
        <f t="shared" si="41"/>
        <v>0</v>
      </c>
      <c r="Y313" s="708">
        <f t="shared" si="41"/>
        <v>3000</v>
      </c>
      <c r="Z313" s="708">
        <f t="shared" si="41"/>
        <v>12900</v>
      </c>
      <c r="AA313" s="708">
        <f t="shared" si="41"/>
        <v>12</v>
      </c>
      <c r="AB313" s="708"/>
      <c r="AC313" s="708"/>
      <c r="AD313" s="193" t="s">
        <v>242</v>
      </c>
      <c r="AE313" s="193" t="s">
        <v>243</v>
      </c>
      <c r="AF313" s="146" t="s">
        <v>195</v>
      </c>
      <c r="AG313" s="708"/>
    </row>
    <row r="314" ht="24.95" customHeight="1" spans="1:33">
      <c r="A314" s="705"/>
      <c r="B314" s="714" t="s">
        <v>101</v>
      </c>
      <c r="C314" s="146" t="s">
        <v>52</v>
      </c>
      <c r="D314" s="152" t="s">
        <v>147</v>
      </c>
      <c r="E314" s="708">
        <v>1</v>
      </c>
      <c r="F314" s="714" t="s">
        <v>101</v>
      </c>
      <c r="G314" s="708"/>
      <c r="H314" s="708">
        <v>177</v>
      </c>
      <c r="I314" s="708"/>
      <c r="J314" s="92"/>
      <c r="K314" s="708">
        <v>177</v>
      </c>
      <c r="L314" s="92">
        <v>2020.01</v>
      </c>
      <c r="M314" s="92">
        <v>2020.12</v>
      </c>
      <c r="N314" s="726">
        <v>35.4</v>
      </c>
      <c r="O314" s="726"/>
      <c r="P314" s="726"/>
      <c r="Q314" s="726">
        <v>35.4</v>
      </c>
      <c r="R314" s="726"/>
      <c r="S314" s="708"/>
      <c r="T314" s="708"/>
      <c r="U314" s="726">
        <v>35.4</v>
      </c>
      <c r="V314" s="708"/>
      <c r="W314" s="708"/>
      <c r="X314" s="708"/>
      <c r="Y314" s="763">
        <v>177</v>
      </c>
      <c r="Z314" s="763">
        <v>761.1</v>
      </c>
      <c r="AA314" s="708">
        <v>1</v>
      </c>
      <c r="AB314" s="708"/>
      <c r="AC314" s="708"/>
      <c r="AD314" s="438" t="s">
        <v>244</v>
      </c>
      <c r="AE314" s="146" t="s">
        <v>245</v>
      </c>
      <c r="AF314" s="146" t="s">
        <v>195</v>
      </c>
      <c r="AG314" s="708"/>
    </row>
    <row r="315" ht="24.95" customHeight="1" spans="1:33">
      <c r="A315" s="705"/>
      <c r="B315" s="714" t="s">
        <v>151</v>
      </c>
      <c r="C315" s="146" t="s">
        <v>52</v>
      </c>
      <c r="D315" s="152" t="s">
        <v>147</v>
      </c>
      <c r="E315" s="708">
        <v>1</v>
      </c>
      <c r="F315" s="714" t="s">
        <v>151</v>
      </c>
      <c r="G315" s="708"/>
      <c r="H315" s="708">
        <v>105</v>
      </c>
      <c r="I315" s="708"/>
      <c r="J315" s="92"/>
      <c r="K315" s="708">
        <v>105</v>
      </c>
      <c r="L315" s="92">
        <v>2020.01</v>
      </c>
      <c r="M315" s="92">
        <v>2020.12</v>
      </c>
      <c r="N315" s="726">
        <v>21</v>
      </c>
      <c r="O315" s="726"/>
      <c r="P315" s="726"/>
      <c r="Q315" s="726">
        <v>21</v>
      </c>
      <c r="R315" s="726"/>
      <c r="S315" s="708"/>
      <c r="T315" s="708"/>
      <c r="U315" s="726">
        <v>21</v>
      </c>
      <c r="V315" s="708"/>
      <c r="W315" s="708"/>
      <c r="X315" s="708"/>
      <c r="Y315" s="763">
        <v>105</v>
      </c>
      <c r="Z315" s="763">
        <v>451.5</v>
      </c>
      <c r="AA315" s="708">
        <v>1</v>
      </c>
      <c r="AB315" s="708"/>
      <c r="AC315" s="708"/>
      <c r="AD315" s="438" t="s">
        <v>169</v>
      </c>
      <c r="AE315" s="146" t="s">
        <v>246</v>
      </c>
      <c r="AF315" s="146" t="s">
        <v>195</v>
      </c>
      <c r="AG315" s="708"/>
    </row>
    <row r="316" ht="24.95" customHeight="1" spans="1:33">
      <c r="A316" s="705"/>
      <c r="B316" s="714" t="s">
        <v>154</v>
      </c>
      <c r="C316" s="146" t="s">
        <v>52</v>
      </c>
      <c r="D316" s="152" t="s">
        <v>147</v>
      </c>
      <c r="E316" s="708">
        <v>1</v>
      </c>
      <c r="F316" s="714" t="s">
        <v>154</v>
      </c>
      <c r="G316" s="708"/>
      <c r="H316" s="708">
        <v>258</v>
      </c>
      <c r="I316" s="708"/>
      <c r="J316" s="92"/>
      <c r="K316" s="708">
        <v>258</v>
      </c>
      <c r="L316" s="92">
        <v>2020.01</v>
      </c>
      <c r="M316" s="92">
        <v>2020.12</v>
      </c>
      <c r="N316" s="726">
        <v>51.6</v>
      </c>
      <c r="O316" s="726"/>
      <c r="P316" s="726"/>
      <c r="Q316" s="726">
        <v>51.6</v>
      </c>
      <c r="R316" s="726"/>
      <c r="S316" s="708"/>
      <c r="T316" s="708"/>
      <c r="U316" s="726">
        <v>51.6</v>
      </c>
      <c r="V316" s="708"/>
      <c r="W316" s="708"/>
      <c r="X316" s="708"/>
      <c r="Y316" s="763">
        <v>258</v>
      </c>
      <c r="Z316" s="763">
        <v>1109.4</v>
      </c>
      <c r="AA316" s="708">
        <v>1</v>
      </c>
      <c r="AB316" s="708"/>
      <c r="AC316" s="708"/>
      <c r="AD316" s="438" t="s">
        <v>247</v>
      </c>
      <c r="AE316" s="146" t="s">
        <v>248</v>
      </c>
      <c r="AF316" s="146" t="s">
        <v>195</v>
      </c>
      <c r="AG316" s="708"/>
    </row>
    <row r="317" ht="24.95" customHeight="1" spans="1:33">
      <c r="A317" s="705"/>
      <c r="B317" s="714" t="s">
        <v>81</v>
      </c>
      <c r="C317" s="146" t="s">
        <v>52</v>
      </c>
      <c r="D317" s="152" t="s">
        <v>147</v>
      </c>
      <c r="E317" s="708">
        <v>1</v>
      </c>
      <c r="F317" s="714" t="s">
        <v>81</v>
      </c>
      <c r="G317" s="708"/>
      <c r="H317" s="708">
        <v>255</v>
      </c>
      <c r="I317" s="708"/>
      <c r="J317" s="92"/>
      <c r="K317" s="708">
        <v>255</v>
      </c>
      <c r="L317" s="92">
        <v>2020.01</v>
      </c>
      <c r="M317" s="92">
        <v>2020.12</v>
      </c>
      <c r="N317" s="726">
        <v>51</v>
      </c>
      <c r="O317" s="726"/>
      <c r="P317" s="726"/>
      <c r="Q317" s="726">
        <v>51</v>
      </c>
      <c r="R317" s="726"/>
      <c r="S317" s="708"/>
      <c r="T317" s="708"/>
      <c r="U317" s="726">
        <v>51</v>
      </c>
      <c r="V317" s="708"/>
      <c r="W317" s="708"/>
      <c r="X317" s="708"/>
      <c r="Y317" s="763">
        <v>255</v>
      </c>
      <c r="Z317" s="763">
        <v>1096.5</v>
      </c>
      <c r="AA317" s="708">
        <v>1</v>
      </c>
      <c r="AB317" s="708"/>
      <c r="AC317" s="708"/>
      <c r="AD317" s="438" t="s">
        <v>249</v>
      </c>
      <c r="AE317" s="146" t="s">
        <v>250</v>
      </c>
      <c r="AF317" s="146" t="s">
        <v>195</v>
      </c>
      <c r="AG317" s="708"/>
    </row>
    <row r="318" ht="24.95" customHeight="1" spans="1:33">
      <c r="A318" s="705"/>
      <c r="B318" s="714" t="s">
        <v>98</v>
      </c>
      <c r="C318" s="146" t="s">
        <v>52</v>
      </c>
      <c r="D318" s="152" t="s">
        <v>147</v>
      </c>
      <c r="E318" s="708">
        <v>1</v>
      </c>
      <c r="F318" s="714" t="s">
        <v>98</v>
      </c>
      <c r="G318" s="708"/>
      <c r="H318" s="763">
        <v>384</v>
      </c>
      <c r="I318" s="708"/>
      <c r="J318" s="92"/>
      <c r="K318" s="763">
        <v>384</v>
      </c>
      <c r="L318" s="92">
        <v>2020.01</v>
      </c>
      <c r="M318" s="92">
        <v>2020.12</v>
      </c>
      <c r="N318" s="726">
        <v>76.8</v>
      </c>
      <c r="O318" s="726"/>
      <c r="P318" s="726"/>
      <c r="Q318" s="726">
        <v>76.8</v>
      </c>
      <c r="R318" s="726"/>
      <c r="S318" s="708"/>
      <c r="T318" s="708"/>
      <c r="U318" s="726">
        <v>76.8</v>
      </c>
      <c r="V318" s="708"/>
      <c r="W318" s="708"/>
      <c r="X318" s="708"/>
      <c r="Y318" s="763">
        <v>384</v>
      </c>
      <c r="Z318" s="763">
        <v>1651.2</v>
      </c>
      <c r="AA318" s="708">
        <v>1</v>
      </c>
      <c r="AB318" s="708"/>
      <c r="AC318" s="708"/>
      <c r="AD318" s="438" t="s">
        <v>209</v>
      </c>
      <c r="AE318" s="146" t="s">
        <v>251</v>
      </c>
      <c r="AF318" s="146" t="s">
        <v>195</v>
      </c>
      <c r="AG318" s="708"/>
    </row>
    <row r="319" ht="24.95" customHeight="1" spans="1:33">
      <c r="A319" s="705"/>
      <c r="B319" s="714" t="s">
        <v>211</v>
      </c>
      <c r="C319" s="146" t="s">
        <v>52</v>
      </c>
      <c r="D319" s="152" t="s">
        <v>147</v>
      </c>
      <c r="E319" s="708">
        <v>1</v>
      </c>
      <c r="F319" s="714" t="s">
        <v>211</v>
      </c>
      <c r="G319" s="708"/>
      <c r="H319" s="708">
        <v>291</v>
      </c>
      <c r="I319" s="708"/>
      <c r="J319" s="92"/>
      <c r="K319" s="708">
        <v>291</v>
      </c>
      <c r="L319" s="92">
        <v>2020.01</v>
      </c>
      <c r="M319" s="92">
        <v>2020.12</v>
      </c>
      <c r="N319" s="726">
        <v>58.2</v>
      </c>
      <c r="O319" s="726"/>
      <c r="P319" s="726"/>
      <c r="Q319" s="726">
        <v>58.2</v>
      </c>
      <c r="R319" s="726"/>
      <c r="S319" s="708"/>
      <c r="T319" s="708"/>
      <c r="U319" s="726">
        <v>58.2</v>
      </c>
      <c r="V319" s="708"/>
      <c r="W319" s="708"/>
      <c r="X319" s="708"/>
      <c r="Y319" s="763">
        <v>291</v>
      </c>
      <c r="Z319" s="763">
        <v>1251.3</v>
      </c>
      <c r="AA319" s="708">
        <v>1</v>
      </c>
      <c r="AB319" s="708"/>
      <c r="AC319" s="708"/>
      <c r="AD319" s="438" t="s">
        <v>76</v>
      </c>
      <c r="AE319" s="146" t="s">
        <v>252</v>
      </c>
      <c r="AF319" s="146" t="s">
        <v>195</v>
      </c>
      <c r="AG319" s="708"/>
    </row>
    <row r="320" ht="24.95" customHeight="1" spans="1:33">
      <c r="A320" s="705"/>
      <c r="B320" s="714" t="s">
        <v>155</v>
      </c>
      <c r="C320" s="146" t="s">
        <v>52</v>
      </c>
      <c r="D320" s="152" t="s">
        <v>147</v>
      </c>
      <c r="E320" s="708">
        <v>1</v>
      </c>
      <c r="F320" s="714" t="s">
        <v>155</v>
      </c>
      <c r="G320" s="708"/>
      <c r="H320" s="708">
        <v>201</v>
      </c>
      <c r="I320" s="708"/>
      <c r="J320" s="92"/>
      <c r="K320" s="708">
        <v>201</v>
      </c>
      <c r="L320" s="92">
        <v>2020.01</v>
      </c>
      <c r="M320" s="92">
        <v>2020.12</v>
      </c>
      <c r="N320" s="726">
        <v>40.2</v>
      </c>
      <c r="O320" s="726"/>
      <c r="P320" s="726"/>
      <c r="Q320" s="726">
        <v>40.2</v>
      </c>
      <c r="R320" s="726"/>
      <c r="S320" s="708"/>
      <c r="T320" s="708"/>
      <c r="U320" s="726">
        <v>40.2</v>
      </c>
      <c r="V320" s="708"/>
      <c r="W320" s="708"/>
      <c r="X320" s="708"/>
      <c r="Y320" s="763">
        <v>201</v>
      </c>
      <c r="Z320" s="763">
        <v>864.3</v>
      </c>
      <c r="AA320" s="708">
        <v>1</v>
      </c>
      <c r="AB320" s="708"/>
      <c r="AC320" s="708"/>
      <c r="AD320" s="438" t="s">
        <v>253</v>
      </c>
      <c r="AE320" s="146" t="s">
        <v>254</v>
      </c>
      <c r="AF320" s="146" t="s">
        <v>195</v>
      </c>
      <c r="AG320" s="708"/>
    </row>
    <row r="321" ht="24.95" customHeight="1" spans="1:33">
      <c r="A321" s="705"/>
      <c r="B321" s="714" t="s">
        <v>102</v>
      </c>
      <c r="C321" s="146" t="s">
        <v>52</v>
      </c>
      <c r="D321" s="152" t="s">
        <v>147</v>
      </c>
      <c r="E321" s="708">
        <v>1</v>
      </c>
      <c r="F321" s="714" t="s">
        <v>102</v>
      </c>
      <c r="G321" s="708"/>
      <c r="H321" s="708">
        <v>492</v>
      </c>
      <c r="I321" s="708"/>
      <c r="J321" s="92"/>
      <c r="K321" s="708">
        <v>492</v>
      </c>
      <c r="L321" s="92">
        <v>2020.01</v>
      </c>
      <c r="M321" s="92">
        <v>2020.12</v>
      </c>
      <c r="N321" s="726">
        <v>98.4</v>
      </c>
      <c r="O321" s="726"/>
      <c r="P321" s="726"/>
      <c r="Q321" s="726">
        <v>98.4</v>
      </c>
      <c r="R321" s="726"/>
      <c r="S321" s="708"/>
      <c r="T321" s="708"/>
      <c r="U321" s="726">
        <v>98.4</v>
      </c>
      <c r="V321" s="708"/>
      <c r="W321" s="708"/>
      <c r="X321" s="708"/>
      <c r="Y321" s="763">
        <v>492</v>
      </c>
      <c r="Z321" s="763">
        <v>2115.6</v>
      </c>
      <c r="AA321" s="708">
        <v>1</v>
      </c>
      <c r="AB321" s="708"/>
      <c r="AC321" s="708"/>
      <c r="AD321" s="146" t="s">
        <v>255</v>
      </c>
      <c r="AE321" s="146" t="s">
        <v>256</v>
      </c>
      <c r="AF321" s="146" t="s">
        <v>195</v>
      </c>
      <c r="AG321" s="708"/>
    </row>
    <row r="322" ht="24.95" customHeight="1" spans="1:33">
      <c r="A322" s="705"/>
      <c r="B322" s="714" t="s">
        <v>100</v>
      </c>
      <c r="C322" s="146" t="s">
        <v>52</v>
      </c>
      <c r="D322" s="152" t="s">
        <v>147</v>
      </c>
      <c r="E322" s="708">
        <v>1</v>
      </c>
      <c r="F322" s="714" t="s">
        <v>100</v>
      </c>
      <c r="G322" s="708"/>
      <c r="H322" s="708">
        <v>240</v>
      </c>
      <c r="I322" s="708"/>
      <c r="J322" s="92"/>
      <c r="K322" s="708">
        <v>240</v>
      </c>
      <c r="L322" s="92">
        <v>2020.01</v>
      </c>
      <c r="M322" s="92">
        <v>2020.12</v>
      </c>
      <c r="N322" s="726">
        <v>48</v>
      </c>
      <c r="O322" s="726"/>
      <c r="P322" s="726"/>
      <c r="Q322" s="726">
        <v>48</v>
      </c>
      <c r="R322" s="726"/>
      <c r="S322" s="708"/>
      <c r="T322" s="708"/>
      <c r="U322" s="726">
        <v>48</v>
      </c>
      <c r="V322" s="708"/>
      <c r="W322" s="708"/>
      <c r="X322" s="708"/>
      <c r="Y322" s="763">
        <v>240</v>
      </c>
      <c r="Z322" s="763">
        <v>1032</v>
      </c>
      <c r="AA322" s="708">
        <v>1</v>
      </c>
      <c r="AB322" s="708"/>
      <c r="AC322" s="708"/>
      <c r="AD322" s="438" t="s">
        <v>79</v>
      </c>
      <c r="AE322" s="146" t="s">
        <v>257</v>
      </c>
      <c r="AF322" s="146" t="s">
        <v>195</v>
      </c>
      <c r="AG322" s="708"/>
    </row>
    <row r="323" ht="24.95" customHeight="1" spans="1:33">
      <c r="A323" s="705"/>
      <c r="B323" s="714" t="s">
        <v>84</v>
      </c>
      <c r="C323" s="146" t="s">
        <v>52</v>
      </c>
      <c r="D323" s="152" t="s">
        <v>147</v>
      </c>
      <c r="E323" s="708">
        <v>1</v>
      </c>
      <c r="F323" s="714" t="s">
        <v>84</v>
      </c>
      <c r="G323" s="708"/>
      <c r="H323" s="708">
        <v>330</v>
      </c>
      <c r="I323" s="708"/>
      <c r="J323" s="92"/>
      <c r="K323" s="708">
        <v>330</v>
      </c>
      <c r="L323" s="92">
        <v>2020.01</v>
      </c>
      <c r="M323" s="92">
        <v>2020.12</v>
      </c>
      <c r="N323" s="726">
        <v>66</v>
      </c>
      <c r="O323" s="726"/>
      <c r="P323" s="726"/>
      <c r="Q323" s="726">
        <v>66</v>
      </c>
      <c r="R323" s="726"/>
      <c r="S323" s="708"/>
      <c r="T323" s="708"/>
      <c r="U323" s="726">
        <v>66</v>
      </c>
      <c r="V323" s="708"/>
      <c r="W323" s="708"/>
      <c r="X323" s="708"/>
      <c r="Y323" s="763">
        <v>330</v>
      </c>
      <c r="Z323" s="763">
        <v>1419</v>
      </c>
      <c r="AA323" s="708">
        <v>1</v>
      </c>
      <c r="AB323" s="708"/>
      <c r="AC323" s="708"/>
      <c r="AD323" s="438" t="s">
        <v>185</v>
      </c>
      <c r="AE323" s="146" t="s">
        <v>258</v>
      </c>
      <c r="AF323" s="146" t="s">
        <v>195</v>
      </c>
      <c r="AG323" s="708"/>
    </row>
    <row r="324" ht="24.95" customHeight="1" spans="1:33">
      <c r="A324" s="705"/>
      <c r="B324" s="714" t="s">
        <v>259</v>
      </c>
      <c r="C324" s="146" t="s">
        <v>52</v>
      </c>
      <c r="D324" s="152" t="s">
        <v>147</v>
      </c>
      <c r="E324" s="708">
        <v>1</v>
      </c>
      <c r="F324" s="714" t="s">
        <v>259</v>
      </c>
      <c r="G324" s="708"/>
      <c r="H324" s="708">
        <v>69</v>
      </c>
      <c r="I324" s="708"/>
      <c r="J324" s="92"/>
      <c r="K324" s="708">
        <v>69</v>
      </c>
      <c r="L324" s="92">
        <v>2020.01</v>
      </c>
      <c r="M324" s="92">
        <v>2020.12</v>
      </c>
      <c r="N324" s="726">
        <v>13.8</v>
      </c>
      <c r="O324" s="726"/>
      <c r="P324" s="726"/>
      <c r="Q324" s="726">
        <v>13.8</v>
      </c>
      <c r="R324" s="726"/>
      <c r="S324" s="708"/>
      <c r="T324" s="708"/>
      <c r="U324" s="726">
        <v>13.8</v>
      </c>
      <c r="V324" s="708"/>
      <c r="W324" s="708"/>
      <c r="X324" s="708"/>
      <c r="Y324" s="763">
        <v>69</v>
      </c>
      <c r="Z324" s="763">
        <v>296.7</v>
      </c>
      <c r="AA324" s="708">
        <v>1</v>
      </c>
      <c r="AB324" s="708"/>
      <c r="AC324" s="708"/>
      <c r="AD324" s="438" t="s">
        <v>260</v>
      </c>
      <c r="AE324" s="146" t="s">
        <v>261</v>
      </c>
      <c r="AF324" s="146" t="s">
        <v>195</v>
      </c>
      <c r="AG324" s="708"/>
    </row>
    <row r="325" ht="24.95" customHeight="1" spans="1:33">
      <c r="A325" s="705"/>
      <c r="B325" s="714" t="s">
        <v>143</v>
      </c>
      <c r="C325" s="146" t="s">
        <v>52</v>
      </c>
      <c r="D325" s="152" t="s">
        <v>147</v>
      </c>
      <c r="E325" s="708">
        <v>1</v>
      </c>
      <c r="F325" s="714" t="s">
        <v>143</v>
      </c>
      <c r="G325" s="708"/>
      <c r="H325" s="708">
        <v>198</v>
      </c>
      <c r="I325" s="708"/>
      <c r="J325" s="92"/>
      <c r="K325" s="708">
        <v>198</v>
      </c>
      <c r="L325" s="92">
        <v>2020.01</v>
      </c>
      <c r="M325" s="92">
        <v>2020.12</v>
      </c>
      <c r="N325" s="726">
        <v>39.6</v>
      </c>
      <c r="O325" s="726"/>
      <c r="P325" s="726"/>
      <c r="Q325" s="726">
        <v>39.6</v>
      </c>
      <c r="R325" s="726"/>
      <c r="S325" s="708"/>
      <c r="T325" s="708"/>
      <c r="U325" s="726">
        <v>39.6</v>
      </c>
      <c r="V325" s="708"/>
      <c r="W325" s="708"/>
      <c r="X325" s="708"/>
      <c r="Y325" s="763">
        <v>198</v>
      </c>
      <c r="Z325" s="763">
        <v>851.4</v>
      </c>
      <c r="AA325" s="708">
        <v>1</v>
      </c>
      <c r="AB325" s="708"/>
      <c r="AC325" s="708"/>
      <c r="AD325" s="777" t="s">
        <v>262</v>
      </c>
      <c r="AE325" s="777" t="s">
        <v>263</v>
      </c>
      <c r="AF325" s="146" t="s">
        <v>195</v>
      </c>
      <c r="AG325" s="708"/>
    </row>
    <row r="326" ht="24.95" customHeight="1" spans="1:33">
      <c r="A326" s="705"/>
      <c r="B326" s="750" t="s">
        <v>286</v>
      </c>
      <c r="C326" s="146" t="s">
        <v>52</v>
      </c>
      <c r="D326" s="152" t="s">
        <v>147</v>
      </c>
      <c r="E326" s="708">
        <f>SUM(E327:E338)</f>
        <v>12</v>
      </c>
      <c r="F326" s="708">
        <f t="shared" ref="F326:AA326" si="42">SUM(F327:F338)</f>
        <v>0</v>
      </c>
      <c r="G326" s="708">
        <f t="shared" si="42"/>
        <v>0</v>
      </c>
      <c r="H326" s="708">
        <f t="shared" si="42"/>
        <v>765</v>
      </c>
      <c r="I326" s="708">
        <f t="shared" si="42"/>
        <v>0</v>
      </c>
      <c r="J326" s="708">
        <f t="shared" si="42"/>
        <v>0</v>
      </c>
      <c r="K326" s="708">
        <f t="shared" si="42"/>
        <v>765</v>
      </c>
      <c r="L326" s="708"/>
      <c r="M326" s="708"/>
      <c r="N326" s="708">
        <f t="shared" si="42"/>
        <v>534.6</v>
      </c>
      <c r="O326" s="708">
        <f t="shared" si="42"/>
        <v>0</v>
      </c>
      <c r="P326" s="708">
        <f t="shared" si="42"/>
        <v>0</v>
      </c>
      <c r="Q326" s="708">
        <f t="shared" si="42"/>
        <v>534.6</v>
      </c>
      <c r="R326" s="708">
        <f t="shared" si="42"/>
        <v>534.6</v>
      </c>
      <c r="S326" s="708">
        <f t="shared" si="42"/>
        <v>0</v>
      </c>
      <c r="T326" s="708">
        <f t="shared" si="42"/>
        <v>0</v>
      </c>
      <c r="U326" s="708">
        <f t="shared" si="42"/>
        <v>0</v>
      </c>
      <c r="V326" s="708">
        <f t="shared" si="42"/>
        <v>0</v>
      </c>
      <c r="W326" s="708">
        <f t="shared" si="42"/>
        <v>0</v>
      </c>
      <c r="X326" s="708">
        <f t="shared" si="42"/>
        <v>0</v>
      </c>
      <c r="Y326" s="708">
        <f t="shared" si="42"/>
        <v>330</v>
      </c>
      <c r="Z326" s="708">
        <f t="shared" si="42"/>
        <v>1017</v>
      </c>
      <c r="AA326" s="708">
        <f t="shared" si="42"/>
        <v>12</v>
      </c>
      <c r="AB326" s="708"/>
      <c r="AC326" s="708"/>
      <c r="AD326" s="193" t="s">
        <v>242</v>
      </c>
      <c r="AE326" s="193" t="s">
        <v>243</v>
      </c>
      <c r="AF326" s="146" t="s">
        <v>195</v>
      </c>
      <c r="AG326" s="708"/>
    </row>
    <row r="327" ht="24.95" customHeight="1" spans="1:33">
      <c r="A327" s="705"/>
      <c r="B327" s="714" t="s">
        <v>101</v>
      </c>
      <c r="C327" s="146" t="s">
        <v>52</v>
      </c>
      <c r="D327" s="152" t="s">
        <v>147</v>
      </c>
      <c r="E327" s="708">
        <v>1</v>
      </c>
      <c r="F327" s="714" t="s">
        <v>101</v>
      </c>
      <c r="G327" s="708"/>
      <c r="H327" s="708">
        <v>150</v>
      </c>
      <c r="I327" s="708"/>
      <c r="J327" s="92"/>
      <c r="K327" s="708">
        <v>150</v>
      </c>
      <c r="L327" s="92">
        <v>2020.01</v>
      </c>
      <c r="M327" s="92">
        <v>2020.12</v>
      </c>
      <c r="N327" s="726">
        <v>81</v>
      </c>
      <c r="O327" s="726"/>
      <c r="P327" s="726"/>
      <c r="Q327" s="726">
        <v>81</v>
      </c>
      <c r="R327" s="726">
        <v>81</v>
      </c>
      <c r="S327" s="708"/>
      <c r="T327" s="708"/>
      <c r="U327" s="708"/>
      <c r="V327" s="708"/>
      <c r="W327" s="708"/>
      <c r="X327" s="708"/>
      <c r="Y327" s="708">
        <v>50</v>
      </c>
      <c r="Z327" s="708">
        <v>215</v>
      </c>
      <c r="AA327" s="708">
        <v>1</v>
      </c>
      <c r="AB327" s="708"/>
      <c r="AC327" s="708"/>
      <c r="AD327" s="146" t="s">
        <v>244</v>
      </c>
      <c r="AE327" s="146" t="s">
        <v>245</v>
      </c>
      <c r="AF327" s="146" t="s">
        <v>195</v>
      </c>
      <c r="AG327" s="708"/>
    </row>
    <row r="328" ht="24.95" customHeight="1" spans="1:33">
      <c r="A328" s="705"/>
      <c r="B328" s="714" t="s">
        <v>151</v>
      </c>
      <c r="C328" s="146" t="s">
        <v>52</v>
      </c>
      <c r="D328" s="152" t="s">
        <v>147</v>
      </c>
      <c r="E328" s="708">
        <v>1</v>
      </c>
      <c r="F328" s="714" t="s">
        <v>151</v>
      </c>
      <c r="G328" s="708"/>
      <c r="H328" s="708">
        <v>165</v>
      </c>
      <c r="I328" s="708"/>
      <c r="J328" s="92"/>
      <c r="K328" s="708">
        <v>165</v>
      </c>
      <c r="L328" s="92">
        <v>2020.01</v>
      </c>
      <c r="M328" s="92">
        <v>2020.12</v>
      </c>
      <c r="N328" s="726">
        <v>89.1</v>
      </c>
      <c r="O328" s="726"/>
      <c r="P328" s="726"/>
      <c r="Q328" s="726">
        <v>89.1</v>
      </c>
      <c r="R328" s="726">
        <v>89.1</v>
      </c>
      <c r="S328" s="708"/>
      <c r="T328" s="708"/>
      <c r="U328" s="708"/>
      <c r="V328" s="708"/>
      <c r="W328" s="708"/>
      <c r="X328" s="708"/>
      <c r="Y328" s="708">
        <v>55</v>
      </c>
      <c r="Z328" s="708">
        <v>55</v>
      </c>
      <c r="AA328" s="708">
        <v>1</v>
      </c>
      <c r="AB328" s="708"/>
      <c r="AC328" s="708"/>
      <c r="AD328" s="146" t="s">
        <v>169</v>
      </c>
      <c r="AE328" s="146" t="s">
        <v>246</v>
      </c>
      <c r="AF328" s="146" t="s">
        <v>195</v>
      </c>
      <c r="AG328" s="708"/>
    </row>
    <row r="329" ht="24.95" customHeight="1" spans="1:33">
      <c r="A329" s="705"/>
      <c r="B329" s="714" t="s">
        <v>154</v>
      </c>
      <c r="C329" s="146" t="s">
        <v>52</v>
      </c>
      <c r="D329" s="152" t="s">
        <v>147</v>
      </c>
      <c r="E329" s="708">
        <v>1</v>
      </c>
      <c r="F329" s="714" t="s">
        <v>154</v>
      </c>
      <c r="G329" s="708"/>
      <c r="H329" s="708">
        <v>50</v>
      </c>
      <c r="I329" s="708"/>
      <c r="J329" s="92"/>
      <c r="K329" s="708">
        <v>50</v>
      </c>
      <c r="L329" s="92">
        <v>2020.01</v>
      </c>
      <c r="M329" s="92">
        <v>2020.12</v>
      </c>
      <c r="N329" s="726">
        <v>40.5</v>
      </c>
      <c r="O329" s="726"/>
      <c r="P329" s="726"/>
      <c r="Q329" s="726">
        <v>40.5</v>
      </c>
      <c r="R329" s="726">
        <v>40.5</v>
      </c>
      <c r="S329" s="708"/>
      <c r="T329" s="708"/>
      <c r="U329" s="708"/>
      <c r="V329" s="708"/>
      <c r="W329" s="708"/>
      <c r="X329" s="708"/>
      <c r="Y329" s="708">
        <v>25</v>
      </c>
      <c r="Z329" s="708">
        <v>80</v>
      </c>
      <c r="AA329" s="708">
        <v>1</v>
      </c>
      <c r="AB329" s="708"/>
      <c r="AC329" s="708"/>
      <c r="AD329" s="146" t="s">
        <v>247</v>
      </c>
      <c r="AE329" s="146" t="s">
        <v>248</v>
      </c>
      <c r="AF329" s="146" t="s">
        <v>195</v>
      </c>
      <c r="AG329" s="708"/>
    </row>
    <row r="330" ht="24.95" customHeight="1" spans="1:33">
      <c r="A330" s="705"/>
      <c r="B330" s="714" t="s">
        <v>81</v>
      </c>
      <c r="C330" s="146" t="s">
        <v>52</v>
      </c>
      <c r="D330" s="152" t="s">
        <v>147</v>
      </c>
      <c r="E330" s="708">
        <v>1</v>
      </c>
      <c r="F330" s="714" t="s">
        <v>81</v>
      </c>
      <c r="G330" s="708"/>
      <c r="H330" s="708">
        <v>50</v>
      </c>
      <c r="I330" s="708"/>
      <c r="J330" s="92"/>
      <c r="K330" s="708">
        <v>50</v>
      </c>
      <c r="L330" s="92">
        <v>2020.01</v>
      </c>
      <c r="M330" s="92">
        <v>2020.12</v>
      </c>
      <c r="N330" s="726">
        <v>40.5</v>
      </c>
      <c r="O330" s="726"/>
      <c r="P330" s="726"/>
      <c r="Q330" s="726">
        <v>40.5</v>
      </c>
      <c r="R330" s="726">
        <v>40.5</v>
      </c>
      <c r="S330" s="708"/>
      <c r="T330" s="708"/>
      <c r="U330" s="708"/>
      <c r="V330" s="708"/>
      <c r="W330" s="708"/>
      <c r="X330" s="708"/>
      <c r="Y330" s="708">
        <v>25</v>
      </c>
      <c r="Z330" s="708">
        <v>80</v>
      </c>
      <c r="AA330" s="708">
        <v>1</v>
      </c>
      <c r="AB330" s="708"/>
      <c r="AC330" s="708"/>
      <c r="AD330" s="146" t="s">
        <v>249</v>
      </c>
      <c r="AE330" s="146" t="s">
        <v>250</v>
      </c>
      <c r="AF330" s="146" t="s">
        <v>195</v>
      </c>
      <c r="AG330" s="708"/>
    </row>
    <row r="331" ht="24.95" customHeight="1" spans="1:33">
      <c r="A331" s="705"/>
      <c r="B331" s="714" t="s">
        <v>98</v>
      </c>
      <c r="C331" s="146" t="s">
        <v>52</v>
      </c>
      <c r="D331" s="152" t="s">
        <v>147</v>
      </c>
      <c r="E331" s="708">
        <v>1</v>
      </c>
      <c r="F331" s="714" t="s">
        <v>98</v>
      </c>
      <c r="G331" s="708"/>
      <c r="H331" s="708">
        <v>50</v>
      </c>
      <c r="I331" s="708"/>
      <c r="J331" s="92"/>
      <c r="K331" s="708">
        <v>50</v>
      </c>
      <c r="L331" s="92">
        <v>2020.01</v>
      </c>
      <c r="M331" s="92">
        <v>2020.12</v>
      </c>
      <c r="N331" s="726">
        <v>40.5</v>
      </c>
      <c r="O331" s="726"/>
      <c r="P331" s="726"/>
      <c r="Q331" s="726">
        <v>40.5</v>
      </c>
      <c r="R331" s="726">
        <v>40.5</v>
      </c>
      <c r="S331" s="708"/>
      <c r="T331" s="708"/>
      <c r="U331" s="708"/>
      <c r="V331" s="708"/>
      <c r="W331" s="708"/>
      <c r="X331" s="708"/>
      <c r="Y331" s="708">
        <v>25</v>
      </c>
      <c r="Z331" s="708">
        <v>75</v>
      </c>
      <c r="AA331" s="708">
        <v>1</v>
      </c>
      <c r="AB331" s="708"/>
      <c r="AC331" s="708"/>
      <c r="AD331" s="146" t="s">
        <v>209</v>
      </c>
      <c r="AE331" s="146" t="s">
        <v>251</v>
      </c>
      <c r="AF331" s="146" t="s">
        <v>195</v>
      </c>
      <c r="AG331" s="708"/>
    </row>
    <row r="332" ht="24.95" customHeight="1" spans="1:33">
      <c r="A332" s="705"/>
      <c r="B332" s="714" t="s">
        <v>211</v>
      </c>
      <c r="C332" s="146" t="s">
        <v>52</v>
      </c>
      <c r="D332" s="152" t="s">
        <v>147</v>
      </c>
      <c r="E332" s="708">
        <v>1</v>
      </c>
      <c r="F332" s="714" t="s">
        <v>211</v>
      </c>
      <c r="G332" s="708"/>
      <c r="H332" s="708">
        <v>50</v>
      </c>
      <c r="I332" s="708"/>
      <c r="J332" s="92"/>
      <c r="K332" s="708">
        <v>50</v>
      </c>
      <c r="L332" s="92">
        <v>2020.01</v>
      </c>
      <c r="M332" s="92">
        <v>2020.12</v>
      </c>
      <c r="N332" s="726">
        <v>40.5</v>
      </c>
      <c r="O332" s="726"/>
      <c r="P332" s="726"/>
      <c r="Q332" s="726">
        <v>40.5</v>
      </c>
      <c r="R332" s="726">
        <v>40.5</v>
      </c>
      <c r="S332" s="708"/>
      <c r="T332" s="708"/>
      <c r="U332" s="708"/>
      <c r="V332" s="708"/>
      <c r="W332" s="708"/>
      <c r="X332" s="708"/>
      <c r="Y332" s="708">
        <v>25</v>
      </c>
      <c r="Z332" s="708">
        <v>80</v>
      </c>
      <c r="AA332" s="708">
        <v>1</v>
      </c>
      <c r="AB332" s="708"/>
      <c r="AC332" s="708"/>
      <c r="AD332" s="146" t="s">
        <v>76</v>
      </c>
      <c r="AE332" s="146" t="s">
        <v>252</v>
      </c>
      <c r="AF332" s="146" t="s">
        <v>195</v>
      </c>
      <c r="AG332" s="708"/>
    </row>
    <row r="333" ht="24.95" customHeight="1" spans="1:33">
      <c r="A333" s="705"/>
      <c r="B333" s="714" t="s">
        <v>155</v>
      </c>
      <c r="C333" s="146" t="s">
        <v>52</v>
      </c>
      <c r="D333" s="152" t="s">
        <v>147</v>
      </c>
      <c r="E333" s="708">
        <v>1</v>
      </c>
      <c r="F333" s="714" t="s">
        <v>155</v>
      </c>
      <c r="G333" s="708"/>
      <c r="H333" s="708">
        <v>30</v>
      </c>
      <c r="I333" s="708"/>
      <c r="J333" s="92"/>
      <c r="K333" s="708">
        <v>30</v>
      </c>
      <c r="L333" s="92">
        <v>2020.01</v>
      </c>
      <c r="M333" s="92">
        <v>2020.12</v>
      </c>
      <c r="N333" s="726">
        <v>24.3</v>
      </c>
      <c r="O333" s="726"/>
      <c r="P333" s="726"/>
      <c r="Q333" s="726">
        <v>24.3</v>
      </c>
      <c r="R333" s="726">
        <v>24.3</v>
      </c>
      <c r="S333" s="708"/>
      <c r="T333" s="708"/>
      <c r="U333" s="708"/>
      <c r="V333" s="708"/>
      <c r="W333" s="708"/>
      <c r="X333" s="708"/>
      <c r="Y333" s="708">
        <v>15</v>
      </c>
      <c r="Z333" s="708">
        <v>40</v>
      </c>
      <c r="AA333" s="708">
        <v>1</v>
      </c>
      <c r="AB333" s="708"/>
      <c r="AC333" s="708"/>
      <c r="AD333" s="146" t="s">
        <v>253</v>
      </c>
      <c r="AE333" s="146" t="s">
        <v>254</v>
      </c>
      <c r="AF333" s="146" t="s">
        <v>195</v>
      </c>
      <c r="AG333" s="708"/>
    </row>
    <row r="334" ht="24.95" customHeight="1" spans="1:33">
      <c r="A334" s="705"/>
      <c r="B334" s="714" t="s">
        <v>102</v>
      </c>
      <c r="C334" s="146" t="s">
        <v>52</v>
      </c>
      <c r="D334" s="152" t="s">
        <v>147</v>
      </c>
      <c r="E334" s="708">
        <v>1</v>
      </c>
      <c r="F334" s="714" t="s">
        <v>102</v>
      </c>
      <c r="G334" s="708"/>
      <c r="H334" s="708">
        <v>60</v>
      </c>
      <c r="I334" s="708"/>
      <c r="J334" s="92"/>
      <c r="K334" s="708">
        <v>60</v>
      </c>
      <c r="L334" s="92">
        <v>2020.01</v>
      </c>
      <c r="M334" s="92">
        <v>2020.12</v>
      </c>
      <c r="N334" s="726">
        <v>48.6</v>
      </c>
      <c r="O334" s="726"/>
      <c r="P334" s="726"/>
      <c r="Q334" s="726">
        <v>48.6</v>
      </c>
      <c r="R334" s="726">
        <v>48.6</v>
      </c>
      <c r="S334" s="708"/>
      <c r="T334" s="708"/>
      <c r="U334" s="708"/>
      <c r="V334" s="708"/>
      <c r="W334" s="708"/>
      <c r="X334" s="708"/>
      <c r="Y334" s="708">
        <v>30</v>
      </c>
      <c r="Z334" s="708">
        <v>135</v>
      </c>
      <c r="AA334" s="708">
        <v>1</v>
      </c>
      <c r="AB334" s="708"/>
      <c r="AC334" s="708"/>
      <c r="AD334" s="146" t="s">
        <v>255</v>
      </c>
      <c r="AE334" s="146" t="s">
        <v>256</v>
      </c>
      <c r="AF334" s="146" t="s">
        <v>195</v>
      </c>
      <c r="AG334" s="708"/>
    </row>
    <row r="335" ht="24.95" customHeight="1" spans="1:33">
      <c r="A335" s="705"/>
      <c r="B335" s="714" t="s">
        <v>100</v>
      </c>
      <c r="C335" s="146" t="s">
        <v>52</v>
      </c>
      <c r="D335" s="152" t="s">
        <v>147</v>
      </c>
      <c r="E335" s="708">
        <v>1</v>
      </c>
      <c r="F335" s="714" t="s">
        <v>100</v>
      </c>
      <c r="G335" s="708"/>
      <c r="H335" s="708">
        <v>50</v>
      </c>
      <c r="I335" s="708"/>
      <c r="J335" s="92"/>
      <c r="K335" s="708">
        <v>50</v>
      </c>
      <c r="L335" s="92">
        <v>2020.01</v>
      </c>
      <c r="M335" s="92">
        <v>2020.12</v>
      </c>
      <c r="N335" s="726">
        <v>40.5</v>
      </c>
      <c r="O335" s="726"/>
      <c r="P335" s="726"/>
      <c r="Q335" s="726">
        <v>40.5</v>
      </c>
      <c r="R335" s="726">
        <v>40.5</v>
      </c>
      <c r="S335" s="708"/>
      <c r="T335" s="708"/>
      <c r="U335" s="708"/>
      <c r="V335" s="708"/>
      <c r="W335" s="708"/>
      <c r="X335" s="708"/>
      <c r="Y335" s="708">
        <v>25</v>
      </c>
      <c r="Z335" s="708">
        <v>40</v>
      </c>
      <c r="AA335" s="708">
        <v>1</v>
      </c>
      <c r="AB335" s="708"/>
      <c r="AC335" s="708"/>
      <c r="AD335" s="146" t="s">
        <v>79</v>
      </c>
      <c r="AE335" s="146" t="s">
        <v>257</v>
      </c>
      <c r="AF335" s="146" t="s">
        <v>195</v>
      </c>
      <c r="AG335" s="708"/>
    </row>
    <row r="336" ht="24.95" customHeight="1" spans="1:33">
      <c r="A336" s="705"/>
      <c r="B336" s="714" t="s">
        <v>84</v>
      </c>
      <c r="C336" s="146" t="s">
        <v>52</v>
      </c>
      <c r="D336" s="152" t="s">
        <v>147</v>
      </c>
      <c r="E336" s="708">
        <v>1</v>
      </c>
      <c r="F336" s="714" t="s">
        <v>84</v>
      </c>
      <c r="G336" s="708"/>
      <c r="H336" s="708">
        <v>50</v>
      </c>
      <c r="I336" s="708"/>
      <c r="J336" s="92"/>
      <c r="K336" s="708">
        <v>50</v>
      </c>
      <c r="L336" s="92">
        <v>2020.01</v>
      </c>
      <c r="M336" s="92">
        <v>2020.12</v>
      </c>
      <c r="N336" s="726">
        <v>40.5</v>
      </c>
      <c r="O336" s="726"/>
      <c r="P336" s="726"/>
      <c r="Q336" s="726">
        <v>40.5</v>
      </c>
      <c r="R336" s="726">
        <v>40.5</v>
      </c>
      <c r="S336" s="708"/>
      <c r="T336" s="708"/>
      <c r="U336" s="708"/>
      <c r="V336" s="708"/>
      <c r="W336" s="708"/>
      <c r="X336" s="708"/>
      <c r="Y336" s="708">
        <v>25</v>
      </c>
      <c r="Z336" s="708">
        <v>115</v>
      </c>
      <c r="AA336" s="708">
        <v>1</v>
      </c>
      <c r="AB336" s="708"/>
      <c r="AC336" s="708"/>
      <c r="AD336" s="146" t="s">
        <v>185</v>
      </c>
      <c r="AE336" s="146" t="s">
        <v>258</v>
      </c>
      <c r="AF336" s="146" t="s">
        <v>195</v>
      </c>
      <c r="AG336" s="708"/>
    </row>
    <row r="337" ht="24.95" customHeight="1" spans="1:33">
      <c r="A337" s="705"/>
      <c r="B337" s="714" t="s">
        <v>259</v>
      </c>
      <c r="C337" s="146" t="s">
        <v>52</v>
      </c>
      <c r="D337" s="152" t="s">
        <v>147</v>
      </c>
      <c r="E337" s="708">
        <v>1</v>
      </c>
      <c r="F337" s="714" t="s">
        <v>259</v>
      </c>
      <c r="G337" s="708"/>
      <c r="H337" s="708">
        <v>20</v>
      </c>
      <c r="I337" s="708"/>
      <c r="J337" s="92"/>
      <c r="K337" s="708">
        <v>20</v>
      </c>
      <c r="L337" s="92">
        <v>2020.01</v>
      </c>
      <c r="M337" s="92">
        <v>2020.12</v>
      </c>
      <c r="N337" s="726">
        <v>16.2</v>
      </c>
      <c r="O337" s="726"/>
      <c r="P337" s="726"/>
      <c r="Q337" s="726">
        <v>16.2</v>
      </c>
      <c r="R337" s="726">
        <v>16.2</v>
      </c>
      <c r="S337" s="708"/>
      <c r="T337" s="708"/>
      <c r="U337" s="708"/>
      <c r="V337" s="708"/>
      <c r="W337" s="708"/>
      <c r="X337" s="708"/>
      <c r="Y337" s="708">
        <v>10</v>
      </c>
      <c r="Z337" s="708">
        <v>20</v>
      </c>
      <c r="AA337" s="708">
        <v>1</v>
      </c>
      <c r="AB337" s="708"/>
      <c r="AC337" s="708"/>
      <c r="AD337" s="146" t="s">
        <v>260</v>
      </c>
      <c r="AE337" s="146" t="s">
        <v>261</v>
      </c>
      <c r="AF337" s="146" t="s">
        <v>195</v>
      </c>
      <c r="AG337" s="708"/>
    </row>
    <row r="338" ht="24.95" customHeight="1" spans="1:33">
      <c r="A338" s="705"/>
      <c r="B338" s="714" t="s">
        <v>143</v>
      </c>
      <c r="C338" s="146" t="s">
        <v>52</v>
      </c>
      <c r="D338" s="152" t="s">
        <v>147</v>
      </c>
      <c r="E338" s="708">
        <v>1</v>
      </c>
      <c r="F338" s="714" t="s">
        <v>143</v>
      </c>
      <c r="G338" s="708"/>
      <c r="H338" s="708">
        <v>40</v>
      </c>
      <c r="I338" s="708"/>
      <c r="J338" s="92"/>
      <c r="K338" s="708">
        <v>40</v>
      </c>
      <c r="L338" s="92">
        <v>2020.01</v>
      </c>
      <c r="M338" s="92">
        <v>2020.12</v>
      </c>
      <c r="N338" s="726">
        <v>32.4</v>
      </c>
      <c r="O338" s="726"/>
      <c r="P338" s="726"/>
      <c r="Q338" s="726">
        <v>32.4</v>
      </c>
      <c r="R338" s="726">
        <v>32.4</v>
      </c>
      <c r="S338" s="708"/>
      <c r="T338" s="708"/>
      <c r="U338" s="708"/>
      <c r="V338" s="708"/>
      <c r="W338" s="708"/>
      <c r="X338" s="708"/>
      <c r="Y338" s="708">
        <v>20</v>
      </c>
      <c r="Z338" s="708">
        <v>82</v>
      </c>
      <c r="AA338" s="708">
        <v>1</v>
      </c>
      <c r="AB338" s="708"/>
      <c r="AC338" s="708"/>
      <c r="AD338" s="775" t="s">
        <v>262</v>
      </c>
      <c r="AE338" s="775" t="s">
        <v>263</v>
      </c>
      <c r="AF338" s="146" t="s">
        <v>195</v>
      </c>
      <c r="AG338" s="708"/>
    </row>
    <row r="339" ht="24.95" customHeight="1" spans="1:33">
      <c r="A339" s="705"/>
      <c r="B339" s="711" t="s">
        <v>287</v>
      </c>
      <c r="C339" s="146" t="s">
        <v>52</v>
      </c>
      <c r="D339" s="152" t="s">
        <v>147</v>
      </c>
      <c r="E339" s="708">
        <f>E340+E351+E363</f>
        <v>25</v>
      </c>
      <c r="F339" s="708">
        <f t="shared" ref="F339:AA339" si="43">F340+F351+F363</f>
        <v>0</v>
      </c>
      <c r="G339" s="708">
        <f t="shared" si="43"/>
        <v>0</v>
      </c>
      <c r="H339" s="708">
        <f t="shared" si="43"/>
        <v>15776</v>
      </c>
      <c r="I339" s="708">
        <f t="shared" si="43"/>
        <v>0</v>
      </c>
      <c r="J339" s="708">
        <f t="shared" si="43"/>
        <v>0</v>
      </c>
      <c r="K339" s="708">
        <f t="shared" si="43"/>
        <v>15776</v>
      </c>
      <c r="L339" s="708"/>
      <c r="M339" s="708"/>
      <c r="N339" s="708">
        <f t="shared" si="43"/>
        <v>1731.3</v>
      </c>
      <c r="O339" s="708">
        <f t="shared" si="43"/>
        <v>0</v>
      </c>
      <c r="P339" s="708">
        <f t="shared" si="43"/>
        <v>0</v>
      </c>
      <c r="Q339" s="708">
        <f t="shared" si="43"/>
        <v>1731.3</v>
      </c>
      <c r="R339" s="708">
        <f t="shared" si="43"/>
        <v>1731.3</v>
      </c>
      <c r="S339" s="708">
        <f t="shared" si="43"/>
        <v>0</v>
      </c>
      <c r="T339" s="708">
        <f t="shared" si="43"/>
        <v>0</v>
      </c>
      <c r="U339" s="708">
        <f t="shared" si="43"/>
        <v>0</v>
      </c>
      <c r="V339" s="708">
        <f t="shared" si="43"/>
        <v>0</v>
      </c>
      <c r="W339" s="708">
        <f t="shared" si="43"/>
        <v>0</v>
      </c>
      <c r="X339" s="708">
        <f t="shared" si="43"/>
        <v>0</v>
      </c>
      <c r="Y339" s="763">
        <f t="shared" si="43"/>
        <v>7546</v>
      </c>
      <c r="Z339" s="763">
        <f t="shared" si="43"/>
        <v>26969.7</v>
      </c>
      <c r="AA339" s="708">
        <f t="shared" si="43"/>
        <v>25</v>
      </c>
      <c r="AB339" s="92"/>
      <c r="AC339" s="92"/>
      <c r="AD339" s="193" t="s">
        <v>242</v>
      </c>
      <c r="AE339" s="193" t="s">
        <v>243</v>
      </c>
      <c r="AF339" s="146" t="s">
        <v>195</v>
      </c>
      <c r="AG339" s="92"/>
    </row>
    <row r="340" ht="24.95" customHeight="1" spans="1:33">
      <c r="A340" s="705"/>
      <c r="B340" s="711" t="s">
        <v>288</v>
      </c>
      <c r="C340" s="146" t="s">
        <v>52</v>
      </c>
      <c r="D340" s="141"/>
      <c r="E340" s="708">
        <f>SUM(E341:E350)</f>
        <v>8</v>
      </c>
      <c r="F340" s="708">
        <f t="shared" ref="F340:AA340" si="44">SUM(F341:F350)</f>
        <v>0</v>
      </c>
      <c r="G340" s="708">
        <f t="shared" si="44"/>
        <v>0</v>
      </c>
      <c r="H340" s="708">
        <f t="shared" si="44"/>
        <v>5650</v>
      </c>
      <c r="I340" s="708">
        <f t="shared" si="44"/>
        <v>0</v>
      </c>
      <c r="J340" s="708">
        <f t="shared" si="44"/>
        <v>0</v>
      </c>
      <c r="K340" s="708">
        <f t="shared" si="44"/>
        <v>5650</v>
      </c>
      <c r="L340" s="708"/>
      <c r="M340" s="708"/>
      <c r="N340" s="708">
        <f t="shared" si="44"/>
        <v>356.8</v>
      </c>
      <c r="O340" s="708">
        <f t="shared" si="44"/>
        <v>0</v>
      </c>
      <c r="P340" s="708">
        <f t="shared" si="44"/>
        <v>0</v>
      </c>
      <c r="Q340" s="708">
        <f t="shared" si="44"/>
        <v>356.8</v>
      </c>
      <c r="R340" s="708">
        <f t="shared" si="44"/>
        <v>356.8</v>
      </c>
      <c r="S340" s="708">
        <f t="shared" si="44"/>
        <v>0</v>
      </c>
      <c r="T340" s="708">
        <f t="shared" si="44"/>
        <v>0</v>
      </c>
      <c r="U340" s="708">
        <f t="shared" si="44"/>
        <v>0</v>
      </c>
      <c r="V340" s="708">
        <f t="shared" si="44"/>
        <v>0</v>
      </c>
      <c r="W340" s="708">
        <f t="shared" si="44"/>
        <v>0</v>
      </c>
      <c r="X340" s="708">
        <f t="shared" si="44"/>
        <v>0</v>
      </c>
      <c r="Y340" s="763">
        <f t="shared" si="44"/>
        <v>2773</v>
      </c>
      <c r="Z340" s="763">
        <f t="shared" si="44"/>
        <v>11350.7</v>
      </c>
      <c r="AA340" s="708">
        <f t="shared" si="44"/>
        <v>8</v>
      </c>
      <c r="AB340" s="92"/>
      <c r="AC340" s="92"/>
      <c r="AD340" s="193" t="s">
        <v>242</v>
      </c>
      <c r="AE340" s="193" t="s">
        <v>243</v>
      </c>
      <c r="AF340" s="146" t="s">
        <v>195</v>
      </c>
      <c r="AG340" s="92"/>
    </row>
    <row r="341" ht="24.95" customHeight="1" spans="1:33">
      <c r="A341" s="705"/>
      <c r="B341" s="778" t="s">
        <v>51</v>
      </c>
      <c r="C341" s="146" t="s">
        <v>52</v>
      </c>
      <c r="D341" s="753" t="s">
        <v>147</v>
      </c>
      <c r="E341" s="708">
        <v>1</v>
      </c>
      <c r="F341" s="778" t="s">
        <v>51</v>
      </c>
      <c r="G341" s="92"/>
      <c r="H341" s="92">
        <v>438</v>
      </c>
      <c r="I341" s="92"/>
      <c r="J341" s="92"/>
      <c r="K341" s="92">
        <v>438</v>
      </c>
      <c r="L341" s="92">
        <v>2020.01</v>
      </c>
      <c r="M341" s="92">
        <v>2020.12</v>
      </c>
      <c r="N341" s="92">
        <v>27.9</v>
      </c>
      <c r="O341" s="92"/>
      <c r="P341" s="92"/>
      <c r="Q341" s="92">
        <v>27.9</v>
      </c>
      <c r="R341" s="92">
        <v>27.9</v>
      </c>
      <c r="S341" s="92"/>
      <c r="T341" s="92"/>
      <c r="U341" s="92"/>
      <c r="V341" s="92"/>
      <c r="W341" s="92"/>
      <c r="X341" s="92"/>
      <c r="Y341" s="738">
        <v>219</v>
      </c>
      <c r="Z341" s="738">
        <v>722.7</v>
      </c>
      <c r="AA341" s="708">
        <v>1</v>
      </c>
      <c r="AB341" s="92"/>
      <c r="AC341" s="92"/>
      <c r="AD341" s="712" t="s">
        <v>169</v>
      </c>
      <c r="AE341" s="56" t="s">
        <v>246</v>
      </c>
      <c r="AF341" s="146" t="s">
        <v>195</v>
      </c>
      <c r="AG341" s="92"/>
    </row>
    <row r="342" ht="24.95" customHeight="1" spans="1:33">
      <c r="A342" s="705"/>
      <c r="B342" s="778" t="s">
        <v>72</v>
      </c>
      <c r="C342" s="146" t="s">
        <v>52</v>
      </c>
      <c r="D342" s="753" t="s">
        <v>147</v>
      </c>
      <c r="E342" s="708">
        <v>1</v>
      </c>
      <c r="F342" s="778" t="s">
        <v>72</v>
      </c>
      <c r="G342" s="92"/>
      <c r="H342" s="92">
        <v>566</v>
      </c>
      <c r="I342" s="92"/>
      <c r="J342" s="92"/>
      <c r="K342" s="92">
        <v>566</v>
      </c>
      <c r="L342" s="92">
        <v>2020.01</v>
      </c>
      <c r="M342" s="92">
        <v>2020.12</v>
      </c>
      <c r="N342" s="92">
        <v>28.3</v>
      </c>
      <c r="O342" s="92"/>
      <c r="P342" s="92"/>
      <c r="Q342" s="92">
        <v>28.3</v>
      </c>
      <c r="R342" s="92">
        <v>28.3</v>
      </c>
      <c r="S342" s="92"/>
      <c r="T342" s="92"/>
      <c r="U342" s="92"/>
      <c r="V342" s="92"/>
      <c r="W342" s="92"/>
      <c r="X342" s="92"/>
      <c r="Y342" s="92">
        <v>258</v>
      </c>
      <c r="Z342" s="92">
        <v>1109</v>
      </c>
      <c r="AA342" s="708">
        <v>1</v>
      </c>
      <c r="AB342" s="92"/>
      <c r="AC342" s="92"/>
      <c r="AD342" s="712" t="s">
        <v>247</v>
      </c>
      <c r="AE342" s="56" t="s">
        <v>248</v>
      </c>
      <c r="AF342" s="146" t="s">
        <v>195</v>
      </c>
      <c r="AG342" s="92"/>
    </row>
    <row r="343" ht="24.95" customHeight="1" spans="1:33">
      <c r="A343" s="705"/>
      <c r="B343" s="778" t="s">
        <v>91</v>
      </c>
      <c r="C343" s="146" t="s">
        <v>52</v>
      </c>
      <c r="D343" s="753" t="s">
        <v>147</v>
      </c>
      <c r="E343" s="708">
        <v>1</v>
      </c>
      <c r="F343" s="778" t="s">
        <v>91</v>
      </c>
      <c r="G343" s="92"/>
      <c r="H343" s="92">
        <v>400</v>
      </c>
      <c r="I343" s="92"/>
      <c r="J343" s="92"/>
      <c r="K343" s="92">
        <v>400</v>
      </c>
      <c r="L343" s="92">
        <v>2020.01</v>
      </c>
      <c r="M343" s="92">
        <v>2020.12</v>
      </c>
      <c r="N343" s="92">
        <v>40</v>
      </c>
      <c r="O343" s="92"/>
      <c r="P343" s="92"/>
      <c r="Q343" s="92">
        <v>40</v>
      </c>
      <c r="R343" s="92">
        <v>40</v>
      </c>
      <c r="S343" s="92"/>
      <c r="T343" s="92"/>
      <c r="U343" s="92"/>
      <c r="V343" s="92"/>
      <c r="W343" s="92"/>
      <c r="X343" s="92"/>
      <c r="Y343" s="92">
        <v>200</v>
      </c>
      <c r="Z343" s="92">
        <v>760</v>
      </c>
      <c r="AA343" s="708">
        <v>1</v>
      </c>
      <c r="AB343" s="92"/>
      <c r="AC343" s="92"/>
      <c r="AD343" s="712" t="s">
        <v>249</v>
      </c>
      <c r="AE343" s="56" t="s">
        <v>250</v>
      </c>
      <c r="AF343" s="146" t="s">
        <v>195</v>
      </c>
      <c r="AG343" s="92"/>
    </row>
    <row r="344" ht="24.95" customHeight="1" spans="1:33">
      <c r="A344" s="705"/>
      <c r="B344" s="778" t="s">
        <v>55</v>
      </c>
      <c r="C344" s="146" t="s">
        <v>52</v>
      </c>
      <c r="D344" s="753" t="s">
        <v>147</v>
      </c>
      <c r="E344" s="708">
        <v>1</v>
      </c>
      <c r="F344" s="778" t="s">
        <v>55</v>
      </c>
      <c r="G344" s="92"/>
      <c r="H344" s="92">
        <v>980</v>
      </c>
      <c r="I344" s="92"/>
      <c r="J344" s="92"/>
      <c r="K344" s="92">
        <v>980</v>
      </c>
      <c r="L344" s="92">
        <v>2020.01</v>
      </c>
      <c r="M344" s="92">
        <v>2020.12</v>
      </c>
      <c r="N344" s="92">
        <v>89.7</v>
      </c>
      <c r="O344" s="92"/>
      <c r="P344" s="92"/>
      <c r="Q344" s="92">
        <v>89.7</v>
      </c>
      <c r="R344" s="92">
        <v>89.7</v>
      </c>
      <c r="S344" s="92"/>
      <c r="T344" s="92"/>
      <c r="U344" s="92"/>
      <c r="V344" s="92"/>
      <c r="W344" s="92"/>
      <c r="X344" s="92"/>
      <c r="Y344" s="92">
        <v>463</v>
      </c>
      <c r="Z344" s="92">
        <v>2027</v>
      </c>
      <c r="AA344" s="708">
        <v>1</v>
      </c>
      <c r="AB344" s="92"/>
      <c r="AC344" s="92"/>
      <c r="AD344" s="712" t="s">
        <v>209</v>
      </c>
      <c r="AE344" s="56" t="s">
        <v>251</v>
      </c>
      <c r="AF344" s="146" t="s">
        <v>195</v>
      </c>
      <c r="AG344" s="92"/>
    </row>
    <row r="345" ht="24.95" customHeight="1" spans="1:33">
      <c r="A345" s="705"/>
      <c r="B345" s="778" t="s">
        <v>75</v>
      </c>
      <c r="C345" s="146" t="s">
        <v>52</v>
      </c>
      <c r="D345" s="753" t="s">
        <v>147</v>
      </c>
      <c r="E345" s="708">
        <v>1</v>
      </c>
      <c r="F345" s="778" t="s">
        <v>75</v>
      </c>
      <c r="G345" s="92"/>
      <c r="H345" s="92">
        <v>640</v>
      </c>
      <c r="I345" s="92"/>
      <c r="J345" s="92"/>
      <c r="K345" s="92">
        <v>640</v>
      </c>
      <c r="L345" s="92">
        <v>2020.01</v>
      </c>
      <c r="M345" s="92">
        <v>2020.12</v>
      </c>
      <c r="N345" s="92">
        <v>32</v>
      </c>
      <c r="O345" s="92"/>
      <c r="P345" s="92"/>
      <c r="Q345" s="92">
        <v>32</v>
      </c>
      <c r="R345" s="92">
        <v>32</v>
      </c>
      <c r="S345" s="92"/>
      <c r="T345" s="92"/>
      <c r="U345" s="92"/>
      <c r="V345" s="92"/>
      <c r="W345" s="92"/>
      <c r="X345" s="92"/>
      <c r="Y345" s="92">
        <v>320</v>
      </c>
      <c r="Z345" s="92">
        <v>1346</v>
      </c>
      <c r="AA345" s="708">
        <v>1</v>
      </c>
      <c r="AB345" s="92"/>
      <c r="AC345" s="92"/>
      <c r="AD345" s="712" t="s">
        <v>76</v>
      </c>
      <c r="AE345" s="712" t="s">
        <v>252</v>
      </c>
      <c r="AF345" s="146" t="s">
        <v>195</v>
      </c>
      <c r="AG345" s="92"/>
    </row>
    <row r="346" ht="24.95" customHeight="1" spans="1:33">
      <c r="A346" s="705"/>
      <c r="B346" s="778" t="s">
        <v>58</v>
      </c>
      <c r="C346" s="146" t="s">
        <v>52</v>
      </c>
      <c r="D346" s="753" t="s">
        <v>147</v>
      </c>
      <c r="E346" s="708"/>
      <c r="F346" s="778"/>
      <c r="G346" s="92"/>
      <c r="H346" s="92"/>
      <c r="I346" s="92"/>
      <c r="J346" s="92"/>
      <c r="K346" s="92"/>
      <c r="L346" s="92"/>
      <c r="M346" s="92"/>
      <c r="N346" s="92"/>
      <c r="O346" s="92"/>
      <c r="P346" s="92"/>
      <c r="Q346" s="92"/>
      <c r="R346" s="92"/>
      <c r="S346" s="92"/>
      <c r="T346" s="92"/>
      <c r="U346" s="92"/>
      <c r="V346" s="92"/>
      <c r="W346" s="92"/>
      <c r="X346" s="92"/>
      <c r="Y346" s="92"/>
      <c r="Z346" s="92"/>
      <c r="AA346" s="708"/>
      <c r="AB346" s="92"/>
      <c r="AC346" s="92"/>
      <c r="AD346" s="712"/>
      <c r="AE346" s="56"/>
      <c r="AF346" s="146"/>
      <c r="AG346" s="92"/>
    </row>
    <row r="347" ht="24.95" customHeight="1" spans="1:33">
      <c r="A347" s="705"/>
      <c r="B347" s="778" t="s">
        <v>61</v>
      </c>
      <c r="C347" s="146" t="s">
        <v>52</v>
      </c>
      <c r="D347" s="753" t="s">
        <v>147</v>
      </c>
      <c r="E347" s="708">
        <v>1</v>
      </c>
      <c r="F347" s="778" t="s">
        <v>61</v>
      </c>
      <c r="G347" s="92"/>
      <c r="H347" s="92">
        <v>1826</v>
      </c>
      <c r="I347" s="92"/>
      <c r="J347" s="92"/>
      <c r="K347" s="92">
        <v>1826</v>
      </c>
      <c r="L347" s="92">
        <v>2020.01</v>
      </c>
      <c r="M347" s="92">
        <v>2020.12</v>
      </c>
      <c r="N347" s="92">
        <v>91.3</v>
      </c>
      <c r="O347" s="92"/>
      <c r="P347" s="92"/>
      <c r="Q347" s="92">
        <v>91.3</v>
      </c>
      <c r="R347" s="92">
        <v>91.3</v>
      </c>
      <c r="S347" s="92"/>
      <c r="T347" s="92"/>
      <c r="U347" s="92"/>
      <c r="V347" s="92"/>
      <c r="W347" s="92"/>
      <c r="X347" s="92"/>
      <c r="Y347" s="92">
        <v>913</v>
      </c>
      <c r="Z347" s="92">
        <v>3926</v>
      </c>
      <c r="AA347" s="708">
        <v>1</v>
      </c>
      <c r="AB347" s="92"/>
      <c r="AC347" s="92"/>
      <c r="AD347" s="712" t="s">
        <v>255</v>
      </c>
      <c r="AE347" s="56" t="s">
        <v>256</v>
      </c>
      <c r="AF347" s="146" t="s">
        <v>195</v>
      </c>
      <c r="AG347" s="92"/>
    </row>
    <row r="348" ht="24.95" customHeight="1" spans="1:33">
      <c r="A348" s="705"/>
      <c r="B348" s="778" t="s">
        <v>114</v>
      </c>
      <c r="C348" s="146" t="s">
        <v>52</v>
      </c>
      <c r="D348" s="753" t="s">
        <v>147</v>
      </c>
      <c r="E348" s="708"/>
      <c r="F348" s="778"/>
      <c r="G348" s="92"/>
      <c r="H348" s="92"/>
      <c r="I348" s="92"/>
      <c r="J348" s="92"/>
      <c r="K348" s="92"/>
      <c r="L348" s="92"/>
      <c r="M348" s="92"/>
      <c r="N348" s="92"/>
      <c r="O348" s="92"/>
      <c r="P348" s="92"/>
      <c r="Q348" s="92"/>
      <c r="R348" s="92"/>
      <c r="S348" s="92"/>
      <c r="T348" s="92"/>
      <c r="U348" s="92"/>
      <c r="V348" s="92"/>
      <c r="W348" s="92"/>
      <c r="X348" s="92"/>
      <c r="Y348" s="92"/>
      <c r="Z348" s="92"/>
      <c r="AA348" s="708"/>
      <c r="AB348" s="92"/>
      <c r="AC348" s="92"/>
      <c r="AD348" s="712"/>
      <c r="AE348" s="56"/>
      <c r="AF348" s="146"/>
      <c r="AG348" s="92"/>
    </row>
    <row r="349" ht="24.95" customHeight="1" spans="1:33">
      <c r="A349" s="705"/>
      <c r="B349" s="778" t="s">
        <v>64</v>
      </c>
      <c r="C349" s="146" t="s">
        <v>52</v>
      </c>
      <c r="D349" s="753" t="s">
        <v>147</v>
      </c>
      <c r="E349" s="708">
        <v>1</v>
      </c>
      <c r="F349" s="778" t="s">
        <v>64</v>
      </c>
      <c r="G349" s="92"/>
      <c r="H349" s="92">
        <v>440</v>
      </c>
      <c r="I349" s="92"/>
      <c r="J349" s="92"/>
      <c r="K349" s="92">
        <v>440</v>
      </c>
      <c r="L349" s="92">
        <v>2020.01</v>
      </c>
      <c r="M349" s="92">
        <v>2020.12</v>
      </c>
      <c r="N349" s="92">
        <v>44</v>
      </c>
      <c r="O349" s="92"/>
      <c r="P349" s="92"/>
      <c r="Q349" s="92">
        <v>44</v>
      </c>
      <c r="R349" s="92">
        <v>44</v>
      </c>
      <c r="S349" s="92"/>
      <c r="T349" s="92"/>
      <c r="U349" s="92"/>
      <c r="V349" s="92"/>
      <c r="W349" s="92"/>
      <c r="X349" s="92"/>
      <c r="Y349" s="92">
        <v>220</v>
      </c>
      <c r="Z349" s="92">
        <v>880</v>
      </c>
      <c r="AA349" s="708">
        <v>1</v>
      </c>
      <c r="AB349" s="92"/>
      <c r="AC349" s="92"/>
      <c r="AD349" s="712" t="s">
        <v>185</v>
      </c>
      <c r="AE349" s="56" t="s">
        <v>258</v>
      </c>
      <c r="AF349" s="146" t="s">
        <v>195</v>
      </c>
      <c r="AG349" s="92"/>
    </row>
    <row r="350" ht="24.95" customHeight="1" spans="1:33">
      <c r="A350" s="705"/>
      <c r="B350" s="778" t="s">
        <v>92</v>
      </c>
      <c r="C350" s="146" t="s">
        <v>52</v>
      </c>
      <c r="D350" s="753" t="s">
        <v>147</v>
      </c>
      <c r="E350" s="708">
        <v>1</v>
      </c>
      <c r="F350" s="778" t="s">
        <v>92</v>
      </c>
      <c r="G350" s="92"/>
      <c r="H350" s="92">
        <v>360</v>
      </c>
      <c r="I350" s="92"/>
      <c r="J350" s="92"/>
      <c r="K350" s="92">
        <v>360</v>
      </c>
      <c r="L350" s="92">
        <v>2020.01</v>
      </c>
      <c r="M350" s="92">
        <v>2020.12</v>
      </c>
      <c r="N350" s="92">
        <v>3.6</v>
      </c>
      <c r="O350" s="92"/>
      <c r="P350" s="92"/>
      <c r="Q350" s="92">
        <v>3.6</v>
      </c>
      <c r="R350" s="92">
        <v>3.6</v>
      </c>
      <c r="S350" s="92"/>
      <c r="T350" s="92"/>
      <c r="U350" s="92"/>
      <c r="V350" s="92"/>
      <c r="W350" s="92"/>
      <c r="X350" s="92"/>
      <c r="Y350" s="92">
        <v>180</v>
      </c>
      <c r="Z350" s="92">
        <v>580</v>
      </c>
      <c r="AA350" s="708">
        <v>1</v>
      </c>
      <c r="AB350" s="92"/>
      <c r="AC350" s="92"/>
      <c r="AD350" s="712" t="s">
        <v>262</v>
      </c>
      <c r="AE350" s="56" t="s">
        <v>263</v>
      </c>
      <c r="AF350" s="146" t="s">
        <v>195</v>
      </c>
      <c r="AG350" s="92"/>
    </row>
    <row r="351" ht="24.95" customHeight="1" spans="1:33">
      <c r="A351" s="705"/>
      <c r="B351" s="779" t="s">
        <v>289</v>
      </c>
      <c r="C351" s="146" t="s">
        <v>52</v>
      </c>
      <c r="D351" s="780" t="s">
        <v>147</v>
      </c>
      <c r="E351" s="708">
        <f>SUM(E352:E362)</f>
        <v>9</v>
      </c>
      <c r="F351" s="708">
        <f t="shared" ref="F351:AA351" si="45">SUM(F352:F362)</f>
        <v>0</v>
      </c>
      <c r="G351" s="708">
        <f t="shared" si="45"/>
        <v>0</v>
      </c>
      <c r="H351" s="708">
        <f t="shared" si="45"/>
        <v>5856</v>
      </c>
      <c r="I351" s="708">
        <f t="shared" si="45"/>
        <v>0</v>
      </c>
      <c r="J351" s="708">
        <f t="shared" si="45"/>
        <v>0</v>
      </c>
      <c r="K351" s="708">
        <f t="shared" si="45"/>
        <v>5856</v>
      </c>
      <c r="L351" s="708"/>
      <c r="M351" s="708"/>
      <c r="N351" s="708">
        <f t="shared" si="45"/>
        <v>965.2</v>
      </c>
      <c r="O351" s="708">
        <f t="shared" si="45"/>
        <v>0</v>
      </c>
      <c r="P351" s="708">
        <f t="shared" si="45"/>
        <v>0</v>
      </c>
      <c r="Q351" s="708">
        <f t="shared" si="45"/>
        <v>965.2</v>
      </c>
      <c r="R351" s="708">
        <f t="shared" si="45"/>
        <v>965.2</v>
      </c>
      <c r="S351" s="708">
        <f t="shared" si="45"/>
        <v>0</v>
      </c>
      <c r="T351" s="708">
        <f t="shared" si="45"/>
        <v>0</v>
      </c>
      <c r="U351" s="708">
        <f t="shared" si="45"/>
        <v>0</v>
      </c>
      <c r="V351" s="708">
        <f t="shared" si="45"/>
        <v>0</v>
      </c>
      <c r="W351" s="708">
        <f t="shared" si="45"/>
        <v>0</v>
      </c>
      <c r="X351" s="708">
        <f t="shared" si="45"/>
        <v>0</v>
      </c>
      <c r="Y351" s="708">
        <f t="shared" si="45"/>
        <v>2673</v>
      </c>
      <c r="Z351" s="708">
        <f t="shared" si="45"/>
        <v>7530</v>
      </c>
      <c r="AA351" s="708">
        <f t="shared" si="45"/>
        <v>9</v>
      </c>
      <c r="AB351" s="92"/>
      <c r="AC351" s="92"/>
      <c r="AD351" s="193" t="s">
        <v>242</v>
      </c>
      <c r="AE351" s="193" t="s">
        <v>243</v>
      </c>
      <c r="AF351" s="146" t="s">
        <v>195</v>
      </c>
      <c r="AG351" s="92"/>
    </row>
    <row r="352" ht="24.95" customHeight="1" spans="1:33">
      <c r="A352" s="705"/>
      <c r="B352" s="781" t="s">
        <v>101</v>
      </c>
      <c r="C352" s="146" t="s">
        <v>52</v>
      </c>
      <c r="D352" s="780" t="s">
        <v>147</v>
      </c>
      <c r="E352" s="708">
        <v>1</v>
      </c>
      <c r="F352" s="781" t="s">
        <v>101</v>
      </c>
      <c r="G352" s="92"/>
      <c r="H352" s="92">
        <v>140</v>
      </c>
      <c r="I352" s="92"/>
      <c r="J352" s="92"/>
      <c r="K352" s="92">
        <v>140</v>
      </c>
      <c r="L352" s="92">
        <v>2020.01</v>
      </c>
      <c r="M352" s="92">
        <v>2020.12</v>
      </c>
      <c r="N352" s="92">
        <v>391.6</v>
      </c>
      <c r="O352" s="92"/>
      <c r="P352" s="92"/>
      <c r="Q352" s="92">
        <v>391.6</v>
      </c>
      <c r="R352" s="92">
        <v>391.6</v>
      </c>
      <c r="S352" s="92"/>
      <c r="T352" s="92"/>
      <c r="U352" s="92"/>
      <c r="V352" s="92"/>
      <c r="W352" s="92"/>
      <c r="X352" s="92"/>
      <c r="Y352" s="92">
        <v>70</v>
      </c>
      <c r="Z352" s="92">
        <v>301</v>
      </c>
      <c r="AA352" s="708">
        <v>1</v>
      </c>
      <c r="AB352" s="92"/>
      <c r="AC352" s="92"/>
      <c r="AD352" s="193" t="s">
        <v>244</v>
      </c>
      <c r="AE352" s="193" t="s">
        <v>245</v>
      </c>
      <c r="AF352" s="146" t="s">
        <v>195</v>
      </c>
      <c r="AG352" s="92"/>
    </row>
    <row r="353" ht="24.95" customHeight="1" spans="1:33">
      <c r="A353" s="705"/>
      <c r="B353" s="778" t="s">
        <v>51</v>
      </c>
      <c r="C353" s="146" t="s">
        <v>52</v>
      </c>
      <c r="D353" s="780" t="s">
        <v>147</v>
      </c>
      <c r="E353" s="708">
        <v>1</v>
      </c>
      <c r="F353" s="778" t="s">
        <v>51</v>
      </c>
      <c r="G353" s="92"/>
      <c r="H353" s="92">
        <v>438</v>
      </c>
      <c r="I353" s="92"/>
      <c r="J353" s="92"/>
      <c r="K353" s="92">
        <v>438</v>
      </c>
      <c r="L353" s="92">
        <v>2020.01</v>
      </c>
      <c r="M353" s="92">
        <v>2020.12</v>
      </c>
      <c r="N353" s="92">
        <v>43.8</v>
      </c>
      <c r="O353" s="92"/>
      <c r="P353" s="92"/>
      <c r="Q353" s="92">
        <v>43.8</v>
      </c>
      <c r="R353" s="92">
        <v>43.8</v>
      </c>
      <c r="S353" s="92"/>
      <c r="T353" s="92"/>
      <c r="U353" s="92"/>
      <c r="V353" s="92"/>
      <c r="W353" s="92"/>
      <c r="X353" s="92"/>
      <c r="Y353" s="92">
        <v>219</v>
      </c>
      <c r="Z353" s="92">
        <v>895</v>
      </c>
      <c r="AA353" s="708">
        <v>1</v>
      </c>
      <c r="AB353" s="92"/>
      <c r="AC353" s="92"/>
      <c r="AD353" s="712" t="s">
        <v>169</v>
      </c>
      <c r="AE353" s="56" t="s">
        <v>246</v>
      </c>
      <c r="AF353" s="146" t="s">
        <v>195</v>
      </c>
      <c r="AG353" s="92"/>
    </row>
    <row r="354" ht="24.95" customHeight="1" spans="1:33">
      <c r="A354" s="705"/>
      <c r="B354" s="778" t="s">
        <v>72</v>
      </c>
      <c r="C354" s="146" t="s">
        <v>52</v>
      </c>
      <c r="D354" s="780" t="s">
        <v>147</v>
      </c>
      <c r="E354" s="708">
        <v>1</v>
      </c>
      <c r="F354" s="778" t="s">
        <v>72</v>
      </c>
      <c r="G354" s="92"/>
      <c r="H354" s="92">
        <v>566</v>
      </c>
      <c r="I354" s="92"/>
      <c r="J354" s="92"/>
      <c r="K354" s="92">
        <v>566</v>
      </c>
      <c r="L354" s="92">
        <v>2020.01</v>
      </c>
      <c r="M354" s="92">
        <v>2020.12</v>
      </c>
      <c r="N354" s="92">
        <v>56.6</v>
      </c>
      <c r="O354" s="92"/>
      <c r="P354" s="92"/>
      <c r="Q354" s="92">
        <v>56.6</v>
      </c>
      <c r="R354" s="92">
        <v>56.6</v>
      </c>
      <c r="S354" s="92"/>
      <c r="T354" s="92"/>
      <c r="U354" s="92"/>
      <c r="V354" s="92"/>
      <c r="W354" s="92"/>
      <c r="X354" s="92"/>
      <c r="Y354" s="92">
        <v>248</v>
      </c>
      <c r="Z354" s="92">
        <v>496</v>
      </c>
      <c r="AA354" s="708">
        <v>1</v>
      </c>
      <c r="AB354" s="92"/>
      <c r="AC354" s="92"/>
      <c r="AD354" s="712" t="s">
        <v>247</v>
      </c>
      <c r="AE354" s="56" t="s">
        <v>248</v>
      </c>
      <c r="AF354" s="146" t="s">
        <v>195</v>
      </c>
      <c r="AG354" s="92"/>
    </row>
    <row r="355" ht="24.95" customHeight="1" spans="1:33">
      <c r="A355" s="705"/>
      <c r="B355" s="778" t="s">
        <v>55</v>
      </c>
      <c r="C355" s="146" t="s">
        <v>52</v>
      </c>
      <c r="D355" s="780" t="s">
        <v>147</v>
      </c>
      <c r="E355" s="708">
        <v>1</v>
      </c>
      <c r="F355" s="778" t="s">
        <v>55</v>
      </c>
      <c r="G355" s="92"/>
      <c r="H355" s="92">
        <v>446</v>
      </c>
      <c r="I355" s="92"/>
      <c r="J355" s="92"/>
      <c r="K355" s="92">
        <v>446</v>
      </c>
      <c r="L355" s="92">
        <v>2020.01</v>
      </c>
      <c r="M355" s="92">
        <v>2020.12</v>
      </c>
      <c r="N355" s="92">
        <v>44.6</v>
      </c>
      <c r="O355" s="92"/>
      <c r="P355" s="92"/>
      <c r="Q355" s="92">
        <v>44.6</v>
      </c>
      <c r="R355" s="92">
        <v>44.6</v>
      </c>
      <c r="S355" s="92"/>
      <c r="T355" s="92"/>
      <c r="U355" s="92"/>
      <c r="V355" s="92"/>
      <c r="W355" s="92"/>
      <c r="X355" s="92"/>
      <c r="Y355" s="92">
        <v>223</v>
      </c>
      <c r="Z355" s="92">
        <v>978</v>
      </c>
      <c r="AA355" s="708">
        <v>1</v>
      </c>
      <c r="AB355" s="92"/>
      <c r="AC355" s="92"/>
      <c r="AD355" s="712" t="s">
        <v>209</v>
      </c>
      <c r="AE355" s="56" t="s">
        <v>251</v>
      </c>
      <c r="AF355" s="146" t="s">
        <v>195</v>
      </c>
      <c r="AG355" s="92"/>
    </row>
    <row r="356" ht="24.95" customHeight="1" spans="1:33">
      <c r="A356" s="705"/>
      <c r="B356" s="778" t="s">
        <v>75</v>
      </c>
      <c r="C356" s="146" t="s">
        <v>52</v>
      </c>
      <c r="D356" s="780" t="s">
        <v>147</v>
      </c>
      <c r="E356" s="708">
        <v>1</v>
      </c>
      <c r="F356" s="778" t="s">
        <v>75</v>
      </c>
      <c r="G356" s="92"/>
      <c r="H356" s="92">
        <v>640</v>
      </c>
      <c r="I356" s="92"/>
      <c r="J356" s="92"/>
      <c r="K356" s="92">
        <v>640</v>
      </c>
      <c r="L356" s="92">
        <v>2020.01</v>
      </c>
      <c r="M356" s="92">
        <v>2020.12</v>
      </c>
      <c r="N356" s="92">
        <v>64</v>
      </c>
      <c r="O356" s="92"/>
      <c r="P356" s="92"/>
      <c r="Q356" s="92">
        <v>64</v>
      </c>
      <c r="R356" s="92">
        <v>64</v>
      </c>
      <c r="S356" s="92"/>
      <c r="T356" s="92"/>
      <c r="U356" s="92"/>
      <c r="V356" s="92"/>
      <c r="W356" s="92"/>
      <c r="X356" s="92"/>
      <c r="Y356" s="92">
        <v>320</v>
      </c>
      <c r="Z356" s="92">
        <v>1346</v>
      </c>
      <c r="AA356" s="708">
        <v>1</v>
      </c>
      <c r="AB356" s="92"/>
      <c r="AC356" s="92"/>
      <c r="AD356" s="712" t="s">
        <v>76</v>
      </c>
      <c r="AE356" s="712" t="s">
        <v>252</v>
      </c>
      <c r="AF356" s="146" t="s">
        <v>195</v>
      </c>
      <c r="AG356" s="92"/>
    </row>
    <row r="357" ht="24.95" customHeight="1" spans="1:33">
      <c r="A357" s="705"/>
      <c r="B357" s="778" t="s">
        <v>58</v>
      </c>
      <c r="C357" s="146" t="s">
        <v>52</v>
      </c>
      <c r="D357" s="780" t="s">
        <v>147</v>
      </c>
      <c r="E357" s="708"/>
      <c r="F357" s="778"/>
      <c r="G357" s="92"/>
      <c r="H357" s="92"/>
      <c r="I357" s="92"/>
      <c r="J357" s="92"/>
      <c r="K357" s="92"/>
      <c r="L357" s="92"/>
      <c r="M357" s="92"/>
      <c r="N357" s="92"/>
      <c r="O357" s="92"/>
      <c r="P357" s="92"/>
      <c r="Q357" s="92"/>
      <c r="R357" s="92"/>
      <c r="S357" s="92"/>
      <c r="T357" s="92"/>
      <c r="U357" s="92"/>
      <c r="V357" s="92"/>
      <c r="W357" s="92"/>
      <c r="X357" s="92"/>
      <c r="Y357" s="92"/>
      <c r="Z357" s="92"/>
      <c r="AA357" s="708"/>
      <c r="AB357" s="92"/>
      <c r="AC357" s="92"/>
      <c r="AD357" s="712"/>
      <c r="AE357" s="56"/>
      <c r="AF357" s="146"/>
      <c r="AG357" s="92"/>
    </row>
    <row r="358" ht="24.95" customHeight="1" spans="1:33">
      <c r="A358" s="705"/>
      <c r="B358" s="778" t="s">
        <v>61</v>
      </c>
      <c r="C358" s="146" t="s">
        <v>52</v>
      </c>
      <c r="D358" s="780" t="s">
        <v>147</v>
      </c>
      <c r="E358" s="708">
        <v>1</v>
      </c>
      <c r="F358" s="778" t="s">
        <v>61</v>
      </c>
      <c r="G358" s="92"/>
      <c r="H358" s="92">
        <v>1826</v>
      </c>
      <c r="I358" s="92"/>
      <c r="J358" s="92"/>
      <c r="K358" s="92">
        <v>1826</v>
      </c>
      <c r="L358" s="92">
        <v>2020.01</v>
      </c>
      <c r="M358" s="92">
        <v>2020.12</v>
      </c>
      <c r="N358" s="92">
        <v>182.6</v>
      </c>
      <c r="O358" s="92"/>
      <c r="P358" s="92"/>
      <c r="Q358" s="92">
        <v>182.6</v>
      </c>
      <c r="R358" s="92">
        <v>182.6</v>
      </c>
      <c r="S358" s="92"/>
      <c r="T358" s="92"/>
      <c r="U358" s="92"/>
      <c r="V358" s="92"/>
      <c r="W358" s="92"/>
      <c r="X358" s="92"/>
      <c r="Y358" s="92">
        <v>913</v>
      </c>
      <c r="Z358" s="92">
        <v>913</v>
      </c>
      <c r="AA358" s="708">
        <v>1</v>
      </c>
      <c r="AB358" s="92"/>
      <c r="AC358" s="92"/>
      <c r="AD358" s="712" t="s">
        <v>255</v>
      </c>
      <c r="AE358" s="56" t="s">
        <v>256</v>
      </c>
      <c r="AF358" s="146" t="s">
        <v>195</v>
      </c>
      <c r="AG358" s="92"/>
    </row>
    <row r="359" ht="24.95" customHeight="1" spans="1:33">
      <c r="A359" s="705"/>
      <c r="B359" s="781" t="s">
        <v>100</v>
      </c>
      <c r="C359" s="146" t="s">
        <v>52</v>
      </c>
      <c r="D359" s="780" t="s">
        <v>147</v>
      </c>
      <c r="E359" s="708">
        <v>1</v>
      </c>
      <c r="F359" s="781" t="s">
        <v>100</v>
      </c>
      <c r="G359" s="92"/>
      <c r="H359" s="92">
        <v>1000</v>
      </c>
      <c r="I359" s="92"/>
      <c r="J359" s="92"/>
      <c r="K359" s="92">
        <v>1000</v>
      </c>
      <c r="L359" s="92">
        <v>2020.01</v>
      </c>
      <c r="M359" s="92">
        <v>2020.12</v>
      </c>
      <c r="N359" s="92">
        <v>100</v>
      </c>
      <c r="O359" s="92"/>
      <c r="P359" s="92"/>
      <c r="Q359" s="92">
        <v>100</v>
      </c>
      <c r="R359" s="92">
        <v>100</v>
      </c>
      <c r="S359" s="92"/>
      <c r="T359" s="92"/>
      <c r="U359" s="92"/>
      <c r="V359" s="92"/>
      <c r="W359" s="92"/>
      <c r="X359" s="92"/>
      <c r="Y359" s="92">
        <v>100</v>
      </c>
      <c r="Z359" s="92">
        <v>421</v>
      </c>
      <c r="AA359" s="708">
        <v>1</v>
      </c>
      <c r="AB359" s="92"/>
      <c r="AC359" s="92"/>
      <c r="AD359" s="743" t="s">
        <v>79</v>
      </c>
      <c r="AE359" s="743" t="s">
        <v>257</v>
      </c>
      <c r="AF359" s="146" t="s">
        <v>195</v>
      </c>
      <c r="AG359" s="92"/>
    </row>
    <row r="360" ht="24.95" customHeight="1" spans="1:33">
      <c r="A360" s="705"/>
      <c r="B360" s="778" t="s">
        <v>114</v>
      </c>
      <c r="C360" s="146" t="s">
        <v>52</v>
      </c>
      <c r="D360" s="780" t="s">
        <v>147</v>
      </c>
      <c r="E360" s="708"/>
      <c r="F360" s="778"/>
      <c r="G360" s="92"/>
      <c r="H360" s="92"/>
      <c r="I360" s="92"/>
      <c r="J360" s="92"/>
      <c r="K360" s="92"/>
      <c r="L360" s="92"/>
      <c r="M360" s="92"/>
      <c r="N360" s="92"/>
      <c r="O360" s="92"/>
      <c r="P360" s="92"/>
      <c r="Q360" s="92"/>
      <c r="R360" s="92"/>
      <c r="S360" s="92"/>
      <c r="T360" s="92"/>
      <c r="U360" s="92"/>
      <c r="V360" s="92"/>
      <c r="W360" s="92"/>
      <c r="X360" s="92"/>
      <c r="Y360" s="92"/>
      <c r="Z360" s="92"/>
      <c r="AA360" s="708"/>
      <c r="AB360" s="92"/>
      <c r="AC360" s="92"/>
      <c r="AD360" s="712"/>
      <c r="AE360" s="56"/>
      <c r="AF360" s="146"/>
      <c r="AG360" s="92"/>
    </row>
    <row r="361" ht="24.95" customHeight="1" spans="1:33">
      <c r="A361" s="705"/>
      <c r="B361" s="778" t="s">
        <v>64</v>
      </c>
      <c r="C361" s="146" t="s">
        <v>52</v>
      </c>
      <c r="D361" s="780" t="s">
        <v>147</v>
      </c>
      <c r="E361" s="708">
        <v>1</v>
      </c>
      <c r="F361" s="778" t="s">
        <v>64</v>
      </c>
      <c r="G361" s="92"/>
      <c r="H361" s="92">
        <v>440</v>
      </c>
      <c r="I361" s="92"/>
      <c r="J361" s="92"/>
      <c r="K361" s="92">
        <v>440</v>
      </c>
      <c r="L361" s="92">
        <v>2020.01</v>
      </c>
      <c r="M361" s="92">
        <v>2020.12</v>
      </c>
      <c r="N361" s="92">
        <v>44</v>
      </c>
      <c r="O361" s="92"/>
      <c r="P361" s="92"/>
      <c r="Q361" s="92">
        <v>44</v>
      </c>
      <c r="R361" s="92">
        <v>44</v>
      </c>
      <c r="S361" s="92"/>
      <c r="T361" s="92"/>
      <c r="U361" s="92"/>
      <c r="V361" s="92"/>
      <c r="W361" s="92"/>
      <c r="X361" s="92"/>
      <c r="Y361" s="92">
        <v>400</v>
      </c>
      <c r="Z361" s="92">
        <v>1600</v>
      </c>
      <c r="AA361" s="708">
        <v>1</v>
      </c>
      <c r="AB361" s="92"/>
      <c r="AC361" s="92"/>
      <c r="AD361" s="712" t="s">
        <v>185</v>
      </c>
      <c r="AE361" s="56" t="s">
        <v>258</v>
      </c>
      <c r="AF361" s="146" t="s">
        <v>195</v>
      </c>
      <c r="AG361" s="92"/>
    </row>
    <row r="362" ht="24.95" customHeight="1" spans="1:33">
      <c r="A362" s="705"/>
      <c r="B362" s="778" t="s">
        <v>92</v>
      </c>
      <c r="C362" s="146" t="s">
        <v>52</v>
      </c>
      <c r="D362" s="780" t="s">
        <v>147</v>
      </c>
      <c r="E362" s="708">
        <v>1</v>
      </c>
      <c r="F362" s="778" t="s">
        <v>92</v>
      </c>
      <c r="G362" s="92"/>
      <c r="H362" s="92">
        <v>360</v>
      </c>
      <c r="I362" s="92"/>
      <c r="J362" s="92"/>
      <c r="K362" s="92">
        <v>360</v>
      </c>
      <c r="L362" s="92">
        <v>2020.01</v>
      </c>
      <c r="M362" s="92">
        <v>2020.12</v>
      </c>
      <c r="N362" s="92">
        <v>38</v>
      </c>
      <c r="O362" s="92"/>
      <c r="P362" s="92"/>
      <c r="Q362" s="92">
        <v>38</v>
      </c>
      <c r="R362" s="92">
        <v>38</v>
      </c>
      <c r="S362" s="92"/>
      <c r="T362" s="92"/>
      <c r="U362" s="92"/>
      <c r="V362" s="92"/>
      <c r="W362" s="92"/>
      <c r="X362" s="92"/>
      <c r="Y362" s="92">
        <v>180</v>
      </c>
      <c r="Z362" s="92">
        <v>580</v>
      </c>
      <c r="AA362" s="708">
        <v>1</v>
      </c>
      <c r="AB362" s="92"/>
      <c r="AC362" s="92"/>
      <c r="AD362" s="712" t="s">
        <v>262</v>
      </c>
      <c r="AE362" s="56" t="s">
        <v>263</v>
      </c>
      <c r="AF362" s="146" t="s">
        <v>195</v>
      </c>
      <c r="AG362" s="92"/>
    </row>
    <row r="363" ht="24.95" customHeight="1" spans="1:33">
      <c r="A363" s="705"/>
      <c r="B363" s="711" t="s">
        <v>290</v>
      </c>
      <c r="C363" s="146" t="s">
        <v>52</v>
      </c>
      <c r="D363" s="780"/>
      <c r="E363" s="708">
        <f>SUM(E364:E371)</f>
        <v>8</v>
      </c>
      <c r="F363" s="708">
        <f t="shared" ref="F363:AA363" si="46">SUM(F364:F371)</f>
        <v>0</v>
      </c>
      <c r="G363" s="708">
        <f t="shared" si="46"/>
        <v>0</v>
      </c>
      <c r="H363" s="708">
        <f t="shared" si="46"/>
        <v>4270</v>
      </c>
      <c r="I363" s="708">
        <f t="shared" si="46"/>
        <v>0</v>
      </c>
      <c r="J363" s="708">
        <f t="shared" si="46"/>
        <v>0</v>
      </c>
      <c r="K363" s="708">
        <f t="shared" si="46"/>
        <v>4270</v>
      </c>
      <c r="L363" s="708"/>
      <c r="M363" s="708"/>
      <c r="N363" s="708">
        <f t="shared" si="46"/>
        <v>409.3</v>
      </c>
      <c r="O363" s="708">
        <f t="shared" si="46"/>
        <v>0</v>
      </c>
      <c r="P363" s="708">
        <f t="shared" si="46"/>
        <v>0</v>
      </c>
      <c r="Q363" s="708">
        <f t="shared" si="46"/>
        <v>409.3</v>
      </c>
      <c r="R363" s="708">
        <f t="shared" si="46"/>
        <v>409.3</v>
      </c>
      <c r="S363" s="708">
        <f t="shared" si="46"/>
        <v>0</v>
      </c>
      <c r="T363" s="708">
        <f t="shared" si="46"/>
        <v>0</v>
      </c>
      <c r="U363" s="708">
        <f t="shared" si="46"/>
        <v>0</v>
      </c>
      <c r="V363" s="708">
        <f t="shared" si="46"/>
        <v>0</v>
      </c>
      <c r="W363" s="708">
        <f t="shared" si="46"/>
        <v>0</v>
      </c>
      <c r="X363" s="708">
        <f t="shared" si="46"/>
        <v>0</v>
      </c>
      <c r="Y363" s="708">
        <f t="shared" si="46"/>
        <v>2100</v>
      </c>
      <c r="Z363" s="708">
        <f t="shared" si="46"/>
        <v>8089</v>
      </c>
      <c r="AA363" s="708">
        <f t="shared" si="46"/>
        <v>8</v>
      </c>
      <c r="AB363" s="92"/>
      <c r="AC363" s="92"/>
      <c r="AD363" s="193" t="s">
        <v>242</v>
      </c>
      <c r="AE363" s="193" t="s">
        <v>243</v>
      </c>
      <c r="AF363" s="146" t="s">
        <v>195</v>
      </c>
      <c r="AG363" s="92"/>
    </row>
    <row r="364" ht="24.95" customHeight="1" spans="1:33">
      <c r="A364" s="705"/>
      <c r="B364" s="782" t="s">
        <v>51</v>
      </c>
      <c r="C364" s="146" t="s">
        <v>52</v>
      </c>
      <c r="D364" s="753" t="s">
        <v>147</v>
      </c>
      <c r="E364" s="708">
        <v>1</v>
      </c>
      <c r="F364" s="782" t="s">
        <v>51</v>
      </c>
      <c r="G364" s="92"/>
      <c r="H364" s="92">
        <v>490</v>
      </c>
      <c r="I364" s="92"/>
      <c r="J364" s="92"/>
      <c r="K364" s="92">
        <v>490</v>
      </c>
      <c r="L364" s="92">
        <v>2020.01</v>
      </c>
      <c r="M364" s="92">
        <v>2020.12</v>
      </c>
      <c r="N364" s="92">
        <v>58.9</v>
      </c>
      <c r="O364" s="92"/>
      <c r="P364" s="92"/>
      <c r="Q364" s="92">
        <v>58.9</v>
      </c>
      <c r="R364" s="92">
        <v>58.9</v>
      </c>
      <c r="S364" s="92"/>
      <c r="T364" s="92"/>
      <c r="U364" s="92"/>
      <c r="V364" s="92"/>
      <c r="W364" s="92"/>
      <c r="X364" s="92"/>
      <c r="Y364" s="92">
        <v>245</v>
      </c>
      <c r="Z364" s="92">
        <v>831</v>
      </c>
      <c r="AA364" s="708">
        <v>1</v>
      </c>
      <c r="AB364" s="92"/>
      <c r="AC364" s="92"/>
      <c r="AD364" s="712" t="s">
        <v>169</v>
      </c>
      <c r="AE364" s="56" t="s">
        <v>246</v>
      </c>
      <c r="AF364" s="146" t="s">
        <v>195</v>
      </c>
      <c r="AG364" s="92"/>
    </row>
    <row r="365" ht="24.95" customHeight="1" spans="1:33">
      <c r="A365" s="705"/>
      <c r="B365" s="782" t="s">
        <v>72</v>
      </c>
      <c r="C365" s="146" t="s">
        <v>52</v>
      </c>
      <c r="D365" s="753" t="s">
        <v>147</v>
      </c>
      <c r="E365" s="708">
        <v>1</v>
      </c>
      <c r="F365" s="782" t="s">
        <v>72</v>
      </c>
      <c r="G365" s="92"/>
      <c r="H365" s="92">
        <v>566</v>
      </c>
      <c r="I365" s="92"/>
      <c r="J365" s="92"/>
      <c r="K365" s="92">
        <v>566</v>
      </c>
      <c r="L365" s="92">
        <v>2020.01</v>
      </c>
      <c r="M365" s="92">
        <v>2020.12</v>
      </c>
      <c r="N365" s="92">
        <v>28.3</v>
      </c>
      <c r="O365" s="92"/>
      <c r="P365" s="92"/>
      <c r="Q365" s="92">
        <v>28.3</v>
      </c>
      <c r="R365" s="92">
        <v>28.3</v>
      </c>
      <c r="S365" s="92"/>
      <c r="T365" s="92"/>
      <c r="U365" s="92"/>
      <c r="V365" s="92"/>
      <c r="W365" s="92"/>
      <c r="X365" s="92"/>
      <c r="Y365" s="92">
        <v>248</v>
      </c>
      <c r="Z365" s="92">
        <v>1066</v>
      </c>
      <c r="AA365" s="708">
        <v>1</v>
      </c>
      <c r="AB365" s="92"/>
      <c r="AC365" s="92"/>
      <c r="AD365" s="712" t="s">
        <v>247</v>
      </c>
      <c r="AE365" s="56" t="s">
        <v>248</v>
      </c>
      <c r="AF365" s="146" t="s">
        <v>195</v>
      </c>
      <c r="AG365" s="92"/>
    </row>
    <row r="366" ht="24.95" customHeight="1" spans="1:33">
      <c r="A366" s="705"/>
      <c r="B366" s="782" t="s">
        <v>55</v>
      </c>
      <c r="C366" s="146" t="s">
        <v>52</v>
      </c>
      <c r="D366" s="753" t="s">
        <v>147</v>
      </c>
      <c r="E366" s="708">
        <v>1</v>
      </c>
      <c r="F366" s="782" t="s">
        <v>55</v>
      </c>
      <c r="G366" s="92"/>
      <c r="H366" s="92">
        <v>894</v>
      </c>
      <c r="I366" s="92"/>
      <c r="J366" s="92"/>
      <c r="K366" s="92">
        <v>894</v>
      </c>
      <c r="L366" s="92">
        <v>2020.01</v>
      </c>
      <c r="M366" s="92">
        <v>2020.12</v>
      </c>
      <c r="N366" s="92">
        <v>134.1</v>
      </c>
      <c r="O366" s="92"/>
      <c r="P366" s="92"/>
      <c r="Q366" s="92">
        <v>134.1</v>
      </c>
      <c r="R366" s="92">
        <v>134.1</v>
      </c>
      <c r="S366" s="92"/>
      <c r="T366" s="92"/>
      <c r="U366" s="92"/>
      <c r="V366" s="92"/>
      <c r="W366" s="92"/>
      <c r="X366" s="92"/>
      <c r="Y366" s="92">
        <v>447</v>
      </c>
      <c r="Z366" s="92">
        <v>1936</v>
      </c>
      <c r="AA366" s="708">
        <v>1</v>
      </c>
      <c r="AB366" s="92"/>
      <c r="AC366" s="92"/>
      <c r="AD366" s="712" t="s">
        <v>209</v>
      </c>
      <c r="AE366" s="56" t="s">
        <v>251</v>
      </c>
      <c r="AF366" s="146" t="s">
        <v>195</v>
      </c>
      <c r="AG366" s="92"/>
    </row>
    <row r="367" ht="24.95" customHeight="1" spans="1:33">
      <c r="A367" s="705"/>
      <c r="B367" s="778" t="s">
        <v>75</v>
      </c>
      <c r="C367" s="146" t="s">
        <v>52</v>
      </c>
      <c r="D367" s="780" t="s">
        <v>147</v>
      </c>
      <c r="E367" s="708">
        <v>1</v>
      </c>
      <c r="F367" s="778" t="s">
        <v>75</v>
      </c>
      <c r="G367" s="92"/>
      <c r="H367" s="92">
        <v>1280</v>
      </c>
      <c r="I367" s="92"/>
      <c r="J367" s="92"/>
      <c r="K367" s="92">
        <v>1280</v>
      </c>
      <c r="L367" s="92">
        <v>2020.01</v>
      </c>
      <c r="M367" s="92">
        <v>2020.12</v>
      </c>
      <c r="N367" s="92">
        <v>128</v>
      </c>
      <c r="O367" s="92"/>
      <c r="P367" s="92"/>
      <c r="Q367" s="92">
        <v>128</v>
      </c>
      <c r="R367" s="92">
        <v>128</v>
      </c>
      <c r="S367" s="92"/>
      <c r="T367" s="92"/>
      <c r="U367" s="92"/>
      <c r="V367" s="92"/>
      <c r="W367" s="92"/>
      <c r="X367" s="92"/>
      <c r="Y367" s="92">
        <v>640</v>
      </c>
      <c r="Z367" s="92">
        <v>2129</v>
      </c>
      <c r="AA367" s="708">
        <v>1</v>
      </c>
      <c r="AB367" s="92"/>
      <c r="AC367" s="92"/>
      <c r="AD367" s="712" t="s">
        <v>76</v>
      </c>
      <c r="AE367" s="712" t="s">
        <v>252</v>
      </c>
      <c r="AF367" s="146" t="s">
        <v>195</v>
      </c>
      <c r="AG367" s="92"/>
    </row>
    <row r="368" ht="24.95" customHeight="1" spans="1:33">
      <c r="A368" s="705"/>
      <c r="B368" s="782" t="s">
        <v>61</v>
      </c>
      <c r="C368" s="146" t="s">
        <v>52</v>
      </c>
      <c r="D368" s="753" t="s">
        <v>147</v>
      </c>
      <c r="E368" s="708">
        <v>1</v>
      </c>
      <c r="F368" s="782" t="s">
        <v>61</v>
      </c>
      <c r="G368" s="92"/>
      <c r="H368" s="92">
        <v>160</v>
      </c>
      <c r="I368" s="92"/>
      <c r="J368" s="92"/>
      <c r="K368" s="92">
        <v>160</v>
      </c>
      <c r="L368" s="92">
        <v>2020.01</v>
      </c>
      <c r="M368" s="92">
        <v>2020.12</v>
      </c>
      <c r="N368" s="92">
        <v>16</v>
      </c>
      <c r="O368" s="92"/>
      <c r="P368" s="92"/>
      <c r="Q368" s="92">
        <v>16</v>
      </c>
      <c r="R368" s="92">
        <v>16</v>
      </c>
      <c r="S368" s="92"/>
      <c r="T368" s="92"/>
      <c r="U368" s="92"/>
      <c r="V368" s="92"/>
      <c r="W368" s="92"/>
      <c r="X368" s="92"/>
      <c r="Y368" s="92">
        <v>80</v>
      </c>
      <c r="Z368" s="92">
        <v>344</v>
      </c>
      <c r="AA368" s="708">
        <v>1</v>
      </c>
      <c r="AB368" s="92"/>
      <c r="AC368" s="92"/>
      <c r="AD368" s="712" t="s">
        <v>255</v>
      </c>
      <c r="AE368" s="56" t="s">
        <v>256</v>
      </c>
      <c r="AF368" s="146" t="s">
        <v>195</v>
      </c>
      <c r="AG368" s="92"/>
    </row>
    <row r="369" ht="24.95" customHeight="1" spans="1:33">
      <c r="A369" s="705"/>
      <c r="B369" s="781" t="s">
        <v>100</v>
      </c>
      <c r="C369" s="146" t="s">
        <v>52</v>
      </c>
      <c r="D369" s="780" t="s">
        <v>147</v>
      </c>
      <c r="E369" s="708">
        <v>1</v>
      </c>
      <c r="F369" s="781" t="s">
        <v>100</v>
      </c>
      <c r="G369" s="92"/>
      <c r="H369" s="92">
        <v>200</v>
      </c>
      <c r="I369" s="92"/>
      <c r="J369" s="92"/>
      <c r="K369" s="92">
        <v>200</v>
      </c>
      <c r="L369" s="92">
        <v>2020.01</v>
      </c>
      <c r="M369" s="92">
        <v>2020.12</v>
      </c>
      <c r="N369" s="92">
        <v>10</v>
      </c>
      <c r="O369" s="92"/>
      <c r="P369" s="92"/>
      <c r="Q369" s="92">
        <v>10</v>
      </c>
      <c r="R369" s="92">
        <v>10</v>
      </c>
      <c r="S369" s="92"/>
      <c r="T369" s="92"/>
      <c r="U369" s="92"/>
      <c r="V369" s="92"/>
      <c r="W369" s="92"/>
      <c r="X369" s="92"/>
      <c r="Y369" s="92">
        <v>100</v>
      </c>
      <c r="Z369" s="92">
        <v>421</v>
      </c>
      <c r="AA369" s="708">
        <v>1</v>
      </c>
      <c r="AB369" s="92"/>
      <c r="AC369" s="92"/>
      <c r="AD369" s="146" t="s">
        <v>79</v>
      </c>
      <c r="AE369" s="212" t="s">
        <v>257</v>
      </c>
      <c r="AF369" s="146" t="s">
        <v>195</v>
      </c>
      <c r="AG369" s="92"/>
    </row>
    <row r="370" ht="24.95" customHeight="1" spans="1:33">
      <c r="A370" s="705"/>
      <c r="B370" s="778" t="s">
        <v>291</v>
      </c>
      <c r="C370" s="146" t="s">
        <v>52</v>
      </c>
      <c r="D370" s="753" t="s">
        <v>147</v>
      </c>
      <c r="E370" s="708">
        <v>1</v>
      </c>
      <c r="F370" s="778" t="s">
        <v>291</v>
      </c>
      <c r="G370" s="92"/>
      <c r="H370" s="92">
        <v>320</v>
      </c>
      <c r="I370" s="92"/>
      <c r="J370" s="92"/>
      <c r="K370" s="92">
        <v>320</v>
      </c>
      <c r="L370" s="92">
        <v>2020.01</v>
      </c>
      <c r="M370" s="92">
        <v>2020.12</v>
      </c>
      <c r="N370" s="92">
        <v>16</v>
      </c>
      <c r="O370" s="92"/>
      <c r="P370" s="92"/>
      <c r="Q370" s="92">
        <v>16</v>
      </c>
      <c r="R370" s="92">
        <v>16</v>
      </c>
      <c r="S370" s="92"/>
      <c r="T370" s="92"/>
      <c r="U370" s="92"/>
      <c r="V370" s="92"/>
      <c r="W370" s="92"/>
      <c r="X370" s="92"/>
      <c r="Y370" s="92">
        <v>160</v>
      </c>
      <c r="Z370" s="92">
        <v>640</v>
      </c>
      <c r="AA370" s="708">
        <v>1</v>
      </c>
      <c r="AB370" s="92"/>
      <c r="AC370" s="92"/>
      <c r="AD370" s="712" t="s">
        <v>185</v>
      </c>
      <c r="AE370" s="56" t="s">
        <v>258</v>
      </c>
      <c r="AF370" s="146" t="s">
        <v>195</v>
      </c>
      <c r="AG370" s="92"/>
    </row>
    <row r="371" ht="24.95" customHeight="1" spans="1:33">
      <c r="A371" s="705"/>
      <c r="B371" s="782" t="s">
        <v>92</v>
      </c>
      <c r="C371" s="146" t="s">
        <v>52</v>
      </c>
      <c r="D371" s="56" t="s">
        <v>147</v>
      </c>
      <c r="E371" s="708">
        <v>1</v>
      </c>
      <c r="F371" s="782" t="s">
        <v>92</v>
      </c>
      <c r="G371" s="92"/>
      <c r="H371" s="92">
        <v>360</v>
      </c>
      <c r="I371" s="92"/>
      <c r="J371" s="92"/>
      <c r="K371" s="92">
        <v>360</v>
      </c>
      <c r="L371" s="92">
        <v>2020.01</v>
      </c>
      <c r="M371" s="92">
        <v>2020.12</v>
      </c>
      <c r="N371" s="92">
        <v>18</v>
      </c>
      <c r="O371" s="92"/>
      <c r="P371" s="92"/>
      <c r="Q371" s="92">
        <v>18</v>
      </c>
      <c r="R371" s="92">
        <v>18</v>
      </c>
      <c r="S371" s="92"/>
      <c r="T371" s="92"/>
      <c r="U371" s="92"/>
      <c r="V371" s="92"/>
      <c r="W371" s="92"/>
      <c r="X371" s="92"/>
      <c r="Y371" s="92">
        <v>180</v>
      </c>
      <c r="Z371" s="92">
        <v>722</v>
      </c>
      <c r="AA371" s="708">
        <v>1</v>
      </c>
      <c r="AB371" s="92"/>
      <c r="AC371" s="92"/>
      <c r="AD371" s="783" t="s">
        <v>262</v>
      </c>
      <c r="AE371" s="783" t="s">
        <v>263</v>
      </c>
      <c r="AF371" s="146" t="s">
        <v>195</v>
      </c>
      <c r="AG371" s="92"/>
    </row>
    <row r="372" ht="32.1" customHeight="1" spans="1:33">
      <c r="A372" s="705">
        <v>48</v>
      </c>
      <c r="B372" s="706" t="s">
        <v>292</v>
      </c>
      <c r="C372" s="706"/>
      <c r="D372" s="707" t="s">
        <v>147</v>
      </c>
      <c r="E372" s="706">
        <f>E373+E398+E411+E424+E437</f>
        <v>57</v>
      </c>
      <c r="F372" s="706">
        <f t="shared" ref="F372:AA372" si="47">F373+F398+F411+F424+F437</f>
        <v>0</v>
      </c>
      <c r="G372" s="706">
        <f t="shared" si="47"/>
        <v>0</v>
      </c>
      <c r="H372" s="706">
        <f t="shared" si="47"/>
        <v>70466</v>
      </c>
      <c r="I372" s="706">
        <f t="shared" si="47"/>
        <v>0</v>
      </c>
      <c r="J372" s="706">
        <f t="shared" si="47"/>
        <v>0</v>
      </c>
      <c r="K372" s="706">
        <f t="shared" si="47"/>
        <v>70466</v>
      </c>
      <c r="L372" s="706"/>
      <c r="M372" s="706"/>
      <c r="N372" s="706">
        <f t="shared" si="47"/>
        <v>0</v>
      </c>
      <c r="O372" s="706">
        <f t="shared" si="47"/>
        <v>0</v>
      </c>
      <c r="P372" s="706">
        <f t="shared" si="47"/>
        <v>0</v>
      </c>
      <c r="Q372" s="706">
        <f t="shared" si="47"/>
        <v>0</v>
      </c>
      <c r="R372" s="706">
        <f t="shared" si="47"/>
        <v>0</v>
      </c>
      <c r="S372" s="706">
        <f t="shared" si="47"/>
        <v>0</v>
      </c>
      <c r="T372" s="706">
        <f t="shared" si="47"/>
        <v>0</v>
      </c>
      <c r="U372" s="706">
        <f t="shared" si="47"/>
        <v>0</v>
      </c>
      <c r="V372" s="706">
        <f t="shared" si="47"/>
        <v>0</v>
      </c>
      <c r="W372" s="706">
        <f t="shared" si="47"/>
        <v>0</v>
      </c>
      <c r="X372" s="706">
        <f t="shared" si="47"/>
        <v>0</v>
      </c>
      <c r="Y372" s="706">
        <f t="shared" si="47"/>
        <v>32954</v>
      </c>
      <c r="Z372" s="706">
        <f t="shared" si="47"/>
        <v>85002</v>
      </c>
      <c r="AA372" s="706">
        <f t="shared" si="47"/>
        <v>57</v>
      </c>
      <c r="AB372" s="706"/>
      <c r="AC372" s="706"/>
      <c r="AD372" s="706"/>
      <c r="AE372" s="706"/>
      <c r="AF372" s="706" t="s">
        <v>294</v>
      </c>
      <c r="AG372" s="706" t="s">
        <v>41</v>
      </c>
    </row>
    <row r="373" ht="50.25" customHeight="1" spans="1:33">
      <c r="A373" s="705">
        <v>49</v>
      </c>
      <c r="B373" s="708" t="s">
        <v>295</v>
      </c>
      <c r="C373" s="146" t="s">
        <v>52</v>
      </c>
      <c r="D373" s="709" t="s">
        <v>147</v>
      </c>
      <c r="E373" s="708">
        <f>SUM(E374:E385)</f>
        <v>12</v>
      </c>
      <c r="F373" s="708">
        <f t="shared" ref="F373:AA373" si="48">SUM(F374:F385)</f>
        <v>0</v>
      </c>
      <c r="G373" s="708">
        <f t="shared" si="48"/>
        <v>0</v>
      </c>
      <c r="H373" s="708">
        <f t="shared" si="48"/>
        <v>16150</v>
      </c>
      <c r="I373" s="708">
        <f t="shared" si="48"/>
        <v>0</v>
      </c>
      <c r="J373" s="708">
        <f t="shared" si="48"/>
        <v>0</v>
      </c>
      <c r="K373" s="708">
        <f t="shared" si="48"/>
        <v>16150</v>
      </c>
      <c r="L373" s="708"/>
      <c r="M373" s="708"/>
      <c r="N373" s="708">
        <f t="shared" si="48"/>
        <v>0</v>
      </c>
      <c r="O373" s="708">
        <f t="shared" si="48"/>
        <v>0</v>
      </c>
      <c r="P373" s="708">
        <f t="shared" si="48"/>
        <v>0</v>
      </c>
      <c r="Q373" s="708">
        <f t="shared" si="48"/>
        <v>0</v>
      </c>
      <c r="R373" s="708">
        <f t="shared" si="48"/>
        <v>0</v>
      </c>
      <c r="S373" s="708">
        <f t="shared" si="48"/>
        <v>0</v>
      </c>
      <c r="T373" s="708">
        <f t="shared" si="48"/>
        <v>0</v>
      </c>
      <c r="U373" s="708">
        <f t="shared" si="48"/>
        <v>0</v>
      </c>
      <c r="V373" s="708">
        <f t="shared" si="48"/>
        <v>0</v>
      </c>
      <c r="W373" s="708">
        <f t="shared" si="48"/>
        <v>0</v>
      </c>
      <c r="X373" s="708">
        <f t="shared" si="48"/>
        <v>0</v>
      </c>
      <c r="Y373" s="708">
        <f t="shared" si="48"/>
        <v>10876</v>
      </c>
      <c r="Z373" s="708">
        <f t="shared" si="48"/>
        <v>23403</v>
      </c>
      <c r="AA373" s="708">
        <f t="shared" si="48"/>
        <v>12</v>
      </c>
      <c r="AB373" s="708"/>
      <c r="AC373" s="708"/>
      <c r="AD373" s="784" t="s">
        <v>296</v>
      </c>
      <c r="AE373" s="146" t="s">
        <v>297</v>
      </c>
      <c r="AF373" s="438" t="s">
        <v>294</v>
      </c>
      <c r="AG373" s="708" t="s">
        <v>41</v>
      </c>
    </row>
    <row r="374" ht="29" customHeight="1" spans="1:33">
      <c r="A374" s="705"/>
      <c r="B374" s="714" t="s">
        <v>101</v>
      </c>
      <c r="C374" s="146" t="s">
        <v>52</v>
      </c>
      <c r="D374" s="709" t="s">
        <v>147</v>
      </c>
      <c r="E374" s="708">
        <v>1</v>
      </c>
      <c r="F374" s="714" t="s">
        <v>101</v>
      </c>
      <c r="G374" s="708"/>
      <c r="H374" s="708">
        <v>1303</v>
      </c>
      <c r="I374" s="92"/>
      <c r="J374" s="92"/>
      <c r="K374" s="708">
        <v>1303</v>
      </c>
      <c r="L374" s="92">
        <v>2020.01</v>
      </c>
      <c r="M374" s="92">
        <v>2020.12</v>
      </c>
      <c r="N374" s="726"/>
      <c r="O374" s="726"/>
      <c r="P374" s="726"/>
      <c r="Q374" s="726"/>
      <c r="R374" s="726"/>
      <c r="S374" s="726"/>
      <c r="T374" s="726"/>
      <c r="U374" s="726"/>
      <c r="V374" s="726"/>
      <c r="W374" s="726"/>
      <c r="X374" s="726"/>
      <c r="Y374" s="763">
        <v>862</v>
      </c>
      <c r="Z374" s="763">
        <v>3974</v>
      </c>
      <c r="AA374" s="708">
        <v>1</v>
      </c>
      <c r="AB374" s="708"/>
      <c r="AC374" s="708"/>
      <c r="AD374" s="146" t="s">
        <v>298</v>
      </c>
      <c r="AE374" s="146" t="s">
        <v>299</v>
      </c>
      <c r="AF374" s="438" t="s">
        <v>294</v>
      </c>
      <c r="AG374" s="708"/>
    </row>
    <row r="375" ht="29" customHeight="1" spans="1:33">
      <c r="A375" s="705"/>
      <c r="B375" s="714" t="s">
        <v>151</v>
      </c>
      <c r="C375" s="146" t="s">
        <v>52</v>
      </c>
      <c r="D375" s="709" t="s">
        <v>147</v>
      </c>
      <c r="E375" s="708">
        <v>1</v>
      </c>
      <c r="F375" s="714" t="s">
        <v>151</v>
      </c>
      <c r="G375" s="708"/>
      <c r="H375" s="708">
        <v>446</v>
      </c>
      <c r="I375" s="92"/>
      <c r="J375" s="92"/>
      <c r="K375" s="708">
        <v>446</v>
      </c>
      <c r="L375" s="92">
        <v>2020.01</v>
      </c>
      <c r="M375" s="92">
        <v>2020.12</v>
      </c>
      <c r="N375" s="726"/>
      <c r="O375" s="726"/>
      <c r="P375" s="726"/>
      <c r="Q375" s="726"/>
      <c r="R375" s="726"/>
      <c r="S375" s="726"/>
      <c r="T375" s="726"/>
      <c r="U375" s="726"/>
      <c r="V375" s="726"/>
      <c r="W375" s="726"/>
      <c r="X375" s="726"/>
      <c r="Y375" s="763">
        <v>400</v>
      </c>
      <c r="Z375" s="763">
        <v>446</v>
      </c>
      <c r="AA375" s="708">
        <v>1</v>
      </c>
      <c r="AB375" s="708"/>
      <c r="AC375" s="708"/>
      <c r="AD375" s="146" t="s">
        <v>300</v>
      </c>
      <c r="AE375" s="146" t="s">
        <v>301</v>
      </c>
      <c r="AF375" s="438" t="s">
        <v>294</v>
      </c>
      <c r="AG375" s="708"/>
    </row>
    <row r="376" ht="29" customHeight="1" spans="1:33">
      <c r="A376" s="705"/>
      <c r="B376" s="714" t="s">
        <v>154</v>
      </c>
      <c r="C376" s="146" t="s">
        <v>52</v>
      </c>
      <c r="D376" s="709" t="s">
        <v>147</v>
      </c>
      <c r="E376" s="708">
        <v>1</v>
      </c>
      <c r="F376" s="714" t="s">
        <v>154</v>
      </c>
      <c r="G376" s="708"/>
      <c r="H376" s="708">
        <v>1810</v>
      </c>
      <c r="I376" s="92"/>
      <c r="J376" s="92"/>
      <c r="K376" s="708">
        <v>1810</v>
      </c>
      <c r="L376" s="92">
        <v>2020.01</v>
      </c>
      <c r="M376" s="92">
        <v>2020.12</v>
      </c>
      <c r="N376" s="726"/>
      <c r="O376" s="726"/>
      <c r="P376" s="726"/>
      <c r="Q376" s="726"/>
      <c r="R376" s="726"/>
      <c r="S376" s="726"/>
      <c r="T376" s="726"/>
      <c r="U376" s="726"/>
      <c r="V376" s="726"/>
      <c r="W376" s="726"/>
      <c r="X376" s="726"/>
      <c r="Y376" s="763">
        <v>990</v>
      </c>
      <c r="Z376" s="763">
        <v>1810</v>
      </c>
      <c r="AA376" s="708">
        <v>1</v>
      </c>
      <c r="AB376" s="708"/>
      <c r="AC376" s="708"/>
      <c r="AD376" s="146" t="s">
        <v>247</v>
      </c>
      <c r="AE376" s="146" t="s">
        <v>302</v>
      </c>
      <c r="AF376" s="438" t="s">
        <v>294</v>
      </c>
      <c r="AG376" s="708"/>
    </row>
    <row r="377" ht="29" customHeight="1" spans="1:33">
      <c r="A377" s="705"/>
      <c r="B377" s="714" t="s">
        <v>81</v>
      </c>
      <c r="C377" s="146" t="s">
        <v>52</v>
      </c>
      <c r="D377" s="709" t="s">
        <v>147</v>
      </c>
      <c r="E377" s="708">
        <v>1</v>
      </c>
      <c r="F377" s="714" t="s">
        <v>81</v>
      </c>
      <c r="G377" s="708"/>
      <c r="H377" s="708">
        <v>1071</v>
      </c>
      <c r="I377" s="92"/>
      <c r="J377" s="92"/>
      <c r="K377" s="708">
        <v>1071</v>
      </c>
      <c r="L377" s="92">
        <v>2020.01</v>
      </c>
      <c r="M377" s="92">
        <v>2020.12</v>
      </c>
      <c r="N377" s="726"/>
      <c r="O377" s="726"/>
      <c r="P377" s="726"/>
      <c r="Q377" s="726"/>
      <c r="R377" s="726"/>
      <c r="S377" s="726"/>
      <c r="T377" s="726"/>
      <c r="U377" s="726"/>
      <c r="V377" s="726"/>
      <c r="W377" s="726"/>
      <c r="X377" s="726"/>
      <c r="Y377" s="763">
        <v>718</v>
      </c>
      <c r="Z377" s="763">
        <v>1071</v>
      </c>
      <c r="AA377" s="708">
        <v>1</v>
      </c>
      <c r="AB377" s="708"/>
      <c r="AC377" s="708"/>
      <c r="AD377" s="146" t="s">
        <v>303</v>
      </c>
      <c r="AE377" s="146" t="s">
        <v>304</v>
      </c>
      <c r="AF377" s="438" t="s">
        <v>294</v>
      </c>
      <c r="AG377" s="708"/>
    </row>
    <row r="378" ht="29" customHeight="1" spans="1:33">
      <c r="A378" s="705"/>
      <c r="B378" s="714" t="s">
        <v>98</v>
      </c>
      <c r="C378" s="146" t="s">
        <v>52</v>
      </c>
      <c r="D378" s="709" t="s">
        <v>147</v>
      </c>
      <c r="E378" s="708">
        <v>1</v>
      </c>
      <c r="F378" s="714" t="s">
        <v>98</v>
      </c>
      <c r="G378" s="708"/>
      <c r="H378" s="708">
        <v>2195</v>
      </c>
      <c r="I378" s="92"/>
      <c r="J378" s="92"/>
      <c r="K378" s="708">
        <v>2195</v>
      </c>
      <c r="L378" s="92">
        <v>2020.01</v>
      </c>
      <c r="M378" s="92">
        <v>2020.12</v>
      </c>
      <c r="N378" s="726"/>
      <c r="O378" s="726"/>
      <c r="P378" s="726"/>
      <c r="Q378" s="726"/>
      <c r="R378" s="726"/>
      <c r="S378" s="726"/>
      <c r="T378" s="726"/>
      <c r="U378" s="726"/>
      <c r="V378" s="726"/>
      <c r="W378" s="726"/>
      <c r="X378" s="726"/>
      <c r="Y378" s="763">
        <v>1352</v>
      </c>
      <c r="Z378" s="763">
        <v>6593</v>
      </c>
      <c r="AA378" s="708">
        <v>1</v>
      </c>
      <c r="AB378" s="708"/>
      <c r="AC378" s="708"/>
      <c r="AD378" s="146" t="s">
        <v>305</v>
      </c>
      <c r="AE378" s="146" t="s">
        <v>306</v>
      </c>
      <c r="AF378" s="438" t="s">
        <v>294</v>
      </c>
      <c r="AG378" s="708"/>
    </row>
    <row r="379" ht="29" customHeight="1" spans="1:33">
      <c r="A379" s="705"/>
      <c r="B379" s="714" t="s">
        <v>211</v>
      </c>
      <c r="C379" s="146" t="s">
        <v>52</v>
      </c>
      <c r="D379" s="709" t="s">
        <v>147</v>
      </c>
      <c r="E379" s="708">
        <v>1</v>
      </c>
      <c r="F379" s="714" t="s">
        <v>211</v>
      </c>
      <c r="G379" s="708"/>
      <c r="H379" s="708">
        <v>1885</v>
      </c>
      <c r="I379" s="92"/>
      <c r="J379" s="92"/>
      <c r="K379" s="708">
        <v>1885</v>
      </c>
      <c r="L379" s="92">
        <v>2020.01</v>
      </c>
      <c r="M379" s="92">
        <v>2020.12</v>
      </c>
      <c r="N379" s="726"/>
      <c r="O379" s="726"/>
      <c r="P379" s="726"/>
      <c r="Q379" s="726"/>
      <c r="R379" s="726"/>
      <c r="S379" s="726"/>
      <c r="T379" s="726"/>
      <c r="U379" s="726"/>
      <c r="V379" s="726"/>
      <c r="W379" s="726"/>
      <c r="X379" s="726"/>
      <c r="Y379" s="763">
        <v>998</v>
      </c>
      <c r="Z379" s="763">
        <v>1885</v>
      </c>
      <c r="AA379" s="708">
        <v>1</v>
      </c>
      <c r="AB379" s="708"/>
      <c r="AC379" s="708"/>
      <c r="AD379" s="146" t="s">
        <v>307</v>
      </c>
      <c r="AE379" s="146" t="s">
        <v>308</v>
      </c>
      <c r="AF379" s="438" t="s">
        <v>294</v>
      </c>
      <c r="AG379" s="708"/>
    </row>
    <row r="380" ht="29" customHeight="1" spans="1:33">
      <c r="A380" s="705"/>
      <c r="B380" s="714" t="s">
        <v>155</v>
      </c>
      <c r="C380" s="146" t="s">
        <v>52</v>
      </c>
      <c r="D380" s="709" t="s">
        <v>147</v>
      </c>
      <c r="E380" s="708">
        <v>1</v>
      </c>
      <c r="F380" s="714" t="s">
        <v>155</v>
      </c>
      <c r="G380" s="708"/>
      <c r="H380" s="708">
        <v>792</v>
      </c>
      <c r="I380" s="92"/>
      <c r="J380" s="92"/>
      <c r="K380" s="708">
        <v>792</v>
      </c>
      <c r="L380" s="92">
        <v>2020.01</v>
      </c>
      <c r="M380" s="92">
        <v>2020.12</v>
      </c>
      <c r="N380" s="726"/>
      <c r="O380" s="726"/>
      <c r="P380" s="726"/>
      <c r="Q380" s="726"/>
      <c r="R380" s="726"/>
      <c r="S380" s="726"/>
      <c r="T380" s="726"/>
      <c r="U380" s="726"/>
      <c r="V380" s="726"/>
      <c r="W380" s="726"/>
      <c r="X380" s="726"/>
      <c r="Y380" s="763">
        <v>432</v>
      </c>
      <c r="Z380" s="763">
        <v>792</v>
      </c>
      <c r="AA380" s="708">
        <v>1</v>
      </c>
      <c r="AB380" s="708"/>
      <c r="AC380" s="708"/>
      <c r="AD380" s="146" t="s">
        <v>309</v>
      </c>
      <c r="AE380" s="146" t="s">
        <v>310</v>
      </c>
      <c r="AF380" s="438" t="s">
        <v>294</v>
      </c>
      <c r="AG380" s="708"/>
    </row>
    <row r="381" ht="29" customHeight="1" spans="1:33">
      <c r="A381" s="705"/>
      <c r="B381" s="714" t="s">
        <v>102</v>
      </c>
      <c r="C381" s="146" t="s">
        <v>52</v>
      </c>
      <c r="D381" s="709" t="s">
        <v>147</v>
      </c>
      <c r="E381" s="708">
        <v>1</v>
      </c>
      <c r="F381" s="714" t="s">
        <v>102</v>
      </c>
      <c r="G381" s="708"/>
      <c r="H381" s="92">
        <v>2320</v>
      </c>
      <c r="I381" s="92"/>
      <c r="J381" s="92"/>
      <c r="K381" s="92">
        <v>2320</v>
      </c>
      <c r="L381" s="92">
        <v>2020.01</v>
      </c>
      <c r="M381" s="92">
        <v>2020.12</v>
      </c>
      <c r="N381" s="726"/>
      <c r="O381" s="726"/>
      <c r="P381" s="726"/>
      <c r="Q381" s="726"/>
      <c r="R381" s="726"/>
      <c r="S381" s="726"/>
      <c r="T381" s="726"/>
      <c r="U381" s="726"/>
      <c r="V381" s="726"/>
      <c r="W381" s="726"/>
      <c r="X381" s="726"/>
      <c r="Y381" s="763">
        <v>2144</v>
      </c>
      <c r="Z381" s="763">
        <v>2323</v>
      </c>
      <c r="AA381" s="708">
        <v>1</v>
      </c>
      <c r="AB381" s="708"/>
      <c r="AC381" s="708"/>
      <c r="AD381" s="146" t="s">
        <v>215</v>
      </c>
      <c r="AE381" s="146" t="s">
        <v>311</v>
      </c>
      <c r="AF381" s="438" t="s">
        <v>294</v>
      </c>
      <c r="AG381" s="708"/>
    </row>
    <row r="382" ht="24.95" customHeight="1" spans="1:33">
      <c r="A382" s="705">
        <v>50</v>
      </c>
      <c r="B382" s="714" t="s">
        <v>100</v>
      </c>
      <c r="C382" s="146" t="s">
        <v>52</v>
      </c>
      <c r="D382" s="709" t="s">
        <v>147</v>
      </c>
      <c r="E382" s="708">
        <v>1</v>
      </c>
      <c r="F382" s="714" t="s">
        <v>100</v>
      </c>
      <c r="G382" s="92"/>
      <c r="H382" s="92">
        <v>2162</v>
      </c>
      <c r="I382" s="92"/>
      <c r="J382" s="92"/>
      <c r="K382" s="92">
        <v>2162</v>
      </c>
      <c r="L382" s="92">
        <v>2020.01</v>
      </c>
      <c r="M382" s="92">
        <v>2020.12</v>
      </c>
      <c r="N382" s="724"/>
      <c r="O382" s="724"/>
      <c r="P382" s="724"/>
      <c r="Q382" s="724"/>
      <c r="R382" s="724"/>
      <c r="S382" s="724"/>
      <c r="T382" s="724"/>
      <c r="U382" s="724"/>
      <c r="V382" s="724"/>
      <c r="W382" s="724"/>
      <c r="X382" s="724"/>
      <c r="Y382" s="738">
        <v>1232</v>
      </c>
      <c r="Z382" s="738">
        <v>2162</v>
      </c>
      <c r="AA382" s="708">
        <v>1</v>
      </c>
      <c r="AB382" s="92"/>
      <c r="AC382" s="92"/>
      <c r="AD382" s="146" t="s">
        <v>312</v>
      </c>
      <c r="AE382" s="146" t="s">
        <v>313</v>
      </c>
      <c r="AF382" s="438" t="s">
        <v>294</v>
      </c>
      <c r="AG382" s="92"/>
    </row>
    <row r="383" ht="24.95" customHeight="1" spans="1:33">
      <c r="A383" s="705" t="s">
        <v>48</v>
      </c>
      <c r="B383" s="714" t="s">
        <v>84</v>
      </c>
      <c r="C383" s="146" t="s">
        <v>52</v>
      </c>
      <c r="D383" s="709" t="s">
        <v>147</v>
      </c>
      <c r="E383" s="708">
        <v>1</v>
      </c>
      <c r="F383" s="714" t="s">
        <v>84</v>
      </c>
      <c r="G383" s="92"/>
      <c r="H383" s="92">
        <v>1111</v>
      </c>
      <c r="I383" s="92"/>
      <c r="J383" s="92"/>
      <c r="K383" s="92">
        <v>1111</v>
      </c>
      <c r="L383" s="92">
        <v>2020.01</v>
      </c>
      <c r="M383" s="92">
        <v>2020.12</v>
      </c>
      <c r="N383" s="92"/>
      <c r="O383" s="92"/>
      <c r="P383" s="92"/>
      <c r="Q383" s="92"/>
      <c r="R383" s="92"/>
      <c r="S383" s="92"/>
      <c r="T383" s="92"/>
      <c r="U383" s="92"/>
      <c r="V383" s="92"/>
      <c r="W383" s="92"/>
      <c r="X383" s="92"/>
      <c r="Y383" s="738">
        <v>703</v>
      </c>
      <c r="Z383" s="738">
        <v>1111</v>
      </c>
      <c r="AA383" s="708">
        <v>1</v>
      </c>
      <c r="AB383" s="92"/>
      <c r="AC383" s="92"/>
      <c r="AD383" s="146" t="s">
        <v>185</v>
      </c>
      <c r="AE383" s="146" t="s">
        <v>314</v>
      </c>
      <c r="AF383" s="438" t="s">
        <v>294</v>
      </c>
      <c r="AG383" s="92"/>
    </row>
    <row r="384" ht="24.95" customHeight="1" spans="1:33">
      <c r="A384" s="705">
        <v>51</v>
      </c>
      <c r="B384" s="714" t="s">
        <v>259</v>
      </c>
      <c r="C384" s="146" t="s">
        <v>52</v>
      </c>
      <c r="D384" s="709" t="s">
        <v>147</v>
      </c>
      <c r="E384" s="708">
        <v>1</v>
      </c>
      <c r="F384" s="714" t="s">
        <v>259</v>
      </c>
      <c r="G384" s="92"/>
      <c r="H384" s="92">
        <v>232</v>
      </c>
      <c r="I384" s="92"/>
      <c r="J384" s="92"/>
      <c r="K384" s="92">
        <v>232</v>
      </c>
      <c r="L384" s="92">
        <v>2020.01</v>
      </c>
      <c r="M384" s="92">
        <v>2020.12</v>
      </c>
      <c r="N384" s="724"/>
      <c r="O384" s="724"/>
      <c r="P384" s="724"/>
      <c r="Q384" s="724"/>
      <c r="R384" s="724"/>
      <c r="S384" s="724"/>
      <c r="T384" s="724"/>
      <c r="U384" s="724"/>
      <c r="V384" s="724"/>
      <c r="W384" s="724"/>
      <c r="X384" s="724"/>
      <c r="Y384" s="738">
        <v>150</v>
      </c>
      <c r="Z384" s="738">
        <v>232</v>
      </c>
      <c r="AA384" s="708">
        <v>1</v>
      </c>
      <c r="AB384" s="92"/>
      <c r="AC384" s="92"/>
      <c r="AD384" s="146" t="s">
        <v>315</v>
      </c>
      <c r="AE384" s="146" t="s">
        <v>316</v>
      </c>
      <c r="AF384" s="438" t="s">
        <v>294</v>
      </c>
      <c r="AG384" s="92"/>
    </row>
    <row r="385" ht="24.95" customHeight="1" spans="1:33">
      <c r="A385" s="705" t="s">
        <v>48</v>
      </c>
      <c r="B385" s="714" t="s">
        <v>143</v>
      </c>
      <c r="C385" s="146" t="s">
        <v>52</v>
      </c>
      <c r="D385" s="709" t="s">
        <v>147</v>
      </c>
      <c r="E385" s="708">
        <v>1</v>
      </c>
      <c r="F385" s="714" t="s">
        <v>143</v>
      </c>
      <c r="G385" s="92"/>
      <c r="H385" s="708">
        <v>823</v>
      </c>
      <c r="I385" s="92"/>
      <c r="J385" s="92"/>
      <c r="K385" s="708">
        <v>823</v>
      </c>
      <c r="L385" s="92">
        <v>2020.01</v>
      </c>
      <c r="M385" s="92">
        <v>2020.12</v>
      </c>
      <c r="N385" s="724"/>
      <c r="O385" s="724"/>
      <c r="P385" s="724"/>
      <c r="Q385" s="724"/>
      <c r="R385" s="724"/>
      <c r="S385" s="724"/>
      <c r="T385" s="724"/>
      <c r="U385" s="724"/>
      <c r="V385" s="724"/>
      <c r="W385" s="724"/>
      <c r="X385" s="724"/>
      <c r="Y385" s="738">
        <v>895</v>
      </c>
      <c r="Z385" s="738">
        <v>1004</v>
      </c>
      <c r="AA385" s="708">
        <v>1</v>
      </c>
      <c r="AB385" s="92"/>
      <c r="AC385" s="92"/>
      <c r="AD385" s="146" t="s">
        <v>317</v>
      </c>
      <c r="AE385" s="146" t="s">
        <v>318</v>
      </c>
      <c r="AF385" s="438" t="s">
        <v>294</v>
      </c>
      <c r="AG385" s="92"/>
    </row>
    <row r="386" ht="24.95" customHeight="1" spans="1:33">
      <c r="A386" s="705">
        <v>52</v>
      </c>
      <c r="B386" s="750" t="s">
        <v>319</v>
      </c>
      <c r="C386" s="146" t="s">
        <v>320</v>
      </c>
      <c r="D386" s="152" t="s">
        <v>147</v>
      </c>
      <c r="E386" s="708">
        <f>SUM(E387:E397)</f>
        <v>11</v>
      </c>
      <c r="F386" s="708">
        <f t="shared" ref="F386:AA386" si="49">SUM(F387:F397)</f>
        <v>0</v>
      </c>
      <c r="G386" s="708">
        <f t="shared" si="49"/>
        <v>0</v>
      </c>
      <c r="H386" s="708">
        <f t="shared" si="49"/>
        <v>3443</v>
      </c>
      <c r="I386" s="708">
        <f t="shared" si="49"/>
        <v>0</v>
      </c>
      <c r="J386" s="708">
        <f t="shared" si="49"/>
        <v>0</v>
      </c>
      <c r="K386" s="708">
        <f t="shared" si="49"/>
        <v>3443</v>
      </c>
      <c r="L386" s="708"/>
      <c r="M386" s="708"/>
      <c r="N386" s="708">
        <f t="shared" si="49"/>
        <v>0</v>
      </c>
      <c r="O386" s="708">
        <f t="shared" si="49"/>
        <v>0</v>
      </c>
      <c r="P386" s="708">
        <f t="shared" si="49"/>
        <v>0</v>
      </c>
      <c r="Q386" s="708">
        <f t="shared" si="49"/>
        <v>0</v>
      </c>
      <c r="R386" s="708">
        <f t="shared" si="49"/>
        <v>0</v>
      </c>
      <c r="S386" s="708">
        <f t="shared" si="49"/>
        <v>0</v>
      </c>
      <c r="T386" s="708">
        <f t="shared" si="49"/>
        <v>0</v>
      </c>
      <c r="U386" s="708">
        <f t="shared" si="49"/>
        <v>0</v>
      </c>
      <c r="V386" s="708">
        <f t="shared" si="49"/>
        <v>0</v>
      </c>
      <c r="W386" s="708">
        <f t="shared" si="49"/>
        <v>0</v>
      </c>
      <c r="X386" s="708">
        <f t="shared" si="49"/>
        <v>0</v>
      </c>
      <c r="Y386" s="708">
        <f t="shared" si="49"/>
        <v>2801</v>
      </c>
      <c r="Z386" s="708">
        <f t="shared" si="49"/>
        <v>7695</v>
      </c>
      <c r="AA386" s="708">
        <f t="shared" si="49"/>
        <v>11</v>
      </c>
      <c r="AB386" s="708"/>
      <c r="AC386" s="708"/>
      <c r="AD386" s="784" t="s">
        <v>296</v>
      </c>
      <c r="AE386" s="146" t="s">
        <v>297</v>
      </c>
      <c r="AF386" s="438" t="s">
        <v>294</v>
      </c>
      <c r="AG386" s="708" t="s">
        <v>41</v>
      </c>
    </row>
    <row r="387" ht="24.95" customHeight="1" spans="1:33">
      <c r="A387" s="705"/>
      <c r="B387" s="714" t="s">
        <v>101</v>
      </c>
      <c r="C387" s="146" t="s">
        <v>320</v>
      </c>
      <c r="D387" s="152" t="s">
        <v>147</v>
      </c>
      <c r="E387" s="708">
        <v>1</v>
      </c>
      <c r="F387" s="714" t="s">
        <v>101</v>
      </c>
      <c r="G387" s="708"/>
      <c r="H387" s="92">
        <v>263</v>
      </c>
      <c r="I387" s="92"/>
      <c r="J387" s="92"/>
      <c r="K387" s="92">
        <v>263</v>
      </c>
      <c r="L387" s="92">
        <v>2020.01</v>
      </c>
      <c r="M387" s="92">
        <v>2020.12</v>
      </c>
      <c r="N387" s="726"/>
      <c r="O387" s="726"/>
      <c r="P387" s="726"/>
      <c r="Q387" s="726"/>
      <c r="R387" s="726"/>
      <c r="S387" s="726"/>
      <c r="T387" s="726"/>
      <c r="U387" s="726"/>
      <c r="V387" s="726"/>
      <c r="W387" s="726"/>
      <c r="X387" s="726"/>
      <c r="Y387" s="763">
        <v>245</v>
      </c>
      <c r="Z387" s="763">
        <v>1045</v>
      </c>
      <c r="AA387" s="708">
        <v>1</v>
      </c>
      <c r="AB387" s="708"/>
      <c r="AC387" s="708"/>
      <c r="AD387" s="146" t="s">
        <v>298</v>
      </c>
      <c r="AE387" s="146" t="s">
        <v>299</v>
      </c>
      <c r="AF387" s="438" t="s">
        <v>294</v>
      </c>
      <c r="AG387" s="708"/>
    </row>
    <row r="388" ht="24.95" customHeight="1" spans="1:33">
      <c r="A388" s="705"/>
      <c r="B388" s="714" t="s">
        <v>151</v>
      </c>
      <c r="C388" s="146" t="s">
        <v>320</v>
      </c>
      <c r="D388" s="152" t="s">
        <v>147</v>
      </c>
      <c r="E388" s="708">
        <v>1</v>
      </c>
      <c r="F388" s="714" t="s">
        <v>151</v>
      </c>
      <c r="G388" s="708"/>
      <c r="H388" s="92">
        <v>33</v>
      </c>
      <c r="I388" s="92"/>
      <c r="J388" s="92"/>
      <c r="K388" s="92">
        <v>33</v>
      </c>
      <c r="L388" s="92">
        <v>2020.01</v>
      </c>
      <c r="M388" s="92">
        <v>2020.12</v>
      </c>
      <c r="N388" s="726"/>
      <c r="O388" s="726"/>
      <c r="P388" s="726"/>
      <c r="Q388" s="726"/>
      <c r="R388" s="726"/>
      <c r="S388" s="726"/>
      <c r="T388" s="726"/>
      <c r="U388" s="726"/>
      <c r="V388" s="726"/>
      <c r="W388" s="726"/>
      <c r="X388" s="726"/>
      <c r="Y388" s="763">
        <v>33</v>
      </c>
      <c r="Z388" s="763">
        <v>142</v>
      </c>
      <c r="AA388" s="708">
        <v>1</v>
      </c>
      <c r="AB388" s="708"/>
      <c r="AC388" s="708"/>
      <c r="AD388" s="146" t="s">
        <v>300</v>
      </c>
      <c r="AE388" s="146" t="s">
        <v>301</v>
      </c>
      <c r="AF388" s="438" t="s">
        <v>294</v>
      </c>
      <c r="AG388" s="708"/>
    </row>
    <row r="389" ht="24.95" customHeight="1" spans="1:33">
      <c r="A389" s="705"/>
      <c r="B389" s="714" t="s">
        <v>154</v>
      </c>
      <c r="C389" s="146" t="s">
        <v>320</v>
      </c>
      <c r="D389" s="152" t="s">
        <v>147</v>
      </c>
      <c r="E389" s="708">
        <v>1</v>
      </c>
      <c r="F389" s="714" t="s">
        <v>154</v>
      </c>
      <c r="G389" s="708"/>
      <c r="H389" s="92">
        <v>316</v>
      </c>
      <c r="I389" s="92"/>
      <c r="J389" s="92"/>
      <c r="K389" s="92">
        <v>316</v>
      </c>
      <c r="L389" s="92">
        <v>2020.01</v>
      </c>
      <c r="M389" s="92">
        <v>2020.12</v>
      </c>
      <c r="N389" s="726"/>
      <c r="O389" s="726"/>
      <c r="P389" s="726"/>
      <c r="Q389" s="726"/>
      <c r="R389" s="726"/>
      <c r="S389" s="726"/>
      <c r="T389" s="726"/>
      <c r="U389" s="726"/>
      <c r="V389" s="726"/>
      <c r="W389" s="726"/>
      <c r="X389" s="726"/>
      <c r="Y389" s="763">
        <v>258</v>
      </c>
      <c r="Z389" s="763">
        <v>316</v>
      </c>
      <c r="AA389" s="708">
        <v>1</v>
      </c>
      <c r="AB389" s="708"/>
      <c r="AC389" s="708"/>
      <c r="AD389" s="146" t="s">
        <v>247</v>
      </c>
      <c r="AE389" s="146" t="s">
        <v>302</v>
      </c>
      <c r="AF389" s="438" t="s">
        <v>294</v>
      </c>
      <c r="AG389" s="708"/>
    </row>
    <row r="390" ht="24.95" customHeight="1" spans="1:33">
      <c r="A390" s="705"/>
      <c r="B390" s="714" t="s">
        <v>81</v>
      </c>
      <c r="C390" s="146" t="s">
        <v>320</v>
      </c>
      <c r="D390" s="152" t="s">
        <v>147</v>
      </c>
      <c r="E390" s="708">
        <v>1</v>
      </c>
      <c r="F390" s="714" t="s">
        <v>81</v>
      </c>
      <c r="G390" s="708"/>
      <c r="H390" s="92">
        <v>368</v>
      </c>
      <c r="I390" s="92"/>
      <c r="J390" s="92"/>
      <c r="K390" s="92">
        <v>368</v>
      </c>
      <c r="L390" s="92">
        <v>2020.01</v>
      </c>
      <c r="M390" s="92">
        <v>2020.12</v>
      </c>
      <c r="N390" s="726"/>
      <c r="O390" s="726"/>
      <c r="P390" s="726"/>
      <c r="Q390" s="726"/>
      <c r="R390" s="726"/>
      <c r="S390" s="726"/>
      <c r="T390" s="726"/>
      <c r="U390" s="726"/>
      <c r="V390" s="726"/>
      <c r="W390" s="726"/>
      <c r="X390" s="726"/>
      <c r="Y390" s="763">
        <v>318</v>
      </c>
      <c r="Z390" s="763">
        <v>368</v>
      </c>
      <c r="AA390" s="708">
        <v>1</v>
      </c>
      <c r="AB390" s="708"/>
      <c r="AC390" s="708"/>
      <c r="AD390" s="146" t="s">
        <v>303</v>
      </c>
      <c r="AE390" s="146" t="s">
        <v>304</v>
      </c>
      <c r="AF390" s="438" t="s">
        <v>294</v>
      </c>
      <c r="AG390" s="708"/>
    </row>
    <row r="391" ht="24.95" customHeight="1" spans="1:33">
      <c r="A391" s="705"/>
      <c r="B391" s="714" t="s">
        <v>98</v>
      </c>
      <c r="C391" s="146" t="s">
        <v>320</v>
      </c>
      <c r="D391" s="152" t="s">
        <v>147</v>
      </c>
      <c r="E391" s="708">
        <v>1</v>
      </c>
      <c r="F391" s="714" t="s">
        <v>98</v>
      </c>
      <c r="G391" s="708"/>
      <c r="H391" s="92">
        <v>1153</v>
      </c>
      <c r="I391" s="92"/>
      <c r="J391" s="92"/>
      <c r="K391" s="92">
        <v>1153</v>
      </c>
      <c r="L391" s="92">
        <v>2020.01</v>
      </c>
      <c r="M391" s="92">
        <v>2020.12</v>
      </c>
      <c r="N391" s="726"/>
      <c r="O391" s="726"/>
      <c r="P391" s="726"/>
      <c r="Q391" s="726"/>
      <c r="R391" s="726"/>
      <c r="S391" s="726"/>
      <c r="T391" s="726"/>
      <c r="U391" s="726"/>
      <c r="V391" s="726"/>
      <c r="W391" s="726"/>
      <c r="X391" s="726"/>
      <c r="Y391" s="763">
        <v>1024</v>
      </c>
      <c r="Z391" s="763">
        <v>4758</v>
      </c>
      <c r="AA391" s="708">
        <v>1</v>
      </c>
      <c r="AB391" s="708"/>
      <c r="AC391" s="708"/>
      <c r="AD391" s="146" t="s">
        <v>305</v>
      </c>
      <c r="AE391" s="146" t="s">
        <v>306</v>
      </c>
      <c r="AF391" s="438" t="s">
        <v>294</v>
      </c>
      <c r="AG391" s="708"/>
    </row>
    <row r="392" ht="24.95" customHeight="1" spans="1:33">
      <c r="A392" s="705"/>
      <c r="B392" s="714" t="s">
        <v>211</v>
      </c>
      <c r="C392" s="146" t="s">
        <v>320</v>
      </c>
      <c r="D392" s="152" t="s">
        <v>147</v>
      </c>
      <c r="E392" s="708">
        <v>1</v>
      </c>
      <c r="F392" s="714" t="s">
        <v>211</v>
      </c>
      <c r="G392" s="708"/>
      <c r="H392" s="92">
        <v>427</v>
      </c>
      <c r="I392" s="92"/>
      <c r="J392" s="92"/>
      <c r="K392" s="92">
        <v>427</v>
      </c>
      <c r="L392" s="92">
        <v>2020.01</v>
      </c>
      <c r="M392" s="92">
        <v>2020.12</v>
      </c>
      <c r="N392" s="726"/>
      <c r="O392" s="726"/>
      <c r="P392" s="726"/>
      <c r="Q392" s="726"/>
      <c r="R392" s="726"/>
      <c r="S392" s="726"/>
      <c r="T392" s="726"/>
      <c r="U392" s="726"/>
      <c r="V392" s="726"/>
      <c r="W392" s="726"/>
      <c r="X392" s="726"/>
      <c r="Y392" s="763">
        <v>388</v>
      </c>
      <c r="Z392" s="763">
        <v>427</v>
      </c>
      <c r="AA392" s="708">
        <v>1</v>
      </c>
      <c r="AB392" s="708"/>
      <c r="AC392" s="708"/>
      <c r="AD392" s="146" t="s">
        <v>307</v>
      </c>
      <c r="AE392" s="146" t="s">
        <v>308</v>
      </c>
      <c r="AF392" s="438" t="s">
        <v>294</v>
      </c>
      <c r="AG392" s="708"/>
    </row>
    <row r="393" ht="24.95" customHeight="1" spans="1:33">
      <c r="A393" s="705"/>
      <c r="B393" s="714" t="s">
        <v>155</v>
      </c>
      <c r="C393" s="146" t="s">
        <v>320</v>
      </c>
      <c r="D393" s="152" t="s">
        <v>147</v>
      </c>
      <c r="E393" s="708">
        <v>1</v>
      </c>
      <c r="F393" s="714" t="s">
        <v>155</v>
      </c>
      <c r="G393" s="708"/>
      <c r="H393" s="92">
        <v>12</v>
      </c>
      <c r="I393" s="92"/>
      <c r="J393" s="92"/>
      <c r="K393" s="92">
        <v>12</v>
      </c>
      <c r="L393" s="92">
        <v>2020.01</v>
      </c>
      <c r="M393" s="92">
        <v>2020.12</v>
      </c>
      <c r="N393" s="726"/>
      <c r="O393" s="726"/>
      <c r="P393" s="726"/>
      <c r="Q393" s="726"/>
      <c r="R393" s="726"/>
      <c r="S393" s="726"/>
      <c r="T393" s="726"/>
      <c r="U393" s="726"/>
      <c r="V393" s="726"/>
      <c r="W393" s="726"/>
      <c r="X393" s="726"/>
      <c r="Y393" s="763">
        <v>12</v>
      </c>
      <c r="Z393" s="763">
        <v>52</v>
      </c>
      <c r="AA393" s="708">
        <v>1</v>
      </c>
      <c r="AB393" s="708"/>
      <c r="AC393" s="708"/>
      <c r="AD393" s="146" t="s">
        <v>309</v>
      </c>
      <c r="AE393" s="146" t="s">
        <v>310</v>
      </c>
      <c r="AF393" s="438" t="s">
        <v>294</v>
      </c>
      <c r="AG393" s="708"/>
    </row>
    <row r="394" ht="24.95" customHeight="1" spans="1:33">
      <c r="A394" s="705"/>
      <c r="B394" s="714" t="s">
        <v>102</v>
      </c>
      <c r="C394" s="146" t="s">
        <v>320</v>
      </c>
      <c r="D394" s="152" t="s">
        <v>147</v>
      </c>
      <c r="E394" s="708">
        <v>1</v>
      </c>
      <c r="F394" s="714" t="s">
        <v>102</v>
      </c>
      <c r="G394" s="708"/>
      <c r="H394" s="92">
        <v>182</v>
      </c>
      <c r="I394" s="92"/>
      <c r="J394" s="92"/>
      <c r="K394" s="92">
        <v>182</v>
      </c>
      <c r="L394" s="92">
        <v>2020.01</v>
      </c>
      <c r="M394" s="92">
        <v>2020.12</v>
      </c>
      <c r="N394" s="726"/>
      <c r="O394" s="726"/>
      <c r="P394" s="726"/>
      <c r="Q394" s="726"/>
      <c r="R394" s="726"/>
      <c r="S394" s="726"/>
      <c r="T394" s="726"/>
      <c r="U394" s="726"/>
      <c r="V394" s="726"/>
      <c r="W394" s="726"/>
      <c r="X394" s="726"/>
      <c r="Y394" s="763">
        <v>181</v>
      </c>
      <c r="Z394" s="763">
        <v>182</v>
      </c>
      <c r="AA394" s="708">
        <v>1</v>
      </c>
      <c r="AB394" s="708"/>
      <c r="AC394" s="708"/>
      <c r="AD394" s="146" t="s">
        <v>215</v>
      </c>
      <c r="AE394" s="146" t="s">
        <v>311</v>
      </c>
      <c r="AF394" s="438" t="s">
        <v>294</v>
      </c>
      <c r="AG394" s="708"/>
    </row>
    <row r="395" ht="24.95" customHeight="1" spans="1:33">
      <c r="A395" s="705"/>
      <c r="B395" s="714" t="s">
        <v>100</v>
      </c>
      <c r="C395" s="146" t="s">
        <v>320</v>
      </c>
      <c r="D395" s="152" t="s">
        <v>147</v>
      </c>
      <c r="E395" s="708">
        <v>1</v>
      </c>
      <c r="F395" s="714" t="s">
        <v>100</v>
      </c>
      <c r="G395" s="708"/>
      <c r="H395" s="92">
        <v>31</v>
      </c>
      <c r="I395" s="92"/>
      <c r="J395" s="92"/>
      <c r="K395" s="92">
        <v>31</v>
      </c>
      <c r="L395" s="92">
        <v>2020.01</v>
      </c>
      <c r="M395" s="92">
        <v>2020.12</v>
      </c>
      <c r="N395" s="726"/>
      <c r="O395" s="726"/>
      <c r="P395" s="726"/>
      <c r="Q395" s="726"/>
      <c r="R395" s="726"/>
      <c r="S395" s="726"/>
      <c r="T395" s="726"/>
      <c r="U395" s="726"/>
      <c r="V395" s="726"/>
      <c r="W395" s="726"/>
      <c r="X395" s="726"/>
      <c r="Y395" s="763">
        <v>29</v>
      </c>
      <c r="Z395" s="763">
        <v>31</v>
      </c>
      <c r="AA395" s="708">
        <v>1</v>
      </c>
      <c r="AB395" s="708"/>
      <c r="AC395" s="708"/>
      <c r="AD395" s="146" t="s">
        <v>312</v>
      </c>
      <c r="AE395" s="146" t="s">
        <v>313</v>
      </c>
      <c r="AF395" s="438" t="s">
        <v>294</v>
      </c>
      <c r="AG395" s="708"/>
    </row>
    <row r="396" ht="24.95" customHeight="1" spans="1:33">
      <c r="A396" s="705"/>
      <c r="B396" s="714" t="s">
        <v>84</v>
      </c>
      <c r="C396" s="146" t="s">
        <v>320</v>
      </c>
      <c r="D396" s="152" t="s">
        <v>147</v>
      </c>
      <c r="E396" s="708">
        <v>1</v>
      </c>
      <c r="F396" s="714" t="s">
        <v>84</v>
      </c>
      <c r="G396" s="708"/>
      <c r="H396" s="92">
        <v>330</v>
      </c>
      <c r="I396" s="92"/>
      <c r="J396" s="92"/>
      <c r="K396" s="92">
        <v>330</v>
      </c>
      <c r="L396" s="92">
        <v>2020.01</v>
      </c>
      <c r="M396" s="92">
        <v>2020.12</v>
      </c>
      <c r="N396" s="726"/>
      <c r="O396" s="726"/>
      <c r="P396" s="726"/>
      <c r="Q396" s="726"/>
      <c r="R396" s="726"/>
      <c r="S396" s="726"/>
      <c r="T396" s="726"/>
      <c r="U396" s="726"/>
      <c r="V396" s="726"/>
      <c r="W396" s="726"/>
      <c r="X396" s="726"/>
      <c r="Y396" s="763">
        <v>272</v>
      </c>
      <c r="Z396" s="763">
        <v>330</v>
      </c>
      <c r="AA396" s="708">
        <v>1</v>
      </c>
      <c r="AB396" s="708"/>
      <c r="AC396" s="708"/>
      <c r="AD396" s="146" t="s">
        <v>185</v>
      </c>
      <c r="AE396" s="146" t="s">
        <v>314</v>
      </c>
      <c r="AF396" s="438" t="s">
        <v>294</v>
      </c>
      <c r="AG396" s="708"/>
    </row>
    <row r="397" ht="24.95" customHeight="1" spans="1:33">
      <c r="A397" s="705"/>
      <c r="B397" s="714" t="s">
        <v>143</v>
      </c>
      <c r="C397" s="146" t="s">
        <v>320</v>
      </c>
      <c r="D397" s="152" t="s">
        <v>147</v>
      </c>
      <c r="E397" s="708">
        <v>1</v>
      </c>
      <c r="F397" s="714" t="s">
        <v>143</v>
      </c>
      <c r="G397" s="708"/>
      <c r="H397" s="92">
        <v>328</v>
      </c>
      <c r="I397" s="92"/>
      <c r="J397" s="92"/>
      <c r="K397" s="92">
        <v>328</v>
      </c>
      <c r="L397" s="92">
        <v>2020.01</v>
      </c>
      <c r="M397" s="92">
        <v>2020.12</v>
      </c>
      <c r="N397" s="726"/>
      <c r="O397" s="726"/>
      <c r="P397" s="726"/>
      <c r="Q397" s="726"/>
      <c r="R397" s="726"/>
      <c r="S397" s="726"/>
      <c r="T397" s="726"/>
      <c r="U397" s="726"/>
      <c r="V397" s="726"/>
      <c r="W397" s="726"/>
      <c r="X397" s="726"/>
      <c r="Y397" s="763">
        <v>41</v>
      </c>
      <c r="Z397" s="763">
        <v>44</v>
      </c>
      <c r="AA397" s="708">
        <v>1</v>
      </c>
      <c r="AB397" s="708"/>
      <c r="AC397" s="708"/>
      <c r="AD397" s="146" t="s">
        <v>317</v>
      </c>
      <c r="AE397" s="146" t="s">
        <v>318</v>
      </c>
      <c r="AF397" s="438" t="s">
        <v>294</v>
      </c>
      <c r="AG397" s="708"/>
    </row>
    <row r="398" ht="24.95" customHeight="1" spans="1:33">
      <c r="A398" s="705">
        <v>53</v>
      </c>
      <c r="B398" s="708" t="s">
        <v>321</v>
      </c>
      <c r="C398" s="708"/>
      <c r="D398" s="709" t="s">
        <v>147</v>
      </c>
      <c r="E398" s="708">
        <f>SUM(E399:E410)</f>
        <v>12</v>
      </c>
      <c r="F398" s="708">
        <f t="shared" ref="F398:AA398" si="50">SUM(F399:F410)</f>
        <v>0</v>
      </c>
      <c r="G398" s="708">
        <f t="shared" si="50"/>
        <v>0</v>
      </c>
      <c r="H398" s="708">
        <f t="shared" si="50"/>
        <v>2452</v>
      </c>
      <c r="I398" s="708">
        <f t="shared" si="50"/>
        <v>0</v>
      </c>
      <c r="J398" s="708">
        <f t="shared" si="50"/>
        <v>0</v>
      </c>
      <c r="K398" s="708">
        <f t="shared" si="50"/>
        <v>2452</v>
      </c>
      <c r="L398" s="708"/>
      <c r="M398" s="708"/>
      <c r="N398" s="708">
        <f t="shared" si="50"/>
        <v>0</v>
      </c>
      <c r="O398" s="708">
        <f t="shared" si="50"/>
        <v>0</v>
      </c>
      <c r="P398" s="708">
        <f t="shared" si="50"/>
        <v>0</v>
      </c>
      <c r="Q398" s="708">
        <f t="shared" si="50"/>
        <v>0</v>
      </c>
      <c r="R398" s="708">
        <f t="shared" si="50"/>
        <v>0</v>
      </c>
      <c r="S398" s="708">
        <f t="shared" si="50"/>
        <v>0</v>
      </c>
      <c r="T398" s="708">
        <f t="shared" si="50"/>
        <v>0</v>
      </c>
      <c r="U398" s="708">
        <f t="shared" si="50"/>
        <v>0</v>
      </c>
      <c r="V398" s="708">
        <f t="shared" si="50"/>
        <v>0</v>
      </c>
      <c r="W398" s="708">
        <f t="shared" si="50"/>
        <v>0</v>
      </c>
      <c r="X398" s="708">
        <f t="shared" si="50"/>
        <v>0</v>
      </c>
      <c r="Y398" s="708">
        <f t="shared" si="50"/>
        <v>2065</v>
      </c>
      <c r="Z398" s="708">
        <f t="shared" si="50"/>
        <v>3984</v>
      </c>
      <c r="AA398" s="708">
        <f t="shared" si="50"/>
        <v>12</v>
      </c>
      <c r="AB398" s="708"/>
      <c r="AC398" s="708"/>
      <c r="AD398" s="146" t="s">
        <v>296</v>
      </c>
      <c r="AE398" s="146" t="s">
        <v>297</v>
      </c>
      <c r="AF398" s="438" t="s">
        <v>294</v>
      </c>
      <c r="AG398" s="708" t="s">
        <v>41</v>
      </c>
    </row>
    <row r="399" ht="24.95" customHeight="1" spans="1:33">
      <c r="A399" s="705"/>
      <c r="B399" s="714" t="s">
        <v>101</v>
      </c>
      <c r="C399" s="146" t="s">
        <v>320</v>
      </c>
      <c r="D399" s="152" t="s">
        <v>147</v>
      </c>
      <c r="E399" s="708">
        <v>1</v>
      </c>
      <c r="F399" s="708" t="s">
        <v>101</v>
      </c>
      <c r="G399" s="708"/>
      <c r="H399" s="708">
        <v>164</v>
      </c>
      <c r="I399" s="92"/>
      <c r="J399" s="92"/>
      <c r="K399" s="708">
        <v>164</v>
      </c>
      <c r="L399" s="92">
        <v>2020.01</v>
      </c>
      <c r="M399" s="92">
        <v>2020.12</v>
      </c>
      <c r="N399" s="726"/>
      <c r="O399" s="726"/>
      <c r="P399" s="726"/>
      <c r="Q399" s="726"/>
      <c r="R399" s="726"/>
      <c r="S399" s="726"/>
      <c r="T399" s="726"/>
      <c r="U399" s="726"/>
      <c r="V399" s="726"/>
      <c r="W399" s="726"/>
      <c r="X399" s="726"/>
      <c r="Y399" s="763">
        <v>152</v>
      </c>
      <c r="Z399" s="763">
        <v>718</v>
      </c>
      <c r="AA399" s="708">
        <v>1</v>
      </c>
      <c r="AB399" s="708"/>
      <c r="AC399" s="708"/>
      <c r="AD399" s="146" t="s">
        <v>298</v>
      </c>
      <c r="AE399" s="146" t="s">
        <v>299</v>
      </c>
      <c r="AF399" s="438" t="s">
        <v>294</v>
      </c>
      <c r="AG399" s="708"/>
    </row>
    <row r="400" ht="24.95" customHeight="1" spans="1:33">
      <c r="A400" s="705"/>
      <c r="B400" s="714" t="s">
        <v>151</v>
      </c>
      <c r="C400" s="146" t="s">
        <v>320</v>
      </c>
      <c r="D400" s="152" t="s">
        <v>147</v>
      </c>
      <c r="E400" s="708">
        <v>1</v>
      </c>
      <c r="F400" s="708" t="s">
        <v>151</v>
      </c>
      <c r="G400" s="708"/>
      <c r="H400" s="708">
        <v>64</v>
      </c>
      <c r="I400" s="92"/>
      <c r="J400" s="92"/>
      <c r="K400" s="708">
        <v>64</v>
      </c>
      <c r="L400" s="92">
        <v>2020.01</v>
      </c>
      <c r="M400" s="92">
        <v>2020.12</v>
      </c>
      <c r="N400" s="726"/>
      <c r="O400" s="726"/>
      <c r="P400" s="726"/>
      <c r="Q400" s="726"/>
      <c r="R400" s="726"/>
      <c r="S400" s="726"/>
      <c r="T400" s="726"/>
      <c r="U400" s="726"/>
      <c r="V400" s="726"/>
      <c r="W400" s="726"/>
      <c r="X400" s="726"/>
      <c r="Y400" s="763">
        <v>58</v>
      </c>
      <c r="Z400" s="763">
        <v>64</v>
      </c>
      <c r="AA400" s="708">
        <v>1</v>
      </c>
      <c r="AB400" s="708"/>
      <c r="AC400" s="708"/>
      <c r="AD400" s="146" t="s">
        <v>300</v>
      </c>
      <c r="AE400" s="146" t="s">
        <v>301</v>
      </c>
      <c r="AF400" s="438" t="s">
        <v>294</v>
      </c>
      <c r="AG400" s="708"/>
    </row>
    <row r="401" ht="24.95" customHeight="1" spans="1:33">
      <c r="A401" s="705"/>
      <c r="B401" s="714" t="s">
        <v>154</v>
      </c>
      <c r="C401" s="146" t="s">
        <v>320</v>
      </c>
      <c r="D401" s="152" t="s">
        <v>147</v>
      </c>
      <c r="E401" s="708">
        <v>1</v>
      </c>
      <c r="F401" s="708" t="s">
        <v>154</v>
      </c>
      <c r="G401" s="708"/>
      <c r="H401" s="708">
        <v>265</v>
      </c>
      <c r="I401" s="92"/>
      <c r="J401" s="92"/>
      <c r="K401" s="708">
        <v>265</v>
      </c>
      <c r="L401" s="92">
        <v>2020.01</v>
      </c>
      <c r="M401" s="92">
        <v>2020.12</v>
      </c>
      <c r="N401" s="726"/>
      <c r="O401" s="726"/>
      <c r="P401" s="726"/>
      <c r="Q401" s="726"/>
      <c r="R401" s="726"/>
      <c r="S401" s="726"/>
      <c r="T401" s="726"/>
      <c r="U401" s="726"/>
      <c r="V401" s="726"/>
      <c r="W401" s="726"/>
      <c r="X401" s="726"/>
      <c r="Y401" s="763">
        <v>232</v>
      </c>
      <c r="Z401" s="763">
        <v>265</v>
      </c>
      <c r="AA401" s="708">
        <v>1</v>
      </c>
      <c r="AB401" s="708"/>
      <c r="AC401" s="708"/>
      <c r="AD401" s="146" t="s">
        <v>247</v>
      </c>
      <c r="AE401" s="146" t="s">
        <v>302</v>
      </c>
      <c r="AF401" s="438" t="s">
        <v>294</v>
      </c>
      <c r="AG401" s="708"/>
    </row>
    <row r="402" ht="24.95" customHeight="1" spans="1:33">
      <c r="A402" s="705"/>
      <c r="B402" s="714" t="s">
        <v>81</v>
      </c>
      <c r="C402" s="146" t="s">
        <v>320</v>
      </c>
      <c r="D402" s="152" t="s">
        <v>147</v>
      </c>
      <c r="E402" s="708">
        <v>1</v>
      </c>
      <c r="F402" s="708" t="s">
        <v>81</v>
      </c>
      <c r="G402" s="708"/>
      <c r="H402" s="708">
        <v>136</v>
      </c>
      <c r="I402" s="92"/>
      <c r="J402" s="92"/>
      <c r="K402" s="708">
        <v>136</v>
      </c>
      <c r="L402" s="92">
        <v>2020.01</v>
      </c>
      <c r="M402" s="92">
        <v>2020.12</v>
      </c>
      <c r="N402" s="726"/>
      <c r="O402" s="726"/>
      <c r="P402" s="726"/>
      <c r="Q402" s="726"/>
      <c r="R402" s="726"/>
      <c r="S402" s="726"/>
      <c r="T402" s="726"/>
      <c r="U402" s="726"/>
      <c r="V402" s="726"/>
      <c r="W402" s="726"/>
      <c r="X402" s="726"/>
      <c r="Y402" s="763">
        <v>130</v>
      </c>
      <c r="Z402" s="763">
        <v>136</v>
      </c>
      <c r="AA402" s="708">
        <v>1</v>
      </c>
      <c r="AB402" s="708"/>
      <c r="AC402" s="708"/>
      <c r="AD402" s="146" t="s">
        <v>303</v>
      </c>
      <c r="AE402" s="146" t="s">
        <v>304</v>
      </c>
      <c r="AF402" s="438" t="s">
        <v>294</v>
      </c>
      <c r="AG402" s="708"/>
    </row>
    <row r="403" ht="24.95" customHeight="1" spans="1:33">
      <c r="A403" s="705"/>
      <c r="B403" s="714" t="s">
        <v>98</v>
      </c>
      <c r="C403" s="146" t="s">
        <v>320</v>
      </c>
      <c r="D403" s="152" t="s">
        <v>147</v>
      </c>
      <c r="E403" s="708">
        <v>1</v>
      </c>
      <c r="F403" s="708" t="s">
        <v>98</v>
      </c>
      <c r="G403" s="708"/>
      <c r="H403" s="708">
        <v>349</v>
      </c>
      <c r="I403" s="92"/>
      <c r="J403" s="92"/>
      <c r="K403" s="708">
        <v>349</v>
      </c>
      <c r="L403" s="92">
        <v>2020.01</v>
      </c>
      <c r="M403" s="92">
        <v>2020.12</v>
      </c>
      <c r="N403" s="726"/>
      <c r="O403" s="726"/>
      <c r="P403" s="726"/>
      <c r="Q403" s="726"/>
      <c r="R403" s="726"/>
      <c r="S403" s="726"/>
      <c r="T403" s="726"/>
      <c r="U403" s="726"/>
      <c r="V403" s="726"/>
      <c r="W403" s="726"/>
      <c r="X403" s="726"/>
      <c r="Y403" s="763">
        <v>316</v>
      </c>
      <c r="Z403" s="763">
        <v>1487</v>
      </c>
      <c r="AA403" s="708">
        <v>1</v>
      </c>
      <c r="AB403" s="708"/>
      <c r="AC403" s="708"/>
      <c r="AD403" s="146" t="s">
        <v>305</v>
      </c>
      <c r="AE403" s="146" t="s">
        <v>306</v>
      </c>
      <c r="AF403" s="438" t="s">
        <v>294</v>
      </c>
      <c r="AG403" s="708"/>
    </row>
    <row r="404" ht="24.95" customHeight="1" spans="1:33">
      <c r="A404" s="705"/>
      <c r="B404" s="714" t="s">
        <v>211</v>
      </c>
      <c r="C404" s="146" t="s">
        <v>320</v>
      </c>
      <c r="D404" s="152" t="s">
        <v>147</v>
      </c>
      <c r="E404" s="708">
        <v>1</v>
      </c>
      <c r="F404" s="708" t="s">
        <v>211</v>
      </c>
      <c r="G404" s="708"/>
      <c r="H404" s="708">
        <v>196</v>
      </c>
      <c r="I404" s="92"/>
      <c r="J404" s="92"/>
      <c r="K404" s="708">
        <v>196</v>
      </c>
      <c r="L404" s="92">
        <v>2020.01</v>
      </c>
      <c r="M404" s="92">
        <v>2020.12</v>
      </c>
      <c r="N404" s="726"/>
      <c r="O404" s="726"/>
      <c r="P404" s="726"/>
      <c r="Q404" s="726"/>
      <c r="R404" s="726"/>
      <c r="S404" s="726"/>
      <c r="T404" s="726"/>
      <c r="U404" s="726"/>
      <c r="V404" s="726"/>
      <c r="W404" s="726"/>
      <c r="X404" s="726"/>
      <c r="Y404" s="763">
        <v>183</v>
      </c>
      <c r="Z404" s="763">
        <v>196</v>
      </c>
      <c r="AA404" s="708">
        <v>1</v>
      </c>
      <c r="AB404" s="708"/>
      <c r="AC404" s="708"/>
      <c r="AD404" s="146" t="s">
        <v>307</v>
      </c>
      <c r="AE404" s="146" t="s">
        <v>308</v>
      </c>
      <c r="AF404" s="438" t="s">
        <v>294</v>
      </c>
      <c r="AG404" s="708"/>
    </row>
    <row r="405" ht="24.95" customHeight="1" spans="1:33">
      <c r="A405" s="705"/>
      <c r="B405" s="714" t="s">
        <v>155</v>
      </c>
      <c r="C405" s="146" t="s">
        <v>320</v>
      </c>
      <c r="D405" s="152" t="s">
        <v>147</v>
      </c>
      <c r="E405" s="708">
        <v>1</v>
      </c>
      <c r="F405" s="708" t="s">
        <v>155</v>
      </c>
      <c r="G405" s="708"/>
      <c r="H405" s="708">
        <v>100</v>
      </c>
      <c r="I405" s="92"/>
      <c r="J405" s="92"/>
      <c r="K405" s="708">
        <v>100</v>
      </c>
      <c r="L405" s="92">
        <v>2020.01</v>
      </c>
      <c r="M405" s="92">
        <v>2020.12</v>
      </c>
      <c r="N405" s="726"/>
      <c r="O405" s="726"/>
      <c r="P405" s="726"/>
      <c r="Q405" s="726"/>
      <c r="R405" s="726"/>
      <c r="S405" s="726"/>
      <c r="T405" s="726"/>
      <c r="U405" s="726"/>
      <c r="V405" s="726"/>
      <c r="W405" s="726"/>
      <c r="X405" s="726"/>
      <c r="Y405" s="763">
        <v>93</v>
      </c>
      <c r="Z405" s="763">
        <v>100</v>
      </c>
      <c r="AA405" s="708">
        <v>1</v>
      </c>
      <c r="AB405" s="708"/>
      <c r="AC405" s="708"/>
      <c r="AD405" s="146" t="s">
        <v>309</v>
      </c>
      <c r="AE405" s="146" t="s">
        <v>310</v>
      </c>
      <c r="AF405" s="438" t="s">
        <v>294</v>
      </c>
      <c r="AG405" s="708"/>
    </row>
    <row r="406" ht="24.95" customHeight="1" spans="1:33">
      <c r="A406" s="705"/>
      <c r="B406" s="714" t="s">
        <v>102</v>
      </c>
      <c r="C406" s="146" t="s">
        <v>320</v>
      </c>
      <c r="D406" s="152" t="s">
        <v>147</v>
      </c>
      <c r="E406" s="708">
        <v>1</v>
      </c>
      <c r="F406" s="708" t="s">
        <v>102</v>
      </c>
      <c r="G406" s="708"/>
      <c r="H406" s="708">
        <v>375</v>
      </c>
      <c r="I406" s="92"/>
      <c r="J406" s="92"/>
      <c r="K406" s="708">
        <v>375</v>
      </c>
      <c r="L406" s="92">
        <v>2020.01</v>
      </c>
      <c r="M406" s="92">
        <v>2020.12</v>
      </c>
      <c r="N406" s="726"/>
      <c r="O406" s="726"/>
      <c r="P406" s="726"/>
      <c r="Q406" s="726"/>
      <c r="R406" s="726"/>
      <c r="S406" s="726"/>
      <c r="T406" s="726"/>
      <c r="U406" s="726"/>
      <c r="V406" s="726"/>
      <c r="W406" s="726"/>
      <c r="X406" s="726"/>
      <c r="Y406" s="763">
        <v>316</v>
      </c>
      <c r="Z406" s="763">
        <v>375</v>
      </c>
      <c r="AA406" s="708">
        <v>1</v>
      </c>
      <c r="AB406" s="708"/>
      <c r="AC406" s="708"/>
      <c r="AD406" s="146" t="s">
        <v>215</v>
      </c>
      <c r="AE406" s="146" t="s">
        <v>311</v>
      </c>
      <c r="AF406" s="438" t="s">
        <v>294</v>
      </c>
      <c r="AG406" s="708"/>
    </row>
    <row r="407" ht="24.95" customHeight="1" spans="1:33">
      <c r="A407" s="705"/>
      <c r="B407" s="714" t="s">
        <v>100</v>
      </c>
      <c r="C407" s="146" t="s">
        <v>320</v>
      </c>
      <c r="D407" s="152" t="s">
        <v>147</v>
      </c>
      <c r="E407" s="708">
        <v>1</v>
      </c>
      <c r="F407" s="708" t="s">
        <v>100</v>
      </c>
      <c r="G407" s="708"/>
      <c r="H407" s="708">
        <v>422</v>
      </c>
      <c r="I407" s="92"/>
      <c r="J407" s="92"/>
      <c r="K407" s="708">
        <v>422</v>
      </c>
      <c r="L407" s="92">
        <v>2020.01</v>
      </c>
      <c r="M407" s="92">
        <v>2020.12</v>
      </c>
      <c r="N407" s="726"/>
      <c r="O407" s="726"/>
      <c r="P407" s="726"/>
      <c r="Q407" s="726"/>
      <c r="R407" s="726"/>
      <c r="S407" s="726"/>
      <c r="T407" s="726"/>
      <c r="U407" s="726"/>
      <c r="V407" s="726"/>
      <c r="W407" s="726"/>
      <c r="X407" s="726"/>
      <c r="Y407" s="763">
        <v>374</v>
      </c>
      <c r="Z407" s="763">
        <v>422</v>
      </c>
      <c r="AA407" s="708">
        <v>1</v>
      </c>
      <c r="AB407" s="708"/>
      <c r="AC407" s="708"/>
      <c r="AD407" s="146" t="s">
        <v>312</v>
      </c>
      <c r="AE407" s="146" t="s">
        <v>313</v>
      </c>
      <c r="AF407" s="438" t="s">
        <v>294</v>
      </c>
      <c r="AG407" s="708"/>
    </row>
    <row r="408" ht="24.95" customHeight="1" spans="1:33">
      <c r="A408" s="705"/>
      <c r="B408" s="714" t="s">
        <v>84</v>
      </c>
      <c r="C408" s="146" t="s">
        <v>320</v>
      </c>
      <c r="D408" s="152" t="s">
        <v>147</v>
      </c>
      <c r="E408" s="708">
        <v>1</v>
      </c>
      <c r="F408" s="708" t="s">
        <v>84</v>
      </c>
      <c r="G408" s="708"/>
      <c r="H408" s="708">
        <v>102</v>
      </c>
      <c r="I408" s="92"/>
      <c r="J408" s="92"/>
      <c r="K408" s="708">
        <v>102</v>
      </c>
      <c r="L408" s="92">
        <v>2020.01</v>
      </c>
      <c r="M408" s="92">
        <v>2020.12</v>
      </c>
      <c r="N408" s="726"/>
      <c r="O408" s="726"/>
      <c r="P408" s="726"/>
      <c r="Q408" s="726"/>
      <c r="R408" s="726"/>
      <c r="S408" s="726"/>
      <c r="T408" s="726"/>
      <c r="U408" s="726"/>
      <c r="V408" s="726"/>
      <c r="W408" s="726"/>
      <c r="X408" s="726"/>
      <c r="Y408" s="763">
        <v>102</v>
      </c>
      <c r="Z408" s="763">
        <v>102</v>
      </c>
      <c r="AA408" s="708">
        <v>1</v>
      </c>
      <c r="AB408" s="708"/>
      <c r="AC408" s="708"/>
      <c r="AD408" s="146" t="s">
        <v>185</v>
      </c>
      <c r="AE408" s="146" t="s">
        <v>314</v>
      </c>
      <c r="AF408" s="438" t="s">
        <v>294</v>
      </c>
      <c r="AG408" s="708"/>
    </row>
    <row r="409" ht="24.95" customHeight="1" spans="1:33">
      <c r="A409" s="705"/>
      <c r="B409" s="714" t="s">
        <v>259</v>
      </c>
      <c r="C409" s="146" t="s">
        <v>320</v>
      </c>
      <c r="D409" s="152" t="s">
        <v>147</v>
      </c>
      <c r="E409" s="708">
        <v>1</v>
      </c>
      <c r="F409" s="708" t="s">
        <v>259</v>
      </c>
      <c r="G409" s="708"/>
      <c r="H409" s="708">
        <v>30</v>
      </c>
      <c r="I409" s="92"/>
      <c r="J409" s="92"/>
      <c r="K409" s="708">
        <v>30</v>
      </c>
      <c r="L409" s="92">
        <v>2020.01</v>
      </c>
      <c r="M409" s="92">
        <v>2020.12</v>
      </c>
      <c r="N409" s="726"/>
      <c r="O409" s="726"/>
      <c r="P409" s="726"/>
      <c r="Q409" s="726"/>
      <c r="R409" s="726"/>
      <c r="S409" s="726"/>
      <c r="T409" s="726"/>
      <c r="U409" s="726"/>
      <c r="V409" s="726"/>
      <c r="W409" s="726"/>
      <c r="X409" s="726"/>
      <c r="Y409" s="763">
        <v>26</v>
      </c>
      <c r="Z409" s="763">
        <v>30</v>
      </c>
      <c r="AA409" s="708">
        <v>1</v>
      </c>
      <c r="AB409" s="708"/>
      <c r="AC409" s="708"/>
      <c r="AD409" s="146" t="s">
        <v>315</v>
      </c>
      <c r="AE409" s="146" t="s">
        <v>316</v>
      </c>
      <c r="AF409" s="438" t="s">
        <v>294</v>
      </c>
      <c r="AG409" s="708"/>
    </row>
    <row r="410" ht="24.95" customHeight="1" spans="1:33">
      <c r="A410" s="705"/>
      <c r="B410" s="714" t="s">
        <v>143</v>
      </c>
      <c r="C410" s="146" t="s">
        <v>320</v>
      </c>
      <c r="D410" s="152" t="s">
        <v>147</v>
      </c>
      <c r="E410" s="708">
        <v>1</v>
      </c>
      <c r="F410" s="708" t="s">
        <v>143</v>
      </c>
      <c r="G410" s="708"/>
      <c r="H410" s="708">
        <v>249</v>
      </c>
      <c r="I410" s="92"/>
      <c r="J410" s="92"/>
      <c r="K410" s="708">
        <v>249</v>
      </c>
      <c r="L410" s="92">
        <v>2020.01</v>
      </c>
      <c r="M410" s="92">
        <v>2020.12</v>
      </c>
      <c r="N410" s="726"/>
      <c r="O410" s="726"/>
      <c r="P410" s="726"/>
      <c r="Q410" s="726"/>
      <c r="R410" s="726"/>
      <c r="S410" s="726"/>
      <c r="T410" s="726"/>
      <c r="U410" s="726"/>
      <c r="V410" s="726"/>
      <c r="W410" s="726"/>
      <c r="X410" s="726"/>
      <c r="Y410" s="763">
        <v>83</v>
      </c>
      <c r="Z410" s="763">
        <v>89</v>
      </c>
      <c r="AA410" s="708">
        <v>1</v>
      </c>
      <c r="AB410" s="708"/>
      <c r="AC410" s="708"/>
      <c r="AD410" s="146" t="s">
        <v>317</v>
      </c>
      <c r="AE410" s="146" t="s">
        <v>318</v>
      </c>
      <c r="AF410" s="438" t="s">
        <v>294</v>
      </c>
      <c r="AG410" s="708"/>
    </row>
    <row r="411" ht="24.95" customHeight="1" spans="1:33">
      <c r="A411" s="705">
        <v>54</v>
      </c>
      <c r="B411" s="750" t="s">
        <v>322</v>
      </c>
      <c r="C411" s="146" t="s">
        <v>320</v>
      </c>
      <c r="D411" s="152" t="s">
        <v>147</v>
      </c>
      <c r="E411" s="708">
        <f>SUM(E412:E423)</f>
        <v>12</v>
      </c>
      <c r="F411" s="708">
        <f t="shared" ref="F411:AA411" si="51">SUM(F412:F423)</f>
        <v>0</v>
      </c>
      <c r="G411" s="708">
        <f t="shared" si="51"/>
        <v>0</v>
      </c>
      <c r="H411" s="708">
        <f t="shared" si="51"/>
        <v>1335</v>
      </c>
      <c r="I411" s="708">
        <f t="shared" si="51"/>
        <v>0</v>
      </c>
      <c r="J411" s="708">
        <f t="shared" si="51"/>
        <v>0</v>
      </c>
      <c r="K411" s="708">
        <f t="shared" si="51"/>
        <v>1335</v>
      </c>
      <c r="L411" s="708"/>
      <c r="M411" s="708"/>
      <c r="N411" s="708">
        <f t="shared" si="51"/>
        <v>0</v>
      </c>
      <c r="O411" s="708">
        <f t="shared" si="51"/>
        <v>0</v>
      </c>
      <c r="P411" s="708">
        <f t="shared" si="51"/>
        <v>0</v>
      </c>
      <c r="Q411" s="708">
        <f t="shared" si="51"/>
        <v>0</v>
      </c>
      <c r="R411" s="708">
        <f t="shared" si="51"/>
        <v>0</v>
      </c>
      <c r="S411" s="708">
        <f t="shared" si="51"/>
        <v>0</v>
      </c>
      <c r="T411" s="708">
        <f t="shared" si="51"/>
        <v>0</v>
      </c>
      <c r="U411" s="708">
        <f t="shared" si="51"/>
        <v>0</v>
      </c>
      <c r="V411" s="708">
        <f t="shared" si="51"/>
        <v>0</v>
      </c>
      <c r="W411" s="708">
        <f t="shared" si="51"/>
        <v>0</v>
      </c>
      <c r="X411" s="708">
        <f t="shared" si="51"/>
        <v>0</v>
      </c>
      <c r="Y411" s="708">
        <f t="shared" si="51"/>
        <v>1156</v>
      </c>
      <c r="Z411" s="708">
        <f t="shared" si="51"/>
        <v>2378</v>
      </c>
      <c r="AA411" s="708">
        <f t="shared" si="51"/>
        <v>12</v>
      </c>
      <c r="AB411" s="708"/>
      <c r="AC411" s="708"/>
      <c r="AD411" s="146" t="s">
        <v>296</v>
      </c>
      <c r="AE411" s="146" t="s">
        <v>297</v>
      </c>
      <c r="AF411" s="438" t="s">
        <v>294</v>
      </c>
      <c r="AG411" s="708" t="s">
        <v>41</v>
      </c>
    </row>
    <row r="412" ht="24.95" customHeight="1" spans="1:33">
      <c r="A412" s="705"/>
      <c r="B412" s="714" t="s">
        <v>101</v>
      </c>
      <c r="C412" s="146" t="s">
        <v>320</v>
      </c>
      <c r="D412" s="152" t="s">
        <v>147</v>
      </c>
      <c r="E412" s="708">
        <v>1</v>
      </c>
      <c r="F412" s="714" t="s">
        <v>101</v>
      </c>
      <c r="G412" s="708"/>
      <c r="H412" s="708">
        <v>55</v>
      </c>
      <c r="I412" s="708"/>
      <c r="J412" s="92"/>
      <c r="K412" s="708">
        <v>55</v>
      </c>
      <c r="L412" s="92">
        <v>2020.01</v>
      </c>
      <c r="M412" s="92">
        <v>2020.12</v>
      </c>
      <c r="N412" s="726"/>
      <c r="O412" s="726"/>
      <c r="P412" s="726"/>
      <c r="Q412" s="726"/>
      <c r="R412" s="726"/>
      <c r="S412" s="726"/>
      <c r="T412" s="726"/>
      <c r="U412" s="726"/>
      <c r="V412" s="726"/>
      <c r="W412" s="726"/>
      <c r="X412" s="726"/>
      <c r="Y412" s="763">
        <v>52</v>
      </c>
      <c r="Z412" s="763">
        <v>233</v>
      </c>
      <c r="AA412" s="708">
        <v>1</v>
      </c>
      <c r="AB412" s="708"/>
      <c r="AC412" s="708"/>
      <c r="AD412" s="146" t="s">
        <v>298</v>
      </c>
      <c r="AE412" s="146" t="s">
        <v>299</v>
      </c>
      <c r="AF412" s="438" t="s">
        <v>294</v>
      </c>
      <c r="AG412" s="708"/>
    </row>
    <row r="413" ht="24.95" customHeight="1" spans="1:33">
      <c r="A413" s="705"/>
      <c r="B413" s="714" t="s">
        <v>151</v>
      </c>
      <c r="C413" s="146" t="s">
        <v>320</v>
      </c>
      <c r="D413" s="152" t="s">
        <v>147</v>
      </c>
      <c r="E413" s="708">
        <v>1</v>
      </c>
      <c r="F413" s="714" t="s">
        <v>151</v>
      </c>
      <c r="G413" s="708"/>
      <c r="H413" s="708">
        <v>60</v>
      </c>
      <c r="I413" s="708"/>
      <c r="J413" s="92"/>
      <c r="K413" s="708">
        <v>60</v>
      </c>
      <c r="L413" s="92">
        <v>2020.01</v>
      </c>
      <c r="M413" s="92">
        <v>2020.12</v>
      </c>
      <c r="N413" s="726"/>
      <c r="O413" s="726"/>
      <c r="P413" s="726"/>
      <c r="Q413" s="726"/>
      <c r="R413" s="726"/>
      <c r="S413" s="726"/>
      <c r="T413" s="726"/>
      <c r="U413" s="726"/>
      <c r="V413" s="726"/>
      <c r="W413" s="726"/>
      <c r="X413" s="726"/>
      <c r="Y413" s="763">
        <v>59</v>
      </c>
      <c r="Z413" s="763">
        <v>60</v>
      </c>
      <c r="AA413" s="708">
        <v>1</v>
      </c>
      <c r="AB413" s="708"/>
      <c r="AC413" s="708"/>
      <c r="AD413" s="146" t="s">
        <v>300</v>
      </c>
      <c r="AE413" s="146" t="s">
        <v>301</v>
      </c>
      <c r="AF413" s="438" t="s">
        <v>294</v>
      </c>
      <c r="AG413" s="708"/>
    </row>
    <row r="414" ht="24.95" customHeight="1" spans="1:33">
      <c r="A414" s="705"/>
      <c r="B414" s="714" t="s">
        <v>154</v>
      </c>
      <c r="C414" s="146" t="s">
        <v>320</v>
      </c>
      <c r="D414" s="152" t="s">
        <v>147</v>
      </c>
      <c r="E414" s="708">
        <v>1</v>
      </c>
      <c r="F414" s="714" t="s">
        <v>154</v>
      </c>
      <c r="G414" s="708"/>
      <c r="H414" s="708">
        <v>200</v>
      </c>
      <c r="I414" s="708"/>
      <c r="J414" s="92"/>
      <c r="K414" s="708">
        <v>200</v>
      </c>
      <c r="L414" s="92">
        <v>2020.01</v>
      </c>
      <c r="M414" s="92">
        <v>2020.12</v>
      </c>
      <c r="N414" s="726"/>
      <c r="O414" s="726"/>
      <c r="P414" s="726"/>
      <c r="Q414" s="726"/>
      <c r="R414" s="726"/>
      <c r="S414" s="726"/>
      <c r="T414" s="726"/>
      <c r="U414" s="726"/>
      <c r="V414" s="726"/>
      <c r="W414" s="726"/>
      <c r="X414" s="726"/>
      <c r="Y414" s="763">
        <v>184</v>
      </c>
      <c r="Z414" s="763">
        <v>200</v>
      </c>
      <c r="AA414" s="708">
        <v>1</v>
      </c>
      <c r="AB414" s="708"/>
      <c r="AC414" s="708"/>
      <c r="AD414" s="146" t="s">
        <v>247</v>
      </c>
      <c r="AE414" s="146" t="s">
        <v>302</v>
      </c>
      <c r="AF414" s="438" t="s">
        <v>294</v>
      </c>
      <c r="AG414" s="708"/>
    </row>
    <row r="415" ht="24.95" customHeight="1" spans="1:33">
      <c r="A415" s="705"/>
      <c r="B415" s="714" t="s">
        <v>81</v>
      </c>
      <c r="C415" s="146" t="s">
        <v>320</v>
      </c>
      <c r="D415" s="152" t="s">
        <v>147</v>
      </c>
      <c r="E415" s="708">
        <v>1</v>
      </c>
      <c r="F415" s="714" t="s">
        <v>81</v>
      </c>
      <c r="G415" s="708"/>
      <c r="H415" s="708">
        <v>67</v>
      </c>
      <c r="I415" s="708"/>
      <c r="J415" s="92"/>
      <c r="K415" s="708">
        <v>67</v>
      </c>
      <c r="L415" s="92">
        <v>2020.01</v>
      </c>
      <c r="M415" s="92">
        <v>2020.12</v>
      </c>
      <c r="N415" s="726"/>
      <c r="O415" s="726"/>
      <c r="P415" s="726"/>
      <c r="Q415" s="726"/>
      <c r="R415" s="726"/>
      <c r="S415" s="726"/>
      <c r="T415" s="726"/>
      <c r="U415" s="726"/>
      <c r="V415" s="726"/>
      <c r="W415" s="726"/>
      <c r="X415" s="726"/>
      <c r="Y415" s="763">
        <v>66</v>
      </c>
      <c r="Z415" s="763">
        <v>67</v>
      </c>
      <c r="AA415" s="708">
        <v>1</v>
      </c>
      <c r="AB415" s="708"/>
      <c r="AC415" s="708"/>
      <c r="AD415" s="146" t="s">
        <v>303</v>
      </c>
      <c r="AE415" s="146" t="s">
        <v>304</v>
      </c>
      <c r="AF415" s="438" t="s">
        <v>294</v>
      </c>
      <c r="AG415" s="708"/>
    </row>
    <row r="416" ht="24.95" customHeight="1" spans="1:33">
      <c r="A416" s="705"/>
      <c r="B416" s="714" t="s">
        <v>98</v>
      </c>
      <c r="C416" s="146" t="s">
        <v>320</v>
      </c>
      <c r="D416" s="152" t="s">
        <v>147</v>
      </c>
      <c r="E416" s="708">
        <v>1</v>
      </c>
      <c r="F416" s="714" t="s">
        <v>98</v>
      </c>
      <c r="G416" s="708"/>
      <c r="H416" s="708">
        <v>297</v>
      </c>
      <c r="I416" s="708"/>
      <c r="J416" s="92"/>
      <c r="K416" s="708">
        <v>297</v>
      </c>
      <c r="L416" s="92">
        <v>2020.01</v>
      </c>
      <c r="M416" s="92">
        <v>2020.12</v>
      </c>
      <c r="N416" s="726"/>
      <c r="O416" s="726"/>
      <c r="P416" s="726"/>
      <c r="Q416" s="726"/>
      <c r="R416" s="726"/>
      <c r="S416" s="726"/>
      <c r="T416" s="726"/>
      <c r="U416" s="726"/>
      <c r="V416" s="726"/>
      <c r="W416" s="726"/>
      <c r="X416" s="726"/>
      <c r="Y416" s="763">
        <v>276</v>
      </c>
      <c r="Z416" s="763">
        <v>1265</v>
      </c>
      <c r="AA416" s="708">
        <v>1</v>
      </c>
      <c r="AB416" s="708"/>
      <c r="AC416" s="708"/>
      <c r="AD416" s="146" t="s">
        <v>305</v>
      </c>
      <c r="AE416" s="146" t="s">
        <v>306</v>
      </c>
      <c r="AF416" s="438" t="s">
        <v>294</v>
      </c>
      <c r="AG416" s="708"/>
    </row>
    <row r="417" ht="24.95" customHeight="1" spans="1:33">
      <c r="A417" s="705"/>
      <c r="B417" s="714" t="s">
        <v>211</v>
      </c>
      <c r="C417" s="146" t="s">
        <v>320</v>
      </c>
      <c r="D417" s="152" t="s">
        <v>147</v>
      </c>
      <c r="E417" s="708">
        <v>1</v>
      </c>
      <c r="F417" s="714" t="s">
        <v>211</v>
      </c>
      <c r="G417" s="708"/>
      <c r="H417" s="708">
        <v>105</v>
      </c>
      <c r="I417" s="708"/>
      <c r="J417" s="92"/>
      <c r="K417" s="708">
        <v>105</v>
      </c>
      <c r="L417" s="92">
        <v>2020.01</v>
      </c>
      <c r="M417" s="92">
        <v>2020.12</v>
      </c>
      <c r="N417" s="726"/>
      <c r="O417" s="726"/>
      <c r="P417" s="726"/>
      <c r="Q417" s="726"/>
      <c r="R417" s="726"/>
      <c r="S417" s="726"/>
      <c r="T417" s="726"/>
      <c r="U417" s="726"/>
      <c r="V417" s="726"/>
      <c r="W417" s="726"/>
      <c r="X417" s="726"/>
      <c r="Y417" s="763">
        <v>100</v>
      </c>
      <c r="Z417" s="763">
        <v>105</v>
      </c>
      <c r="AA417" s="708">
        <v>1</v>
      </c>
      <c r="AB417" s="708"/>
      <c r="AC417" s="708"/>
      <c r="AD417" s="146" t="s">
        <v>307</v>
      </c>
      <c r="AE417" s="146" t="s">
        <v>308</v>
      </c>
      <c r="AF417" s="438" t="s">
        <v>294</v>
      </c>
      <c r="AG417" s="708"/>
    </row>
    <row r="418" ht="24.95" customHeight="1" spans="1:33">
      <c r="A418" s="705"/>
      <c r="B418" s="714" t="s">
        <v>155</v>
      </c>
      <c r="C418" s="146" t="s">
        <v>320</v>
      </c>
      <c r="D418" s="152" t="s">
        <v>147</v>
      </c>
      <c r="E418" s="708">
        <v>1</v>
      </c>
      <c r="F418" s="714" t="s">
        <v>155</v>
      </c>
      <c r="G418" s="708"/>
      <c r="H418" s="708">
        <v>34</v>
      </c>
      <c r="I418" s="708"/>
      <c r="J418" s="92"/>
      <c r="K418" s="708">
        <v>34</v>
      </c>
      <c r="L418" s="92">
        <v>2020.01</v>
      </c>
      <c r="M418" s="92">
        <v>2020.12</v>
      </c>
      <c r="N418" s="726"/>
      <c r="O418" s="726"/>
      <c r="P418" s="726"/>
      <c r="Q418" s="726"/>
      <c r="R418" s="726"/>
      <c r="S418" s="726"/>
      <c r="T418" s="726"/>
      <c r="U418" s="726"/>
      <c r="V418" s="726"/>
      <c r="W418" s="726"/>
      <c r="X418" s="726"/>
      <c r="Y418" s="763">
        <v>34</v>
      </c>
      <c r="Z418" s="763">
        <v>34</v>
      </c>
      <c r="AA418" s="708">
        <v>1</v>
      </c>
      <c r="AB418" s="708"/>
      <c r="AC418" s="708"/>
      <c r="AD418" s="146" t="s">
        <v>309</v>
      </c>
      <c r="AE418" s="146" t="s">
        <v>310</v>
      </c>
      <c r="AF418" s="438" t="s">
        <v>294</v>
      </c>
      <c r="AG418" s="708"/>
    </row>
    <row r="419" ht="24.95" customHeight="1" spans="1:33">
      <c r="A419" s="705"/>
      <c r="B419" s="714" t="s">
        <v>102</v>
      </c>
      <c r="C419" s="146" t="s">
        <v>320</v>
      </c>
      <c r="D419" s="152" t="s">
        <v>147</v>
      </c>
      <c r="E419" s="708">
        <v>1</v>
      </c>
      <c r="F419" s="714" t="s">
        <v>102</v>
      </c>
      <c r="G419" s="708"/>
      <c r="H419" s="708">
        <v>156</v>
      </c>
      <c r="I419" s="708"/>
      <c r="J419" s="92"/>
      <c r="K419" s="708">
        <v>156</v>
      </c>
      <c r="L419" s="92">
        <v>2020.01</v>
      </c>
      <c r="M419" s="92">
        <v>2020.12</v>
      </c>
      <c r="N419" s="726"/>
      <c r="O419" s="726"/>
      <c r="P419" s="726"/>
      <c r="Q419" s="726"/>
      <c r="R419" s="726"/>
      <c r="S419" s="726"/>
      <c r="T419" s="726"/>
      <c r="U419" s="726"/>
      <c r="V419" s="726"/>
      <c r="W419" s="726"/>
      <c r="X419" s="726"/>
      <c r="Y419" s="763">
        <v>141</v>
      </c>
      <c r="Z419" s="763">
        <v>156</v>
      </c>
      <c r="AA419" s="708">
        <v>1</v>
      </c>
      <c r="AB419" s="708"/>
      <c r="AC419" s="708"/>
      <c r="AD419" s="146" t="s">
        <v>215</v>
      </c>
      <c r="AE419" s="146" t="s">
        <v>311</v>
      </c>
      <c r="AF419" s="438" t="s">
        <v>294</v>
      </c>
      <c r="AG419" s="708"/>
    </row>
    <row r="420" ht="24.95" customHeight="1" spans="1:33">
      <c r="A420" s="705"/>
      <c r="B420" s="714" t="s">
        <v>100</v>
      </c>
      <c r="C420" s="146" t="s">
        <v>320</v>
      </c>
      <c r="D420" s="152" t="s">
        <v>147</v>
      </c>
      <c r="E420" s="708">
        <v>1</v>
      </c>
      <c r="F420" s="714" t="s">
        <v>100</v>
      </c>
      <c r="G420" s="708"/>
      <c r="H420" s="708">
        <v>160</v>
      </c>
      <c r="I420" s="708"/>
      <c r="J420" s="92"/>
      <c r="K420" s="708">
        <v>160</v>
      </c>
      <c r="L420" s="92">
        <v>2020.01</v>
      </c>
      <c r="M420" s="92">
        <v>2020.12</v>
      </c>
      <c r="N420" s="726"/>
      <c r="O420" s="726"/>
      <c r="P420" s="726"/>
      <c r="Q420" s="726"/>
      <c r="R420" s="726"/>
      <c r="S420" s="726"/>
      <c r="T420" s="726"/>
      <c r="U420" s="726"/>
      <c r="V420" s="726"/>
      <c r="W420" s="726"/>
      <c r="X420" s="726"/>
      <c r="Y420" s="763">
        <v>146</v>
      </c>
      <c r="Z420" s="763">
        <v>160</v>
      </c>
      <c r="AA420" s="708">
        <v>1</v>
      </c>
      <c r="AB420" s="708"/>
      <c r="AC420" s="708"/>
      <c r="AD420" s="146" t="s">
        <v>312</v>
      </c>
      <c r="AE420" s="146" t="s">
        <v>313</v>
      </c>
      <c r="AF420" s="438" t="s">
        <v>294</v>
      </c>
      <c r="AG420" s="708"/>
    </row>
    <row r="421" ht="24.95" customHeight="1" spans="1:33">
      <c r="A421" s="705"/>
      <c r="B421" s="714" t="s">
        <v>84</v>
      </c>
      <c r="C421" s="146" t="s">
        <v>320</v>
      </c>
      <c r="D421" s="152" t="s">
        <v>147</v>
      </c>
      <c r="E421" s="708">
        <v>1</v>
      </c>
      <c r="F421" s="714" t="s">
        <v>84</v>
      </c>
      <c r="G421" s="708"/>
      <c r="H421" s="708">
        <v>44</v>
      </c>
      <c r="I421" s="708"/>
      <c r="J421" s="92"/>
      <c r="K421" s="708">
        <v>44</v>
      </c>
      <c r="L421" s="92">
        <v>2020.01</v>
      </c>
      <c r="M421" s="92">
        <v>2020.12</v>
      </c>
      <c r="N421" s="726"/>
      <c r="O421" s="726"/>
      <c r="P421" s="726"/>
      <c r="Q421" s="726"/>
      <c r="R421" s="726"/>
      <c r="S421" s="726"/>
      <c r="T421" s="726"/>
      <c r="U421" s="726"/>
      <c r="V421" s="726"/>
      <c r="W421" s="726"/>
      <c r="X421" s="726"/>
      <c r="Y421" s="763">
        <v>44</v>
      </c>
      <c r="Z421" s="763">
        <v>44</v>
      </c>
      <c r="AA421" s="708">
        <v>1</v>
      </c>
      <c r="AB421" s="708"/>
      <c r="AC421" s="708"/>
      <c r="AD421" s="146" t="s">
        <v>185</v>
      </c>
      <c r="AE421" s="146" t="s">
        <v>314</v>
      </c>
      <c r="AF421" s="438" t="s">
        <v>294</v>
      </c>
      <c r="AG421" s="708"/>
    </row>
    <row r="422" ht="24.95" customHeight="1" spans="1:33">
      <c r="A422" s="705"/>
      <c r="B422" s="714" t="s">
        <v>259</v>
      </c>
      <c r="C422" s="146" t="s">
        <v>320</v>
      </c>
      <c r="D422" s="152" t="s">
        <v>147</v>
      </c>
      <c r="E422" s="708">
        <v>1</v>
      </c>
      <c r="F422" s="714" t="s">
        <v>259</v>
      </c>
      <c r="G422" s="708"/>
      <c r="H422" s="708">
        <v>13</v>
      </c>
      <c r="I422" s="708"/>
      <c r="J422" s="92"/>
      <c r="K422" s="708">
        <v>13</v>
      </c>
      <c r="L422" s="92">
        <v>2020.01</v>
      </c>
      <c r="M422" s="92">
        <v>2020.12</v>
      </c>
      <c r="N422" s="726"/>
      <c r="O422" s="726"/>
      <c r="P422" s="726"/>
      <c r="Q422" s="726"/>
      <c r="R422" s="726"/>
      <c r="S422" s="726"/>
      <c r="T422" s="726"/>
      <c r="U422" s="726"/>
      <c r="V422" s="726"/>
      <c r="W422" s="726"/>
      <c r="X422" s="726"/>
      <c r="Y422" s="763">
        <v>13</v>
      </c>
      <c r="Z422" s="763">
        <v>13</v>
      </c>
      <c r="AA422" s="708">
        <v>1</v>
      </c>
      <c r="AB422" s="708"/>
      <c r="AC422" s="708"/>
      <c r="AD422" s="146" t="s">
        <v>315</v>
      </c>
      <c r="AE422" s="146" t="s">
        <v>316</v>
      </c>
      <c r="AF422" s="438" t="s">
        <v>294</v>
      </c>
      <c r="AG422" s="708"/>
    </row>
    <row r="423" ht="24.95" customHeight="1" spans="1:33">
      <c r="A423" s="705"/>
      <c r="B423" s="714" t="s">
        <v>143</v>
      </c>
      <c r="C423" s="146" t="s">
        <v>320</v>
      </c>
      <c r="D423" s="152" t="s">
        <v>147</v>
      </c>
      <c r="E423" s="708">
        <v>1</v>
      </c>
      <c r="F423" s="714" t="s">
        <v>143</v>
      </c>
      <c r="G423" s="708"/>
      <c r="H423" s="708">
        <v>144</v>
      </c>
      <c r="I423" s="708"/>
      <c r="J423" s="92"/>
      <c r="K423" s="708">
        <v>144</v>
      </c>
      <c r="L423" s="92">
        <v>2020.01</v>
      </c>
      <c r="M423" s="92">
        <v>2020.12</v>
      </c>
      <c r="N423" s="726"/>
      <c r="O423" s="726"/>
      <c r="P423" s="726"/>
      <c r="Q423" s="726"/>
      <c r="R423" s="726"/>
      <c r="S423" s="726"/>
      <c r="T423" s="726"/>
      <c r="U423" s="726"/>
      <c r="V423" s="726"/>
      <c r="W423" s="726"/>
      <c r="X423" s="726"/>
      <c r="Y423" s="763">
        <v>41</v>
      </c>
      <c r="Z423" s="763">
        <v>41</v>
      </c>
      <c r="AA423" s="708">
        <v>1</v>
      </c>
      <c r="AB423" s="708"/>
      <c r="AC423" s="708"/>
      <c r="AD423" s="146" t="s">
        <v>317</v>
      </c>
      <c r="AE423" s="146" t="s">
        <v>318</v>
      </c>
      <c r="AF423" s="438" t="s">
        <v>294</v>
      </c>
      <c r="AG423" s="708"/>
    </row>
    <row r="424" ht="30.95" customHeight="1" spans="1:33">
      <c r="A424" s="705">
        <v>55</v>
      </c>
      <c r="B424" s="750" t="s">
        <v>323</v>
      </c>
      <c r="C424" s="146" t="s">
        <v>320</v>
      </c>
      <c r="D424" s="152" t="s">
        <v>147</v>
      </c>
      <c r="E424" s="708">
        <f>SUM(E425:E436)</f>
        <v>12</v>
      </c>
      <c r="F424" s="708">
        <f t="shared" ref="F424:AA424" si="52">SUM(F425:F436)</f>
        <v>0</v>
      </c>
      <c r="G424" s="708">
        <f t="shared" si="52"/>
        <v>0</v>
      </c>
      <c r="H424" s="708">
        <f t="shared" si="52"/>
        <v>2817</v>
      </c>
      <c r="I424" s="708">
        <f t="shared" si="52"/>
        <v>0</v>
      </c>
      <c r="J424" s="708">
        <f t="shared" si="52"/>
        <v>0</v>
      </c>
      <c r="K424" s="708">
        <f t="shared" si="52"/>
        <v>2817</v>
      </c>
      <c r="L424" s="708"/>
      <c r="M424" s="708"/>
      <c r="N424" s="708">
        <f t="shared" si="52"/>
        <v>0</v>
      </c>
      <c r="O424" s="708">
        <f t="shared" si="52"/>
        <v>0</v>
      </c>
      <c r="P424" s="708">
        <f t="shared" si="52"/>
        <v>0</v>
      </c>
      <c r="Q424" s="708">
        <f t="shared" si="52"/>
        <v>0</v>
      </c>
      <c r="R424" s="708">
        <f t="shared" si="52"/>
        <v>0</v>
      </c>
      <c r="S424" s="708">
        <f t="shared" si="52"/>
        <v>0</v>
      </c>
      <c r="T424" s="708">
        <f t="shared" si="52"/>
        <v>0</v>
      </c>
      <c r="U424" s="708">
        <f t="shared" si="52"/>
        <v>0</v>
      </c>
      <c r="V424" s="708">
        <f t="shared" si="52"/>
        <v>0</v>
      </c>
      <c r="W424" s="708">
        <f t="shared" si="52"/>
        <v>0</v>
      </c>
      <c r="X424" s="708">
        <f t="shared" si="52"/>
        <v>0</v>
      </c>
      <c r="Y424" s="708">
        <f t="shared" si="52"/>
        <v>2254</v>
      </c>
      <c r="Z424" s="708">
        <f t="shared" si="52"/>
        <v>4527</v>
      </c>
      <c r="AA424" s="708">
        <f t="shared" si="52"/>
        <v>12</v>
      </c>
      <c r="AB424" s="708"/>
      <c r="AC424" s="708"/>
      <c r="AD424" s="146" t="s">
        <v>296</v>
      </c>
      <c r="AE424" s="146" t="s">
        <v>297</v>
      </c>
      <c r="AF424" s="438" t="s">
        <v>294</v>
      </c>
      <c r="AG424" s="708" t="s">
        <v>41</v>
      </c>
    </row>
    <row r="425" ht="30.95" customHeight="1" spans="1:33">
      <c r="A425" s="705"/>
      <c r="B425" s="714" t="s">
        <v>101</v>
      </c>
      <c r="C425" s="146" t="s">
        <v>320</v>
      </c>
      <c r="D425" s="152" t="s">
        <v>147</v>
      </c>
      <c r="E425" s="708">
        <v>1</v>
      </c>
      <c r="F425" s="714" t="s">
        <v>101</v>
      </c>
      <c r="G425" s="708"/>
      <c r="H425" s="708">
        <v>161</v>
      </c>
      <c r="I425" s="92"/>
      <c r="J425" s="92"/>
      <c r="K425" s="708">
        <v>161</v>
      </c>
      <c r="L425" s="92">
        <v>2020.01</v>
      </c>
      <c r="M425" s="92">
        <v>2020.12</v>
      </c>
      <c r="N425" s="726"/>
      <c r="O425" s="726"/>
      <c r="P425" s="726"/>
      <c r="Q425" s="726"/>
      <c r="R425" s="726"/>
      <c r="S425" s="726"/>
      <c r="T425" s="726"/>
      <c r="U425" s="726"/>
      <c r="V425" s="726"/>
      <c r="W425" s="726"/>
      <c r="X425" s="726"/>
      <c r="Y425" s="763">
        <v>145</v>
      </c>
      <c r="Z425" s="763">
        <v>605</v>
      </c>
      <c r="AA425" s="708">
        <v>1</v>
      </c>
      <c r="AB425" s="708"/>
      <c r="AC425" s="708"/>
      <c r="AD425" s="146" t="s">
        <v>298</v>
      </c>
      <c r="AE425" s="146" t="s">
        <v>299</v>
      </c>
      <c r="AF425" s="438" t="s">
        <v>294</v>
      </c>
      <c r="AG425" s="708"/>
    </row>
    <row r="426" ht="30.95" customHeight="1" spans="1:33">
      <c r="A426" s="705"/>
      <c r="B426" s="714" t="s">
        <v>151</v>
      </c>
      <c r="C426" s="146" t="s">
        <v>320</v>
      </c>
      <c r="D426" s="152" t="s">
        <v>147</v>
      </c>
      <c r="E426" s="708">
        <v>1</v>
      </c>
      <c r="F426" s="714" t="s">
        <v>151</v>
      </c>
      <c r="G426" s="708"/>
      <c r="H426" s="708">
        <v>85</v>
      </c>
      <c r="I426" s="92"/>
      <c r="J426" s="92"/>
      <c r="K426" s="708">
        <v>85</v>
      </c>
      <c r="L426" s="92">
        <v>2020.01</v>
      </c>
      <c r="M426" s="92">
        <v>2020.12</v>
      </c>
      <c r="N426" s="726"/>
      <c r="O426" s="726"/>
      <c r="P426" s="726"/>
      <c r="Q426" s="726"/>
      <c r="R426" s="726"/>
      <c r="S426" s="726"/>
      <c r="T426" s="726"/>
      <c r="U426" s="726"/>
      <c r="V426" s="726"/>
      <c r="W426" s="726"/>
      <c r="X426" s="726"/>
      <c r="Y426" s="763">
        <v>84</v>
      </c>
      <c r="Z426" s="763">
        <v>85</v>
      </c>
      <c r="AA426" s="708">
        <v>1</v>
      </c>
      <c r="AB426" s="708"/>
      <c r="AC426" s="708"/>
      <c r="AD426" s="146" t="s">
        <v>300</v>
      </c>
      <c r="AE426" s="146" t="s">
        <v>301</v>
      </c>
      <c r="AF426" s="438" t="s">
        <v>294</v>
      </c>
      <c r="AG426" s="708"/>
    </row>
    <row r="427" ht="30.95" customHeight="1" spans="1:33">
      <c r="A427" s="705"/>
      <c r="B427" s="714" t="s">
        <v>154</v>
      </c>
      <c r="C427" s="146" t="s">
        <v>320</v>
      </c>
      <c r="D427" s="152" t="s">
        <v>147</v>
      </c>
      <c r="E427" s="708">
        <v>1</v>
      </c>
      <c r="F427" s="714" t="s">
        <v>154</v>
      </c>
      <c r="G427" s="708"/>
      <c r="H427" s="708">
        <v>316</v>
      </c>
      <c r="I427" s="92"/>
      <c r="J427" s="92"/>
      <c r="K427" s="708">
        <v>316</v>
      </c>
      <c r="L427" s="92">
        <v>2020.01</v>
      </c>
      <c r="M427" s="92">
        <v>2020.12</v>
      </c>
      <c r="N427" s="726"/>
      <c r="O427" s="726"/>
      <c r="P427" s="726"/>
      <c r="Q427" s="726"/>
      <c r="R427" s="726"/>
      <c r="S427" s="726"/>
      <c r="T427" s="726"/>
      <c r="U427" s="726"/>
      <c r="V427" s="726"/>
      <c r="W427" s="726"/>
      <c r="X427" s="726"/>
      <c r="Y427" s="763">
        <v>258</v>
      </c>
      <c r="Z427" s="763">
        <v>316</v>
      </c>
      <c r="AA427" s="708">
        <v>1</v>
      </c>
      <c r="AB427" s="708"/>
      <c r="AC427" s="708"/>
      <c r="AD427" s="146" t="s">
        <v>247</v>
      </c>
      <c r="AE427" s="146" t="s">
        <v>302</v>
      </c>
      <c r="AF427" s="438" t="s">
        <v>294</v>
      </c>
      <c r="AG427" s="708"/>
    </row>
    <row r="428" ht="30.95" customHeight="1" spans="1:33">
      <c r="A428" s="705"/>
      <c r="B428" s="714" t="s">
        <v>81</v>
      </c>
      <c r="C428" s="146" t="s">
        <v>320</v>
      </c>
      <c r="D428" s="152" t="s">
        <v>147</v>
      </c>
      <c r="E428" s="708">
        <v>1</v>
      </c>
      <c r="F428" s="714" t="s">
        <v>81</v>
      </c>
      <c r="G428" s="708"/>
      <c r="H428" s="708">
        <v>176</v>
      </c>
      <c r="I428" s="92"/>
      <c r="J428" s="92"/>
      <c r="K428" s="708">
        <v>176</v>
      </c>
      <c r="L428" s="92">
        <v>2020.01</v>
      </c>
      <c r="M428" s="92">
        <v>2020.12</v>
      </c>
      <c r="N428" s="726"/>
      <c r="O428" s="726"/>
      <c r="P428" s="726"/>
      <c r="Q428" s="726"/>
      <c r="R428" s="726"/>
      <c r="S428" s="726"/>
      <c r="T428" s="726"/>
      <c r="U428" s="726"/>
      <c r="V428" s="726"/>
      <c r="W428" s="726"/>
      <c r="X428" s="726"/>
      <c r="Y428" s="763">
        <v>157</v>
      </c>
      <c r="Z428" s="763">
        <v>176</v>
      </c>
      <c r="AA428" s="708">
        <v>1</v>
      </c>
      <c r="AB428" s="708"/>
      <c r="AC428" s="708"/>
      <c r="AD428" s="146" t="s">
        <v>303</v>
      </c>
      <c r="AE428" s="146" t="s">
        <v>304</v>
      </c>
      <c r="AF428" s="438" t="s">
        <v>294</v>
      </c>
      <c r="AG428" s="708"/>
    </row>
    <row r="429" ht="30.95" customHeight="1" spans="1:33">
      <c r="A429" s="705"/>
      <c r="B429" s="714" t="s">
        <v>98</v>
      </c>
      <c r="C429" s="146" t="s">
        <v>320</v>
      </c>
      <c r="D429" s="152" t="s">
        <v>147</v>
      </c>
      <c r="E429" s="708">
        <v>1</v>
      </c>
      <c r="F429" s="714" t="s">
        <v>98</v>
      </c>
      <c r="G429" s="708"/>
      <c r="H429" s="708">
        <v>490</v>
      </c>
      <c r="I429" s="92"/>
      <c r="J429" s="92"/>
      <c r="K429" s="708">
        <v>490</v>
      </c>
      <c r="L429" s="92">
        <v>2020.01</v>
      </c>
      <c r="M429" s="92">
        <v>2020.12</v>
      </c>
      <c r="N429" s="726"/>
      <c r="O429" s="726"/>
      <c r="P429" s="726"/>
      <c r="Q429" s="726"/>
      <c r="R429" s="726"/>
      <c r="S429" s="726"/>
      <c r="T429" s="726"/>
      <c r="U429" s="726"/>
      <c r="V429" s="726"/>
      <c r="W429" s="726"/>
      <c r="X429" s="726"/>
      <c r="Y429" s="763">
        <v>422</v>
      </c>
      <c r="Z429" s="763">
        <v>1920</v>
      </c>
      <c r="AA429" s="708">
        <v>1</v>
      </c>
      <c r="AB429" s="708"/>
      <c r="AC429" s="708"/>
      <c r="AD429" s="146" t="s">
        <v>305</v>
      </c>
      <c r="AE429" s="146" t="s">
        <v>306</v>
      </c>
      <c r="AF429" s="438" t="s">
        <v>294</v>
      </c>
      <c r="AG429" s="708"/>
    </row>
    <row r="430" ht="30.95" customHeight="1" spans="1:33">
      <c r="A430" s="705"/>
      <c r="B430" s="714" t="s">
        <v>211</v>
      </c>
      <c r="C430" s="146" t="s">
        <v>320</v>
      </c>
      <c r="D430" s="152" t="s">
        <v>147</v>
      </c>
      <c r="E430" s="708">
        <v>1</v>
      </c>
      <c r="F430" s="714" t="s">
        <v>211</v>
      </c>
      <c r="G430" s="708"/>
      <c r="H430" s="708">
        <v>345</v>
      </c>
      <c r="I430" s="92"/>
      <c r="J430" s="92"/>
      <c r="K430" s="708">
        <v>345</v>
      </c>
      <c r="L430" s="92">
        <v>2020.01</v>
      </c>
      <c r="M430" s="92">
        <v>2020.12</v>
      </c>
      <c r="N430" s="726"/>
      <c r="O430" s="726"/>
      <c r="P430" s="726"/>
      <c r="Q430" s="726"/>
      <c r="R430" s="726"/>
      <c r="S430" s="726"/>
      <c r="T430" s="726"/>
      <c r="U430" s="726"/>
      <c r="V430" s="726"/>
      <c r="W430" s="726"/>
      <c r="X430" s="726"/>
      <c r="Y430" s="763">
        <v>265</v>
      </c>
      <c r="Z430" s="763">
        <v>345</v>
      </c>
      <c r="AA430" s="708">
        <v>1</v>
      </c>
      <c r="AB430" s="708"/>
      <c r="AC430" s="708"/>
      <c r="AD430" s="146" t="s">
        <v>307</v>
      </c>
      <c r="AE430" s="146" t="s">
        <v>308</v>
      </c>
      <c r="AF430" s="438" t="s">
        <v>294</v>
      </c>
      <c r="AG430" s="708"/>
    </row>
    <row r="431" ht="30.95" customHeight="1" spans="1:33">
      <c r="A431" s="705"/>
      <c r="B431" s="714" t="s">
        <v>155</v>
      </c>
      <c r="C431" s="146" t="s">
        <v>320</v>
      </c>
      <c r="D431" s="152" t="s">
        <v>147</v>
      </c>
      <c r="E431" s="708">
        <v>1</v>
      </c>
      <c r="F431" s="714" t="s">
        <v>155</v>
      </c>
      <c r="G431" s="708"/>
      <c r="H431" s="708">
        <v>116</v>
      </c>
      <c r="I431" s="92"/>
      <c r="J431" s="92"/>
      <c r="K431" s="708">
        <v>116</v>
      </c>
      <c r="L431" s="92">
        <v>2020.01</v>
      </c>
      <c r="M431" s="92">
        <v>2020.12</v>
      </c>
      <c r="N431" s="726"/>
      <c r="O431" s="726"/>
      <c r="P431" s="726"/>
      <c r="Q431" s="726"/>
      <c r="R431" s="726"/>
      <c r="S431" s="726"/>
      <c r="T431" s="726"/>
      <c r="U431" s="726"/>
      <c r="V431" s="726"/>
      <c r="W431" s="726"/>
      <c r="X431" s="726"/>
      <c r="Y431" s="763">
        <v>93</v>
      </c>
      <c r="Z431" s="763">
        <v>116</v>
      </c>
      <c r="AA431" s="708">
        <v>1</v>
      </c>
      <c r="AB431" s="708"/>
      <c r="AC431" s="708"/>
      <c r="AD431" s="146" t="s">
        <v>309</v>
      </c>
      <c r="AE431" s="146" t="s">
        <v>310</v>
      </c>
      <c r="AF431" s="438" t="s">
        <v>294</v>
      </c>
      <c r="AG431" s="708"/>
    </row>
    <row r="432" ht="30.95" customHeight="1" spans="1:33">
      <c r="A432" s="705"/>
      <c r="B432" s="714" t="s">
        <v>102</v>
      </c>
      <c r="C432" s="146" t="s">
        <v>320</v>
      </c>
      <c r="D432" s="152" t="s">
        <v>147</v>
      </c>
      <c r="E432" s="708">
        <v>1</v>
      </c>
      <c r="F432" s="714" t="s">
        <v>102</v>
      </c>
      <c r="G432" s="708"/>
      <c r="H432" s="708">
        <v>369</v>
      </c>
      <c r="I432" s="92"/>
      <c r="J432" s="92"/>
      <c r="K432" s="708">
        <v>369</v>
      </c>
      <c r="L432" s="92">
        <v>2020.01</v>
      </c>
      <c r="M432" s="92">
        <v>2020.12</v>
      </c>
      <c r="N432" s="726"/>
      <c r="O432" s="726"/>
      <c r="P432" s="726"/>
      <c r="Q432" s="726"/>
      <c r="R432" s="726"/>
      <c r="S432" s="726"/>
      <c r="T432" s="726"/>
      <c r="U432" s="726"/>
      <c r="V432" s="726"/>
      <c r="W432" s="726"/>
      <c r="X432" s="726"/>
      <c r="Y432" s="763">
        <v>295</v>
      </c>
      <c r="Z432" s="763">
        <v>369</v>
      </c>
      <c r="AA432" s="708">
        <v>1</v>
      </c>
      <c r="AB432" s="708"/>
      <c r="AC432" s="708"/>
      <c r="AD432" s="146" t="s">
        <v>215</v>
      </c>
      <c r="AE432" s="146" t="s">
        <v>311</v>
      </c>
      <c r="AF432" s="438" t="s">
        <v>294</v>
      </c>
      <c r="AG432" s="708"/>
    </row>
    <row r="433" ht="30.95" customHeight="1" spans="1:33">
      <c r="A433" s="705"/>
      <c r="B433" s="714" t="s">
        <v>100</v>
      </c>
      <c r="C433" s="146" t="s">
        <v>320</v>
      </c>
      <c r="D433" s="152" t="s">
        <v>147</v>
      </c>
      <c r="E433" s="708">
        <v>1</v>
      </c>
      <c r="F433" s="714" t="s">
        <v>100</v>
      </c>
      <c r="G433" s="708"/>
      <c r="H433" s="708">
        <v>383</v>
      </c>
      <c r="I433" s="92"/>
      <c r="J433" s="92"/>
      <c r="K433" s="708">
        <v>383</v>
      </c>
      <c r="L433" s="92">
        <v>2020.01</v>
      </c>
      <c r="M433" s="92">
        <v>2020.12</v>
      </c>
      <c r="N433" s="726"/>
      <c r="O433" s="726"/>
      <c r="P433" s="726"/>
      <c r="Q433" s="726"/>
      <c r="R433" s="726"/>
      <c r="S433" s="726"/>
      <c r="T433" s="726"/>
      <c r="U433" s="726"/>
      <c r="V433" s="726"/>
      <c r="W433" s="726"/>
      <c r="X433" s="726"/>
      <c r="Y433" s="763">
        <v>329</v>
      </c>
      <c r="Z433" s="763">
        <v>383</v>
      </c>
      <c r="AA433" s="708">
        <v>1</v>
      </c>
      <c r="AB433" s="708"/>
      <c r="AC433" s="708"/>
      <c r="AD433" s="146" t="s">
        <v>312</v>
      </c>
      <c r="AE433" s="146" t="s">
        <v>313</v>
      </c>
      <c r="AF433" s="438" t="s">
        <v>294</v>
      </c>
      <c r="AG433" s="708"/>
    </row>
    <row r="434" ht="30.95" customHeight="1" spans="1:33">
      <c r="A434" s="705"/>
      <c r="B434" s="714" t="s">
        <v>84</v>
      </c>
      <c r="C434" s="146" t="s">
        <v>320</v>
      </c>
      <c r="D434" s="152" t="s">
        <v>147</v>
      </c>
      <c r="E434" s="708">
        <v>1</v>
      </c>
      <c r="F434" s="714" t="s">
        <v>84</v>
      </c>
      <c r="G434" s="708"/>
      <c r="H434" s="708">
        <v>108</v>
      </c>
      <c r="I434" s="92"/>
      <c r="J434" s="92"/>
      <c r="K434" s="708">
        <v>108</v>
      </c>
      <c r="L434" s="92">
        <v>2020.01</v>
      </c>
      <c r="M434" s="92">
        <v>2020.12</v>
      </c>
      <c r="N434" s="726"/>
      <c r="O434" s="726"/>
      <c r="P434" s="726"/>
      <c r="Q434" s="726"/>
      <c r="R434" s="726"/>
      <c r="S434" s="726"/>
      <c r="T434" s="726"/>
      <c r="U434" s="726"/>
      <c r="V434" s="726"/>
      <c r="W434" s="726"/>
      <c r="X434" s="726"/>
      <c r="Y434" s="763">
        <v>108</v>
      </c>
      <c r="Z434" s="763">
        <v>108</v>
      </c>
      <c r="AA434" s="708">
        <v>1</v>
      </c>
      <c r="AB434" s="708"/>
      <c r="AC434" s="708"/>
      <c r="AD434" s="146" t="s">
        <v>185</v>
      </c>
      <c r="AE434" s="146" t="s">
        <v>314</v>
      </c>
      <c r="AF434" s="438" t="s">
        <v>294</v>
      </c>
      <c r="AG434" s="708"/>
    </row>
    <row r="435" ht="30.95" customHeight="1" spans="1:33">
      <c r="A435" s="705"/>
      <c r="B435" s="714" t="s">
        <v>259</v>
      </c>
      <c r="C435" s="146" t="s">
        <v>320</v>
      </c>
      <c r="D435" s="152" t="s">
        <v>147</v>
      </c>
      <c r="E435" s="708">
        <v>1</v>
      </c>
      <c r="F435" s="714" t="s">
        <v>259</v>
      </c>
      <c r="G435" s="708"/>
      <c r="H435" s="708">
        <v>37</v>
      </c>
      <c r="I435" s="92"/>
      <c r="J435" s="92"/>
      <c r="K435" s="708">
        <v>37</v>
      </c>
      <c r="L435" s="92">
        <v>2020.01</v>
      </c>
      <c r="M435" s="92">
        <v>2020.12</v>
      </c>
      <c r="N435" s="726"/>
      <c r="O435" s="726"/>
      <c r="P435" s="726"/>
      <c r="Q435" s="726"/>
      <c r="R435" s="726"/>
      <c r="S435" s="726"/>
      <c r="T435" s="726"/>
      <c r="U435" s="726"/>
      <c r="V435" s="726"/>
      <c r="W435" s="726"/>
      <c r="X435" s="726"/>
      <c r="Y435" s="763">
        <v>31</v>
      </c>
      <c r="Z435" s="763">
        <v>37</v>
      </c>
      <c r="AA435" s="708">
        <v>1</v>
      </c>
      <c r="AB435" s="708"/>
      <c r="AC435" s="708"/>
      <c r="AD435" s="146" t="s">
        <v>315</v>
      </c>
      <c r="AE435" s="146" t="s">
        <v>316</v>
      </c>
      <c r="AF435" s="438" t="s">
        <v>294</v>
      </c>
      <c r="AG435" s="708"/>
    </row>
    <row r="436" ht="30.95" customHeight="1" spans="1:33">
      <c r="A436" s="705"/>
      <c r="B436" s="714" t="s">
        <v>143</v>
      </c>
      <c r="C436" s="146" t="s">
        <v>320</v>
      </c>
      <c r="D436" s="152" t="s">
        <v>147</v>
      </c>
      <c r="E436" s="708">
        <v>1</v>
      </c>
      <c r="F436" s="714" t="s">
        <v>143</v>
      </c>
      <c r="G436" s="708"/>
      <c r="H436" s="708">
        <v>231</v>
      </c>
      <c r="I436" s="92"/>
      <c r="J436" s="92"/>
      <c r="K436" s="708">
        <v>231</v>
      </c>
      <c r="L436" s="92">
        <v>2020.01</v>
      </c>
      <c r="M436" s="92">
        <v>2020.12</v>
      </c>
      <c r="N436" s="726"/>
      <c r="O436" s="726"/>
      <c r="P436" s="726"/>
      <c r="Q436" s="726"/>
      <c r="R436" s="726"/>
      <c r="S436" s="726"/>
      <c r="T436" s="726"/>
      <c r="U436" s="726"/>
      <c r="V436" s="726"/>
      <c r="W436" s="726"/>
      <c r="X436" s="726"/>
      <c r="Y436" s="763">
        <v>67</v>
      </c>
      <c r="Z436" s="763">
        <v>67</v>
      </c>
      <c r="AA436" s="708">
        <v>1</v>
      </c>
      <c r="AB436" s="708"/>
      <c r="AC436" s="708"/>
      <c r="AD436" s="146" t="s">
        <v>317</v>
      </c>
      <c r="AE436" s="146" t="s">
        <v>318</v>
      </c>
      <c r="AF436" s="438" t="s">
        <v>294</v>
      </c>
      <c r="AG436" s="708"/>
    </row>
    <row r="437" ht="24.95" customHeight="1" spans="1:33">
      <c r="A437" s="705" t="s">
        <v>48</v>
      </c>
      <c r="B437" s="750" t="s">
        <v>324</v>
      </c>
      <c r="C437" s="146" t="s">
        <v>320</v>
      </c>
      <c r="D437" s="152" t="s">
        <v>147</v>
      </c>
      <c r="E437" s="708">
        <f>SUM(E438:E446)</f>
        <v>9</v>
      </c>
      <c r="F437" s="708">
        <f t="shared" ref="F437:AA437" si="53">SUM(F438:F446)</f>
        <v>0</v>
      </c>
      <c r="G437" s="708">
        <f t="shared" si="53"/>
        <v>0</v>
      </c>
      <c r="H437" s="708">
        <f t="shared" si="53"/>
        <v>47712</v>
      </c>
      <c r="I437" s="708">
        <f t="shared" si="53"/>
        <v>0</v>
      </c>
      <c r="J437" s="708">
        <f t="shared" si="53"/>
        <v>0</v>
      </c>
      <c r="K437" s="708">
        <f t="shared" si="53"/>
        <v>47712</v>
      </c>
      <c r="L437" s="708"/>
      <c r="M437" s="708"/>
      <c r="N437" s="708">
        <f t="shared" si="53"/>
        <v>0</v>
      </c>
      <c r="O437" s="708">
        <f t="shared" si="53"/>
        <v>0</v>
      </c>
      <c r="P437" s="708">
        <f t="shared" si="53"/>
        <v>0</v>
      </c>
      <c r="Q437" s="708">
        <f t="shared" si="53"/>
        <v>0</v>
      </c>
      <c r="R437" s="708">
        <f t="shared" si="53"/>
        <v>0</v>
      </c>
      <c r="S437" s="708">
        <f t="shared" si="53"/>
        <v>0</v>
      </c>
      <c r="T437" s="708">
        <f t="shared" si="53"/>
        <v>0</v>
      </c>
      <c r="U437" s="708">
        <f t="shared" si="53"/>
        <v>0</v>
      </c>
      <c r="V437" s="708">
        <f t="shared" si="53"/>
        <v>0</v>
      </c>
      <c r="W437" s="708">
        <f t="shared" si="53"/>
        <v>0</v>
      </c>
      <c r="X437" s="708">
        <f t="shared" si="53"/>
        <v>0</v>
      </c>
      <c r="Y437" s="708">
        <f t="shared" si="53"/>
        <v>16603</v>
      </c>
      <c r="Z437" s="708">
        <f t="shared" si="53"/>
        <v>50710</v>
      </c>
      <c r="AA437" s="708">
        <f t="shared" si="53"/>
        <v>9</v>
      </c>
      <c r="AB437" s="708"/>
      <c r="AC437" s="708"/>
      <c r="AD437" s="146" t="s">
        <v>296</v>
      </c>
      <c r="AE437" s="146" t="s">
        <v>297</v>
      </c>
      <c r="AF437" s="438" t="s">
        <v>294</v>
      </c>
      <c r="AG437" s="708" t="s">
        <v>41</v>
      </c>
    </row>
    <row r="438" ht="24.95" customHeight="1" spans="1:33">
      <c r="A438" s="705">
        <v>56</v>
      </c>
      <c r="B438" s="714" t="s">
        <v>101</v>
      </c>
      <c r="C438" s="146" t="s">
        <v>320</v>
      </c>
      <c r="D438" s="152" t="s">
        <v>147</v>
      </c>
      <c r="E438" s="708">
        <v>1</v>
      </c>
      <c r="F438" s="714" t="s">
        <v>101</v>
      </c>
      <c r="G438" s="708"/>
      <c r="H438" s="708">
        <v>1845</v>
      </c>
      <c r="I438" s="92"/>
      <c r="J438" s="92"/>
      <c r="K438" s="708">
        <v>1845</v>
      </c>
      <c r="L438" s="92">
        <v>2020.01</v>
      </c>
      <c r="M438" s="92">
        <v>2020.12</v>
      </c>
      <c r="N438" s="726"/>
      <c r="O438" s="726"/>
      <c r="P438" s="726"/>
      <c r="Q438" s="726"/>
      <c r="R438" s="726"/>
      <c r="S438" s="726"/>
      <c r="T438" s="726"/>
      <c r="U438" s="726"/>
      <c r="V438" s="726"/>
      <c r="W438" s="726"/>
      <c r="X438" s="726"/>
      <c r="Y438" s="763">
        <v>1193</v>
      </c>
      <c r="Z438" s="763">
        <v>4712</v>
      </c>
      <c r="AA438" s="708">
        <v>1</v>
      </c>
      <c r="AB438" s="708"/>
      <c r="AC438" s="708"/>
      <c r="AD438" s="146" t="s">
        <v>298</v>
      </c>
      <c r="AE438" s="146" t="s">
        <v>299</v>
      </c>
      <c r="AF438" s="438" t="s">
        <v>294</v>
      </c>
      <c r="AG438" s="708"/>
    </row>
    <row r="439" ht="24.95" customHeight="1" spans="1:33">
      <c r="A439" s="705"/>
      <c r="B439" s="714" t="s">
        <v>81</v>
      </c>
      <c r="C439" s="146" t="s">
        <v>320</v>
      </c>
      <c r="D439" s="152" t="s">
        <v>147</v>
      </c>
      <c r="E439" s="708">
        <v>1</v>
      </c>
      <c r="F439" s="714" t="s">
        <v>81</v>
      </c>
      <c r="G439" s="708"/>
      <c r="H439" s="708">
        <v>1748</v>
      </c>
      <c r="I439" s="92"/>
      <c r="J439" s="92"/>
      <c r="K439" s="708">
        <v>1748</v>
      </c>
      <c r="L439" s="92">
        <v>2020.01</v>
      </c>
      <c r="M439" s="92">
        <v>2020.12</v>
      </c>
      <c r="N439" s="726"/>
      <c r="O439" s="726"/>
      <c r="P439" s="726"/>
      <c r="Q439" s="726"/>
      <c r="R439" s="726"/>
      <c r="S439" s="726"/>
      <c r="T439" s="726"/>
      <c r="U439" s="726"/>
      <c r="V439" s="726"/>
      <c r="W439" s="726"/>
      <c r="X439" s="726"/>
      <c r="Y439" s="763">
        <v>1066</v>
      </c>
      <c r="Z439" s="763">
        <v>1748</v>
      </c>
      <c r="AA439" s="708">
        <v>1</v>
      </c>
      <c r="AB439" s="708"/>
      <c r="AC439" s="708"/>
      <c r="AD439" s="146" t="s">
        <v>303</v>
      </c>
      <c r="AE439" s="146" t="s">
        <v>304</v>
      </c>
      <c r="AF439" s="438" t="s">
        <v>294</v>
      </c>
      <c r="AG439" s="708"/>
    </row>
    <row r="440" ht="24.95" customHeight="1" spans="1:33">
      <c r="A440" s="705"/>
      <c r="B440" s="714" t="s">
        <v>154</v>
      </c>
      <c r="C440" s="146" t="s">
        <v>320</v>
      </c>
      <c r="D440" s="152" t="s">
        <v>147</v>
      </c>
      <c r="E440" s="708">
        <v>1</v>
      </c>
      <c r="F440" s="714" t="s">
        <v>154</v>
      </c>
      <c r="G440" s="708"/>
      <c r="H440" s="708">
        <v>8191</v>
      </c>
      <c r="I440" s="92"/>
      <c r="J440" s="92"/>
      <c r="K440" s="708">
        <v>8191</v>
      </c>
      <c r="L440" s="92">
        <v>2020.01</v>
      </c>
      <c r="M440" s="92">
        <v>2020.12</v>
      </c>
      <c r="N440" s="726"/>
      <c r="O440" s="726"/>
      <c r="P440" s="726"/>
      <c r="Q440" s="726"/>
      <c r="R440" s="726"/>
      <c r="S440" s="726"/>
      <c r="T440" s="726"/>
      <c r="U440" s="726"/>
      <c r="V440" s="726"/>
      <c r="W440" s="726"/>
      <c r="X440" s="726"/>
      <c r="Y440" s="763">
        <v>2311</v>
      </c>
      <c r="Z440" s="763">
        <v>8191</v>
      </c>
      <c r="AA440" s="708">
        <v>1</v>
      </c>
      <c r="AB440" s="708"/>
      <c r="AC440" s="708"/>
      <c r="AD440" s="146" t="s">
        <v>247</v>
      </c>
      <c r="AE440" s="146" t="s">
        <v>302</v>
      </c>
      <c r="AF440" s="438" t="s">
        <v>294</v>
      </c>
      <c r="AG440" s="708"/>
    </row>
    <row r="441" ht="24.95" customHeight="1" spans="1:33">
      <c r="A441" s="705"/>
      <c r="B441" s="714" t="s">
        <v>98</v>
      </c>
      <c r="C441" s="146" t="s">
        <v>320</v>
      </c>
      <c r="D441" s="152" t="s">
        <v>147</v>
      </c>
      <c r="E441" s="708">
        <v>1</v>
      </c>
      <c r="F441" s="714" t="s">
        <v>98</v>
      </c>
      <c r="G441" s="708"/>
      <c r="H441" s="708">
        <v>14263</v>
      </c>
      <c r="I441" s="92"/>
      <c r="J441" s="92"/>
      <c r="K441" s="708">
        <v>14263</v>
      </c>
      <c r="L441" s="92">
        <v>2020.01</v>
      </c>
      <c r="M441" s="92">
        <v>2020.12</v>
      </c>
      <c r="N441" s="726"/>
      <c r="O441" s="726"/>
      <c r="P441" s="726"/>
      <c r="Q441" s="726"/>
      <c r="R441" s="726"/>
      <c r="S441" s="726"/>
      <c r="T441" s="726"/>
      <c r="U441" s="726"/>
      <c r="V441" s="726"/>
      <c r="W441" s="726"/>
      <c r="X441" s="726"/>
      <c r="Y441" s="763">
        <v>3379</v>
      </c>
      <c r="Z441" s="763">
        <v>14213</v>
      </c>
      <c r="AA441" s="708">
        <v>1</v>
      </c>
      <c r="AB441" s="708"/>
      <c r="AC441" s="708"/>
      <c r="AD441" s="146" t="s">
        <v>305</v>
      </c>
      <c r="AE441" s="146" t="s">
        <v>306</v>
      </c>
      <c r="AF441" s="438" t="s">
        <v>294</v>
      </c>
      <c r="AG441" s="708"/>
    </row>
    <row r="442" ht="24.95" customHeight="1" spans="1:33">
      <c r="A442" s="705"/>
      <c r="B442" s="714" t="s">
        <v>211</v>
      </c>
      <c r="C442" s="146" t="s">
        <v>320</v>
      </c>
      <c r="D442" s="152" t="s">
        <v>147</v>
      </c>
      <c r="E442" s="708">
        <v>1</v>
      </c>
      <c r="F442" s="714" t="s">
        <v>211</v>
      </c>
      <c r="G442" s="708"/>
      <c r="H442" s="708">
        <v>3999</v>
      </c>
      <c r="I442" s="92"/>
      <c r="J442" s="92"/>
      <c r="K442" s="708">
        <v>3999</v>
      </c>
      <c r="L442" s="92">
        <v>2020.01</v>
      </c>
      <c r="M442" s="92">
        <v>2020.12</v>
      </c>
      <c r="N442" s="726"/>
      <c r="O442" s="726"/>
      <c r="P442" s="726"/>
      <c r="Q442" s="726"/>
      <c r="R442" s="726"/>
      <c r="S442" s="726"/>
      <c r="T442" s="726"/>
      <c r="U442" s="726"/>
      <c r="V442" s="726"/>
      <c r="W442" s="726"/>
      <c r="X442" s="726"/>
      <c r="Y442" s="763">
        <v>1683</v>
      </c>
      <c r="Z442" s="763">
        <v>3999</v>
      </c>
      <c r="AA442" s="708">
        <v>1</v>
      </c>
      <c r="AB442" s="708"/>
      <c r="AC442" s="708"/>
      <c r="AD442" s="146" t="s">
        <v>307</v>
      </c>
      <c r="AE442" s="146" t="s">
        <v>308</v>
      </c>
      <c r="AF442" s="438" t="s">
        <v>294</v>
      </c>
      <c r="AG442" s="708"/>
    </row>
    <row r="443" ht="24.95" customHeight="1" spans="1:33">
      <c r="A443" s="705"/>
      <c r="B443" s="714" t="s">
        <v>102</v>
      </c>
      <c r="C443" s="146" t="s">
        <v>320</v>
      </c>
      <c r="D443" s="152" t="s">
        <v>147</v>
      </c>
      <c r="E443" s="708">
        <v>1</v>
      </c>
      <c r="F443" s="714" t="s">
        <v>102</v>
      </c>
      <c r="G443" s="708"/>
      <c r="H443" s="708">
        <v>3402</v>
      </c>
      <c r="I443" s="92"/>
      <c r="J443" s="92"/>
      <c r="K443" s="708">
        <v>3402</v>
      </c>
      <c r="L443" s="92">
        <v>2020.01</v>
      </c>
      <c r="M443" s="92">
        <v>2020.12</v>
      </c>
      <c r="N443" s="726"/>
      <c r="O443" s="726"/>
      <c r="P443" s="726"/>
      <c r="Q443" s="726"/>
      <c r="R443" s="726"/>
      <c r="S443" s="726"/>
      <c r="T443" s="726"/>
      <c r="U443" s="726"/>
      <c r="V443" s="726"/>
      <c r="W443" s="726"/>
      <c r="X443" s="726"/>
      <c r="Y443" s="763">
        <v>2525</v>
      </c>
      <c r="Z443" s="763">
        <v>3402</v>
      </c>
      <c r="AA443" s="708">
        <v>1</v>
      </c>
      <c r="AB443" s="708"/>
      <c r="AC443" s="708"/>
      <c r="AD443" s="146" t="s">
        <v>215</v>
      </c>
      <c r="AE443" s="146" t="s">
        <v>311</v>
      </c>
      <c r="AF443" s="438" t="s">
        <v>294</v>
      </c>
      <c r="AG443" s="708"/>
    </row>
    <row r="444" ht="24.95" customHeight="1" spans="1:33">
      <c r="A444" s="705"/>
      <c r="B444" s="714" t="s">
        <v>100</v>
      </c>
      <c r="C444" s="146" t="s">
        <v>320</v>
      </c>
      <c r="D444" s="152" t="s">
        <v>147</v>
      </c>
      <c r="E444" s="708">
        <v>1</v>
      </c>
      <c r="F444" s="714" t="s">
        <v>100</v>
      </c>
      <c r="G444" s="708"/>
      <c r="H444" s="708">
        <v>12000</v>
      </c>
      <c r="I444" s="92"/>
      <c r="J444" s="92"/>
      <c r="K444" s="708">
        <v>12000</v>
      </c>
      <c r="L444" s="92">
        <v>2020.01</v>
      </c>
      <c r="M444" s="92">
        <v>2020.12</v>
      </c>
      <c r="N444" s="726"/>
      <c r="O444" s="726"/>
      <c r="P444" s="726"/>
      <c r="Q444" s="726"/>
      <c r="R444" s="726"/>
      <c r="S444" s="726"/>
      <c r="T444" s="726"/>
      <c r="U444" s="726"/>
      <c r="V444" s="726"/>
      <c r="W444" s="726"/>
      <c r="X444" s="726"/>
      <c r="Y444" s="763">
        <v>2596</v>
      </c>
      <c r="Z444" s="763">
        <v>12000</v>
      </c>
      <c r="AA444" s="708">
        <v>1</v>
      </c>
      <c r="AB444" s="708"/>
      <c r="AC444" s="708"/>
      <c r="AD444" s="146" t="s">
        <v>312</v>
      </c>
      <c r="AE444" s="146" t="s">
        <v>313</v>
      </c>
      <c r="AF444" s="438" t="s">
        <v>294</v>
      </c>
      <c r="AG444" s="708"/>
    </row>
    <row r="445" ht="24.95" customHeight="1" spans="1:33">
      <c r="A445" s="705"/>
      <c r="B445" s="714" t="s">
        <v>84</v>
      </c>
      <c r="C445" s="146" t="s">
        <v>320</v>
      </c>
      <c r="D445" s="152" t="s">
        <v>147</v>
      </c>
      <c r="E445" s="708">
        <v>1</v>
      </c>
      <c r="F445" s="714" t="s">
        <v>84</v>
      </c>
      <c r="G445" s="708"/>
      <c r="H445" s="708">
        <v>1441</v>
      </c>
      <c r="I445" s="92"/>
      <c r="J445" s="92"/>
      <c r="K445" s="708">
        <v>1441</v>
      </c>
      <c r="L445" s="92">
        <v>2020.01</v>
      </c>
      <c r="M445" s="92">
        <v>2020.12</v>
      </c>
      <c r="N445" s="726"/>
      <c r="O445" s="726"/>
      <c r="P445" s="726"/>
      <c r="Q445" s="726"/>
      <c r="R445" s="726"/>
      <c r="S445" s="726"/>
      <c r="T445" s="726"/>
      <c r="U445" s="726"/>
      <c r="V445" s="726"/>
      <c r="W445" s="726"/>
      <c r="X445" s="726"/>
      <c r="Y445" s="763">
        <v>955</v>
      </c>
      <c r="Z445" s="763">
        <v>1441</v>
      </c>
      <c r="AA445" s="708">
        <v>1</v>
      </c>
      <c r="AB445" s="708"/>
      <c r="AC445" s="708"/>
      <c r="AD445" s="146" t="s">
        <v>185</v>
      </c>
      <c r="AE445" s="146" t="s">
        <v>314</v>
      </c>
      <c r="AF445" s="438" t="s">
        <v>294</v>
      </c>
      <c r="AG445" s="708"/>
    </row>
    <row r="446" ht="24.95" customHeight="1" spans="1:33">
      <c r="A446" s="705"/>
      <c r="B446" s="714" t="s">
        <v>143</v>
      </c>
      <c r="C446" s="146" t="s">
        <v>320</v>
      </c>
      <c r="D446" s="152" t="s">
        <v>147</v>
      </c>
      <c r="E446" s="708">
        <v>1</v>
      </c>
      <c r="F446" s="714" t="s">
        <v>143</v>
      </c>
      <c r="G446" s="708"/>
      <c r="H446" s="708">
        <v>823</v>
      </c>
      <c r="I446" s="92"/>
      <c r="J446" s="92"/>
      <c r="K446" s="708">
        <v>823</v>
      </c>
      <c r="L446" s="92">
        <v>2020.01</v>
      </c>
      <c r="M446" s="92">
        <v>2020.12</v>
      </c>
      <c r="N446" s="726"/>
      <c r="O446" s="726"/>
      <c r="P446" s="726"/>
      <c r="Q446" s="726"/>
      <c r="R446" s="726"/>
      <c r="S446" s="726"/>
      <c r="T446" s="726"/>
      <c r="U446" s="726"/>
      <c r="V446" s="726"/>
      <c r="W446" s="726"/>
      <c r="X446" s="726"/>
      <c r="Y446" s="763">
        <v>895</v>
      </c>
      <c r="Z446" s="763">
        <v>1004</v>
      </c>
      <c r="AA446" s="708">
        <v>1</v>
      </c>
      <c r="AB446" s="708"/>
      <c r="AC446" s="708"/>
      <c r="AD446" s="146" t="s">
        <v>317</v>
      </c>
      <c r="AE446" s="146" t="s">
        <v>318</v>
      </c>
      <c r="AF446" s="438" t="s">
        <v>294</v>
      </c>
      <c r="AG446" s="708"/>
    </row>
    <row r="447" ht="32.1" customHeight="1" spans="1:33">
      <c r="A447" s="705">
        <v>57</v>
      </c>
      <c r="B447" s="706" t="s">
        <v>325</v>
      </c>
      <c r="C447" s="706"/>
      <c r="D447" s="707" t="s">
        <v>147</v>
      </c>
      <c r="E447" s="706">
        <f>E448+E461+E474+E487+E502</f>
        <v>60</v>
      </c>
      <c r="F447" s="706">
        <f t="shared" ref="F447:AA447" si="54">F448+F461+F474+F487+F502</f>
        <v>0</v>
      </c>
      <c r="G447" s="706">
        <f t="shared" si="54"/>
        <v>0</v>
      </c>
      <c r="H447" s="706">
        <f t="shared" si="54"/>
        <v>224247</v>
      </c>
      <c r="I447" s="706">
        <f t="shared" si="54"/>
        <v>0</v>
      </c>
      <c r="J447" s="706">
        <f t="shared" si="54"/>
        <v>0</v>
      </c>
      <c r="K447" s="706">
        <f t="shared" si="54"/>
        <v>224247</v>
      </c>
      <c r="L447" s="706"/>
      <c r="M447" s="706"/>
      <c r="N447" s="706">
        <f t="shared" si="54"/>
        <v>97.2</v>
      </c>
      <c r="O447" s="706">
        <f t="shared" si="54"/>
        <v>0</v>
      </c>
      <c r="P447" s="706">
        <f t="shared" si="54"/>
        <v>0</v>
      </c>
      <c r="Q447" s="706">
        <f t="shared" si="54"/>
        <v>97.2</v>
      </c>
      <c r="R447" s="706">
        <f t="shared" si="54"/>
        <v>97.2</v>
      </c>
      <c r="S447" s="706">
        <f t="shared" si="54"/>
        <v>0</v>
      </c>
      <c r="T447" s="706">
        <f t="shared" si="54"/>
        <v>0</v>
      </c>
      <c r="U447" s="706">
        <f t="shared" si="54"/>
        <v>0</v>
      </c>
      <c r="V447" s="706">
        <f t="shared" si="54"/>
        <v>0</v>
      </c>
      <c r="W447" s="706">
        <f t="shared" si="54"/>
        <v>0</v>
      </c>
      <c r="X447" s="706">
        <f t="shared" si="54"/>
        <v>0</v>
      </c>
      <c r="Y447" s="706">
        <f t="shared" si="54"/>
        <v>62935</v>
      </c>
      <c r="Z447" s="706">
        <f t="shared" si="54"/>
        <v>264748</v>
      </c>
      <c r="AA447" s="706">
        <f t="shared" si="54"/>
        <v>60</v>
      </c>
      <c r="AB447" s="706"/>
      <c r="AC447" s="706"/>
      <c r="AD447" s="706"/>
      <c r="AE447" s="706"/>
      <c r="AF447" s="706"/>
      <c r="AG447" s="706" t="s">
        <v>41</v>
      </c>
    </row>
    <row r="448" s="570" customFormat="1" ht="24.95" customHeight="1" spans="1:33">
      <c r="A448" s="705">
        <v>58</v>
      </c>
      <c r="B448" s="711" t="s">
        <v>327</v>
      </c>
      <c r="C448" s="146" t="s">
        <v>52</v>
      </c>
      <c r="D448" s="152" t="s">
        <v>147</v>
      </c>
      <c r="E448" s="708">
        <f>SUM(E449:E460)</f>
        <v>12</v>
      </c>
      <c r="F448" s="708">
        <f t="shared" ref="F448:AA448" si="55">SUM(F449:F460)</f>
        <v>0</v>
      </c>
      <c r="G448" s="708">
        <f t="shared" si="55"/>
        <v>0</v>
      </c>
      <c r="H448" s="708">
        <f t="shared" si="55"/>
        <v>111138</v>
      </c>
      <c r="I448" s="708">
        <f t="shared" si="55"/>
        <v>0</v>
      </c>
      <c r="J448" s="708">
        <f t="shared" si="55"/>
        <v>0</v>
      </c>
      <c r="K448" s="708">
        <f t="shared" si="55"/>
        <v>111138</v>
      </c>
      <c r="L448" s="708"/>
      <c r="M448" s="708"/>
      <c r="N448" s="708">
        <f t="shared" si="55"/>
        <v>0</v>
      </c>
      <c r="O448" s="708">
        <f t="shared" si="55"/>
        <v>0</v>
      </c>
      <c r="P448" s="708">
        <f t="shared" si="55"/>
        <v>0</v>
      </c>
      <c r="Q448" s="708">
        <f t="shared" si="55"/>
        <v>0</v>
      </c>
      <c r="R448" s="708">
        <f t="shared" si="55"/>
        <v>0</v>
      </c>
      <c r="S448" s="708">
        <f t="shared" si="55"/>
        <v>0</v>
      </c>
      <c r="T448" s="708">
        <f t="shared" si="55"/>
        <v>0</v>
      </c>
      <c r="U448" s="708">
        <f t="shared" si="55"/>
        <v>0</v>
      </c>
      <c r="V448" s="708">
        <f t="shared" si="55"/>
        <v>0</v>
      </c>
      <c r="W448" s="708">
        <f t="shared" si="55"/>
        <v>0</v>
      </c>
      <c r="X448" s="708">
        <f t="shared" si="55"/>
        <v>0</v>
      </c>
      <c r="Y448" s="708">
        <f t="shared" si="55"/>
        <v>25728</v>
      </c>
      <c r="Z448" s="708">
        <f t="shared" si="55"/>
        <v>111138</v>
      </c>
      <c r="AA448" s="708">
        <f t="shared" si="55"/>
        <v>12</v>
      </c>
      <c r="AB448" s="708"/>
      <c r="AC448" s="708"/>
      <c r="AD448" s="193" t="s">
        <v>242</v>
      </c>
      <c r="AE448" s="141" t="s">
        <v>328</v>
      </c>
      <c r="AF448" s="146" t="s">
        <v>195</v>
      </c>
      <c r="AG448" s="708" t="s">
        <v>41</v>
      </c>
    </row>
    <row r="449" s="570" customFormat="1" ht="24.95" customHeight="1" spans="1:33">
      <c r="A449" s="705"/>
      <c r="B449" s="785" t="s">
        <v>69</v>
      </c>
      <c r="C449" s="146" t="s">
        <v>52</v>
      </c>
      <c r="D449" s="152" t="s">
        <v>147</v>
      </c>
      <c r="E449" s="708">
        <v>1</v>
      </c>
      <c r="F449" s="785" t="s">
        <v>69</v>
      </c>
      <c r="G449" s="92"/>
      <c r="H449" s="708">
        <v>10050</v>
      </c>
      <c r="I449" s="92"/>
      <c r="J449" s="92"/>
      <c r="K449" s="708">
        <v>10050</v>
      </c>
      <c r="L449" s="92">
        <v>2020.01</v>
      </c>
      <c r="M449" s="92">
        <v>2020.12</v>
      </c>
      <c r="N449" s="726"/>
      <c r="O449" s="726"/>
      <c r="P449" s="726"/>
      <c r="Q449" s="726"/>
      <c r="R449" s="726"/>
      <c r="S449" s="726"/>
      <c r="T449" s="726"/>
      <c r="U449" s="726"/>
      <c r="V449" s="726"/>
      <c r="W449" s="726"/>
      <c r="X449" s="726"/>
      <c r="Y449" s="763">
        <v>2354</v>
      </c>
      <c r="Z449" s="763">
        <v>10050</v>
      </c>
      <c r="AA449" s="708">
        <v>1</v>
      </c>
      <c r="AB449" s="708"/>
      <c r="AC449" s="708"/>
      <c r="AD449" s="146" t="s">
        <v>244</v>
      </c>
      <c r="AE449" s="146" t="s">
        <v>245</v>
      </c>
      <c r="AF449" s="146" t="s">
        <v>195</v>
      </c>
      <c r="AG449" s="708"/>
    </row>
    <row r="450" s="570" customFormat="1" ht="24.95" customHeight="1" spans="1:33">
      <c r="A450" s="705"/>
      <c r="B450" s="785" t="s">
        <v>51</v>
      </c>
      <c r="C450" s="146" t="s">
        <v>52</v>
      </c>
      <c r="D450" s="152" t="s">
        <v>147</v>
      </c>
      <c r="E450" s="708">
        <v>1</v>
      </c>
      <c r="F450" s="785" t="s">
        <v>51</v>
      </c>
      <c r="G450" s="92"/>
      <c r="H450" s="708">
        <v>7269</v>
      </c>
      <c r="I450" s="92"/>
      <c r="J450" s="92"/>
      <c r="K450" s="708">
        <v>7269</v>
      </c>
      <c r="L450" s="92">
        <v>2020.01</v>
      </c>
      <c r="M450" s="92">
        <v>2020.12</v>
      </c>
      <c r="N450" s="726"/>
      <c r="O450" s="726"/>
      <c r="P450" s="726"/>
      <c r="Q450" s="726"/>
      <c r="R450" s="726"/>
      <c r="S450" s="726"/>
      <c r="T450" s="726"/>
      <c r="U450" s="726"/>
      <c r="V450" s="726"/>
      <c r="W450" s="726"/>
      <c r="X450" s="726"/>
      <c r="Y450" s="763">
        <v>1760</v>
      </c>
      <c r="Z450" s="763">
        <v>7269</v>
      </c>
      <c r="AA450" s="708">
        <v>1</v>
      </c>
      <c r="AB450" s="708"/>
      <c r="AC450" s="708"/>
      <c r="AD450" s="71" t="s">
        <v>169</v>
      </c>
      <c r="AE450" s="71" t="s">
        <v>246</v>
      </c>
      <c r="AF450" s="146" t="s">
        <v>195</v>
      </c>
      <c r="AG450" s="708"/>
    </row>
    <row r="451" s="570" customFormat="1" ht="24.95" customHeight="1" spans="1:33">
      <c r="A451" s="705"/>
      <c r="B451" s="785" t="s">
        <v>72</v>
      </c>
      <c r="C451" s="146" t="s">
        <v>52</v>
      </c>
      <c r="D451" s="152" t="s">
        <v>147</v>
      </c>
      <c r="E451" s="708">
        <v>1</v>
      </c>
      <c r="F451" s="785" t="s">
        <v>72</v>
      </c>
      <c r="G451" s="92"/>
      <c r="H451" s="708">
        <v>10141</v>
      </c>
      <c r="I451" s="92"/>
      <c r="J451" s="92"/>
      <c r="K451" s="708">
        <v>10141</v>
      </c>
      <c r="L451" s="92">
        <v>2020.01</v>
      </c>
      <c r="M451" s="92">
        <v>2020.12</v>
      </c>
      <c r="N451" s="726"/>
      <c r="O451" s="726"/>
      <c r="P451" s="726"/>
      <c r="Q451" s="726"/>
      <c r="R451" s="726"/>
      <c r="S451" s="726"/>
      <c r="T451" s="726"/>
      <c r="U451" s="726"/>
      <c r="V451" s="726"/>
      <c r="W451" s="726"/>
      <c r="X451" s="726"/>
      <c r="Y451" s="763">
        <v>2438</v>
      </c>
      <c r="Z451" s="763">
        <v>10141</v>
      </c>
      <c r="AA451" s="708">
        <v>1</v>
      </c>
      <c r="AB451" s="708"/>
      <c r="AC451" s="708"/>
      <c r="AD451" s="146" t="s">
        <v>247</v>
      </c>
      <c r="AE451" s="146" t="s">
        <v>248</v>
      </c>
      <c r="AF451" s="146" t="s">
        <v>195</v>
      </c>
      <c r="AG451" s="708"/>
    </row>
    <row r="452" s="570" customFormat="1" ht="24.95" customHeight="1" spans="1:33">
      <c r="A452" s="705"/>
      <c r="B452" s="785" t="s">
        <v>91</v>
      </c>
      <c r="C452" s="146" t="s">
        <v>52</v>
      </c>
      <c r="D452" s="152" t="s">
        <v>147</v>
      </c>
      <c r="E452" s="708">
        <v>1</v>
      </c>
      <c r="F452" s="785" t="s">
        <v>91</v>
      </c>
      <c r="G452" s="92"/>
      <c r="H452" s="708">
        <v>7676</v>
      </c>
      <c r="I452" s="92"/>
      <c r="J452" s="92"/>
      <c r="K452" s="708">
        <v>7676</v>
      </c>
      <c r="L452" s="92">
        <v>2020.01</v>
      </c>
      <c r="M452" s="92">
        <v>2020.12</v>
      </c>
      <c r="N452" s="726"/>
      <c r="O452" s="726"/>
      <c r="P452" s="726"/>
      <c r="Q452" s="726"/>
      <c r="R452" s="726"/>
      <c r="S452" s="726"/>
      <c r="T452" s="726"/>
      <c r="U452" s="726"/>
      <c r="V452" s="726"/>
      <c r="W452" s="726"/>
      <c r="X452" s="726"/>
      <c r="Y452" s="763">
        <v>1977</v>
      </c>
      <c r="Z452" s="763">
        <v>7676</v>
      </c>
      <c r="AA452" s="708">
        <v>1</v>
      </c>
      <c r="AB452" s="708"/>
      <c r="AC452" s="708"/>
      <c r="AD452" s="146" t="s">
        <v>249</v>
      </c>
      <c r="AE452" s="146" t="s">
        <v>250</v>
      </c>
      <c r="AF452" s="146" t="s">
        <v>195</v>
      </c>
      <c r="AG452" s="708"/>
    </row>
    <row r="453" s="570" customFormat="1" ht="24.95" customHeight="1" spans="1:33">
      <c r="A453" s="705"/>
      <c r="B453" s="785" t="s">
        <v>55</v>
      </c>
      <c r="C453" s="146" t="s">
        <v>52</v>
      </c>
      <c r="D453" s="152" t="s">
        <v>147</v>
      </c>
      <c r="E453" s="708">
        <v>1</v>
      </c>
      <c r="F453" s="785" t="s">
        <v>55</v>
      </c>
      <c r="G453" s="92"/>
      <c r="H453" s="708">
        <v>14263</v>
      </c>
      <c r="I453" s="92"/>
      <c r="J453" s="92"/>
      <c r="K453" s="708">
        <v>14263</v>
      </c>
      <c r="L453" s="92">
        <v>2020.01</v>
      </c>
      <c r="M453" s="92">
        <v>2020.12</v>
      </c>
      <c r="N453" s="726"/>
      <c r="O453" s="726"/>
      <c r="P453" s="726"/>
      <c r="Q453" s="726"/>
      <c r="R453" s="726"/>
      <c r="S453" s="726"/>
      <c r="T453" s="726"/>
      <c r="U453" s="726"/>
      <c r="V453" s="726"/>
      <c r="W453" s="726"/>
      <c r="X453" s="726"/>
      <c r="Y453" s="763">
        <v>3379</v>
      </c>
      <c r="Z453" s="763">
        <v>14263</v>
      </c>
      <c r="AA453" s="708">
        <v>1</v>
      </c>
      <c r="AB453" s="708"/>
      <c r="AC453" s="708"/>
      <c r="AD453" s="146" t="s">
        <v>209</v>
      </c>
      <c r="AE453" s="146" t="s">
        <v>251</v>
      </c>
      <c r="AF453" s="146" t="s">
        <v>195</v>
      </c>
      <c r="AG453" s="708"/>
    </row>
    <row r="454" s="570" customFormat="1" ht="24.95" customHeight="1" spans="1:33">
      <c r="A454" s="705"/>
      <c r="B454" s="785" t="s">
        <v>75</v>
      </c>
      <c r="C454" s="146" t="s">
        <v>52</v>
      </c>
      <c r="D454" s="152" t="s">
        <v>147</v>
      </c>
      <c r="E454" s="708">
        <v>1</v>
      </c>
      <c r="F454" s="785" t="s">
        <v>75</v>
      </c>
      <c r="G454" s="92"/>
      <c r="H454" s="708">
        <v>9972</v>
      </c>
      <c r="I454" s="92"/>
      <c r="J454" s="92"/>
      <c r="K454" s="708">
        <v>9972</v>
      </c>
      <c r="L454" s="92">
        <v>2020.01</v>
      </c>
      <c r="M454" s="92">
        <v>2020.12</v>
      </c>
      <c r="N454" s="726"/>
      <c r="O454" s="726"/>
      <c r="P454" s="726"/>
      <c r="Q454" s="726"/>
      <c r="R454" s="726"/>
      <c r="S454" s="726"/>
      <c r="T454" s="726"/>
      <c r="U454" s="726"/>
      <c r="V454" s="726"/>
      <c r="W454" s="726"/>
      <c r="X454" s="726"/>
      <c r="Y454" s="763">
        <v>2230</v>
      </c>
      <c r="Z454" s="763">
        <v>9972</v>
      </c>
      <c r="AA454" s="708">
        <v>1</v>
      </c>
      <c r="AB454" s="708"/>
      <c r="AC454" s="708"/>
      <c r="AD454" s="146" t="s">
        <v>329</v>
      </c>
      <c r="AE454" s="146" t="s">
        <v>252</v>
      </c>
      <c r="AF454" s="146" t="s">
        <v>195</v>
      </c>
      <c r="AG454" s="708"/>
    </row>
    <row r="455" s="570" customFormat="1" ht="24.95" customHeight="1" spans="1:33">
      <c r="A455" s="705"/>
      <c r="B455" s="785" t="s">
        <v>58</v>
      </c>
      <c r="C455" s="146" t="s">
        <v>52</v>
      </c>
      <c r="D455" s="152" t="s">
        <v>147</v>
      </c>
      <c r="E455" s="708">
        <v>1</v>
      </c>
      <c r="F455" s="785" t="s">
        <v>58</v>
      </c>
      <c r="G455" s="92"/>
      <c r="H455" s="708">
        <v>3856</v>
      </c>
      <c r="I455" s="92"/>
      <c r="J455" s="92"/>
      <c r="K455" s="708">
        <v>3856</v>
      </c>
      <c r="L455" s="92">
        <v>2020.01</v>
      </c>
      <c r="M455" s="92">
        <v>2020.12</v>
      </c>
      <c r="N455" s="726"/>
      <c r="O455" s="726"/>
      <c r="P455" s="726"/>
      <c r="Q455" s="726"/>
      <c r="R455" s="726"/>
      <c r="S455" s="726"/>
      <c r="T455" s="726"/>
      <c r="U455" s="726"/>
      <c r="V455" s="726"/>
      <c r="W455" s="726"/>
      <c r="X455" s="726"/>
      <c r="Y455" s="763">
        <v>907</v>
      </c>
      <c r="Z455" s="763">
        <v>3856</v>
      </c>
      <c r="AA455" s="708">
        <v>1</v>
      </c>
      <c r="AB455" s="708"/>
      <c r="AC455" s="708"/>
      <c r="AD455" s="146" t="s">
        <v>253</v>
      </c>
      <c r="AE455" s="146" t="s">
        <v>254</v>
      </c>
      <c r="AF455" s="146" t="s">
        <v>195</v>
      </c>
      <c r="AG455" s="708"/>
    </row>
    <row r="456" s="570" customFormat="1" ht="24.95" customHeight="1" spans="1:33">
      <c r="A456" s="705"/>
      <c r="B456" s="785" t="s">
        <v>61</v>
      </c>
      <c r="C456" s="146" t="s">
        <v>52</v>
      </c>
      <c r="D456" s="152" t="s">
        <v>147</v>
      </c>
      <c r="E456" s="708">
        <v>1</v>
      </c>
      <c r="F456" s="785" t="s">
        <v>61</v>
      </c>
      <c r="G456" s="92"/>
      <c r="H456" s="708">
        <v>19245</v>
      </c>
      <c r="I456" s="92"/>
      <c r="J456" s="92"/>
      <c r="K456" s="708">
        <v>19245</v>
      </c>
      <c r="L456" s="92">
        <v>2020.01</v>
      </c>
      <c r="M456" s="92">
        <v>2020.12</v>
      </c>
      <c r="N456" s="726"/>
      <c r="O456" s="726"/>
      <c r="P456" s="726"/>
      <c r="Q456" s="726"/>
      <c r="R456" s="726"/>
      <c r="S456" s="726"/>
      <c r="T456" s="726"/>
      <c r="U456" s="726"/>
      <c r="V456" s="726"/>
      <c r="W456" s="726"/>
      <c r="X456" s="726"/>
      <c r="Y456" s="763">
        <v>4272</v>
      </c>
      <c r="Z456" s="763">
        <v>19245</v>
      </c>
      <c r="AA456" s="708">
        <v>1</v>
      </c>
      <c r="AB456" s="708"/>
      <c r="AC456" s="708"/>
      <c r="AD456" s="146" t="s">
        <v>255</v>
      </c>
      <c r="AE456" s="146" t="s">
        <v>256</v>
      </c>
      <c r="AF456" s="146" t="s">
        <v>195</v>
      </c>
      <c r="AG456" s="708"/>
    </row>
    <row r="457" s="570" customFormat="1" ht="24.95" customHeight="1" spans="1:33">
      <c r="A457" s="705"/>
      <c r="B457" s="785" t="s">
        <v>78</v>
      </c>
      <c r="C457" s="146" t="s">
        <v>52</v>
      </c>
      <c r="D457" s="152" t="s">
        <v>147</v>
      </c>
      <c r="E457" s="708">
        <v>1</v>
      </c>
      <c r="F457" s="785" t="s">
        <v>78</v>
      </c>
      <c r="G457" s="92"/>
      <c r="H457" s="708">
        <v>12000</v>
      </c>
      <c r="I457" s="92"/>
      <c r="J457" s="92"/>
      <c r="K457" s="708">
        <v>12000</v>
      </c>
      <c r="L457" s="92">
        <v>2020.01</v>
      </c>
      <c r="M457" s="92">
        <v>2020.12</v>
      </c>
      <c r="N457" s="726"/>
      <c r="O457" s="726"/>
      <c r="P457" s="726"/>
      <c r="Q457" s="726"/>
      <c r="R457" s="726"/>
      <c r="S457" s="726"/>
      <c r="T457" s="726"/>
      <c r="U457" s="726"/>
      <c r="V457" s="726"/>
      <c r="W457" s="726"/>
      <c r="X457" s="726"/>
      <c r="Y457" s="763">
        <v>2596</v>
      </c>
      <c r="Z457" s="763">
        <v>12000</v>
      </c>
      <c r="AA457" s="708">
        <v>1</v>
      </c>
      <c r="AB457" s="708"/>
      <c r="AC457" s="708"/>
      <c r="AD457" s="146" t="s">
        <v>330</v>
      </c>
      <c r="AE457" s="146" t="s">
        <v>257</v>
      </c>
      <c r="AF457" s="146" t="s">
        <v>195</v>
      </c>
      <c r="AG457" s="708"/>
    </row>
    <row r="458" s="570" customFormat="1" ht="24.95" customHeight="1" spans="1:33">
      <c r="A458" s="705"/>
      <c r="B458" s="785" t="s">
        <v>114</v>
      </c>
      <c r="C458" s="146" t="s">
        <v>52</v>
      </c>
      <c r="D458" s="152" t="s">
        <v>147</v>
      </c>
      <c r="E458" s="708">
        <v>1</v>
      </c>
      <c r="F458" s="785" t="s">
        <v>114</v>
      </c>
      <c r="G458" s="92"/>
      <c r="H458" s="708">
        <v>1544</v>
      </c>
      <c r="I458" s="92"/>
      <c r="J458" s="92"/>
      <c r="K458" s="708">
        <v>1544</v>
      </c>
      <c r="L458" s="92">
        <v>2020.01</v>
      </c>
      <c r="M458" s="92">
        <v>2020.12</v>
      </c>
      <c r="N458" s="726"/>
      <c r="O458" s="726"/>
      <c r="P458" s="726"/>
      <c r="Q458" s="726"/>
      <c r="R458" s="726"/>
      <c r="S458" s="726"/>
      <c r="T458" s="726"/>
      <c r="U458" s="726"/>
      <c r="V458" s="726"/>
      <c r="W458" s="726"/>
      <c r="X458" s="726"/>
      <c r="Y458" s="763">
        <v>368</v>
      </c>
      <c r="Z458" s="763">
        <v>1544</v>
      </c>
      <c r="AA458" s="708">
        <v>1</v>
      </c>
      <c r="AB458" s="708"/>
      <c r="AC458" s="708"/>
      <c r="AD458" s="146" t="s">
        <v>260</v>
      </c>
      <c r="AE458" s="146" t="s">
        <v>331</v>
      </c>
      <c r="AF458" s="146" t="s">
        <v>195</v>
      </c>
      <c r="AG458" s="708"/>
    </row>
    <row r="459" s="570" customFormat="1" ht="24.95" customHeight="1" spans="1:33">
      <c r="A459" s="705"/>
      <c r="B459" s="785" t="s">
        <v>64</v>
      </c>
      <c r="C459" s="146" t="s">
        <v>52</v>
      </c>
      <c r="D459" s="152" t="s">
        <v>147</v>
      </c>
      <c r="E459" s="708">
        <v>1</v>
      </c>
      <c r="F459" s="785" t="s">
        <v>64</v>
      </c>
      <c r="G459" s="92"/>
      <c r="H459" s="708">
        <v>9274</v>
      </c>
      <c r="I459" s="92"/>
      <c r="J459" s="92"/>
      <c r="K459" s="708">
        <v>9274</v>
      </c>
      <c r="L459" s="92">
        <v>2020.01</v>
      </c>
      <c r="M459" s="92">
        <v>2020.12</v>
      </c>
      <c r="N459" s="726"/>
      <c r="O459" s="726"/>
      <c r="P459" s="726"/>
      <c r="Q459" s="726"/>
      <c r="R459" s="726"/>
      <c r="S459" s="726"/>
      <c r="T459" s="726"/>
      <c r="U459" s="726"/>
      <c r="V459" s="726"/>
      <c r="W459" s="726"/>
      <c r="X459" s="726"/>
      <c r="Y459" s="763">
        <v>2200</v>
      </c>
      <c r="Z459" s="763">
        <v>9274</v>
      </c>
      <c r="AA459" s="708">
        <v>1</v>
      </c>
      <c r="AB459" s="708"/>
      <c r="AC459" s="708"/>
      <c r="AD459" s="146" t="s">
        <v>65</v>
      </c>
      <c r="AE459" s="146" t="s">
        <v>258</v>
      </c>
      <c r="AF459" s="146" t="s">
        <v>195</v>
      </c>
      <c r="AG459" s="708"/>
    </row>
    <row r="460" s="570" customFormat="1" ht="24.95" customHeight="1" spans="1:33">
      <c r="A460" s="705" t="s">
        <v>48</v>
      </c>
      <c r="B460" s="785" t="s">
        <v>92</v>
      </c>
      <c r="C460" s="146" t="s">
        <v>52</v>
      </c>
      <c r="D460" s="152" t="s">
        <v>147</v>
      </c>
      <c r="E460" s="708">
        <v>1</v>
      </c>
      <c r="F460" s="785" t="s">
        <v>92</v>
      </c>
      <c r="G460" s="92"/>
      <c r="H460" s="92">
        <v>5848</v>
      </c>
      <c r="I460" s="92"/>
      <c r="J460" s="92"/>
      <c r="K460" s="92">
        <v>5848</v>
      </c>
      <c r="L460" s="92">
        <v>2020.01</v>
      </c>
      <c r="M460" s="92">
        <v>2020.12</v>
      </c>
      <c r="N460" s="92"/>
      <c r="O460" s="92"/>
      <c r="P460" s="92"/>
      <c r="Q460" s="92"/>
      <c r="R460" s="92"/>
      <c r="S460" s="92"/>
      <c r="T460" s="92"/>
      <c r="U460" s="92"/>
      <c r="V460" s="92"/>
      <c r="W460" s="92"/>
      <c r="X460" s="92"/>
      <c r="Y460" s="738">
        <v>1247</v>
      </c>
      <c r="Z460" s="738">
        <v>5848</v>
      </c>
      <c r="AA460" s="708">
        <v>1</v>
      </c>
      <c r="AB460" s="92"/>
      <c r="AC460" s="92"/>
      <c r="AD460" s="775" t="s">
        <v>262</v>
      </c>
      <c r="AE460" s="775" t="s">
        <v>263</v>
      </c>
      <c r="AF460" s="146" t="s">
        <v>195</v>
      </c>
      <c r="AG460" s="92"/>
    </row>
    <row r="461" s="570" customFormat="1" ht="24.95" customHeight="1" spans="1:33">
      <c r="A461" s="705">
        <v>59</v>
      </c>
      <c r="B461" s="711" t="s">
        <v>332</v>
      </c>
      <c r="C461" s="146" t="s">
        <v>52</v>
      </c>
      <c r="D461" s="152" t="s">
        <v>147</v>
      </c>
      <c r="E461" s="708">
        <f>SUM(E462:E473)</f>
        <v>12</v>
      </c>
      <c r="F461" s="708">
        <f t="shared" ref="F461:AA461" si="56">SUM(F462:F473)</f>
        <v>0</v>
      </c>
      <c r="G461" s="708">
        <f t="shared" si="56"/>
        <v>0</v>
      </c>
      <c r="H461" s="708">
        <f t="shared" si="56"/>
        <v>111138</v>
      </c>
      <c r="I461" s="708">
        <f t="shared" si="56"/>
        <v>0</v>
      </c>
      <c r="J461" s="708">
        <f t="shared" si="56"/>
        <v>0</v>
      </c>
      <c r="K461" s="708">
        <f t="shared" si="56"/>
        <v>111138</v>
      </c>
      <c r="L461" s="708"/>
      <c r="M461" s="708"/>
      <c r="N461" s="708">
        <f t="shared" si="56"/>
        <v>0</v>
      </c>
      <c r="O461" s="708">
        <f t="shared" si="56"/>
        <v>0</v>
      </c>
      <c r="P461" s="708">
        <f t="shared" si="56"/>
        <v>0</v>
      </c>
      <c r="Q461" s="708">
        <f t="shared" si="56"/>
        <v>0</v>
      </c>
      <c r="R461" s="708">
        <f t="shared" si="56"/>
        <v>0</v>
      </c>
      <c r="S461" s="708">
        <f t="shared" si="56"/>
        <v>0</v>
      </c>
      <c r="T461" s="708">
        <f t="shared" si="56"/>
        <v>0</v>
      </c>
      <c r="U461" s="708">
        <f t="shared" si="56"/>
        <v>0</v>
      </c>
      <c r="V461" s="708">
        <f t="shared" si="56"/>
        <v>0</v>
      </c>
      <c r="W461" s="708">
        <f t="shared" si="56"/>
        <v>0</v>
      </c>
      <c r="X461" s="708">
        <f t="shared" si="56"/>
        <v>0</v>
      </c>
      <c r="Y461" s="708">
        <f t="shared" si="56"/>
        <v>25728</v>
      </c>
      <c r="Z461" s="708">
        <f t="shared" si="56"/>
        <v>111138</v>
      </c>
      <c r="AA461" s="708">
        <f t="shared" si="56"/>
        <v>12</v>
      </c>
      <c r="AB461" s="708"/>
      <c r="AC461" s="708"/>
      <c r="AD461" s="193" t="s">
        <v>242</v>
      </c>
      <c r="AE461" s="141" t="s">
        <v>328</v>
      </c>
      <c r="AF461" s="146" t="s">
        <v>195</v>
      </c>
      <c r="AG461" s="708" t="s">
        <v>41</v>
      </c>
    </row>
    <row r="462" s="570" customFormat="1" ht="24.95" customHeight="1" spans="1:33">
      <c r="A462" s="705"/>
      <c r="B462" s="785" t="s">
        <v>69</v>
      </c>
      <c r="C462" s="146" t="s">
        <v>52</v>
      </c>
      <c r="D462" s="152" t="s">
        <v>147</v>
      </c>
      <c r="E462" s="708">
        <v>1</v>
      </c>
      <c r="F462" s="785" t="s">
        <v>69</v>
      </c>
      <c r="G462" s="92"/>
      <c r="H462" s="708">
        <v>10050</v>
      </c>
      <c r="I462" s="92"/>
      <c r="J462" s="92"/>
      <c r="K462" s="708">
        <v>10050</v>
      </c>
      <c r="L462" s="92">
        <v>2020.01</v>
      </c>
      <c r="M462" s="92">
        <v>2020.12</v>
      </c>
      <c r="N462" s="726"/>
      <c r="O462" s="726"/>
      <c r="P462" s="726"/>
      <c r="Q462" s="726"/>
      <c r="R462" s="726"/>
      <c r="S462" s="726"/>
      <c r="T462" s="726"/>
      <c r="U462" s="726"/>
      <c r="V462" s="726"/>
      <c r="W462" s="726"/>
      <c r="X462" s="726"/>
      <c r="Y462" s="763">
        <v>2354</v>
      </c>
      <c r="Z462" s="763">
        <v>10050</v>
      </c>
      <c r="AA462" s="708">
        <v>1</v>
      </c>
      <c r="AB462" s="708"/>
      <c r="AC462" s="708"/>
      <c r="AD462" s="146" t="s">
        <v>244</v>
      </c>
      <c r="AE462" s="146" t="s">
        <v>333</v>
      </c>
      <c r="AF462" s="146" t="s">
        <v>195</v>
      </c>
      <c r="AG462" s="708"/>
    </row>
    <row r="463" s="570" customFormat="1" ht="24.95" customHeight="1" spans="1:33">
      <c r="A463" s="705"/>
      <c r="B463" s="785" t="s">
        <v>51</v>
      </c>
      <c r="C463" s="146" t="s">
        <v>52</v>
      </c>
      <c r="D463" s="152" t="s">
        <v>147</v>
      </c>
      <c r="E463" s="708">
        <v>1</v>
      </c>
      <c r="F463" s="785" t="s">
        <v>51</v>
      </c>
      <c r="G463" s="92"/>
      <c r="H463" s="708">
        <v>7269</v>
      </c>
      <c r="I463" s="92"/>
      <c r="J463" s="92"/>
      <c r="K463" s="708">
        <v>7269</v>
      </c>
      <c r="L463" s="92">
        <v>2020.01</v>
      </c>
      <c r="M463" s="92">
        <v>2020.12</v>
      </c>
      <c r="N463" s="726"/>
      <c r="O463" s="726"/>
      <c r="P463" s="726"/>
      <c r="Q463" s="726"/>
      <c r="R463" s="726"/>
      <c r="S463" s="726"/>
      <c r="T463" s="726"/>
      <c r="U463" s="726"/>
      <c r="V463" s="726"/>
      <c r="W463" s="726"/>
      <c r="X463" s="726"/>
      <c r="Y463" s="763">
        <v>1760</v>
      </c>
      <c r="Z463" s="763">
        <v>7269</v>
      </c>
      <c r="AA463" s="708">
        <v>1</v>
      </c>
      <c r="AB463" s="708"/>
      <c r="AC463" s="708"/>
      <c r="AD463" s="146" t="s">
        <v>169</v>
      </c>
      <c r="AE463" s="146" t="s">
        <v>334</v>
      </c>
      <c r="AF463" s="146" t="s">
        <v>195</v>
      </c>
      <c r="AG463" s="708"/>
    </row>
    <row r="464" s="570" customFormat="1" ht="24.95" customHeight="1" spans="1:33">
      <c r="A464" s="705"/>
      <c r="B464" s="785" t="s">
        <v>72</v>
      </c>
      <c r="C464" s="146" t="s">
        <v>52</v>
      </c>
      <c r="D464" s="152" t="s">
        <v>147</v>
      </c>
      <c r="E464" s="708">
        <v>1</v>
      </c>
      <c r="F464" s="785" t="s">
        <v>72</v>
      </c>
      <c r="G464" s="92"/>
      <c r="H464" s="708">
        <v>10141</v>
      </c>
      <c r="I464" s="92"/>
      <c r="J464" s="92"/>
      <c r="K464" s="708">
        <v>10141</v>
      </c>
      <c r="L464" s="92">
        <v>2020.01</v>
      </c>
      <c r="M464" s="92">
        <v>2020.12</v>
      </c>
      <c r="N464" s="726"/>
      <c r="O464" s="726"/>
      <c r="P464" s="726"/>
      <c r="Q464" s="726"/>
      <c r="R464" s="726"/>
      <c r="S464" s="726"/>
      <c r="T464" s="726"/>
      <c r="U464" s="726"/>
      <c r="V464" s="726"/>
      <c r="W464" s="726"/>
      <c r="X464" s="726"/>
      <c r="Y464" s="763">
        <v>2438</v>
      </c>
      <c r="Z464" s="763">
        <v>10141</v>
      </c>
      <c r="AA464" s="708">
        <v>1</v>
      </c>
      <c r="AB464" s="708"/>
      <c r="AC464" s="708"/>
      <c r="AD464" s="146" t="s">
        <v>247</v>
      </c>
      <c r="AE464" s="146" t="s">
        <v>248</v>
      </c>
      <c r="AF464" s="146" t="s">
        <v>195</v>
      </c>
      <c r="AG464" s="708"/>
    </row>
    <row r="465" s="570" customFormat="1" ht="24.95" customHeight="1" spans="1:33">
      <c r="A465" s="705"/>
      <c r="B465" s="785" t="s">
        <v>91</v>
      </c>
      <c r="C465" s="146" t="s">
        <v>52</v>
      </c>
      <c r="D465" s="152" t="s">
        <v>147</v>
      </c>
      <c r="E465" s="708">
        <v>1</v>
      </c>
      <c r="F465" s="785" t="s">
        <v>91</v>
      </c>
      <c r="G465" s="92"/>
      <c r="H465" s="708">
        <v>7676</v>
      </c>
      <c r="I465" s="92"/>
      <c r="J465" s="92"/>
      <c r="K465" s="708">
        <v>7676</v>
      </c>
      <c r="L465" s="92">
        <v>2020.01</v>
      </c>
      <c r="M465" s="92">
        <v>2020.12</v>
      </c>
      <c r="N465" s="726"/>
      <c r="O465" s="726"/>
      <c r="P465" s="726"/>
      <c r="Q465" s="726"/>
      <c r="R465" s="726"/>
      <c r="S465" s="726"/>
      <c r="T465" s="726"/>
      <c r="U465" s="726"/>
      <c r="V465" s="726"/>
      <c r="W465" s="726"/>
      <c r="X465" s="726"/>
      <c r="Y465" s="763">
        <v>1977</v>
      </c>
      <c r="Z465" s="763">
        <v>7676</v>
      </c>
      <c r="AA465" s="708">
        <v>1</v>
      </c>
      <c r="AB465" s="708"/>
      <c r="AC465" s="708"/>
      <c r="AD465" s="146" t="s">
        <v>249</v>
      </c>
      <c r="AE465" s="146" t="s">
        <v>250</v>
      </c>
      <c r="AF465" s="146" t="s">
        <v>195</v>
      </c>
      <c r="AG465" s="708"/>
    </row>
    <row r="466" s="570" customFormat="1" ht="24.95" customHeight="1" spans="1:33">
      <c r="A466" s="705"/>
      <c r="B466" s="785" t="s">
        <v>55</v>
      </c>
      <c r="C466" s="146" t="s">
        <v>52</v>
      </c>
      <c r="D466" s="152" t="s">
        <v>147</v>
      </c>
      <c r="E466" s="708">
        <v>1</v>
      </c>
      <c r="F466" s="785" t="s">
        <v>55</v>
      </c>
      <c r="G466" s="92"/>
      <c r="H466" s="708">
        <v>14263</v>
      </c>
      <c r="I466" s="92"/>
      <c r="J466" s="92"/>
      <c r="K466" s="708">
        <v>14263</v>
      </c>
      <c r="L466" s="92">
        <v>2020.01</v>
      </c>
      <c r="M466" s="92">
        <v>2020.12</v>
      </c>
      <c r="N466" s="726"/>
      <c r="O466" s="726"/>
      <c r="P466" s="726"/>
      <c r="Q466" s="726"/>
      <c r="R466" s="726"/>
      <c r="S466" s="726"/>
      <c r="T466" s="726"/>
      <c r="U466" s="726"/>
      <c r="V466" s="726"/>
      <c r="W466" s="726"/>
      <c r="X466" s="726"/>
      <c r="Y466" s="763">
        <v>3379</v>
      </c>
      <c r="Z466" s="763">
        <v>14263</v>
      </c>
      <c r="AA466" s="708">
        <v>1</v>
      </c>
      <c r="AB466" s="708"/>
      <c r="AC466" s="708"/>
      <c r="AD466" s="146" t="s">
        <v>209</v>
      </c>
      <c r="AE466" s="146" t="s">
        <v>251</v>
      </c>
      <c r="AF466" s="146" t="s">
        <v>195</v>
      </c>
      <c r="AG466" s="708"/>
    </row>
    <row r="467" s="570" customFormat="1" ht="24.95" customHeight="1" spans="1:33">
      <c r="A467" s="705"/>
      <c r="B467" s="785" t="s">
        <v>75</v>
      </c>
      <c r="C467" s="146" t="s">
        <v>52</v>
      </c>
      <c r="D467" s="152" t="s">
        <v>147</v>
      </c>
      <c r="E467" s="708">
        <v>1</v>
      </c>
      <c r="F467" s="785" t="s">
        <v>75</v>
      </c>
      <c r="G467" s="92"/>
      <c r="H467" s="708">
        <v>9972</v>
      </c>
      <c r="I467" s="92"/>
      <c r="J467" s="92"/>
      <c r="K467" s="708">
        <v>9972</v>
      </c>
      <c r="L467" s="92">
        <v>2020.01</v>
      </c>
      <c r="M467" s="92">
        <v>2020.12</v>
      </c>
      <c r="N467" s="726"/>
      <c r="O467" s="726"/>
      <c r="P467" s="726"/>
      <c r="Q467" s="726"/>
      <c r="R467" s="726"/>
      <c r="S467" s="726"/>
      <c r="T467" s="726"/>
      <c r="U467" s="726"/>
      <c r="V467" s="726"/>
      <c r="W467" s="726"/>
      <c r="X467" s="726"/>
      <c r="Y467" s="763">
        <v>2230</v>
      </c>
      <c r="Z467" s="763">
        <v>9972</v>
      </c>
      <c r="AA467" s="708">
        <v>1</v>
      </c>
      <c r="AB467" s="708"/>
      <c r="AC467" s="708"/>
      <c r="AD467" s="146" t="s">
        <v>329</v>
      </c>
      <c r="AE467" s="146" t="s">
        <v>252</v>
      </c>
      <c r="AF467" s="146" t="s">
        <v>195</v>
      </c>
      <c r="AG467" s="708"/>
    </row>
    <row r="468" s="570" customFormat="1" ht="24.95" customHeight="1" spans="1:33">
      <c r="A468" s="705"/>
      <c r="B468" s="785" t="s">
        <v>58</v>
      </c>
      <c r="C468" s="146" t="s">
        <v>52</v>
      </c>
      <c r="D468" s="152" t="s">
        <v>147</v>
      </c>
      <c r="E468" s="708">
        <v>1</v>
      </c>
      <c r="F468" s="785" t="s">
        <v>58</v>
      </c>
      <c r="G468" s="92"/>
      <c r="H468" s="708">
        <v>3856</v>
      </c>
      <c r="I468" s="92"/>
      <c r="J468" s="92"/>
      <c r="K468" s="708">
        <v>3856</v>
      </c>
      <c r="L468" s="92">
        <v>2020.01</v>
      </c>
      <c r="M468" s="92">
        <v>2020.12</v>
      </c>
      <c r="N468" s="726"/>
      <c r="O468" s="726"/>
      <c r="P468" s="726"/>
      <c r="Q468" s="726"/>
      <c r="R468" s="726"/>
      <c r="S468" s="726"/>
      <c r="T468" s="726"/>
      <c r="U468" s="726"/>
      <c r="V468" s="726"/>
      <c r="W468" s="726"/>
      <c r="X468" s="726"/>
      <c r="Y468" s="763">
        <v>907</v>
      </c>
      <c r="Z468" s="763">
        <v>3856</v>
      </c>
      <c r="AA468" s="708">
        <v>1</v>
      </c>
      <c r="AB468" s="708"/>
      <c r="AC468" s="708"/>
      <c r="AD468" s="146" t="s">
        <v>253</v>
      </c>
      <c r="AE468" s="146" t="s">
        <v>254</v>
      </c>
      <c r="AF468" s="146" t="s">
        <v>195</v>
      </c>
      <c r="AG468" s="708"/>
    </row>
    <row r="469" s="570" customFormat="1" ht="24.95" customHeight="1" spans="1:33">
      <c r="A469" s="705"/>
      <c r="B469" s="785" t="s">
        <v>61</v>
      </c>
      <c r="C469" s="146" t="s">
        <v>52</v>
      </c>
      <c r="D469" s="152" t="s">
        <v>147</v>
      </c>
      <c r="E469" s="708">
        <v>1</v>
      </c>
      <c r="F469" s="785" t="s">
        <v>61</v>
      </c>
      <c r="G469" s="92"/>
      <c r="H469" s="708">
        <v>19245</v>
      </c>
      <c r="I469" s="92"/>
      <c r="J469" s="92"/>
      <c r="K469" s="708">
        <v>19245</v>
      </c>
      <c r="L469" s="92">
        <v>2020.01</v>
      </c>
      <c r="M469" s="92">
        <v>2020.12</v>
      </c>
      <c r="N469" s="726"/>
      <c r="O469" s="726"/>
      <c r="P469" s="726"/>
      <c r="Q469" s="726"/>
      <c r="R469" s="726"/>
      <c r="S469" s="726"/>
      <c r="T469" s="726"/>
      <c r="U469" s="726"/>
      <c r="V469" s="726"/>
      <c r="W469" s="726"/>
      <c r="X469" s="726"/>
      <c r="Y469" s="763">
        <v>4272</v>
      </c>
      <c r="Z469" s="763">
        <v>19245</v>
      </c>
      <c r="AA469" s="708">
        <v>1</v>
      </c>
      <c r="AB469" s="708"/>
      <c r="AC469" s="708"/>
      <c r="AD469" s="146" t="s">
        <v>255</v>
      </c>
      <c r="AE469" s="146" t="s">
        <v>256</v>
      </c>
      <c r="AF469" s="146" t="s">
        <v>195</v>
      </c>
      <c r="AG469" s="708"/>
    </row>
    <row r="470" s="570" customFormat="1" ht="24.95" customHeight="1" spans="1:33">
      <c r="A470" s="705"/>
      <c r="B470" s="785" t="s">
        <v>78</v>
      </c>
      <c r="C470" s="146" t="s">
        <v>52</v>
      </c>
      <c r="D470" s="152" t="s">
        <v>147</v>
      </c>
      <c r="E470" s="708">
        <v>1</v>
      </c>
      <c r="F470" s="785" t="s">
        <v>78</v>
      </c>
      <c r="G470" s="92"/>
      <c r="H470" s="708">
        <v>12000</v>
      </c>
      <c r="I470" s="92"/>
      <c r="J470" s="92"/>
      <c r="K470" s="708">
        <v>12000</v>
      </c>
      <c r="L470" s="92">
        <v>2020.01</v>
      </c>
      <c r="M470" s="92">
        <v>2020.12</v>
      </c>
      <c r="N470" s="726"/>
      <c r="O470" s="726"/>
      <c r="P470" s="726"/>
      <c r="Q470" s="726"/>
      <c r="R470" s="726"/>
      <c r="S470" s="726"/>
      <c r="T470" s="726"/>
      <c r="U470" s="726"/>
      <c r="V470" s="726"/>
      <c r="W470" s="726"/>
      <c r="X470" s="726"/>
      <c r="Y470" s="763">
        <v>2596</v>
      </c>
      <c r="Z470" s="763">
        <v>12000</v>
      </c>
      <c r="AA470" s="708">
        <v>1</v>
      </c>
      <c r="AB470" s="708"/>
      <c r="AC470" s="708"/>
      <c r="AD470" s="146" t="s">
        <v>330</v>
      </c>
      <c r="AE470" s="146" t="s">
        <v>257</v>
      </c>
      <c r="AF470" s="146" t="s">
        <v>195</v>
      </c>
      <c r="AG470" s="708"/>
    </row>
    <row r="471" s="570" customFormat="1" ht="24.95" customHeight="1" spans="1:33">
      <c r="A471" s="705"/>
      <c r="B471" s="785" t="s">
        <v>114</v>
      </c>
      <c r="C471" s="146" t="s">
        <v>52</v>
      </c>
      <c r="D471" s="152" t="s">
        <v>147</v>
      </c>
      <c r="E471" s="708">
        <v>1</v>
      </c>
      <c r="F471" s="785" t="s">
        <v>114</v>
      </c>
      <c r="G471" s="92"/>
      <c r="H471" s="708">
        <v>1544</v>
      </c>
      <c r="I471" s="92"/>
      <c r="J471" s="92"/>
      <c r="K471" s="708">
        <v>1544</v>
      </c>
      <c r="L471" s="92">
        <v>2020.01</v>
      </c>
      <c r="M471" s="92">
        <v>2020.12</v>
      </c>
      <c r="N471" s="726"/>
      <c r="O471" s="726"/>
      <c r="P471" s="726"/>
      <c r="Q471" s="726"/>
      <c r="R471" s="726"/>
      <c r="S471" s="726"/>
      <c r="T471" s="726"/>
      <c r="U471" s="726"/>
      <c r="V471" s="726"/>
      <c r="W471" s="726"/>
      <c r="X471" s="726"/>
      <c r="Y471" s="763">
        <v>368</v>
      </c>
      <c r="Z471" s="763">
        <v>1544</v>
      </c>
      <c r="AA471" s="708">
        <v>1</v>
      </c>
      <c r="AB471" s="708"/>
      <c r="AC471" s="708"/>
      <c r="AD471" s="146" t="s">
        <v>260</v>
      </c>
      <c r="AE471" s="146" t="s">
        <v>331</v>
      </c>
      <c r="AF471" s="146" t="s">
        <v>195</v>
      </c>
      <c r="AG471" s="708"/>
    </row>
    <row r="472" s="570" customFormat="1" ht="24.95" customHeight="1" spans="1:33">
      <c r="A472" s="705"/>
      <c r="B472" s="785" t="s">
        <v>64</v>
      </c>
      <c r="C472" s="146" t="s">
        <v>52</v>
      </c>
      <c r="D472" s="152" t="s">
        <v>147</v>
      </c>
      <c r="E472" s="708">
        <v>1</v>
      </c>
      <c r="F472" s="785" t="s">
        <v>64</v>
      </c>
      <c r="G472" s="92"/>
      <c r="H472" s="708">
        <v>9274</v>
      </c>
      <c r="I472" s="92"/>
      <c r="J472" s="92"/>
      <c r="K472" s="708">
        <v>9274</v>
      </c>
      <c r="L472" s="92">
        <v>2020.01</v>
      </c>
      <c r="M472" s="92">
        <v>2020.12</v>
      </c>
      <c r="N472" s="726"/>
      <c r="O472" s="726"/>
      <c r="P472" s="726"/>
      <c r="Q472" s="726"/>
      <c r="R472" s="726"/>
      <c r="S472" s="726"/>
      <c r="T472" s="726"/>
      <c r="U472" s="726"/>
      <c r="V472" s="726"/>
      <c r="W472" s="726"/>
      <c r="X472" s="726"/>
      <c r="Y472" s="763">
        <v>2200</v>
      </c>
      <c r="Z472" s="763">
        <v>9274</v>
      </c>
      <c r="AA472" s="708">
        <v>1</v>
      </c>
      <c r="AB472" s="708"/>
      <c r="AC472" s="708"/>
      <c r="AD472" s="146" t="s">
        <v>65</v>
      </c>
      <c r="AE472" s="146" t="s">
        <v>258</v>
      </c>
      <c r="AF472" s="146" t="s">
        <v>195</v>
      </c>
      <c r="AG472" s="708"/>
    </row>
    <row r="473" s="570" customFormat="1" ht="24.95" customHeight="1" spans="1:33">
      <c r="A473" s="705" t="s">
        <v>48</v>
      </c>
      <c r="B473" s="785" t="s">
        <v>92</v>
      </c>
      <c r="C473" s="146" t="s">
        <v>52</v>
      </c>
      <c r="D473" s="152" t="s">
        <v>147</v>
      </c>
      <c r="E473" s="708">
        <v>1</v>
      </c>
      <c r="F473" s="785" t="s">
        <v>92</v>
      </c>
      <c r="G473" s="92"/>
      <c r="H473" s="92">
        <v>5848</v>
      </c>
      <c r="I473" s="92"/>
      <c r="J473" s="92"/>
      <c r="K473" s="92">
        <v>5848</v>
      </c>
      <c r="L473" s="92">
        <v>2020.01</v>
      </c>
      <c r="M473" s="92">
        <v>2020.12</v>
      </c>
      <c r="N473" s="92"/>
      <c r="O473" s="92"/>
      <c r="P473" s="92"/>
      <c r="Q473" s="92"/>
      <c r="R473" s="92"/>
      <c r="S473" s="92"/>
      <c r="T473" s="92"/>
      <c r="U473" s="92"/>
      <c r="V473" s="92"/>
      <c r="W473" s="92"/>
      <c r="X473" s="92"/>
      <c r="Y473" s="738">
        <v>1247</v>
      </c>
      <c r="Z473" s="738">
        <v>5848</v>
      </c>
      <c r="AA473" s="708">
        <v>1</v>
      </c>
      <c r="AB473" s="92"/>
      <c r="AC473" s="92"/>
      <c r="AD473" s="775" t="s">
        <v>262</v>
      </c>
      <c r="AE473" s="775" t="s">
        <v>263</v>
      </c>
      <c r="AF473" s="146" t="s">
        <v>195</v>
      </c>
      <c r="AG473" s="92"/>
    </row>
    <row r="474" s="570" customFormat="1" ht="24.95" customHeight="1" spans="1:33">
      <c r="A474" s="705">
        <v>60</v>
      </c>
      <c r="B474" s="750" t="s">
        <v>335</v>
      </c>
      <c r="C474" s="146" t="s">
        <v>320</v>
      </c>
      <c r="D474" s="152" t="s">
        <v>194</v>
      </c>
      <c r="E474" s="708">
        <f>SUM(E475:E486)</f>
        <v>12</v>
      </c>
      <c r="F474" s="708">
        <f t="shared" ref="F474:AA474" si="57">SUM(F475:F486)</f>
        <v>0</v>
      </c>
      <c r="G474" s="708">
        <f t="shared" si="57"/>
        <v>0</v>
      </c>
      <c r="H474" s="708">
        <f t="shared" si="57"/>
        <v>266</v>
      </c>
      <c r="I474" s="708">
        <f t="shared" si="57"/>
        <v>0</v>
      </c>
      <c r="J474" s="708">
        <f t="shared" si="57"/>
        <v>0</v>
      </c>
      <c r="K474" s="708">
        <f t="shared" si="57"/>
        <v>266</v>
      </c>
      <c r="L474" s="708"/>
      <c r="M474" s="708"/>
      <c r="N474" s="708">
        <f t="shared" si="57"/>
        <v>0</v>
      </c>
      <c r="O474" s="708">
        <f t="shared" si="57"/>
        <v>0</v>
      </c>
      <c r="P474" s="708">
        <f t="shared" si="57"/>
        <v>0</v>
      </c>
      <c r="Q474" s="708">
        <f t="shared" si="57"/>
        <v>0</v>
      </c>
      <c r="R474" s="708">
        <f t="shared" si="57"/>
        <v>0</v>
      </c>
      <c r="S474" s="708">
        <f t="shared" si="57"/>
        <v>0</v>
      </c>
      <c r="T474" s="708">
        <f t="shared" si="57"/>
        <v>0</v>
      </c>
      <c r="U474" s="708">
        <f t="shared" si="57"/>
        <v>0</v>
      </c>
      <c r="V474" s="708">
        <f t="shared" si="57"/>
        <v>0</v>
      </c>
      <c r="W474" s="708">
        <f t="shared" si="57"/>
        <v>0</v>
      </c>
      <c r="X474" s="708">
        <f t="shared" si="57"/>
        <v>0</v>
      </c>
      <c r="Y474" s="708">
        <f t="shared" si="57"/>
        <v>266</v>
      </c>
      <c r="Z474" s="708">
        <f t="shared" si="57"/>
        <v>1203</v>
      </c>
      <c r="AA474" s="708">
        <f t="shared" si="57"/>
        <v>12</v>
      </c>
      <c r="AB474" s="708"/>
      <c r="AC474" s="708"/>
      <c r="AD474" s="753" t="s">
        <v>336</v>
      </c>
      <c r="AE474" s="146" t="s">
        <v>337</v>
      </c>
      <c r="AF474" s="438" t="s">
        <v>338</v>
      </c>
      <c r="AG474" s="708" t="s">
        <v>41</v>
      </c>
    </row>
    <row r="475" s="570" customFormat="1" ht="24.95" customHeight="1" spans="1:33">
      <c r="A475" s="705"/>
      <c r="B475" s="714" t="s">
        <v>101</v>
      </c>
      <c r="C475" s="146" t="s">
        <v>320</v>
      </c>
      <c r="D475" s="152" t="s">
        <v>194</v>
      </c>
      <c r="E475" s="708">
        <v>1</v>
      </c>
      <c r="F475" s="714" t="s">
        <v>101</v>
      </c>
      <c r="G475" s="92"/>
      <c r="H475" s="708">
        <v>19</v>
      </c>
      <c r="I475" s="92"/>
      <c r="J475" s="92"/>
      <c r="K475" s="708">
        <v>19</v>
      </c>
      <c r="L475" s="92">
        <v>2020.01</v>
      </c>
      <c r="M475" s="92">
        <v>2020.12</v>
      </c>
      <c r="N475" s="726"/>
      <c r="O475" s="726"/>
      <c r="P475" s="726"/>
      <c r="Q475" s="726"/>
      <c r="R475" s="726"/>
      <c r="S475" s="726"/>
      <c r="T475" s="726"/>
      <c r="U475" s="726"/>
      <c r="V475" s="726"/>
      <c r="W475" s="726"/>
      <c r="X475" s="726"/>
      <c r="Y475" s="763">
        <v>19</v>
      </c>
      <c r="Z475" s="763">
        <v>91</v>
      </c>
      <c r="AA475" s="708">
        <v>1</v>
      </c>
      <c r="AB475" s="708"/>
      <c r="AC475" s="708"/>
      <c r="AD475" s="141" t="s">
        <v>244</v>
      </c>
      <c r="AE475" s="146" t="s">
        <v>333</v>
      </c>
      <c r="AF475" s="438" t="s">
        <v>338</v>
      </c>
      <c r="AG475" s="708"/>
    </row>
    <row r="476" s="570" customFormat="1" ht="24.95" customHeight="1" spans="1:33">
      <c r="A476" s="705"/>
      <c r="B476" s="714" t="s">
        <v>151</v>
      </c>
      <c r="C476" s="146" t="s">
        <v>52</v>
      </c>
      <c r="D476" s="152" t="s">
        <v>194</v>
      </c>
      <c r="E476" s="708">
        <v>1</v>
      </c>
      <c r="F476" s="714" t="s">
        <v>151</v>
      </c>
      <c r="G476" s="92"/>
      <c r="H476" s="708">
        <v>3</v>
      </c>
      <c r="I476" s="92"/>
      <c r="J476" s="92"/>
      <c r="K476" s="708">
        <v>3</v>
      </c>
      <c r="L476" s="92">
        <v>2020.01</v>
      </c>
      <c r="M476" s="92">
        <v>2020.12</v>
      </c>
      <c r="N476" s="726"/>
      <c r="O476" s="726"/>
      <c r="P476" s="726"/>
      <c r="Q476" s="726"/>
      <c r="R476" s="726"/>
      <c r="S476" s="726"/>
      <c r="T476" s="726"/>
      <c r="U476" s="726"/>
      <c r="V476" s="726"/>
      <c r="W476" s="726"/>
      <c r="X476" s="726"/>
      <c r="Y476" s="763">
        <v>3</v>
      </c>
      <c r="Z476" s="763">
        <v>10</v>
      </c>
      <c r="AA476" s="708">
        <v>1</v>
      </c>
      <c r="AB476" s="708"/>
      <c r="AC476" s="708"/>
      <c r="AD476" s="146" t="s">
        <v>339</v>
      </c>
      <c r="AE476" s="712" t="s">
        <v>340</v>
      </c>
      <c r="AF476" s="438" t="s">
        <v>338</v>
      </c>
      <c r="AG476" s="708"/>
    </row>
    <row r="477" s="570" customFormat="1" ht="24.95" customHeight="1" spans="1:33">
      <c r="A477" s="705"/>
      <c r="B477" s="714" t="s">
        <v>154</v>
      </c>
      <c r="C477" s="146" t="s">
        <v>320</v>
      </c>
      <c r="D477" s="152" t="s">
        <v>194</v>
      </c>
      <c r="E477" s="708">
        <v>1</v>
      </c>
      <c r="F477" s="714" t="s">
        <v>154</v>
      </c>
      <c r="G477" s="92"/>
      <c r="H477" s="708">
        <v>14</v>
      </c>
      <c r="I477" s="92"/>
      <c r="J477" s="92"/>
      <c r="K477" s="708">
        <v>14</v>
      </c>
      <c r="L477" s="92">
        <v>2020.01</v>
      </c>
      <c r="M477" s="92">
        <v>2020.12</v>
      </c>
      <c r="N477" s="726"/>
      <c r="O477" s="726"/>
      <c r="P477" s="726"/>
      <c r="Q477" s="726"/>
      <c r="R477" s="726"/>
      <c r="S477" s="726"/>
      <c r="T477" s="726"/>
      <c r="U477" s="726"/>
      <c r="V477" s="726"/>
      <c r="W477" s="726"/>
      <c r="X477" s="726"/>
      <c r="Y477" s="763">
        <v>14</v>
      </c>
      <c r="Z477" s="763">
        <v>72</v>
      </c>
      <c r="AA477" s="708">
        <v>1</v>
      </c>
      <c r="AB477" s="708"/>
      <c r="AC477" s="708"/>
      <c r="AD477" s="146" t="s">
        <v>247</v>
      </c>
      <c r="AE477" s="146" t="s">
        <v>341</v>
      </c>
      <c r="AF477" s="438" t="s">
        <v>338</v>
      </c>
      <c r="AG477" s="708"/>
    </row>
    <row r="478" s="570" customFormat="1" ht="24.95" customHeight="1" spans="1:33">
      <c r="A478" s="705"/>
      <c r="B478" s="714" t="s">
        <v>81</v>
      </c>
      <c r="C478" s="146" t="s">
        <v>320</v>
      </c>
      <c r="D478" s="152" t="s">
        <v>194</v>
      </c>
      <c r="E478" s="708">
        <v>1</v>
      </c>
      <c r="F478" s="714" t="s">
        <v>81</v>
      </c>
      <c r="G478" s="92"/>
      <c r="H478" s="708">
        <v>16</v>
      </c>
      <c r="I478" s="92"/>
      <c r="J478" s="92"/>
      <c r="K478" s="708">
        <v>16</v>
      </c>
      <c r="L478" s="92">
        <v>2020.01</v>
      </c>
      <c r="M478" s="92">
        <v>2020.12</v>
      </c>
      <c r="N478" s="726"/>
      <c r="O478" s="726"/>
      <c r="P478" s="726"/>
      <c r="Q478" s="726"/>
      <c r="R478" s="726"/>
      <c r="S478" s="726"/>
      <c r="T478" s="726"/>
      <c r="U478" s="726"/>
      <c r="V478" s="726"/>
      <c r="W478" s="726"/>
      <c r="X478" s="726"/>
      <c r="Y478" s="763">
        <v>16</v>
      </c>
      <c r="Z478" s="763">
        <v>59</v>
      </c>
      <c r="AA478" s="708">
        <v>1</v>
      </c>
      <c r="AB478" s="708"/>
      <c r="AC478" s="708"/>
      <c r="AD478" s="146" t="s">
        <v>342</v>
      </c>
      <c r="AE478" s="146" t="s">
        <v>343</v>
      </c>
      <c r="AF478" s="438" t="s">
        <v>338</v>
      </c>
      <c r="AG478" s="708"/>
    </row>
    <row r="479" s="570" customFormat="1" ht="24.95" customHeight="1" spans="1:33">
      <c r="A479" s="705"/>
      <c r="B479" s="714" t="s">
        <v>98</v>
      </c>
      <c r="C479" s="146" t="s">
        <v>320</v>
      </c>
      <c r="D479" s="152" t="s">
        <v>194</v>
      </c>
      <c r="E479" s="708">
        <v>1</v>
      </c>
      <c r="F479" s="714" t="s">
        <v>98</v>
      </c>
      <c r="G479" s="92"/>
      <c r="H479" s="708">
        <v>95</v>
      </c>
      <c r="I479" s="92"/>
      <c r="J479" s="92"/>
      <c r="K479" s="708">
        <v>95</v>
      </c>
      <c r="L479" s="92">
        <v>2020.01</v>
      </c>
      <c r="M479" s="92">
        <v>2020.12</v>
      </c>
      <c r="N479" s="726"/>
      <c r="O479" s="726"/>
      <c r="P479" s="726"/>
      <c r="Q479" s="726"/>
      <c r="R479" s="726"/>
      <c r="S479" s="726"/>
      <c r="T479" s="726"/>
      <c r="U479" s="726"/>
      <c r="V479" s="726"/>
      <c r="W479" s="726"/>
      <c r="X479" s="726"/>
      <c r="Y479" s="763">
        <v>95</v>
      </c>
      <c r="Z479" s="763">
        <v>431</v>
      </c>
      <c r="AA479" s="708">
        <v>1</v>
      </c>
      <c r="AB479" s="708"/>
      <c r="AC479" s="708"/>
      <c r="AD479" s="146" t="s">
        <v>344</v>
      </c>
      <c r="AE479" s="146" t="s">
        <v>345</v>
      </c>
      <c r="AF479" s="438" t="s">
        <v>338</v>
      </c>
      <c r="AG479" s="708"/>
    </row>
    <row r="480" s="570" customFormat="1" ht="24.95" customHeight="1" spans="1:33">
      <c r="A480" s="705"/>
      <c r="B480" s="714" t="s">
        <v>211</v>
      </c>
      <c r="C480" s="146" t="s">
        <v>320</v>
      </c>
      <c r="D480" s="152" t="s">
        <v>194</v>
      </c>
      <c r="E480" s="708">
        <v>1</v>
      </c>
      <c r="F480" s="714" t="s">
        <v>211</v>
      </c>
      <c r="G480" s="92"/>
      <c r="H480" s="708">
        <v>22</v>
      </c>
      <c r="I480" s="92"/>
      <c r="J480" s="92"/>
      <c r="K480" s="708">
        <v>22</v>
      </c>
      <c r="L480" s="92">
        <v>2020.01</v>
      </c>
      <c r="M480" s="92">
        <v>2020.12</v>
      </c>
      <c r="N480" s="726"/>
      <c r="O480" s="726"/>
      <c r="P480" s="726"/>
      <c r="Q480" s="726"/>
      <c r="R480" s="726"/>
      <c r="S480" s="726"/>
      <c r="T480" s="726"/>
      <c r="U480" s="726"/>
      <c r="V480" s="726"/>
      <c r="W480" s="726"/>
      <c r="X480" s="726"/>
      <c r="Y480" s="763">
        <v>22</v>
      </c>
      <c r="Z480" s="763">
        <v>99</v>
      </c>
      <c r="AA480" s="708">
        <v>1</v>
      </c>
      <c r="AB480" s="708"/>
      <c r="AC480" s="708"/>
      <c r="AD480" s="146" t="s">
        <v>346</v>
      </c>
      <c r="AE480" s="146" t="s">
        <v>347</v>
      </c>
      <c r="AF480" s="438" t="s">
        <v>338</v>
      </c>
      <c r="AG480" s="708"/>
    </row>
    <row r="481" s="570" customFormat="1" ht="24.95" customHeight="1" spans="1:33">
      <c r="A481" s="705"/>
      <c r="B481" s="714" t="s">
        <v>155</v>
      </c>
      <c r="C481" s="146" t="s">
        <v>320</v>
      </c>
      <c r="D481" s="152" t="s">
        <v>194</v>
      </c>
      <c r="E481" s="708">
        <v>1</v>
      </c>
      <c r="F481" s="714" t="s">
        <v>155</v>
      </c>
      <c r="G481" s="92"/>
      <c r="H481" s="708">
        <v>8</v>
      </c>
      <c r="I481" s="92"/>
      <c r="J481" s="92"/>
      <c r="K481" s="708">
        <v>8</v>
      </c>
      <c r="L481" s="92">
        <v>2020.01</v>
      </c>
      <c r="M481" s="92">
        <v>2020.12</v>
      </c>
      <c r="N481" s="726"/>
      <c r="O481" s="726"/>
      <c r="P481" s="726"/>
      <c r="Q481" s="726"/>
      <c r="R481" s="726"/>
      <c r="S481" s="726"/>
      <c r="T481" s="726"/>
      <c r="U481" s="726"/>
      <c r="V481" s="726"/>
      <c r="W481" s="726"/>
      <c r="X481" s="726"/>
      <c r="Y481" s="763">
        <v>8</v>
      </c>
      <c r="Z481" s="763">
        <v>35</v>
      </c>
      <c r="AA481" s="708">
        <v>1</v>
      </c>
      <c r="AB481" s="708"/>
      <c r="AC481" s="708"/>
      <c r="AD481" s="146" t="s">
        <v>253</v>
      </c>
      <c r="AE481" s="146" t="s">
        <v>348</v>
      </c>
      <c r="AF481" s="438" t="s">
        <v>338</v>
      </c>
      <c r="AG481" s="708"/>
    </row>
    <row r="482" s="570" customFormat="1" ht="24.95" customHeight="1" spans="1:33">
      <c r="A482" s="705"/>
      <c r="B482" s="714" t="s">
        <v>102</v>
      </c>
      <c r="C482" s="146" t="s">
        <v>320</v>
      </c>
      <c r="D482" s="152" t="s">
        <v>194</v>
      </c>
      <c r="E482" s="708">
        <v>1</v>
      </c>
      <c r="F482" s="714" t="s">
        <v>102</v>
      </c>
      <c r="G482" s="92"/>
      <c r="H482" s="708">
        <v>59</v>
      </c>
      <c r="I482" s="92"/>
      <c r="J482" s="92"/>
      <c r="K482" s="708">
        <v>59</v>
      </c>
      <c r="L482" s="92">
        <v>2020.01</v>
      </c>
      <c r="M482" s="92">
        <v>2020.12</v>
      </c>
      <c r="N482" s="726"/>
      <c r="O482" s="726"/>
      <c r="P482" s="726"/>
      <c r="Q482" s="726"/>
      <c r="R482" s="726"/>
      <c r="S482" s="726"/>
      <c r="T482" s="726"/>
      <c r="U482" s="726"/>
      <c r="V482" s="726"/>
      <c r="W482" s="726"/>
      <c r="X482" s="726"/>
      <c r="Y482" s="763">
        <v>59</v>
      </c>
      <c r="Z482" s="763">
        <v>272</v>
      </c>
      <c r="AA482" s="708">
        <v>1</v>
      </c>
      <c r="AB482" s="708"/>
      <c r="AC482" s="708"/>
      <c r="AD482" s="438" t="s">
        <v>255</v>
      </c>
      <c r="AE482" s="787" t="s">
        <v>349</v>
      </c>
      <c r="AF482" s="438" t="s">
        <v>338</v>
      </c>
      <c r="AG482" s="708"/>
    </row>
    <row r="483" s="570" customFormat="1" ht="24.95" customHeight="1" spans="1:33">
      <c r="A483" s="705"/>
      <c r="B483" s="714" t="s">
        <v>100</v>
      </c>
      <c r="C483" s="146" t="s">
        <v>320</v>
      </c>
      <c r="D483" s="152" t="s">
        <v>194</v>
      </c>
      <c r="E483" s="708">
        <v>1</v>
      </c>
      <c r="F483" s="714" t="s">
        <v>100</v>
      </c>
      <c r="G483" s="92"/>
      <c r="H483" s="708">
        <v>11</v>
      </c>
      <c r="I483" s="92"/>
      <c r="J483" s="92"/>
      <c r="K483" s="708">
        <v>11</v>
      </c>
      <c r="L483" s="92">
        <v>2020.01</v>
      </c>
      <c r="M483" s="92">
        <v>2020.12</v>
      </c>
      <c r="N483" s="726"/>
      <c r="O483" s="726"/>
      <c r="P483" s="726"/>
      <c r="Q483" s="726"/>
      <c r="R483" s="726"/>
      <c r="S483" s="726"/>
      <c r="T483" s="726"/>
      <c r="U483" s="726"/>
      <c r="V483" s="726"/>
      <c r="W483" s="726"/>
      <c r="X483" s="726"/>
      <c r="Y483" s="763">
        <v>11</v>
      </c>
      <c r="Z483" s="763">
        <v>50</v>
      </c>
      <c r="AA483" s="708">
        <v>1</v>
      </c>
      <c r="AB483" s="708"/>
      <c r="AC483" s="708"/>
      <c r="AD483" s="146" t="s">
        <v>350</v>
      </c>
      <c r="AE483" s="146" t="s">
        <v>351</v>
      </c>
      <c r="AF483" s="438" t="s">
        <v>338</v>
      </c>
      <c r="AG483" s="708"/>
    </row>
    <row r="484" s="570" customFormat="1" ht="24.95" customHeight="1" spans="1:33">
      <c r="A484" s="705"/>
      <c r="B484" s="714" t="s">
        <v>84</v>
      </c>
      <c r="C484" s="146" t="s">
        <v>320</v>
      </c>
      <c r="D484" s="152" t="s">
        <v>194</v>
      </c>
      <c r="E484" s="708">
        <v>1</v>
      </c>
      <c r="F484" s="714" t="s">
        <v>84</v>
      </c>
      <c r="G484" s="92"/>
      <c r="H484" s="708">
        <v>8</v>
      </c>
      <c r="I484" s="92"/>
      <c r="J484" s="92"/>
      <c r="K484" s="708">
        <v>8</v>
      </c>
      <c r="L484" s="92">
        <v>2020.01</v>
      </c>
      <c r="M484" s="92">
        <v>2020.12</v>
      </c>
      <c r="N484" s="726"/>
      <c r="O484" s="726"/>
      <c r="P484" s="726"/>
      <c r="Q484" s="726"/>
      <c r="R484" s="726"/>
      <c r="S484" s="726"/>
      <c r="T484" s="726"/>
      <c r="U484" s="726"/>
      <c r="V484" s="726"/>
      <c r="W484" s="726"/>
      <c r="X484" s="726"/>
      <c r="Y484" s="763">
        <v>8</v>
      </c>
      <c r="Z484" s="763">
        <v>35</v>
      </c>
      <c r="AA484" s="708">
        <v>1</v>
      </c>
      <c r="AB484" s="708"/>
      <c r="AC484" s="708"/>
      <c r="AD484" s="146" t="s">
        <v>312</v>
      </c>
      <c r="AE484" s="146" t="s">
        <v>352</v>
      </c>
      <c r="AF484" s="438" t="s">
        <v>338</v>
      </c>
      <c r="AG484" s="708"/>
    </row>
    <row r="485" s="570" customFormat="1" ht="24.95" customHeight="1" spans="1:33">
      <c r="A485" s="705"/>
      <c r="B485" s="714" t="s">
        <v>259</v>
      </c>
      <c r="C485" s="146" t="s">
        <v>320</v>
      </c>
      <c r="D485" s="152" t="s">
        <v>194</v>
      </c>
      <c r="E485" s="708">
        <v>1</v>
      </c>
      <c r="F485" s="714" t="s">
        <v>259</v>
      </c>
      <c r="G485" s="92"/>
      <c r="H485" s="708">
        <v>2</v>
      </c>
      <c r="I485" s="92"/>
      <c r="J485" s="92"/>
      <c r="K485" s="708">
        <v>2</v>
      </c>
      <c r="L485" s="92">
        <v>2020.01</v>
      </c>
      <c r="M485" s="92">
        <v>2020.12</v>
      </c>
      <c r="N485" s="726"/>
      <c r="O485" s="726"/>
      <c r="P485" s="726"/>
      <c r="Q485" s="726"/>
      <c r="R485" s="726"/>
      <c r="S485" s="726"/>
      <c r="T485" s="726"/>
      <c r="U485" s="726"/>
      <c r="V485" s="726"/>
      <c r="W485" s="726"/>
      <c r="X485" s="726"/>
      <c r="Y485" s="763">
        <v>2</v>
      </c>
      <c r="Z485" s="763">
        <v>7</v>
      </c>
      <c r="AA485" s="708">
        <v>1</v>
      </c>
      <c r="AB485" s="708"/>
      <c r="AC485" s="708"/>
      <c r="AD485" s="146" t="s">
        <v>183</v>
      </c>
      <c r="AE485" s="146" t="s">
        <v>353</v>
      </c>
      <c r="AF485" s="438" t="s">
        <v>338</v>
      </c>
      <c r="AG485" s="708"/>
    </row>
    <row r="486" s="570" customFormat="1" ht="24.95" customHeight="1" spans="1:33">
      <c r="A486" s="705" t="s">
        <v>48</v>
      </c>
      <c r="B486" s="714" t="s">
        <v>143</v>
      </c>
      <c r="C486" s="146" t="s">
        <v>320</v>
      </c>
      <c r="D486" s="152" t="s">
        <v>194</v>
      </c>
      <c r="E486" s="708">
        <v>1</v>
      </c>
      <c r="F486" s="714" t="s">
        <v>143</v>
      </c>
      <c r="G486" s="92"/>
      <c r="H486" s="92">
        <v>9</v>
      </c>
      <c r="I486" s="92"/>
      <c r="J486" s="92"/>
      <c r="K486" s="92">
        <v>9</v>
      </c>
      <c r="L486" s="92">
        <v>2020.01</v>
      </c>
      <c r="M486" s="92">
        <v>2020.12</v>
      </c>
      <c r="N486" s="92"/>
      <c r="O486" s="92"/>
      <c r="P486" s="92"/>
      <c r="Q486" s="92"/>
      <c r="R486" s="92"/>
      <c r="S486" s="92"/>
      <c r="T486" s="92"/>
      <c r="U486" s="92"/>
      <c r="V486" s="92"/>
      <c r="W486" s="92"/>
      <c r="X486" s="92"/>
      <c r="Y486" s="738">
        <v>9</v>
      </c>
      <c r="Z486" s="738">
        <v>42</v>
      </c>
      <c r="AA486" s="708">
        <v>1</v>
      </c>
      <c r="AB486" s="92"/>
      <c r="AC486" s="92"/>
      <c r="AD486" s="775" t="s">
        <v>354</v>
      </c>
      <c r="AE486" s="146" t="s">
        <v>263</v>
      </c>
      <c r="AF486" s="438" t="s">
        <v>338</v>
      </c>
      <c r="AG486" s="92"/>
    </row>
    <row r="487" s="570" customFormat="1" ht="24.95" customHeight="1" spans="1:33">
      <c r="A487" s="705">
        <v>61</v>
      </c>
      <c r="B487" s="750" t="s">
        <v>355</v>
      </c>
      <c r="C487" s="146" t="s">
        <v>320</v>
      </c>
      <c r="D487" s="152" t="s">
        <v>194</v>
      </c>
      <c r="E487" s="708">
        <f>SUM(E488:E499)</f>
        <v>12</v>
      </c>
      <c r="F487" s="708">
        <f t="shared" ref="F487:AA487" si="58">SUM(F488:F499)</f>
        <v>0</v>
      </c>
      <c r="G487" s="708">
        <f t="shared" si="58"/>
        <v>0</v>
      </c>
      <c r="H487" s="708">
        <f t="shared" si="58"/>
        <v>1592</v>
      </c>
      <c r="I487" s="708">
        <f t="shared" si="58"/>
        <v>0</v>
      </c>
      <c r="J487" s="708">
        <f t="shared" si="58"/>
        <v>0</v>
      </c>
      <c r="K487" s="708">
        <f t="shared" si="58"/>
        <v>1592</v>
      </c>
      <c r="L487" s="708"/>
      <c r="M487" s="708"/>
      <c r="N487" s="708">
        <f t="shared" si="58"/>
        <v>0</v>
      </c>
      <c r="O487" s="708">
        <f t="shared" si="58"/>
        <v>0</v>
      </c>
      <c r="P487" s="708">
        <f t="shared" si="58"/>
        <v>0</v>
      </c>
      <c r="Q487" s="708">
        <f t="shared" si="58"/>
        <v>0</v>
      </c>
      <c r="R487" s="708">
        <f t="shared" si="58"/>
        <v>0</v>
      </c>
      <c r="S487" s="708">
        <f t="shared" si="58"/>
        <v>0</v>
      </c>
      <c r="T487" s="708">
        <f t="shared" si="58"/>
        <v>0</v>
      </c>
      <c r="U487" s="708">
        <f t="shared" si="58"/>
        <v>0</v>
      </c>
      <c r="V487" s="708">
        <f t="shared" si="58"/>
        <v>0</v>
      </c>
      <c r="W487" s="708">
        <f t="shared" si="58"/>
        <v>0</v>
      </c>
      <c r="X487" s="708">
        <f t="shared" si="58"/>
        <v>0</v>
      </c>
      <c r="Y487" s="708">
        <f t="shared" si="58"/>
        <v>1507</v>
      </c>
      <c r="Z487" s="708">
        <f t="shared" si="58"/>
        <v>3448</v>
      </c>
      <c r="AA487" s="708">
        <f t="shared" si="58"/>
        <v>12</v>
      </c>
      <c r="AB487" s="708"/>
      <c r="AC487" s="708"/>
      <c r="AD487" s="753" t="s">
        <v>356</v>
      </c>
      <c r="AE487" s="146" t="s">
        <v>357</v>
      </c>
      <c r="AF487" s="146" t="s">
        <v>358</v>
      </c>
      <c r="AG487" s="708" t="s">
        <v>41</v>
      </c>
    </row>
    <row r="488" s="570" customFormat="1" ht="24.95" customHeight="1" spans="1:33">
      <c r="A488" s="705"/>
      <c r="B488" s="714" t="s">
        <v>101</v>
      </c>
      <c r="C488" s="146" t="s">
        <v>320</v>
      </c>
      <c r="D488" s="152" t="s">
        <v>194</v>
      </c>
      <c r="E488" s="708">
        <v>1</v>
      </c>
      <c r="F488" s="714" t="s">
        <v>101</v>
      </c>
      <c r="G488" s="92"/>
      <c r="H488" s="708">
        <v>122</v>
      </c>
      <c r="I488" s="92"/>
      <c r="J488" s="92"/>
      <c r="K488" s="708">
        <v>122</v>
      </c>
      <c r="L488" s="92">
        <v>2020.01</v>
      </c>
      <c r="M488" s="92">
        <v>2020.12</v>
      </c>
      <c r="N488" s="726"/>
      <c r="O488" s="726"/>
      <c r="P488" s="726"/>
      <c r="Q488" s="726"/>
      <c r="R488" s="726"/>
      <c r="S488" s="726"/>
      <c r="T488" s="726"/>
      <c r="U488" s="726"/>
      <c r="V488" s="726"/>
      <c r="W488" s="726"/>
      <c r="X488" s="726"/>
      <c r="Y488" s="763">
        <v>122</v>
      </c>
      <c r="Z488" s="763">
        <v>478</v>
      </c>
      <c r="AA488" s="708">
        <v>1</v>
      </c>
      <c r="AB488" s="708"/>
      <c r="AC488" s="708"/>
      <c r="AD488" s="141" t="s">
        <v>298</v>
      </c>
      <c r="AE488" s="146" t="s">
        <v>359</v>
      </c>
      <c r="AF488" s="438" t="s">
        <v>358</v>
      </c>
      <c r="AG488" s="708"/>
    </row>
    <row r="489" s="570" customFormat="1" ht="24.95" customHeight="1" spans="1:33">
      <c r="A489" s="705"/>
      <c r="B489" s="714" t="s">
        <v>151</v>
      </c>
      <c r="C489" s="146" t="s">
        <v>320</v>
      </c>
      <c r="D489" s="152" t="s">
        <v>194</v>
      </c>
      <c r="E489" s="708">
        <v>1</v>
      </c>
      <c r="F489" s="714" t="s">
        <v>151</v>
      </c>
      <c r="G489" s="92"/>
      <c r="H489" s="708">
        <v>3</v>
      </c>
      <c r="I489" s="92"/>
      <c r="J489" s="92"/>
      <c r="K489" s="708">
        <v>3</v>
      </c>
      <c r="L489" s="92">
        <v>2020.01</v>
      </c>
      <c r="M489" s="92">
        <v>2020.12</v>
      </c>
      <c r="N489" s="726"/>
      <c r="O489" s="726"/>
      <c r="P489" s="726"/>
      <c r="Q489" s="726"/>
      <c r="R489" s="726"/>
      <c r="S489" s="726"/>
      <c r="T489" s="726"/>
      <c r="U489" s="726"/>
      <c r="V489" s="726"/>
      <c r="W489" s="726"/>
      <c r="X489" s="726"/>
      <c r="Y489" s="763">
        <v>3</v>
      </c>
      <c r="Z489" s="763">
        <v>3</v>
      </c>
      <c r="AA489" s="708">
        <v>1</v>
      </c>
      <c r="AB489" s="708"/>
      <c r="AC489" s="708"/>
      <c r="AD489" s="146" t="s">
        <v>339</v>
      </c>
      <c r="AE489" s="146" t="s">
        <v>340</v>
      </c>
      <c r="AF489" s="438" t="s">
        <v>358</v>
      </c>
      <c r="AG489" s="708"/>
    </row>
    <row r="490" s="570" customFormat="1" ht="24.95" customHeight="1" spans="1:33">
      <c r="A490" s="705"/>
      <c r="B490" s="714" t="s">
        <v>154</v>
      </c>
      <c r="C490" s="146" t="s">
        <v>320</v>
      </c>
      <c r="D490" s="152" t="s">
        <v>194</v>
      </c>
      <c r="E490" s="708">
        <v>1</v>
      </c>
      <c r="F490" s="714" t="s">
        <v>154</v>
      </c>
      <c r="G490" s="92"/>
      <c r="H490" s="708">
        <v>181</v>
      </c>
      <c r="I490" s="92"/>
      <c r="J490" s="92"/>
      <c r="K490" s="708">
        <v>181</v>
      </c>
      <c r="L490" s="92">
        <v>2020.01</v>
      </c>
      <c r="M490" s="92">
        <v>2020.12</v>
      </c>
      <c r="N490" s="726"/>
      <c r="O490" s="726"/>
      <c r="P490" s="726"/>
      <c r="Q490" s="726"/>
      <c r="R490" s="726"/>
      <c r="S490" s="726"/>
      <c r="T490" s="726"/>
      <c r="U490" s="726"/>
      <c r="V490" s="726"/>
      <c r="W490" s="726"/>
      <c r="X490" s="726"/>
      <c r="Y490" s="763">
        <v>147</v>
      </c>
      <c r="Z490" s="763">
        <v>181</v>
      </c>
      <c r="AA490" s="708">
        <v>1</v>
      </c>
      <c r="AB490" s="708"/>
      <c r="AC490" s="708"/>
      <c r="AD490" s="146" t="s">
        <v>360</v>
      </c>
      <c r="AE490" s="146" t="s">
        <v>361</v>
      </c>
      <c r="AF490" s="438" t="s">
        <v>358</v>
      </c>
      <c r="AG490" s="708"/>
    </row>
    <row r="491" s="570" customFormat="1" ht="24.95" customHeight="1" spans="1:33">
      <c r="A491" s="705"/>
      <c r="B491" s="714" t="s">
        <v>81</v>
      </c>
      <c r="C491" s="146" t="s">
        <v>320</v>
      </c>
      <c r="D491" s="152" t="s">
        <v>194</v>
      </c>
      <c r="E491" s="708">
        <v>1</v>
      </c>
      <c r="F491" s="714" t="s">
        <v>81</v>
      </c>
      <c r="G491" s="92"/>
      <c r="H491" s="708">
        <v>127</v>
      </c>
      <c r="I491" s="92"/>
      <c r="J491" s="92"/>
      <c r="K491" s="708">
        <v>127</v>
      </c>
      <c r="L491" s="92">
        <v>2020.01</v>
      </c>
      <c r="M491" s="92">
        <v>2020.12</v>
      </c>
      <c r="N491" s="726"/>
      <c r="O491" s="726"/>
      <c r="P491" s="726"/>
      <c r="Q491" s="726"/>
      <c r="R491" s="726"/>
      <c r="S491" s="726"/>
      <c r="T491" s="726"/>
      <c r="U491" s="726"/>
      <c r="V491" s="726"/>
      <c r="W491" s="726"/>
      <c r="X491" s="726"/>
      <c r="Y491" s="763">
        <v>124</v>
      </c>
      <c r="Z491" s="763">
        <v>127</v>
      </c>
      <c r="AA491" s="708">
        <v>1</v>
      </c>
      <c r="AB491" s="708"/>
      <c r="AC491" s="708"/>
      <c r="AD491" s="146" t="s">
        <v>249</v>
      </c>
      <c r="AE491" s="146" t="s">
        <v>343</v>
      </c>
      <c r="AF491" s="438" t="s">
        <v>358</v>
      </c>
      <c r="AG491" s="708"/>
    </row>
    <row r="492" s="570" customFormat="1" ht="24.95" customHeight="1" spans="1:33">
      <c r="A492" s="705"/>
      <c r="B492" s="714" t="s">
        <v>98</v>
      </c>
      <c r="C492" s="146" t="s">
        <v>320</v>
      </c>
      <c r="D492" s="152" t="s">
        <v>194</v>
      </c>
      <c r="E492" s="708">
        <v>1</v>
      </c>
      <c r="F492" s="714" t="s">
        <v>98</v>
      </c>
      <c r="G492" s="92"/>
      <c r="H492" s="708">
        <v>340</v>
      </c>
      <c r="I492" s="92"/>
      <c r="J492" s="92"/>
      <c r="K492" s="708">
        <v>340</v>
      </c>
      <c r="L492" s="92">
        <v>2020.01</v>
      </c>
      <c r="M492" s="92">
        <v>2020.12</v>
      </c>
      <c r="N492" s="726"/>
      <c r="O492" s="726"/>
      <c r="P492" s="726"/>
      <c r="Q492" s="726"/>
      <c r="R492" s="726"/>
      <c r="S492" s="726"/>
      <c r="T492" s="726"/>
      <c r="U492" s="726"/>
      <c r="V492" s="726"/>
      <c r="W492" s="726"/>
      <c r="X492" s="726"/>
      <c r="Y492" s="763">
        <v>340</v>
      </c>
      <c r="Z492" s="763">
        <v>1490</v>
      </c>
      <c r="AA492" s="708">
        <v>1</v>
      </c>
      <c r="AB492" s="708"/>
      <c r="AC492" s="708"/>
      <c r="AD492" s="146" t="s">
        <v>305</v>
      </c>
      <c r="AE492" s="146" t="s">
        <v>362</v>
      </c>
      <c r="AF492" s="438" t="s">
        <v>358</v>
      </c>
      <c r="AG492" s="708"/>
    </row>
    <row r="493" s="570" customFormat="1" ht="24.95" customHeight="1" spans="1:33">
      <c r="A493" s="705"/>
      <c r="B493" s="714" t="s">
        <v>211</v>
      </c>
      <c r="C493" s="146" t="s">
        <v>320</v>
      </c>
      <c r="D493" s="152" t="s">
        <v>194</v>
      </c>
      <c r="E493" s="708">
        <v>1</v>
      </c>
      <c r="F493" s="714" t="s">
        <v>211</v>
      </c>
      <c r="G493" s="92"/>
      <c r="H493" s="708">
        <v>121</v>
      </c>
      <c r="I493" s="92"/>
      <c r="J493" s="92"/>
      <c r="K493" s="708">
        <v>121</v>
      </c>
      <c r="L493" s="92">
        <v>2020.01</v>
      </c>
      <c r="M493" s="92">
        <v>2020.12</v>
      </c>
      <c r="N493" s="726"/>
      <c r="O493" s="726"/>
      <c r="P493" s="726"/>
      <c r="Q493" s="726"/>
      <c r="R493" s="726"/>
      <c r="S493" s="726"/>
      <c r="T493" s="726"/>
      <c r="U493" s="726"/>
      <c r="V493" s="726"/>
      <c r="W493" s="726"/>
      <c r="X493" s="726"/>
      <c r="Y493" s="763">
        <v>101</v>
      </c>
      <c r="Z493" s="763">
        <v>101</v>
      </c>
      <c r="AA493" s="708">
        <v>1</v>
      </c>
      <c r="AB493" s="708"/>
      <c r="AC493" s="708"/>
      <c r="AD493" s="146" t="s">
        <v>176</v>
      </c>
      <c r="AE493" s="146" t="s">
        <v>363</v>
      </c>
      <c r="AF493" s="438" t="s">
        <v>358</v>
      </c>
      <c r="AG493" s="708"/>
    </row>
    <row r="494" s="570" customFormat="1" ht="24.95" customHeight="1" spans="1:33">
      <c r="A494" s="705"/>
      <c r="B494" s="714" t="s">
        <v>155</v>
      </c>
      <c r="C494" s="146" t="s">
        <v>320</v>
      </c>
      <c r="D494" s="152" t="s">
        <v>194</v>
      </c>
      <c r="E494" s="708">
        <v>1</v>
      </c>
      <c r="F494" s="714" t="s">
        <v>155</v>
      </c>
      <c r="G494" s="92"/>
      <c r="H494" s="708">
        <v>68</v>
      </c>
      <c r="I494" s="92"/>
      <c r="J494" s="92"/>
      <c r="K494" s="708">
        <v>68</v>
      </c>
      <c r="L494" s="92">
        <v>2020.01</v>
      </c>
      <c r="M494" s="92">
        <v>2020.12</v>
      </c>
      <c r="N494" s="726"/>
      <c r="O494" s="726"/>
      <c r="P494" s="726"/>
      <c r="Q494" s="726"/>
      <c r="R494" s="726"/>
      <c r="S494" s="726"/>
      <c r="T494" s="726"/>
      <c r="U494" s="726"/>
      <c r="V494" s="726"/>
      <c r="W494" s="726"/>
      <c r="X494" s="726"/>
      <c r="Y494" s="763">
        <v>68</v>
      </c>
      <c r="Z494" s="763">
        <v>68</v>
      </c>
      <c r="AA494" s="708">
        <v>1</v>
      </c>
      <c r="AB494" s="708"/>
      <c r="AC494" s="708"/>
      <c r="AD494" s="146" t="s">
        <v>309</v>
      </c>
      <c r="AE494" s="146" t="s">
        <v>364</v>
      </c>
      <c r="AF494" s="438" t="s">
        <v>358</v>
      </c>
      <c r="AG494" s="708"/>
    </row>
    <row r="495" s="570" customFormat="1" ht="24.95" customHeight="1" spans="1:33">
      <c r="A495" s="705"/>
      <c r="B495" s="714" t="s">
        <v>102</v>
      </c>
      <c r="C495" s="146" t="s">
        <v>320</v>
      </c>
      <c r="D495" s="152" t="s">
        <v>194</v>
      </c>
      <c r="E495" s="708">
        <v>1</v>
      </c>
      <c r="F495" s="714" t="s">
        <v>102</v>
      </c>
      <c r="G495" s="92"/>
      <c r="H495" s="708">
        <v>282</v>
      </c>
      <c r="I495" s="92"/>
      <c r="J495" s="92"/>
      <c r="K495" s="708">
        <v>282</v>
      </c>
      <c r="L495" s="92">
        <v>2020.01</v>
      </c>
      <c r="M495" s="92">
        <v>2020.12</v>
      </c>
      <c r="N495" s="726"/>
      <c r="O495" s="726"/>
      <c r="P495" s="726"/>
      <c r="Q495" s="726"/>
      <c r="R495" s="726"/>
      <c r="S495" s="726"/>
      <c r="T495" s="726"/>
      <c r="U495" s="726"/>
      <c r="V495" s="726"/>
      <c r="W495" s="726"/>
      <c r="X495" s="726"/>
      <c r="Y495" s="763">
        <v>282</v>
      </c>
      <c r="Z495" s="763">
        <v>282</v>
      </c>
      <c r="AA495" s="708">
        <v>1</v>
      </c>
      <c r="AB495" s="708"/>
      <c r="AC495" s="708"/>
      <c r="AD495" s="146" t="s">
        <v>180</v>
      </c>
      <c r="AE495" s="146" t="s">
        <v>365</v>
      </c>
      <c r="AF495" s="438" t="s">
        <v>358</v>
      </c>
      <c r="AG495" s="708"/>
    </row>
    <row r="496" s="570" customFormat="1" ht="24.95" customHeight="1" spans="1:33">
      <c r="A496" s="705"/>
      <c r="B496" s="714" t="s">
        <v>100</v>
      </c>
      <c r="C496" s="146" t="s">
        <v>320</v>
      </c>
      <c r="D496" s="152" t="s">
        <v>194</v>
      </c>
      <c r="E496" s="708">
        <v>1</v>
      </c>
      <c r="F496" s="714" t="s">
        <v>100</v>
      </c>
      <c r="G496" s="92"/>
      <c r="H496" s="708">
        <v>178</v>
      </c>
      <c r="I496" s="92"/>
      <c r="J496" s="92"/>
      <c r="K496" s="708">
        <v>178</v>
      </c>
      <c r="L496" s="92">
        <v>2020.01</v>
      </c>
      <c r="M496" s="92">
        <v>2020.12</v>
      </c>
      <c r="N496" s="726"/>
      <c r="O496" s="726"/>
      <c r="P496" s="726"/>
      <c r="Q496" s="726"/>
      <c r="R496" s="726"/>
      <c r="S496" s="726"/>
      <c r="T496" s="726"/>
      <c r="U496" s="726"/>
      <c r="V496" s="726"/>
      <c r="W496" s="726"/>
      <c r="X496" s="726"/>
      <c r="Y496" s="763">
        <v>170</v>
      </c>
      <c r="Z496" s="763">
        <v>178</v>
      </c>
      <c r="AA496" s="708">
        <v>1</v>
      </c>
      <c r="AB496" s="708"/>
      <c r="AC496" s="708"/>
      <c r="AD496" s="146" t="s">
        <v>330</v>
      </c>
      <c r="AE496" s="146" t="s">
        <v>257</v>
      </c>
      <c r="AF496" s="438" t="s">
        <v>358</v>
      </c>
      <c r="AG496" s="708"/>
    </row>
    <row r="497" s="570" customFormat="1" ht="24.95" customHeight="1" spans="1:33">
      <c r="A497" s="705"/>
      <c r="B497" s="714" t="s">
        <v>84</v>
      </c>
      <c r="C497" s="146" t="s">
        <v>320</v>
      </c>
      <c r="D497" s="152" t="s">
        <v>194</v>
      </c>
      <c r="E497" s="708">
        <v>1</v>
      </c>
      <c r="F497" s="714" t="s">
        <v>84</v>
      </c>
      <c r="G497" s="92"/>
      <c r="H497" s="708">
        <v>3</v>
      </c>
      <c r="I497" s="92"/>
      <c r="J497" s="92"/>
      <c r="K497" s="708">
        <v>3</v>
      </c>
      <c r="L497" s="92">
        <v>2020.01</v>
      </c>
      <c r="M497" s="92">
        <v>2020.12</v>
      </c>
      <c r="N497" s="726"/>
      <c r="O497" s="726"/>
      <c r="P497" s="726"/>
      <c r="Q497" s="726"/>
      <c r="R497" s="726"/>
      <c r="S497" s="726"/>
      <c r="T497" s="726"/>
      <c r="U497" s="726"/>
      <c r="V497" s="726"/>
      <c r="W497" s="726"/>
      <c r="X497" s="726"/>
      <c r="Y497" s="763">
        <v>3</v>
      </c>
      <c r="Z497" s="763">
        <v>3</v>
      </c>
      <c r="AA497" s="708">
        <v>1</v>
      </c>
      <c r="AB497" s="708"/>
      <c r="AC497" s="708"/>
      <c r="AD497" s="146" t="s">
        <v>65</v>
      </c>
      <c r="AE497" s="146" t="s">
        <v>258</v>
      </c>
      <c r="AF497" s="438" t="s">
        <v>358</v>
      </c>
      <c r="AG497" s="708"/>
    </row>
    <row r="498" s="570" customFormat="1" ht="24.95" customHeight="1" spans="1:33">
      <c r="A498" s="705"/>
      <c r="B498" s="714" t="s">
        <v>259</v>
      </c>
      <c r="C498" s="146" t="s">
        <v>320</v>
      </c>
      <c r="D498" s="152" t="s">
        <v>194</v>
      </c>
      <c r="E498" s="708">
        <v>1</v>
      </c>
      <c r="F498" s="714" t="s">
        <v>259</v>
      </c>
      <c r="G498" s="92"/>
      <c r="H498" s="708">
        <v>28</v>
      </c>
      <c r="I498" s="92"/>
      <c r="J498" s="92"/>
      <c r="K498" s="708">
        <v>28</v>
      </c>
      <c r="L498" s="92">
        <v>2020.01</v>
      </c>
      <c r="M498" s="92">
        <v>2020.12</v>
      </c>
      <c r="N498" s="726"/>
      <c r="O498" s="726"/>
      <c r="P498" s="726"/>
      <c r="Q498" s="726"/>
      <c r="R498" s="726"/>
      <c r="S498" s="726"/>
      <c r="T498" s="726"/>
      <c r="U498" s="726"/>
      <c r="V498" s="726"/>
      <c r="W498" s="726"/>
      <c r="X498" s="726"/>
      <c r="Y498" s="763">
        <v>27</v>
      </c>
      <c r="Z498" s="763">
        <v>28</v>
      </c>
      <c r="AA498" s="708">
        <v>1</v>
      </c>
      <c r="AB498" s="708"/>
      <c r="AC498" s="708"/>
      <c r="AD498" s="146" t="s">
        <v>366</v>
      </c>
      <c r="AE498" s="146" t="s">
        <v>367</v>
      </c>
      <c r="AF498" s="438" t="s">
        <v>358</v>
      </c>
      <c r="AG498" s="708"/>
    </row>
    <row r="499" s="570" customFormat="1" ht="24.95" customHeight="1" spans="1:33">
      <c r="A499" s="705" t="s">
        <v>48</v>
      </c>
      <c r="B499" s="714" t="s">
        <v>143</v>
      </c>
      <c r="C499" s="146" t="s">
        <v>320</v>
      </c>
      <c r="D499" s="152" t="s">
        <v>194</v>
      </c>
      <c r="E499" s="708">
        <v>1</v>
      </c>
      <c r="F499" s="714" t="s">
        <v>143</v>
      </c>
      <c r="G499" s="92"/>
      <c r="H499" s="92">
        <v>139</v>
      </c>
      <c r="I499" s="92"/>
      <c r="J499" s="92"/>
      <c r="K499" s="92">
        <v>139</v>
      </c>
      <c r="L499" s="92">
        <v>2020.01</v>
      </c>
      <c r="M499" s="92">
        <v>2020.12</v>
      </c>
      <c r="N499" s="92"/>
      <c r="O499" s="92"/>
      <c r="P499" s="92"/>
      <c r="Q499" s="92"/>
      <c r="R499" s="92"/>
      <c r="S499" s="92"/>
      <c r="T499" s="92"/>
      <c r="U499" s="92"/>
      <c r="V499" s="92"/>
      <c r="W499" s="92"/>
      <c r="X499" s="92"/>
      <c r="Y499" s="738">
        <v>120</v>
      </c>
      <c r="Z499" s="738">
        <v>509</v>
      </c>
      <c r="AA499" s="708">
        <v>1</v>
      </c>
      <c r="AB499" s="92"/>
      <c r="AC499" s="92"/>
      <c r="AD499" s="775" t="s">
        <v>368</v>
      </c>
      <c r="AE499" s="146" t="s">
        <v>369</v>
      </c>
      <c r="AF499" s="438" t="s">
        <v>358</v>
      </c>
      <c r="AG499" s="92"/>
    </row>
    <row r="500" s="570" customFormat="1" ht="24.95" customHeight="1" spans="1:33">
      <c r="A500" s="705">
        <v>62</v>
      </c>
      <c r="B500" s="708" t="s">
        <v>370</v>
      </c>
      <c r="C500" s="708"/>
      <c r="D500" s="709" t="s">
        <v>147</v>
      </c>
      <c r="E500" s="708"/>
      <c r="F500" s="708"/>
      <c r="G500" s="708"/>
      <c r="H500" s="708"/>
      <c r="I500" s="92"/>
      <c r="J500" s="92"/>
      <c r="K500" s="708"/>
      <c r="L500" s="92"/>
      <c r="M500" s="92"/>
      <c r="N500" s="726"/>
      <c r="O500" s="726"/>
      <c r="P500" s="726"/>
      <c r="Q500" s="726"/>
      <c r="R500" s="726"/>
      <c r="S500" s="726"/>
      <c r="T500" s="726"/>
      <c r="U500" s="726"/>
      <c r="V500" s="726"/>
      <c r="W500" s="726"/>
      <c r="X500" s="726"/>
      <c r="Y500" s="726"/>
      <c r="Z500" s="726"/>
      <c r="AA500" s="708"/>
      <c r="AB500" s="708"/>
      <c r="AC500" s="708"/>
      <c r="AD500" s="708"/>
      <c r="AE500" s="708"/>
      <c r="AF500" s="708" t="s">
        <v>358</v>
      </c>
      <c r="AG500" s="708" t="s">
        <v>41</v>
      </c>
    </row>
    <row r="501" s="570" customFormat="1" ht="24.95" customHeight="1" spans="1:33">
      <c r="A501" s="705" t="s">
        <v>48</v>
      </c>
      <c r="B501" s="92" t="s">
        <v>148</v>
      </c>
      <c r="C501" s="92"/>
      <c r="D501" s="76"/>
      <c r="E501" s="92"/>
      <c r="F501" s="92"/>
      <c r="G501" s="9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row>
    <row r="502" s="570" customFormat="1" ht="24.95" customHeight="1" spans="1:33">
      <c r="A502" s="705">
        <v>62</v>
      </c>
      <c r="B502" s="750" t="s">
        <v>371</v>
      </c>
      <c r="C502" s="146" t="s">
        <v>52</v>
      </c>
      <c r="D502" s="152" t="s">
        <v>147</v>
      </c>
      <c r="E502" s="708">
        <f>SUM(E503:E514)</f>
        <v>12</v>
      </c>
      <c r="F502" s="708">
        <f t="shared" ref="F502:AA502" si="59">SUM(F503:F514)</f>
        <v>0</v>
      </c>
      <c r="G502" s="708">
        <f t="shared" si="59"/>
        <v>0</v>
      </c>
      <c r="H502" s="708">
        <f t="shared" si="59"/>
        <v>113</v>
      </c>
      <c r="I502" s="708">
        <f t="shared" si="59"/>
        <v>0</v>
      </c>
      <c r="J502" s="708">
        <f t="shared" si="59"/>
        <v>0</v>
      </c>
      <c r="K502" s="708">
        <f t="shared" si="59"/>
        <v>113</v>
      </c>
      <c r="L502" s="708"/>
      <c r="M502" s="708"/>
      <c r="N502" s="708">
        <f t="shared" si="59"/>
        <v>97.2</v>
      </c>
      <c r="O502" s="708">
        <f t="shared" si="59"/>
        <v>0</v>
      </c>
      <c r="P502" s="708">
        <f t="shared" si="59"/>
        <v>0</v>
      </c>
      <c r="Q502" s="708">
        <f t="shared" si="59"/>
        <v>97.2</v>
      </c>
      <c r="R502" s="708">
        <f t="shared" si="59"/>
        <v>97.2</v>
      </c>
      <c r="S502" s="708">
        <f t="shared" si="59"/>
        <v>0</v>
      </c>
      <c r="T502" s="708">
        <f t="shared" si="59"/>
        <v>0</v>
      </c>
      <c r="U502" s="708">
        <f t="shared" si="59"/>
        <v>0</v>
      </c>
      <c r="V502" s="708">
        <f t="shared" si="59"/>
        <v>0</v>
      </c>
      <c r="W502" s="708">
        <f t="shared" si="59"/>
        <v>0</v>
      </c>
      <c r="X502" s="708">
        <f t="shared" si="59"/>
        <v>0</v>
      </c>
      <c r="Y502" s="708">
        <f t="shared" si="59"/>
        <v>9706</v>
      </c>
      <c r="Z502" s="708">
        <f t="shared" si="59"/>
        <v>37821</v>
      </c>
      <c r="AA502" s="708">
        <f t="shared" si="59"/>
        <v>12</v>
      </c>
      <c r="AB502" s="708"/>
      <c r="AC502" s="708"/>
      <c r="AD502" s="146" t="s">
        <v>356</v>
      </c>
      <c r="AE502" s="146" t="s">
        <v>372</v>
      </c>
      <c r="AF502" s="146" t="s">
        <v>358</v>
      </c>
      <c r="AG502" s="708" t="s">
        <v>41</v>
      </c>
    </row>
    <row r="503" s="570" customFormat="1" ht="24.95" customHeight="1" spans="1:33">
      <c r="A503" s="705" t="s">
        <v>48</v>
      </c>
      <c r="B503" s="714" t="s">
        <v>101</v>
      </c>
      <c r="C503" s="146" t="s">
        <v>52</v>
      </c>
      <c r="D503" s="152" t="s">
        <v>147</v>
      </c>
      <c r="E503" s="92">
        <v>1</v>
      </c>
      <c r="F503" s="714" t="s">
        <v>101</v>
      </c>
      <c r="G503" s="92"/>
      <c r="H503" s="92">
        <v>5</v>
      </c>
      <c r="I503" s="92"/>
      <c r="J503" s="92"/>
      <c r="K503" s="92">
        <v>5</v>
      </c>
      <c r="L503" s="92">
        <v>2020.01</v>
      </c>
      <c r="M503" s="92">
        <v>2020.12</v>
      </c>
      <c r="N503" s="92">
        <v>3.6</v>
      </c>
      <c r="O503" s="92"/>
      <c r="P503" s="92"/>
      <c r="Q503" s="92">
        <v>3.6</v>
      </c>
      <c r="R503" s="92">
        <v>3.6</v>
      </c>
      <c r="S503" s="92"/>
      <c r="T503" s="92"/>
      <c r="U503" s="92"/>
      <c r="V503" s="92"/>
      <c r="W503" s="92"/>
      <c r="X503" s="92"/>
      <c r="Y503" s="738">
        <v>36</v>
      </c>
      <c r="Z503" s="738">
        <v>149</v>
      </c>
      <c r="AA503" s="92">
        <v>1</v>
      </c>
      <c r="AB503" s="92"/>
      <c r="AC503" s="92"/>
      <c r="AD503" s="146" t="s">
        <v>298</v>
      </c>
      <c r="AE503" s="146" t="s">
        <v>359</v>
      </c>
      <c r="AF503" s="146" t="s">
        <v>358</v>
      </c>
      <c r="AG503" s="92"/>
    </row>
    <row r="504" s="570" customFormat="1" ht="28" customHeight="1" spans="1:33">
      <c r="A504" s="705">
        <v>63</v>
      </c>
      <c r="B504" s="714" t="s">
        <v>151</v>
      </c>
      <c r="C504" s="146" t="s">
        <v>52</v>
      </c>
      <c r="D504" s="152" t="s">
        <v>147</v>
      </c>
      <c r="E504" s="92">
        <v>1</v>
      </c>
      <c r="F504" s="714" t="s">
        <v>151</v>
      </c>
      <c r="G504" s="706"/>
      <c r="H504" s="706">
        <v>10</v>
      </c>
      <c r="I504" s="92"/>
      <c r="J504" s="92"/>
      <c r="K504" s="706">
        <v>10</v>
      </c>
      <c r="L504" s="92">
        <v>2020.01</v>
      </c>
      <c r="M504" s="92">
        <v>2020.12</v>
      </c>
      <c r="N504" s="725">
        <v>21.6</v>
      </c>
      <c r="O504" s="92"/>
      <c r="P504" s="92"/>
      <c r="Q504" s="725">
        <v>21.6</v>
      </c>
      <c r="R504" s="725">
        <v>21.6</v>
      </c>
      <c r="S504" s="725"/>
      <c r="T504" s="725"/>
      <c r="U504" s="725"/>
      <c r="V504" s="725"/>
      <c r="W504" s="786"/>
      <c r="X504" s="786"/>
      <c r="Y504" s="788">
        <v>968</v>
      </c>
      <c r="Z504" s="788">
        <v>4159</v>
      </c>
      <c r="AA504" s="92">
        <v>1</v>
      </c>
      <c r="AB504" s="706"/>
      <c r="AC504" s="706"/>
      <c r="AD504" s="146" t="s">
        <v>373</v>
      </c>
      <c r="AE504" s="146" t="s">
        <v>374</v>
      </c>
      <c r="AF504" s="146" t="s">
        <v>358</v>
      </c>
      <c r="AG504" s="706" t="s">
        <v>41</v>
      </c>
    </row>
    <row r="505" s="570" customFormat="1" ht="32" customHeight="1" spans="1:33">
      <c r="A505" s="705">
        <v>64</v>
      </c>
      <c r="B505" s="714" t="s">
        <v>154</v>
      </c>
      <c r="C505" s="146" t="s">
        <v>52</v>
      </c>
      <c r="D505" s="152" t="s">
        <v>147</v>
      </c>
      <c r="E505" s="92">
        <v>1</v>
      </c>
      <c r="F505" s="714" t="s">
        <v>154</v>
      </c>
      <c r="G505" s="708"/>
      <c r="H505" s="708">
        <v>10</v>
      </c>
      <c r="I505" s="92"/>
      <c r="J505" s="92"/>
      <c r="K505" s="708">
        <v>10</v>
      </c>
      <c r="L505" s="92">
        <v>2020.01</v>
      </c>
      <c r="M505" s="92">
        <v>2020.12</v>
      </c>
      <c r="N505" s="726">
        <v>7.2</v>
      </c>
      <c r="O505" s="92"/>
      <c r="P505" s="92"/>
      <c r="Q505" s="726">
        <v>7.2</v>
      </c>
      <c r="R505" s="726">
        <v>7.2</v>
      </c>
      <c r="S505" s="726"/>
      <c r="T505" s="726"/>
      <c r="U505" s="726"/>
      <c r="V505" s="726"/>
      <c r="W505" s="726"/>
      <c r="X505" s="726"/>
      <c r="Y505" s="763">
        <v>1066</v>
      </c>
      <c r="Z505" s="763">
        <v>4416</v>
      </c>
      <c r="AA505" s="92">
        <v>1</v>
      </c>
      <c r="AB505" s="708"/>
      <c r="AC505" s="708"/>
      <c r="AD505" s="146" t="s">
        <v>360</v>
      </c>
      <c r="AE505" s="146" t="s">
        <v>361</v>
      </c>
      <c r="AF505" s="146" t="s">
        <v>358</v>
      </c>
      <c r="AG505" s="708" t="s">
        <v>41</v>
      </c>
    </row>
    <row r="506" s="570" customFormat="1" ht="24.95" customHeight="1" spans="1:33">
      <c r="A506" s="705" t="s">
        <v>48</v>
      </c>
      <c r="B506" s="714" t="s">
        <v>81</v>
      </c>
      <c r="C506" s="146" t="s">
        <v>52</v>
      </c>
      <c r="D506" s="152" t="s">
        <v>147</v>
      </c>
      <c r="E506" s="92">
        <v>1</v>
      </c>
      <c r="F506" s="714" t="s">
        <v>81</v>
      </c>
      <c r="G506" s="92"/>
      <c r="H506" s="92">
        <v>10</v>
      </c>
      <c r="I506" s="92"/>
      <c r="J506" s="92"/>
      <c r="K506" s="92">
        <v>10</v>
      </c>
      <c r="L506" s="92">
        <v>2020.01</v>
      </c>
      <c r="M506" s="92">
        <v>2020.12</v>
      </c>
      <c r="N506" s="738">
        <v>7.2</v>
      </c>
      <c r="O506" s="92"/>
      <c r="P506" s="92"/>
      <c r="Q506" s="738">
        <v>7.2</v>
      </c>
      <c r="R506" s="738">
        <v>7.2</v>
      </c>
      <c r="S506" s="738"/>
      <c r="T506" s="738"/>
      <c r="U506" s="738"/>
      <c r="V506" s="738"/>
      <c r="W506" s="738"/>
      <c r="X506" s="738"/>
      <c r="Y506" s="738">
        <v>1146</v>
      </c>
      <c r="Z506" s="738">
        <v>340</v>
      </c>
      <c r="AA506" s="92">
        <v>1</v>
      </c>
      <c r="AB506" s="92"/>
      <c r="AC506" s="92"/>
      <c r="AD506" s="146" t="s">
        <v>375</v>
      </c>
      <c r="AE506" s="146" t="s">
        <v>376</v>
      </c>
      <c r="AF506" s="146" t="s">
        <v>358</v>
      </c>
      <c r="AG506" s="92"/>
    </row>
    <row r="507" s="570" customFormat="1" ht="24.95" customHeight="1" spans="1:33">
      <c r="A507" s="705">
        <v>65</v>
      </c>
      <c r="B507" s="714" t="s">
        <v>98</v>
      </c>
      <c r="C507" s="146" t="s">
        <v>52</v>
      </c>
      <c r="D507" s="152" t="s">
        <v>147</v>
      </c>
      <c r="E507" s="92">
        <v>1</v>
      </c>
      <c r="F507" s="714" t="s">
        <v>98</v>
      </c>
      <c r="G507" s="706"/>
      <c r="H507" s="706">
        <v>3</v>
      </c>
      <c r="I507" s="92"/>
      <c r="J507" s="92"/>
      <c r="K507" s="706">
        <v>3</v>
      </c>
      <c r="L507" s="92">
        <v>2020.01</v>
      </c>
      <c r="M507" s="92">
        <v>2020.12</v>
      </c>
      <c r="N507" s="725">
        <v>2.16</v>
      </c>
      <c r="O507" s="92"/>
      <c r="P507" s="92"/>
      <c r="Q507" s="725">
        <v>2.16</v>
      </c>
      <c r="R507" s="725">
        <v>2.16</v>
      </c>
      <c r="S507" s="725"/>
      <c r="T507" s="725"/>
      <c r="U507" s="725"/>
      <c r="V507" s="725"/>
      <c r="W507" s="786"/>
      <c r="X507" s="786"/>
      <c r="Y507" s="788">
        <v>439</v>
      </c>
      <c r="Z507" s="788">
        <v>1778</v>
      </c>
      <c r="AA507" s="92">
        <v>1</v>
      </c>
      <c r="AB507" s="706"/>
      <c r="AC507" s="706"/>
      <c r="AD507" s="146" t="s">
        <v>305</v>
      </c>
      <c r="AE507" s="146" t="s">
        <v>362</v>
      </c>
      <c r="AF507" s="146" t="s">
        <v>358</v>
      </c>
      <c r="AG507" s="706"/>
    </row>
    <row r="508" s="570" customFormat="1" ht="24.95" customHeight="1" spans="1:33">
      <c r="A508" s="705">
        <v>66</v>
      </c>
      <c r="B508" s="714" t="s">
        <v>211</v>
      </c>
      <c r="C508" s="146" t="s">
        <v>52</v>
      </c>
      <c r="D508" s="152" t="s">
        <v>147</v>
      </c>
      <c r="E508" s="92">
        <v>1</v>
      </c>
      <c r="F508" s="714" t="s">
        <v>211</v>
      </c>
      <c r="G508" s="708"/>
      <c r="H508" s="708">
        <v>20</v>
      </c>
      <c r="I508" s="92"/>
      <c r="J508" s="92"/>
      <c r="K508" s="708">
        <v>20</v>
      </c>
      <c r="L508" s="92">
        <v>2020.01</v>
      </c>
      <c r="M508" s="92">
        <v>2020.12</v>
      </c>
      <c r="N508" s="726">
        <v>14.4</v>
      </c>
      <c r="O508" s="92"/>
      <c r="P508" s="92"/>
      <c r="Q508" s="726">
        <v>14.4</v>
      </c>
      <c r="R508" s="726">
        <v>14.4</v>
      </c>
      <c r="S508" s="726"/>
      <c r="T508" s="726"/>
      <c r="U508" s="726"/>
      <c r="V508" s="726"/>
      <c r="W508" s="726"/>
      <c r="X508" s="726"/>
      <c r="Y508" s="763">
        <v>184</v>
      </c>
      <c r="Z508" s="763">
        <v>733</v>
      </c>
      <c r="AA508" s="92">
        <v>1</v>
      </c>
      <c r="AB508" s="708"/>
      <c r="AC508" s="708"/>
      <c r="AD508" s="146" t="s">
        <v>176</v>
      </c>
      <c r="AE508" s="146" t="s">
        <v>377</v>
      </c>
      <c r="AF508" s="146" t="s">
        <v>358</v>
      </c>
      <c r="AG508" s="708"/>
    </row>
    <row r="509" s="570" customFormat="1" ht="24.95" customHeight="1" spans="1:33">
      <c r="A509" s="705" t="s">
        <v>48</v>
      </c>
      <c r="B509" s="714" t="s">
        <v>155</v>
      </c>
      <c r="C509" s="146" t="s">
        <v>52</v>
      </c>
      <c r="D509" s="152" t="s">
        <v>147</v>
      </c>
      <c r="E509" s="92">
        <v>1</v>
      </c>
      <c r="F509" s="714" t="s">
        <v>155</v>
      </c>
      <c r="G509" s="92"/>
      <c r="H509" s="92">
        <v>7</v>
      </c>
      <c r="I509" s="92"/>
      <c r="J509" s="92"/>
      <c r="K509" s="92">
        <v>7</v>
      </c>
      <c r="L509" s="92">
        <v>2020.01</v>
      </c>
      <c r="M509" s="92">
        <v>2020.12</v>
      </c>
      <c r="N509" s="92">
        <v>5.04</v>
      </c>
      <c r="O509" s="92"/>
      <c r="P509" s="92"/>
      <c r="Q509" s="92">
        <v>5.04</v>
      </c>
      <c r="R509" s="92">
        <v>5.04</v>
      </c>
      <c r="S509" s="92"/>
      <c r="T509" s="92"/>
      <c r="U509" s="92"/>
      <c r="V509" s="92"/>
      <c r="W509" s="92"/>
      <c r="X509" s="92"/>
      <c r="Y509" s="738">
        <v>529</v>
      </c>
      <c r="Z509" s="738">
        <v>2334</v>
      </c>
      <c r="AA509" s="92">
        <v>1</v>
      </c>
      <c r="AB509" s="92"/>
      <c r="AC509" s="92"/>
      <c r="AD509" s="146" t="s">
        <v>309</v>
      </c>
      <c r="AE509" s="146" t="s">
        <v>364</v>
      </c>
      <c r="AF509" s="146" t="s">
        <v>358</v>
      </c>
      <c r="AG509" s="92"/>
    </row>
    <row r="510" s="570" customFormat="1" ht="24.95" customHeight="1" spans="1:33">
      <c r="A510" s="705">
        <v>67</v>
      </c>
      <c r="B510" s="714" t="s">
        <v>102</v>
      </c>
      <c r="C510" s="146" t="s">
        <v>52</v>
      </c>
      <c r="D510" s="152" t="s">
        <v>147</v>
      </c>
      <c r="E510" s="92">
        <v>1</v>
      </c>
      <c r="F510" s="714" t="s">
        <v>102</v>
      </c>
      <c r="G510" s="708"/>
      <c r="H510" s="708">
        <v>23</v>
      </c>
      <c r="I510" s="92"/>
      <c r="J510" s="92"/>
      <c r="K510" s="708">
        <v>23</v>
      </c>
      <c r="L510" s="92">
        <v>2020.01</v>
      </c>
      <c r="M510" s="92">
        <v>2020.12</v>
      </c>
      <c r="N510" s="726">
        <v>16.56</v>
      </c>
      <c r="O510" s="92"/>
      <c r="P510" s="92"/>
      <c r="Q510" s="726">
        <v>16.56</v>
      </c>
      <c r="R510" s="726">
        <v>16.56</v>
      </c>
      <c r="S510" s="726"/>
      <c r="T510" s="726"/>
      <c r="U510" s="726"/>
      <c r="V510" s="726"/>
      <c r="W510" s="726"/>
      <c r="X510" s="726"/>
      <c r="Y510" s="763">
        <v>2973</v>
      </c>
      <c r="Z510" s="763">
        <v>13383</v>
      </c>
      <c r="AA510" s="92">
        <v>1</v>
      </c>
      <c r="AB510" s="708"/>
      <c r="AC510" s="708"/>
      <c r="AD510" s="146" t="s">
        <v>180</v>
      </c>
      <c r="AE510" s="146" t="s">
        <v>365</v>
      </c>
      <c r="AF510" s="146" t="s">
        <v>358</v>
      </c>
      <c r="AG510" s="708"/>
    </row>
    <row r="511" s="570" customFormat="1" ht="24.95" customHeight="1" spans="1:33">
      <c r="A511" s="705" t="s">
        <v>48</v>
      </c>
      <c r="B511" s="714" t="s">
        <v>100</v>
      </c>
      <c r="C511" s="146" t="s">
        <v>52</v>
      </c>
      <c r="D511" s="152" t="s">
        <v>147</v>
      </c>
      <c r="E511" s="92">
        <v>1</v>
      </c>
      <c r="F511" s="714" t="s">
        <v>100</v>
      </c>
      <c r="G511" s="92"/>
      <c r="H511" s="92">
        <v>1</v>
      </c>
      <c r="I511" s="92"/>
      <c r="J511" s="92"/>
      <c r="K511" s="92">
        <v>1</v>
      </c>
      <c r="L511" s="92">
        <v>2020.01</v>
      </c>
      <c r="M511" s="92">
        <v>2020.12</v>
      </c>
      <c r="N511" s="92">
        <v>2.16</v>
      </c>
      <c r="O511" s="92"/>
      <c r="P511" s="92"/>
      <c r="Q511" s="92">
        <v>2.16</v>
      </c>
      <c r="R511" s="92">
        <v>2.16</v>
      </c>
      <c r="S511" s="92"/>
      <c r="T511" s="92"/>
      <c r="U511" s="92"/>
      <c r="V511" s="92"/>
      <c r="W511" s="92"/>
      <c r="X511" s="92"/>
      <c r="Y511" s="738">
        <v>215</v>
      </c>
      <c r="Z511" s="738">
        <v>925</v>
      </c>
      <c r="AA511" s="92">
        <v>1</v>
      </c>
      <c r="AB511" s="92"/>
      <c r="AC511" s="92"/>
      <c r="AD511" s="146" t="s">
        <v>312</v>
      </c>
      <c r="AE511" s="146" t="s">
        <v>71</v>
      </c>
      <c r="AF511" s="146" t="s">
        <v>358</v>
      </c>
      <c r="AG511" s="92"/>
    </row>
    <row r="512" s="570" customFormat="1" ht="24.95" customHeight="1" spans="1:33">
      <c r="A512" s="705">
        <v>68</v>
      </c>
      <c r="B512" s="714" t="s">
        <v>84</v>
      </c>
      <c r="C512" s="146" t="s">
        <v>52</v>
      </c>
      <c r="D512" s="152" t="s">
        <v>147</v>
      </c>
      <c r="E512" s="92">
        <v>1</v>
      </c>
      <c r="F512" s="714" t="s">
        <v>84</v>
      </c>
      <c r="G512" s="708"/>
      <c r="H512" s="708">
        <v>6</v>
      </c>
      <c r="I512" s="92"/>
      <c r="J512" s="92"/>
      <c r="K512" s="708">
        <v>6</v>
      </c>
      <c r="L512" s="92">
        <v>2020.01</v>
      </c>
      <c r="M512" s="92">
        <v>2020.12</v>
      </c>
      <c r="N512" s="726">
        <v>4.32</v>
      </c>
      <c r="O512" s="92"/>
      <c r="P512" s="92"/>
      <c r="Q512" s="726">
        <v>4.32</v>
      </c>
      <c r="R512" s="726">
        <v>4.32</v>
      </c>
      <c r="S512" s="726"/>
      <c r="T512" s="726"/>
      <c r="U512" s="726"/>
      <c r="V512" s="726"/>
      <c r="W512" s="726"/>
      <c r="X512" s="726"/>
      <c r="Y512" s="763">
        <v>538</v>
      </c>
      <c r="Z512" s="763">
        <v>2266</v>
      </c>
      <c r="AA512" s="92">
        <v>1</v>
      </c>
      <c r="AB512" s="708"/>
      <c r="AC512" s="708"/>
      <c r="AD512" s="146" t="s">
        <v>186</v>
      </c>
      <c r="AE512" s="146" t="s">
        <v>378</v>
      </c>
      <c r="AF512" s="146" t="s">
        <v>358</v>
      </c>
      <c r="AG512" s="708"/>
    </row>
    <row r="513" s="570" customFormat="1" ht="24.95" customHeight="1" spans="1:33">
      <c r="A513" s="705" t="s">
        <v>48</v>
      </c>
      <c r="B513" s="714" t="s">
        <v>259</v>
      </c>
      <c r="C513" s="146" t="s">
        <v>52</v>
      </c>
      <c r="D513" s="152" t="s">
        <v>147</v>
      </c>
      <c r="E513" s="92">
        <v>1</v>
      </c>
      <c r="F513" s="714" t="s">
        <v>259</v>
      </c>
      <c r="G513" s="92"/>
      <c r="H513" s="92">
        <v>7</v>
      </c>
      <c r="I513" s="92"/>
      <c r="J513" s="92"/>
      <c r="K513" s="92">
        <v>7</v>
      </c>
      <c r="L513" s="92">
        <v>2020.01</v>
      </c>
      <c r="M513" s="92">
        <v>2020.12</v>
      </c>
      <c r="N513" s="92">
        <v>5.04</v>
      </c>
      <c r="O513" s="92"/>
      <c r="P513" s="92"/>
      <c r="Q513" s="92">
        <v>5.04</v>
      </c>
      <c r="R513" s="92">
        <v>5.04</v>
      </c>
      <c r="S513" s="92"/>
      <c r="T513" s="92"/>
      <c r="U513" s="92"/>
      <c r="V513" s="92"/>
      <c r="W513" s="92"/>
      <c r="X513" s="92"/>
      <c r="Y513" s="738">
        <v>368</v>
      </c>
      <c r="Z513" s="738">
        <v>1523</v>
      </c>
      <c r="AA513" s="92">
        <v>1</v>
      </c>
      <c r="AB513" s="92"/>
      <c r="AC513" s="92"/>
      <c r="AD513" s="146" t="s">
        <v>366</v>
      </c>
      <c r="AE513" s="146" t="s">
        <v>367</v>
      </c>
      <c r="AF513" s="146" t="s">
        <v>358</v>
      </c>
      <c r="AG513" s="92"/>
    </row>
    <row r="514" s="570" customFormat="1" ht="27" customHeight="1" spans="1:33">
      <c r="A514" s="705">
        <v>69</v>
      </c>
      <c r="B514" s="714" t="s">
        <v>143</v>
      </c>
      <c r="C514" s="146" t="s">
        <v>52</v>
      </c>
      <c r="D514" s="152" t="s">
        <v>147</v>
      </c>
      <c r="E514" s="92">
        <v>1</v>
      </c>
      <c r="F514" s="714" t="s">
        <v>143</v>
      </c>
      <c r="G514" s="708"/>
      <c r="H514" s="708">
        <v>11</v>
      </c>
      <c r="I514" s="92"/>
      <c r="J514" s="92"/>
      <c r="K514" s="708">
        <v>11</v>
      </c>
      <c r="L514" s="92">
        <v>2020.01</v>
      </c>
      <c r="M514" s="92">
        <v>2020.12</v>
      </c>
      <c r="N514" s="708">
        <v>7.92</v>
      </c>
      <c r="O514" s="92"/>
      <c r="P514" s="92"/>
      <c r="Q514" s="708">
        <v>7.92</v>
      </c>
      <c r="R514" s="708">
        <v>7.92</v>
      </c>
      <c r="S514" s="708"/>
      <c r="T514" s="708"/>
      <c r="U514" s="708"/>
      <c r="V514" s="708"/>
      <c r="W514" s="708"/>
      <c r="X514" s="708"/>
      <c r="Y514" s="763">
        <v>1244</v>
      </c>
      <c r="Z514" s="763">
        <v>5815</v>
      </c>
      <c r="AA514" s="92">
        <v>1</v>
      </c>
      <c r="AB514" s="708"/>
      <c r="AC514" s="708"/>
      <c r="AD514" s="146" t="s">
        <v>368</v>
      </c>
      <c r="AE514" s="146" t="s">
        <v>369</v>
      </c>
      <c r="AF514" s="146" t="s">
        <v>358</v>
      </c>
      <c r="AG514" s="708"/>
    </row>
    <row r="515" s="570" customFormat="1" ht="39" customHeight="1" spans="1:33">
      <c r="A515" s="705">
        <v>63</v>
      </c>
      <c r="B515" s="706" t="s">
        <v>379</v>
      </c>
      <c r="C515" s="706"/>
      <c r="D515" s="707"/>
      <c r="E515" s="706"/>
      <c r="F515" s="706"/>
      <c r="G515" s="706"/>
      <c r="H515" s="706"/>
      <c r="I515" s="706"/>
      <c r="J515" s="706"/>
      <c r="K515" s="706"/>
      <c r="L515" s="706"/>
      <c r="M515" s="706"/>
      <c r="N515" s="725"/>
      <c r="O515" s="725"/>
      <c r="P515" s="725"/>
      <c r="Q515" s="725"/>
      <c r="R515" s="725"/>
      <c r="S515" s="725"/>
      <c r="T515" s="725"/>
      <c r="U515" s="725"/>
      <c r="V515" s="725"/>
      <c r="W515" s="786"/>
      <c r="X515" s="786"/>
      <c r="Y515" s="786"/>
      <c r="Z515" s="786"/>
      <c r="AA515" s="789"/>
      <c r="AB515" s="706"/>
      <c r="AC515" s="706"/>
      <c r="AD515" s="706"/>
      <c r="AE515" s="706"/>
      <c r="AF515" s="706"/>
      <c r="AG515" s="706" t="s">
        <v>41</v>
      </c>
    </row>
    <row r="516" s="570" customFormat="1" ht="37" customHeight="1" spans="1:33">
      <c r="A516" s="705">
        <v>64</v>
      </c>
      <c r="B516" s="708" t="s">
        <v>380</v>
      </c>
      <c r="C516" s="708"/>
      <c r="D516" s="709" t="s">
        <v>147</v>
      </c>
      <c r="E516" s="708"/>
      <c r="F516" s="708"/>
      <c r="G516" s="708"/>
      <c r="H516" s="708"/>
      <c r="I516" s="708"/>
      <c r="J516" s="708"/>
      <c r="K516" s="708"/>
      <c r="L516" s="708"/>
      <c r="M516" s="708"/>
      <c r="N516" s="726"/>
      <c r="O516" s="726"/>
      <c r="P516" s="726"/>
      <c r="Q516" s="726"/>
      <c r="R516" s="726"/>
      <c r="S516" s="726"/>
      <c r="T516" s="726"/>
      <c r="U516" s="726"/>
      <c r="V516" s="726"/>
      <c r="W516" s="726"/>
      <c r="X516" s="726"/>
      <c r="Y516" s="726"/>
      <c r="Z516" s="726"/>
      <c r="AA516" s="708"/>
      <c r="AB516" s="708"/>
      <c r="AC516" s="708"/>
      <c r="AD516" s="708"/>
      <c r="AE516" s="708"/>
      <c r="AF516" s="708" t="s">
        <v>201</v>
      </c>
      <c r="AG516" s="708" t="s">
        <v>41</v>
      </c>
    </row>
    <row r="517" s="570" customFormat="1" ht="24.95" customHeight="1" spans="1:33">
      <c r="A517" s="705" t="s">
        <v>48</v>
      </c>
      <c r="B517" s="92" t="s">
        <v>148</v>
      </c>
      <c r="C517" s="92"/>
      <c r="D517" s="76"/>
      <c r="E517" s="92"/>
      <c r="F517" s="92"/>
      <c r="G517" s="92"/>
      <c r="H517" s="92"/>
      <c r="I517" s="92"/>
      <c r="J517" s="92"/>
      <c r="K517" s="92"/>
      <c r="L517" s="92"/>
      <c r="M517" s="92"/>
      <c r="N517" s="738"/>
      <c r="O517" s="738"/>
      <c r="P517" s="738"/>
      <c r="Q517" s="738"/>
      <c r="R517" s="738"/>
      <c r="S517" s="738"/>
      <c r="T517" s="738"/>
      <c r="U517" s="738"/>
      <c r="V517" s="738"/>
      <c r="W517" s="738"/>
      <c r="X517" s="738"/>
      <c r="Y517" s="738"/>
      <c r="Z517" s="738"/>
      <c r="AA517" s="92"/>
      <c r="AB517" s="92"/>
      <c r="AC517" s="92"/>
      <c r="AD517" s="92"/>
      <c r="AE517" s="92"/>
      <c r="AF517" s="92"/>
      <c r="AG517" s="92"/>
    </row>
    <row r="518" s="570" customFormat="1" ht="24.95" customHeight="1" spans="1:33">
      <c r="A518" s="705">
        <v>65</v>
      </c>
      <c r="B518" s="706" t="s">
        <v>381</v>
      </c>
      <c r="C518" s="706"/>
      <c r="D518" s="707"/>
      <c r="E518" s="706"/>
      <c r="F518" s="706"/>
      <c r="G518" s="706"/>
      <c r="H518" s="706"/>
      <c r="I518" s="706"/>
      <c r="J518" s="706"/>
      <c r="K518" s="706"/>
      <c r="L518" s="706"/>
      <c r="M518" s="706"/>
      <c r="N518" s="725"/>
      <c r="O518" s="725"/>
      <c r="P518" s="725"/>
      <c r="Q518" s="725"/>
      <c r="R518" s="725"/>
      <c r="S518" s="725"/>
      <c r="T518" s="725"/>
      <c r="U518" s="725"/>
      <c r="V518" s="725"/>
      <c r="W518" s="786"/>
      <c r="X518" s="786"/>
      <c r="Y518" s="786"/>
      <c r="Z518" s="786"/>
      <c r="AA518" s="789"/>
      <c r="AB518" s="706"/>
      <c r="AC518" s="706"/>
      <c r="AD518" s="706"/>
      <c r="AE518" s="706"/>
      <c r="AF518" s="706"/>
      <c r="AG518" s="706"/>
    </row>
    <row r="519" s="570" customFormat="1" ht="24.95" customHeight="1" spans="1:33">
      <c r="A519" s="705">
        <v>66</v>
      </c>
      <c r="B519" s="708" t="s">
        <v>383</v>
      </c>
      <c r="C519" s="708"/>
      <c r="D519" s="709" t="s">
        <v>384</v>
      </c>
      <c r="E519" s="708"/>
      <c r="F519" s="708"/>
      <c r="G519" s="708"/>
      <c r="H519" s="708"/>
      <c r="I519" s="708"/>
      <c r="J519" s="708"/>
      <c r="K519" s="708"/>
      <c r="L519" s="708"/>
      <c r="M519" s="708"/>
      <c r="N519" s="726"/>
      <c r="O519" s="726"/>
      <c r="P519" s="726"/>
      <c r="Q519" s="726"/>
      <c r="R519" s="726"/>
      <c r="S519" s="726"/>
      <c r="T519" s="726"/>
      <c r="U519" s="726"/>
      <c r="V519" s="726"/>
      <c r="W519" s="726"/>
      <c r="X519" s="726"/>
      <c r="Y519" s="763"/>
      <c r="Z519" s="763"/>
      <c r="AA519" s="708"/>
      <c r="AB519" s="708"/>
      <c r="AC519" s="708"/>
      <c r="AD519" s="146"/>
      <c r="AE519" s="753"/>
      <c r="AF519" s="712"/>
      <c r="AG519" s="708"/>
    </row>
    <row r="520" s="570" customFormat="1" ht="24.95" customHeight="1" spans="1:33">
      <c r="A520" s="705"/>
      <c r="B520" s="714" t="s">
        <v>101</v>
      </c>
      <c r="C520" s="146" t="s">
        <v>52</v>
      </c>
      <c r="D520" s="152" t="s">
        <v>384</v>
      </c>
      <c r="E520" s="708"/>
      <c r="F520" s="714"/>
      <c r="G520" s="708"/>
      <c r="H520" s="708"/>
      <c r="I520" s="708"/>
      <c r="J520" s="708"/>
      <c r="K520" s="708"/>
      <c r="L520" s="708"/>
      <c r="M520" s="708"/>
      <c r="N520" s="726"/>
      <c r="O520" s="726"/>
      <c r="P520" s="726"/>
      <c r="Q520" s="726"/>
      <c r="R520" s="726"/>
      <c r="S520" s="726"/>
      <c r="T520" s="726"/>
      <c r="U520" s="726"/>
      <c r="V520" s="726"/>
      <c r="W520" s="726"/>
      <c r="X520" s="726"/>
      <c r="Y520" s="763"/>
      <c r="Z520" s="763"/>
      <c r="AA520" s="708"/>
      <c r="AB520" s="708"/>
      <c r="AC520" s="708"/>
      <c r="AD520" s="146"/>
      <c r="AE520" s="146"/>
      <c r="AF520" s="438"/>
      <c r="AG520" s="708"/>
    </row>
    <row r="521" s="570" customFormat="1" ht="24.95" customHeight="1" spans="1:33">
      <c r="A521" s="705"/>
      <c r="B521" s="714" t="s">
        <v>151</v>
      </c>
      <c r="C521" s="146" t="s">
        <v>52</v>
      </c>
      <c r="D521" s="152" t="s">
        <v>384</v>
      </c>
      <c r="E521" s="708"/>
      <c r="F521" s="714"/>
      <c r="G521" s="708"/>
      <c r="H521" s="708"/>
      <c r="I521" s="708"/>
      <c r="J521" s="708"/>
      <c r="K521" s="708"/>
      <c r="L521" s="708"/>
      <c r="M521" s="708"/>
      <c r="N521" s="726"/>
      <c r="O521" s="726"/>
      <c r="P521" s="726"/>
      <c r="Q521" s="726"/>
      <c r="R521" s="726"/>
      <c r="S521" s="726"/>
      <c r="T521" s="726"/>
      <c r="U521" s="726"/>
      <c r="V521" s="726"/>
      <c r="W521" s="726"/>
      <c r="X521" s="726"/>
      <c r="Y521" s="763"/>
      <c r="Z521" s="763"/>
      <c r="AA521" s="708"/>
      <c r="AB521" s="708"/>
      <c r="AC521" s="708"/>
      <c r="AD521" s="146"/>
      <c r="AE521" s="146"/>
      <c r="AF521" s="438"/>
      <c r="AG521" s="708"/>
    </row>
    <row r="522" s="570" customFormat="1" ht="24.95" customHeight="1" spans="1:33">
      <c r="A522" s="705"/>
      <c r="B522" s="714" t="s">
        <v>154</v>
      </c>
      <c r="C522" s="146" t="s">
        <v>52</v>
      </c>
      <c r="D522" s="152" t="s">
        <v>384</v>
      </c>
      <c r="E522" s="708"/>
      <c r="F522" s="714"/>
      <c r="G522" s="708"/>
      <c r="H522" s="708"/>
      <c r="I522" s="708"/>
      <c r="J522" s="708"/>
      <c r="K522" s="708"/>
      <c r="L522" s="708"/>
      <c r="M522" s="708"/>
      <c r="N522" s="726"/>
      <c r="O522" s="726"/>
      <c r="P522" s="726"/>
      <c r="Q522" s="726"/>
      <c r="R522" s="726"/>
      <c r="S522" s="726"/>
      <c r="T522" s="726"/>
      <c r="U522" s="726"/>
      <c r="V522" s="726"/>
      <c r="W522" s="726"/>
      <c r="X522" s="726"/>
      <c r="Y522" s="763"/>
      <c r="Z522" s="763"/>
      <c r="AA522" s="708"/>
      <c r="AB522" s="708"/>
      <c r="AC522" s="708"/>
      <c r="AD522" s="146"/>
      <c r="AE522" s="146"/>
      <c r="AF522" s="438"/>
      <c r="AG522" s="708"/>
    </row>
    <row r="523" s="570" customFormat="1" ht="24.95" customHeight="1" spans="1:33">
      <c r="A523" s="705"/>
      <c r="B523" s="714" t="s">
        <v>81</v>
      </c>
      <c r="C523" s="146" t="s">
        <v>52</v>
      </c>
      <c r="D523" s="152" t="s">
        <v>384</v>
      </c>
      <c r="E523" s="708"/>
      <c r="F523" s="714"/>
      <c r="G523" s="708"/>
      <c r="H523" s="708"/>
      <c r="I523" s="708"/>
      <c r="J523" s="708"/>
      <c r="K523" s="708"/>
      <c r="L523" s="708"/>
      <c r="M523" s="708"/>
      <c r="N523" s="726"/>
      <c r="O523" s="726"/>
      <c r="P523" s="726"/>
      <c r="Q523" s="726"/>
      <c r="R523" s="726"/>
      <c r="S523" s="726"/>
      <c r="T523" s="726"/>
      <c r="U523" s="726"/>
      <c r="V523" s="726"/>
      <c r="W523" s="726"/>
      <c r="X523" s="726"/>
      <c r="Y523" s="763"/>
      <c r="Z523" s="763"/>
      <c r="AA523" s="708"/>
      <c r="AB523" s="708"/>
      <c r="AC523" s="708"/>
      <c r="AD523" s="146"/>
      <c r="AE523" s="146"/>
      <c r="AF523" s="438"/>
      <c r="AG523" s="708"/>
    </row>
    <row r="524" s="570" customFormat="1" ht="24.95" customHeight="1" spans="1:33">
      <c r="A524" s="705"/>
      <c r="B524" s="714" t="s">
        <v>98</v>
      </c>
      <c r="C524" s="146" t="s">
        <v>52</v>
      </c>
      <c r="D524" s="152" t="s">
        <v>384</v>
      </c>
      <c r="E524" s="708"/>
      <c r="F524" s="714"/>
      <c r="G524" s="708"/>
      <c r="H524" s="708"/>
      <c r="I524" s="708"/>
      <c r="J524" s="708"/>
      <c r="K524" s="708"/>
      <c r="L524" s="708"/>
      <c r="M524" s="708"/>
      <c r="N524" s="726"/>
      <c r="O524" s="726"/>
      <c r="P524" s="726"/>
      <c r="Q524" s="726"/>
      <c r="R524" s="726"/>
      <c r="S524" s="726"/>
      <c r="T524" s="726"/>
      <c r="U524" s="726"/>
      <c r="V524" s="726"/>
      <c r="W524" s="726"/>
      <c r="X524" s="726"/>
      <c r="Y524" s="763"/>
      <c r="Z524" s="763"/>
      <c r="AA524" s="708"/>
      <c r="AB524" s="708"/>
      <c r="AC524" s="708"/>
      <c r="AD524" s="146"/>
      <c r="AE524" s="146"/>
      <c r="AF524" s="438"/>
      <c r="AG524" s="708"/>
    </row>
    <row r="525" s="570" customFormat="1" ht="24.95" customHeight="1" spans="1:33">
      <c r="A525" s="705"/>
      <c r="B525" s="714" t="s">
        <v>211</v>
      </c>
      <c r="C525" s="146" t="s">
        <v>52</v>
      </c>
      <c r="D525" s="152" t="s">
        <v>384</v>
      </c>
      <c r="E525" s="708"/>
      <c r="F525" s="714"/>
      <c r="G525" s="708"/>
      <c r="H525" s="708"/>
      <c r="I525" s="708"/>
      <c r="J525" s="708"/>
      <c r="K525" s="708"/>
      <c r="L525" s="708"/>
      <c r="M525" s="708"/>
      <c r="N525" s="726"/>
      <c r="O525" s="726"/>
      <c r="P525" s="726"/>
      <c r="Q525" s="726"/>
      <c r="R525" s="726"/>
      <c r="S525" s="726"/>
      <c r="T525" s="726"/>
      <c r="U525" s="726"/>
      <c r="V525" s="726"/>
      <c r="W525" s="726"/>
      <c r="X525" s="726"/>
      <c r="Y525" s="763"/>
      <c r="Z525" s="763"/>
      <c r="AA525" s="708"/>
      <c r="AB525" s="708"/>
      <c r="AC525" s="708"/>
      <c r="AD525" s="146"/>
      <c r="AE525" s="146"/>
      <c r="AF525" s="438"/>
      <c r="AG525" s="708"/>
    </row>
    <row r="526" s="570" customFormat="1" ht="24.95" customHeight="1" spans="1:33">
      <c r="A526" s="705"/>
      <c r="B526" s="714" t="s">
        <v>155</v>
      </c>
      <c r="C526" s="146" t="s">
        <v>52</v>
      </c>
      <c r="D526" s="152" t="s">
        <v>384</v>
      </c>
      <c r="E526" s="708"/>
      <c r="F526" s="714"/>
      <c r="G526" s="708"/>
      <c r="H526" s="708"/>
      <c r="I526" s="708"/>
      <c r="J526" s="708"/>
      <c r="K526" s="708"/>
      <c r="L526" s="708"/>
      <c r="M526" s="708"/>
      <c r="N526" s="726"/>
      <c r="O526" s="726"/>
      <c r="P526" s="726"/>
      <c r="Q526" s="726"/>
      <c r="R526" s="726"/>
      <c r="S526" s="726"/>
      <c r="T526" s="726"/>
      <c r="U526" s="726"/>
      <c r="V526" s="726"/>
      <c r="W526" s="726"/>
      <c r="X526" s="726"/>
      <c r="Y526" s="763"/>
      <c r="Z526" s="763"/>
      <c r="AA526" s="708"/>
      <c r="AB526" s="708"/>
      <c r="AC526" s="708"/>
      <c r="AD526" s="146"/>
      <c r="AE526" s="146"/>
      <c r="AF526" s="438"/>
      <c r="AG526" s="708"/>
    </row>
    <row r="527" s="570" customFormat="1" ht="24.95" customHeight="1" spans="1:33">
      <c r="A527" s="705"/>
      <c r="B527" s="714" t="s">
        <v>102</v>
      </c>
      <c r="C527" s="146" t="s">
        <v>52</v>
      </c>
      <c r="D527" s="152" t="s">
        <v>384</v>
      </c>
      <c r="E527" s="708"/>
      <c r="F527" s="714"/>
      <c r="G527" s="708"/>
      <c r="H527" s="708"/>
      <c r="I527" s="708"/>
      <c r="J527" s="708"/>
      <c r="K527" s="708"/>
      <c r="L527" s="708"/>
      <c r="M527" s="708"/>
      <c r="N527" s="726"/>
      <c r="O527" s="726"/>
      <c r="P527" s="726"/>
      <c r="Q527" s="726"/>
      <c r="R527" s="726"/>
      <c r="S527" s="726"/>
      <c r="T527" s="726"/>
      <c r="U527" s="726"/>
      <c r="V527" s="726"/>
      <c r="W527" s="726"/>
      <c r="X527" s="726"/>
      <c r="Y527" s="763"/>
      <c r="Z527" s="763"/>
      <c r="AA527" s="708"/>
      <c r="AB527" s="708"/>
      <c r="AC527" s="708"/>
      <c r="AD527" s="146"/>
      <c r="AE527" s="146"/>
      <c r="AF527" s="438"/>
      <c r="AG527" s="708"/>
    </row>
    <row r="528" s="570" customFormat="1" ht="24.95" customHeight="1" spans="1:33">
      <c r="A528" s="705"/>
      <c r="B528" s="714" t="s">
        <v>100</v>
      </c>
      <c r="C528" s="146" t="s">
        <v>52</v>
      </c>
      <c r="D528" s="152" t="s">
        <v>384</v>
      </c>
      <c r="E528" s="708"/>
      <c r="F528" s="714"/>
      <c r="G528" s="708"/>
      <c r="H528" s="708"/>
      <c r="I528" s="708"/>
      <c r="J528" s="708"/>
      <c r="K528" s="708"/>
      <c r="L528" s="708"/>
      <c r="M528" s="708"/>
      <c r="N528" s="726"/>
      <c r="O528" s="726"/>
      <c r="P528" s="726"/>
      <c r="Q528" s="726"/>
      <c r="R528" s="726"/>
      <c r="S528" s="726"/>
      <c r="T528" s="726"/>
      <c r="U528" s="726"/>
      <c r="V528" s="726"/>
      <c r="W528" s="726"/>
      <c r="X528" s="726"/>
      <c r="Y528" s="763"/>
      <c r="Z528" s="763"/>
      <c r="AA528" s="708"/>
      <c r="AB528" s="708"/>
      <c r="AC528" s="708"/>
      <c r="AD528" s="146"/>
      <c r="AE528" s="146"/>
      <c r="AF528" s="438"/>
      <c r="AG528" s="708"/>
    </row>
    <row r="529" s="570" customFormat="1" ht="24.95" customHeight="1" spans="1:33">
      <c r="A529" s="705"/>
      <c r="B529" s="714" t="s">
        <v>259</v>
      </c>
      <c r="C529" s="146" t="s">
        <v>52</v>
      </c>
      <c r="D529" s="152" t="s">
        <v>384</v>
      </c>
      <c r="E529" s="708"/>
      <c r="F529" s="714"/>
      <c r="G529" s="708"/>
      <c r="H529" s="708"/>
      <c r="I529" s="708"/>
      <c r="J529" s="708"/>
      <c r="K529" s="708"/>
      <c r="L529" s="708"/>
      <c r="M529" s="708"/>
      <c r="N529" s="726"/>
      <c r="O529" s="726"/>
      <c r="P529" s="726"/>
      <c r="Q529" s="726"/>
      <c r="R529" s="726"/>
      <c r="S529" s="726"/>
      <c r="T529" s="726"/>
      <c r="U529" s="726"/>
      <c r="V529" s="726"/>
      <c r="W529" s="726"/>
      <c r="X529" s="726"/>
      <c r="Y529" s="763"/>
      <c r="Z529" s="763"/>
      <c r="AA529" s="708"/>
      <c r="AB529" s="708"/>
      <c r="AC529" s="708"/>
      <c r="AD529" s="146"/>
      <c r="AE529" s="146"/>
      <c r="AF529" s="438"/>
      <c r="AG529" s="708"/>
    </row>
    <row r="530" s="570" customFormat="1" ht="24.95" customHeight="1" spans="1:33">
      <c r="A530" s="705"/>
      <c r="B530" s="714" t="s">
        <v>84</v>
      </c>
      <c r="C530" s="146" t="s">
        <v>52</v>
      </c>
      <c r="D530" s="152" t="s">
        <v>384</v>
      </c>
      <c r="E530" s="708"/>
      <c r="F530" s="714"/>
      <c r="G530" s="708"/>
      <c r="H530" s="708"/>
      <c r="I530" s="708"/>
      <c r="J530" s="708"/>
      <c r="K530" s="708"/>
      <c r="L530" s="708"/>
      <c r="M530" s="708"/>
      <c r="N530" s="726"/>
      <c r="O530" s="726"/>
      <c r="P530" s="726"/>
      <c r="Q530" s="726"/>
      <c r="R530" s="726"/>
      <c r="S530" s="726"/>
      <c r="T530" s="726"/>
      <c r="U530" s="726"/>
      <c r="V530" s="726"/>
      <c r="W530" s="726"/>
      <c r="X530" s="726"/>
      <c r="Y530" s="763"/>
      <c r="Z530" s="763"/>
      <c r="AA530" s="708"/>
      <c r="AB530" s="708"/>
      <c r="AC530" s="708"/>
      <c r="AD530" s="146"/>
      <c r="AE530" s="146"/>
      <c r="AF530" s="438"/>
      <c r="AG530" s="708"/>
    </row>
    <row r="531" s="570" customFormat="1" ht="24.95" customHeight="1" spans="1:33">
      <c r="A531" s="705"/>
      <c r="B531" s="714" t="s">
        <v>143</v>
      </c>
      <c r="C531" s="146" t="s">
        <v>52</v>
      </c>
      <c r="D531" s="152" t="s">
        <v>384</v>
      </c>
      <c r="E531" s="708"/>
      <c r="F531" s="714"/>
      <c r="G531" s="708"/>
      <c r="H531" s="708"/>
      <c r="I531" s="708"/>
      <c r="J531" s="708"/>
      <c r="K531" s="708"/>
      <c r="L531" s="708"/>
      <c r="M531" s="708"/>
      <c r="N531" s="726"/>
      <c r="O531" s="726"/>
      <c r="P531" s="726"/>
      <c r="Q531" s="726"/>
      <c r="R531" s="726"/>
      <c r="S531" s="726"/>
      <c r="T531" s="726"/>
      <c r="U531" s="726"/>
      <c r="V531" s="726"/>
      <c r="W531" s="726"/>
      <c r="X531" s="726"/>
      <c r="Y531" s="763"/>
      <c r="Z531" s="763"/>
      <c r="AA531" s="708"/>
      <c r="AB531" s="708"/>
      <c r="AC531" s="708"/>
      <c r="AD531" s="775"/>
      <c r="AE531" s="146"/>
      <c r="AF531" s="438"/>
      <c r="AG531" s="708"/>
    </row>
    <row r="532" s="570" customFormat="1" ht="24.95" customHeight="1" spans="1:33">
      <c r="A532" s="705">
        <v>67</v>
      </c>
      <c r="B532" s="708" t="s">
        <v>408</v>
      </c>
      <c r="C532" s="708"/>
      <c r="D532" s="709" t="s">
        <v>384</v>
      </c>
      <c r="E532" s="708"/>
      <c r="F532" s="708"/>
      <c r="G532" s="708"/>
      <c r="H532" s="708"/>
      <c r="I532" s="708"/>
      <c r="J532" s="708"/>
      <c r="K532" s="708"/>
      <c r="L532" s="708"/>
      <c r="M532" s="708"/>
      <c r="N532" s="726"/>
      <c r="O532" s="726"/>
      <c r="P532" s="726"/>
      <c r="Q532" s="726"/>
      <c r="R532" s="726"/>
      <c r="S532" s="726"/>
      <c r="T532" s="726"/>
      <c r="U532" s="726"/>
      <c r="V532" s="726"/>
      <c r="W532" s="726"/>
      <c r="X532" s="726"/>
      <c r="Y532" s="763"/>
      <c r="Z532" s="763"/>
      <c r="AA532" s="708"/>
      <c r="AB532" s="708"/>
      <c r="AC532" s="708"/>
      <c r="AD532" s="146"/>
      <c r="AE532" s="753"/>
      <c r="AF532" s="712"/>
      <c r="AG532" s="708"/>
    </row>
    <row r="533" s="570" customFormat="1" ht="24.95" customHeight="1" spans="1:33">
      <c r="A533" s="705"/>
      <c r="B533" s="714" t="s">
        <v>101</v>
      </c>
      <c r="C533" s="146" t="s">
        <v>409</v>
      </c>
      <c r="D533" s="152" t="s">
        <v>384</v>
      </c>
      <c r="E533" s="708"/>
      <c r="F533" s="714"/>
      <c r="G533" s="708"/>
      <c r="H533" s="708"/>
      <c r="I533" s="708"/>
      <c r="J533" s="708"/>
      <c r="K533" s="708"/>
      <c r="L533" s="708"/>
      <c r="M533" s="708"/>
      <c r="N533" s="726"/>
      <c r="O533" s="726"/>
      <c r="P533" s="726"/>
      <c r="Q533" s="726"/>
      <c r="R533" s="726"/>
      <c r="S533" s="726"/>
      <c r="T533" s="726"/>
      <c r="U533" s="726"/>
      <c r="V533" s="726"/>
      <c r="W533" s="726"/>
      <c r="X533" s="726"/>
      <c r="Y533" s="763"/>
      <c r="Z533" s="763"/>
      <c r="AA533" s="708"/>
      <c r="AB533" s="708"/>
      <c r="AC533" s="708"/>
      <c r="AD533" s="146"/>
      <c r="AE533" s="146"/>
      <c r="AF533" s="438"/>
      <c r="AG533" s="708"/>
    </row>
    <row r="534" s="570" customFormat="1" ht="24.95" customHeight="1" spans="1:33">
      <c r="A534" s="705"/>
      <c r="B534" s="714" t="s">
        <v>151</v>
      </c>
      <c r="C534" s="146" t="s">
        <v>409</v>
      </c>
      <c r="D534" s="152" t="s">
        <v>384</v>
      </c>
      <c r="E534" s="708"/>
      <c r="F534" s="714"/>
      <c r="G534" s="708"/>
      <c r="H534" s="708"/>
      <c r="I534" s="708"/>
      <c r="J534" s="708"/>
      <c r="K534" s="708"/>
      <c r="L534" s="708"/>
      <c r="M534" s="708"/>
      <c r="N534" s="726"/>
      <c r="O534" s="726"/>
      <c r="P534" s="726"/>
      <c r="Q534" s="726"/>
      <c r="R534" s="726"/>
      <c r="S534" s="726"/>
      <c r="T534" s="726"/>
      <c r="U534" s="726"/>
      <c r="V534" s="726"/>
      <c r="W534" s="726"/>
      <c r="X534" s="726"/>
      <c r="Y534" s="763"/>
      <c r="Z534" s="763"/>
      <c r="AA534" s="708"/>
      <c r="AB534" s="708"/>
      <c r="AC534" s="708"/>
      <c r="AD534" s="146"/>
      <c r="AE534" s="146"/>
      <c r="AF534" s="438"/>
      <c r="AG534" s="708"/>
    </row>
    <row r="535" s="570" customFormat="1" ht="24.95" customHeight="1" spans="1:33">
      <c r="A535" s="705"/>
      <c r="B535" s="714" t="s">
        <v>154</v>
      </c>
      <c r="C535" s="146" t="s">
        <v>409</v>
      </c>
      <c r="D535" s="152" t="s">
        <v>384</v>
      </c>
      <c r="E535" s="708"/>
      <c r="F535" s="714"/>
      <c r="G535" s="708"/>
      <c r="H535" s="708"/>
      <c r="I535" s="708"/>
      <c r="J535" s="708"/>
      <c r="K535" s="708"/>
      <c r="L535" s="708"/>
      <c r="M535" s="708"/>
      <c r="N535" s="726"/>
      <c r="O535" s="726"/>
      <c r="P535" s="726"/>
      <c r="Q535" s="726"/>
      <c r="R535" s="726"/>
      <c r="S535" s="726"/>
      <c r="T535" s="726"/>
      <c r="U535" s="726"/>
      <c r="V535" s="726"/>
      <c r="W535" s="726"/>
      <c r="X535" s="726"/>
      <c r="Y535" s="763"/>
      <c r="Z535" s="763"/>
      <c r="AA535" s="708"/>
      <c r="AB535" s="708"/>
      <c r="AC535" s="708"/>
      <c r="AD535" s="146"/>
      <c r="AE535" s="146"/>
      <c r="AF535" s="438"/>
      <c r="AG535" s="708"/>
    </row>
    <row r="536" s="570" customFormat="1" ht="24.95" customHeight="1" spans="1:33">
      <c r="A536" s="705"/>
      <c r="B536" s="714" t="s">
        <v>81</v>
      </c>
      <c r="C536" s="146" t="s">
        <v>409</v>
      </c>
      <c r="D536" s="152" t="s">
        <v>384</v>
      </c>
      <c r="E536" s="708"/>
      <c r="F536" s="714"/>
      <c r="G536" s="708"/>
      <c r="H536" s="708"/>
      <c r="I536" s="708"/>
      <c r="J536" s="708"/>
      <c r="K536" s="708"/>
      <c r="L536" s="708"/>
      <c r="M536" s="708"/>
      <c r="N536" s="726"/>
      <c r="O536" s="726"/>
      <c r="P536" s="726"/>
      <c r="Q536" s="726"/>
      <c r="R536" s="726"/>
      <c r="S536" s="726"/>
      <c r="T536" s="726"/>
      <c r="U536" s="726"/>
      <c r="V536" s="726"/>
      <c r="W536" s="726"/>
      <c r="X536" s="726"/>
      <c r="Y536" s="763"/>
      <c r="Z536" s="763"/>
      <c r="AA536" s="708"/>
      <c r="AB536" s="708"/>
      <c r="AC536" s="708"/>
      <c r="AD536" s="146"/>
      <c r="AE536" s="146"/>
      <c r="AF536" s="438"/>
      <c r="AG536" s="708"/>
    </row>
    <row r="537" s="570" customFormat="1" ht="24.95" customHeight="1" spans="1:33">
      <c r="A537" s="705"/>
      <c r="B537" s="714" t="s">
        <v>98</v>
      </c>
      <c r="C537" s="146" t="s">
        <v>409</v>
      </c>
      <c r="D537" s="152" t="s">
        <v>384</v>
      </c>
      <c r="E537" s="708"/>
      <c r="F537" s="714"/>
      <c r="G537" s="708"/>
      <c r="H537" s="708"/>
      <c r="I537" s="708"/>
      <c r="J537" s="708"/>
      <c r="K537" s="708"/>
      <c r="L537" s="708"/>
      <c r="M537" s="708"/>
      <c r="N537" s="726"/>
      <c r="O537" s="726"/>
      <c r="P537" s="726"/>
      <c r="Q537" s="726"/>
      <c r="R537" s="726"/>
      <c r="S537" s="726"/>
      <c r="T537" s="726"/>
      <c r="U537" s="726"/>
      <c r="V537" s="726"/>
      <c r="W537" s="726"/>
      <c r="X537" s="726"/>
      <c r="Y537" s="763"/>
      <c r="Z537" s="763"/>
      <c r="AA537" s="708"/>
      <c r="AB537" s="708"/>
      <c r="AC537" s="708"/>
      <c r="AD537" s="146"/>
      <c r="AE537" s="146"/>
      <c r="AF537" s="438"/>
      <c r="AG537" s="708"/>
    </row>
    <row r="538" s="570" customFormat="1" ht="24.95" customHeight="1" spans="1:33">
      <c r="A538" s="705"/>
      <c r="B538" s="714" t="s">
        <v>211</v>
      </c>
      <c r="C538" s="146" t="s">
        <v>409</v>
      </c>
      <c r="D538" s="152" t="s">
        <v>384</v>
      </c>
      <c r="E538" s="708"/>
      <c r="F538" s="714"/>
      <c r="G538" s="708"/>
      <c r="H538" s="708"/>
      <c r="I538" s="708"/>
      <c r="J538" s="708"/>
      <c r="K538" s="708"/>
      <c r="L538" s="708"/>
      <c r="M538" s="708"/>
      <c r="N538" s="726"/>
      <c r="O538" s="726"/>
      <c r="P538" s="726"/>
      <c r="Q538" s="726"/>
      <c r="R538" s="726"/>
      <c r="S538" s="726"/>
      <c r="T538" s="726"/>
      <c r="U538" s="726"/>
      <c r="V538" s="726"/>
      <c r="W538" s="726"/>
      <c r="X538" s="726"/>
      <c r="Y538" s="763"/>
      <c r="Z538" s="763"/>
      <c r="AA538" s="708"/>
      <c r="AB538" s="708"/>
      <c r="AC538" s="708"/>
      <c r="AD538" s="146"/>
      <c r="AE538" s="146"/>
      <c r="AF538" s="438"/>
      <c r="AG538" s="708"/>
    </row>
    <row r="539" s="570" customFormat="1" ht="24.95" customHeight="1" spans="1:33">
      <c r="A539" s="705"/>
      <c r="B539" s="714" t="s">
        <v>155</v>
      </c>
      <c r="C539" s="146" t="s">
        <v>409</v>
      </c>
      <c r="D539" s="152" t="s">
        <v>384</v>
      </c>
      <c r="E539" s="708"/>
      <c r="F539" s="714"/>
      <c r="G539" s="708"/>
      <c r="H539" s="708"/>
      <c r="I539" s="708"/>
      <c r="J539" s="708"/>
      <c r="K539" s="708"/>
      <c r="L539" s="708"/>
      <c r="M539" s="708"/>
      <c r="N539" s="726"/>
      <c r="O539" s="726"/>
      <c r="P539" s="726"/>
      <c r="Q539" s="726"/>
      <c r="R539" s="726"/>
      <c r="S539" s="726"/>
      <c r="T539" s="726"/>
      <c r="U539" s="726"/>
      <c r="V539" s="726"/>
      <c r="W539" s="726"/>
      <c r="X539" s="726"/>
      <c r="Y539" s="763"/>
      <c r="Z539" s="763"/>
      <c r="AA539" s="708"/>
      <c r="AB539" s="708"/>
      <c r="AC539" s="708"/>
      <c r="AD539" s="146"/>
      <c r="AE539" s="146"/>
      <c r="AF539" s="438"/>
      <c r="AG539" s="708"/>
    </row>
    <row r="540" s="570" customFormat="1" ht="24.95" customHeight="1" spans="1:33">
      <c r="A540" s="705"/>
      <c r="B540" s="714" t="s">
        <v>102</v>
      </c>
      <c r="C540" s="146" t="s">
        <v>409</v>
      </c>
      <c r="D540" s="152" t="s">
        <v>384</v>
      </c>
      <c r="E540" s="708"/>
      <c r="F540" s="714"/>
      <c r="G540" s="708"/>
      <c r="H540" s="708"/>
      <c r="I540" s="708"/>
      <c r="J540" s="708"/>
      <c r="K540" s="708"/>
      <c r="L540" s="708"/>
      <c r="M540" s="708"/>
      <c r="N540" s="726"/>
      <c r="O540" s="726"/>
      <c r="P540" s="726"/>
      <c r="Q540" s="726"/>
      <c r="R540" s="726"/>
      <c r="S540" s="726"/>
      <c r="T540" s="726"/>
      <c r="U540" s="726"/>
      <c r="V540" s="726"/>
      <c r="W540" s="726"/>
      <c r="X540" s="726"/>
      <c r="Y540" s="763"/>
      <c r="Z540" s="763"/>
      <c r="AA540" s="708"/>
      <c r="AB540" s="708"/>
      <c r="AC540" s="708"/>
      <c r="AD540" s="146"/>
      <c r="AE540" s="146"/>
      <c r="AF540" s="438"/>
      <c r="AG540" s="708"/>
    </row>
    <row r="541" s="570" customFormat="1" ht="24.95" customHeight="1" spans="1:33">
      <c r="A541" s="705"/>
      <c r="B541" s="714" t="s">
        <v>100</v>
      </c>
      <c r="C541" s="146" t="s">
        <v>409</v>
      </c>
      <c r="D541" s="152" t="s">
        <v>384</v>
      </c>
      <c r="E541" s="708"/>
      <c r="F541" s="714"/>
      <c r="G541" s="708"/>
      <c r="H541" s="708"/>
      <c r="I541" s="708"/>
      <c r="J541" s="708"/>
      <c r="K541" s="708"/>
      <c r="L541" s="708"/>
      <c r="M541" s="708"/>
      <c r="N541" s="726"/>
      <c r="O541" s="726"/>
      <c r="P541" s="726"/>
      <c r="Q541" s="726"/>
      <c r="R541" s="726"/>
      <c r="S541" s="726"/>
      <c r="T541" s="726"/>
      <c r="U541" s="726"/>
      <c r="V541" s="726"/>
      <c r="W541" s="726"/>
      <c r="X541" s="726"/>
      <c r="Y541" s="763"/>
      <c r="Z541" s="763"/>
      <c r="AA541" s="708"/>
      <c r="AB541" s="708"/>
      <c r="AC541" s="708"/>
      <c r="AD541" s="438"/>
      <c r="AE541" s="146"/>
      <c r="AF541" s="438"/>
      <c r="AG541" s="708"/>
    </row>
    <row r="542" s="570" customFormat="1" ht="24.95" customHeight="1" spans="1:33">
      <c r="A542" s="705"/>
      <c r="B542" s="714" t="s">
        <v>259</v>
      </c>
      <c r="C542" s="146" t="s">
        <v>409</v>
      </c>
      <c r="D542" s="152" t="s">
        <v>384</v>
      </c>
      <c r="E542" s="708"/>
      <c r="F542" s="714"/>
      <c r="G542" s="708"/>
      <c r="H542" s="708"/>
      <c r="I542" s="708"/>
      <c r="J542" s="708"/>
      <c r="K542" s="708"/>
      <c r="L542" s="708"/>
      <c r="M542" s="708"/>
      <c r="N542" s="726"/>
      <c r="O542" s="726"/>
      <c r="P542" s="726"/>
      <c r="Q542" s="726"/>
      <c r="R542" s="726"/>
      <c r="S542" s="726"/>
      <c r="T542" s="726"/>
      <c r="U542" s="726"/>
      <c r="V542" s="726"/>
      <c r="W542" s="726"/>
      <c r="X542" s="726"/>
      <c r="Y542" s="763"/>
      <c r="Z542" s="763"/>
      <c r="AA542" s="708"/>
      <c r="AB542" s="708"/>
      <c r="AC542" s="708"/>
      <c r="AD542" s="146"/>
      <c r="AE542" s="146"/>
      <c r="AF542" s="438"/>
      <c r="AG542" s="708"/>
    </row>
    <row r="543" s="570" customFormat="1" ht="24.95" customHeight="1" spans="1:33">
      <c r="A543" s="705"/>
      <c r="B543" s="714" t="s">
        <v>84</v>
      </c>
      <c r="C543" s="146" t="s">
        <v>409</v>
      </c>
      <c r="D543" s="152" t="s">
        <v>384</v>
      </c>
      <c r="E543" s="708"/>
      <c r="F543" s="714"/>
      <c r="G543" s="708"/>
      <c r="H543" s="708"/>
      <c r="I543" s="708"/>
      <c r="J543" s="708"/>
      <c r="K543" s="708"/>
      <c r="L543" s="708"/>
      <c r="M543" s="708"/>
      <c r="N543" s="726"/>
      <c r="O543" s="726"/>
      <c r="P543" s="726"/>
      <c r="Q543" s="726"/>
      <c r="R543" s="726"/>
      <c r="S543" s="726"/>
      <c r="T543" s="726"/>
      <c r="U543" s="726"/>
      <c r="V543" s="726"/>
      <c r="W543" s="726"/>
      <c r="X543" s="726"/>
      <c r="Y543" s="763"/>
      <c r="Z543" s="763"/>
      <c r="AA543" s="708"/>
      <c r="AB543" s="708"/>
      <c r="AC543" s="708"/>
      <c r="AD543" s="146"/>
      <c r="AE543" s="146"/>
      <c r="AF543" s="438"/>
      <c r="AG543" s="708"/>
    </row>
    <row r="544" s="570" customFormat="1" ht="24.95" customHeight="1" spans="1:33">
      <c r="A544" s="705"/>
      <c r="B544" s="714" t="s">
        <v>143</v>
      </c>
      <c r="C544" s="146" t="s">
        <v>409</v>
      </c>
      <c r="D544" s="152" t="s">
        <v>384</v>
      </c>
      <c r="E544" s="708"/>
      <c r="F544" s="714"/>
      <c r="G544" s="708"/>
      <c r="H544" s="708"/>
      <c r="I544" s="708"/>
      <c r="J544" s="708"/>
      <c r="K544" s="708"/>
      <c r="L544" s="708"/>
      <c r="M544" s="708"/>
      <c r="N544" s="726"/>
      <c r="O544" s="726"/>
      <c r="P544" s="726"/>
      <c r="Q544" s="726"/>
      <c r="R544" s="726"/>
      <c r="S544" s="726"/>
      <c r="T544" s="726"/>
      <c r="U544" s="726"/>
      <c r="V544" s="726"/>
      <c r="W544" s="726"/>
      <c r="X544" s="726"/>
      <c r="Y544" s="763"/>
      <c r="Z544" s="763"/>
      <c r="AA544" s="708"/>
      <c r="AB544" s="708"/>
      <c r="AC544" s="708"/>
      <c r="AD544" s="775"/>
      <c r="AE544" s="146"/>
      <c r="AF544" s="438"/>
      <c r="AG544" s="708"/>
    </row>
    <row r="545" s="570" customFormat="1" ht="24.95" customHeight="1" spans="1:33">
      <c r="A545" s="705">
        <v>68</v>
      </c>
      <c r="B545" s="708" t="s">
        <v>410</v>
      </c>
      <c r="C545" s="708"/>
      <c r="D545" s="709" t="s">
        <v>384</v>
      </c>
      <c r="E545" s="708"/>
      <c r="F545" s="708"/>
      <c r="G545" s="708"/>
      <c r="H545" s="708"/>
      <c r="I545" s="708"/>
      <c r="J545" s="708"/>
      <c r="K545" s="708"/>
      <c r="L545" s="708"/>
      <c r="M545" s="708"/>
      <c r="N545" s="726"/>
      <c r="O545" s="726"/>
      <c r="P545" s="726"/>
      <c r="Q545" s="726"/>
      <c r="R545" s="726"/>
      <c r="S545" s="726"/>
      <c r="T545" s="726"/>
      <c r="U545" s="726"/>
      <c r="V545" s="726"/>
      <c r="W545" s="726"/>
      <c r="X545" s="726"/>
      <c r="Y545" s="763"/>
      <c r="Z545" s="763"/>
      <c r="AA545" s="708"/>
      <c r="AB545" s="708"/>
      <c r="AC545" s="708"/>
      <c r="AD545" s="775"/>
      <c r="AE545" s="753"/>
      <c r="AF545" s="712"/>
      <c r="AG545" s="708"/>
    </row>
    <row r="546" s="570" customFormat="1" ht="24.95" customHeight="1" spans="1:33">
      <c r="A546" s="705"/>
      <c r="B546" s="714" t="s">
        <v>101</v>
      </c>
      <c r="C546" s="146" t="s">
        <v>52</v>
      </c>
      <c r="D546" s="152" t="s">
        <v>384</v>
      </c>
      <c r="E546" s="708"/>
      <c r="F546" s="714"/>
      <c r="G546" s="708"/>
      <c r="H546" s="708"/>
      <c r="I546" s="708"/>
      <c r="J546" s="708"/>
      <c r="K546" s="708"/>
      <c r="L546" s="708"/>
      <c r="M546" s="708"/>
      <c r="N546" s="726"/>
      <c r="O546" s="726"/>
      <c r="P546" s="726"/>
      <c r="Q546" s="726"/>
      <c r="R546" s="726"/>
      <c r="S546" s="726"/>
      <c r="T546" s="726"/>
      <c r="U546" s="726"/>
      <c r="V546" s="726"/>
      <c r="W546" s="726"/>
      <c r="X546" s="726"/>
      <c r="Y546" s="763"/>
      <c r="Z546" s="763"/>
      <c r="AA546" s="708"/>
      <c r="AB546" s="708"/>
      <c r="AC546" s="708"/>
      <c r="AD546" s="146"/>
      <c r="AE546" s="146"/>
      <c r="AF546" s="438"/>
      <c r="AG546" s="708"/>
    </row>
    <row r="547" s="570" customFormat="1" ht="24.95" customHeight="1" spans="1:33">
      <c r="A547" s="705"/>
      <c r="B547" s="714" t="s">
        <v>151</v>
      </c>
      <c r="C547" s="146" t="s">
        <v>52</v>
      </c>
      <c r="D547" s="152" t="s">
        <v>384</v>
      </c>
      <c r="E547" s="708"/>
      <c r="F547" s="714"/>
      <c r="G547" s="708"/>
      <c r="H547" s="708"/>
      <c r="I547" s="708"/>
      <c r="J547" s="708"/>
      <c r="K547" s="708"/>
      <c r="L547" s="708"/>
      <c r="M547" s="708"/>
      <c r="N547" s="726"/>
      <c r="O547" s="726"/>
      <c r="P547" s="726"/>
      <c r="Q547" s="726"/>
      <c r="R547" s="726"/>
      <c r="S547" s="726"/>
      <c r="T547" s="726"/>
      <c r="U547" s="726"/>
      <c r="V547" s="726"/>
      <c r="W547" s="726"/>
      <c r="X547" s="726"/>
      <c r="Y547" s="763"/>
      <c r="Z547" s="763"/>
      <c r="AA547" s="708"/>
      <c r="AB547" s="708"/>
      <c r="AC547" s="708"/>
      <c r="AD547" s="146"/>
      <c r="AE547" s="146"/>
      <c r="AF547" s="438"/>
      <c r="AG547" s="708"/>
    </row>
    <row r="548" s="570" customFormat="1" ht="24.95" customHeight="1" spans="1:33">
      <c r="A548" s="705"/>
      <c r="B548" s="714" t="s">
        <v>154</v>
      </c>
      <c r="C548" s="146" t="s">
        <v>52</v>
      </c>
      <c r="D548" s="152" t="s">
        <v>384</v>
      </c>
      <c r="E548" s="708"/>
      <c r="F548" s="714"/>
      <c r="G548" s="708"/>
      <c r="H548" s="708"/>
      <c r="I548" s="708"/>
      <c r="J548" s="708"/>
      <c r="K548" s="708"/>
      <c r="L548" s="708"/>
      <c r="M548" s="708"/>
      <c r="N548" s="726"/>
      <c r="O548" s="726"/>
      <c r="P548" s="726"/>
      <c r="Q548" s="726"/>
      <c r="R548" s="726"/>
      <c r="S548" s="726"/>
      <c r="T548" s="726"/>
      <c r="U548" s="726"/>
      <c r="V548" s="726"/>
      <c r="W548" s="726"/>
      <c r="X548" s="726"/>
      <c r="Y548" s="763"/>
      <c r="Z548" s="763"/>
      <c r="AA548" s="708"/>
      <c r="AB548" s="708"/>
      <c r="AC548" s="708"/>
      <c r="AD548" s="146"/>
      <c r="AE548" s="146"/>
      <c r="AF548" s="438"/>
      <c r="AG548" s="708"/>
    </row>
    <row r="549" s="570" customFormat="1" ht="24.95" customHeight="1" spans="1:33">
      <c r="A549" s="705"/>
      <c r="B549" s="714" t="s">
        <v>81</v>
      </c>
      <c r="C549" s="146" t="s">
        <v>52</v>
      </c>
      <c r="D549" s="152" t="s">
        <v>384</v>
      </c>
      <c r="E549" s="708"/>
      <c r="F549" s="714"/>
      <c r="G549" s="708"/>
      <c r="H549" s="708"/>
      <c r="I549" s="708"/>
      <c r="J549" s="708"/>
      <c r="K549" s="708"/>
      <c r="L549" s="708"/>
      <c r="M549" s="708"/>
      <c r="N549" s="726"/>
      <c r="O549" s="726"/>
      <c r="P549" s="726"/>
      <c r="Q549" s="726"/>
      <c r="R549" s="726"/>
      <c r="S549" s="726"/>
      <c r="T549" s="726"/>
      <c r="U549" s="726"/>
      <c r="V549" s="726"/>
      <c r="W549" s="726"/>
      <c r="X549" s="726"/>
      <c r="Y549" s="763"/>
      <c r="Z549" s="763"/>
      <c r="AA549" s="708"/>
      <c r="AB549" s="708"/>
      <c r="AC549" s="708"/>
      <c r="AD549" s="790"/>
      <c r="AE549" s="790"/>
      <c r="AF549" s="790"/>
      <c r="AG549" s="708"/>
    </row>
    <row r="550" s="570" customFormat="1" ht="24.95" customHeight="1" spans="1:33">
      <c r="A550" s="705"/>
      <c r="B550" s="714" t="s">
        <v>98</v>
      </c>
      <c r="C550" s="146" t="s">
        <v>52</v>
      </c>
      <c r="D550" s="152" t="s">
        <v>384</v>
      </c>
      <c r="E550" s="708"/>
      <c r="F550" s="714"/>
      <c r="G550" s="708"/>
      <c r="H550" s="708"/>
      <c r="I550" s="708"/>
      <c r="J550" s="708"/>
      <c r="K550" s="708"/>
      <c r="L550" s="708"/>
      <c r="M550" s="708"/>
      <c r="N550" s="726"/>
      <c r="O550" s="726"/>
      <c r="P550" s="726"/>
      <c r="Q550" s="726"/>
      <c r="R550" s="726"/>
      <c r="S550" s="726"/>
      <c r="T550" s="726"/>
      <c r="U550" s="726"/>
      <c r="V550" s="726"/>
      <c r="W550" s="726"/>
      <c r="X550" s="726"/>
      <c r="Y550" s="763"/>
      <c r="Z550" s="763"/>
      <c r="AA550" s="708"/>
      <c r="AB550" s="708"/>
      <c r="AC550" s="708"/>
      <c r="AD550" s="146"/>
      <c r="AE550" s="146"/>
      <c r="AF550" s="438"/>
      <c r="AG550" s="708"/>
    </row>
    <row r="551" s="570" customFormat="1" ht="24.95" customHeight="1" spans="1:33">
      <c r="A551" s="705"/>
      <c r="B551" s="714" t="s">
        <v>211</v>
      </c>
      <c r="C551" s="146" t="s">
        <v>52</v>
      </c>
      <c r="D551" s="152" t="s">
        <v>384</v>
      </c>
      <c r="E551" s="708"/>
      <c r="F551" s="714"/>
      <c r="G551" s="708"/>
      <c r="H551" s="708"/>
      <c r="I551" s="708"/>
      <c r="J551" s="708"/>
      <c r="K551" s="708"/>
      <c r="L551" s="708"/>
      <c r="M551" s="708"/>
      <c r="N551" s="726"/>
      <c r="O551" s="726"/>
      <c r="P551" s="726"/>
      <c r="Q551" s="726"/>
      <c r="R551" s="726"/>
      <c r="S551" s="726"/>
      <c r="T551" s="726"/>
      <c r="U551" s="726"/>
      <c r="V551" s="726"/>
      <c r="W551" s="726"/>
      <c r="X551" s="726"/>
      <c r="Y551" s="763"/>
      <c r="Z551" s="763"/>
      <c r="AA551" s="708"/>
      <c r="AB551" s="708"/>
      <c r="AC551" s="708"/>
      <c r="AD551" s="146"/>
      <c r="AE551" s="146"/>
      <c r="AF551" s="438"/>
      <c r="AG551" s="708"/>
    </row>
    <row r="552" s="570" customFormat="1" ht="24.95" customHeight="1" spans="1:33">
      <c r="A552" s="705"/>
      <c r="B552" s="714" t="s">
        <v>155</v>
      </c>
      <c r="C552" s="146" t="s">
        <v>52</v>
      </c>
      <c r="D552" s="152" t="s">
        <v>384</v>
      </c>
      <c r="E552" s="708"/>
      <c r="F552" s="714"/>
      <c r="G552" s="708"/>
      <c r="H552" s="708"/>
      <c r="I552" s="708"/>
      <c r="J552" s="708"/>
      <c r="K552" s="708"/>
      <c r="L552" s="708"/>
      <c r="M552" s="708"/>
      <c r="N552" s="726"/>
      <c r="O552" s="726"/>
      <c r="P552" s="726"/>
      <c r="Q552" s="726"/>
      <c r="R552" s="726"/>
      <c r="S552" s="726"/>
      <c r="T552" s="726"/>
      <c r="U552" s="726"/>
      <c r="V552" s="726"/>
      <c r="W552" s="726"/>
      <c r="X552" s="726"/>
      <c r="Y552" s="763"/>
      <c r="Z552" s="763"/>
      <c r="AA552" s="708"/>
      <c r="AB552" s="708"/>
      <c r="AC552" s="708"/>
      <c r="AD552" s="146"/>
      <c r="AE552" s="146"/>
      <c r="AF552" s="438"/>
      <c r="AG552" s="708"/>
    </row>
    <row r="553" s="570" customFormat="1" ht="24.95" customHeight="1" spans="1:33">
      <c r="A553" s="705"/>
      <c r="B553" s="714" t="s">
        <v>102</v>
      </c>
      <c r="C553" s="146" t="s">
        <v>52</v>
      </c>
      <c r="D553" s="152" t="s">
        <v>384</v>
      </c>
      <c r="E553" s="708"/>
      <c r="F553" s="714"/>
      <c r="G553" s="708"/>
      <c r="H553" s="708"/>
      <c r="I553" s="708"/>
      <c r="J553" s="708"/>
      <c r="K553" s="708"/>
      <c r="L553" s="708"/>
      <c r="M553" s="708"/>
      <c r="N553" s="726"/>
      <c r="O553" s="726"/>
      <c r="P553" s="726"/>
      <c r="Q553" s="726"/>
      <c r="R553" s="726"/>
      <c r="S553" s="726"/>
      <c r="T553" s="726"/>
      <c r="U553" s="726"/>
      <c r="V553" s="726"/>
      <c r="W553" s="726"/>
      <c r="X553" s="726"/>
      <c r="Y553" s="763"/>
      <c r="Z553" s="763"/>
      <c r="AA553" s="708"/>
      <c r="AB553" s="708"/>
      <c r="AC553" s="708"/>
      <c r="AD553" s="146"/>
      <c r="AE553" s="146"/>
      <c r="AF553" s="438"/>
      <c r="AG553" s="708"/>
    </row>
    <row r="554" s="570" customFormat="1" ht="24.95" customHeight="1" spans="1:33">
      <c r="A554" s="705"/>
      <c r="B554" s="714" t="s">
        <v>100</v>
      </c>
      <c r="C554" s="146" t="s">
        <v>52</v>
      </c>
      <c r="D554" s="152" t="s">
        <v>384</v>
      </c>
      <c r="E554" s="708"/>
      <c r="F554" s="714"/>
      <c r="G554" s="708"/>
      <c r="H554" s="708"/>
      <c r="I554" s="708"/>
      <c r="J554" s="708"/>
      <c r="K554" s="708"/>
      <c r="L554" s="708"/>
      <c r="M554" s="708"/>
      <c r="N554" s="726"/>
      <c r="O554" s="726"/>
      <c r="P554" s="726"/>
      <c r="Q554" s="726"/>
      <c r="R554" s="726"/>
      <c r="S554" s="726"/>
      <c r="T554" s="726"/>
      <c r="U554" s="726"/>
      <c r="V554" s="726"/>
      <c r="W554" s="726"/>
      <c r="X554" s="726"/>
      <c r="Y554" s="763"/>
      <c r="Z554" s="763"/>
      <c r="AA554" s="708"/>
      <c r="AB554" s="708"/>
      <c r="AC554" s="708"/>
      <c r="AD554" s="438"/>
      <c r="AE554" s="146"/>
      <c r="AF554" s="438"/>
      <c r="AG554" s="708"/>
    </row>
    <row r="555" s="570" customFormat="1" ht="24.95" customHeight="1" spans="1:33">
      <c r="A555" s="705"/>
      <c r="B555" s="714" t="s">
        <v>259</v>
      </c>
      <c r="C555" s="146" t="s">
        <v>52</v>
      </c>
      <c r="D555" s="152" t="s">
        <v>384</v>
      </c>
      <c r="E555" s="708"/>
      <c r="F555" s="714"/>
      <c r="G555" s="708"/>
      <c r="H555" s="708"/>
      <c r="I555" s="708"/>
      <c r="J555" s="708"/>
      <c r="K555" s="708"/>
      <c r="L555" s="708"/>
      <c r="M555" s="708"/>
      <c r="N555" s="726"/>
      <c r="O555" s="726"/>
      <c r="P555" s="726"/>
      <c r="Q555" s="726"/>
      <c r="R555" s="726"/>
      <c r="S555" s="726"/>
      <c r="T555" s="726"/>
      <c r="U555" s="726"/>
      <c r="V555" s="726"/>
      <c r="W555" s="726"/>
      <c r="X555" s="726"/>
      <c r="Y555" s="763"/>
      <c r="Z555" s="763"/>
      <c r="AA555" s="708"/>
      <c r="AB555" s="708"/>
      <c r="AC555" s="708"/>
      <c r="AD555" s="146"/>
      <c r="AE555" s="146"/>
      <c r="AF555" s="438"/>
      <c r="AG555" s="708"/>
    </row>
    <row r="556" s="570" customFormat="1" ht="24.95" customHeight="1" spans="1:33">
      <c r="A556" s="705"/>
      <c r="B556" s="714" t="s">
        <v>84</v>
      </c>
      <c r="C556" s="146" t="s">
        <v>52</v>
      </c>
      <c r="D556" s="152" t="s">
        <v>384</v>
      </c>
      <c r="E556" s="708"/>
      <c r="F556" s="714"/>
      <c r="G556" s="708"/>
      <c r="H556" s="708"/>
      <c r="I556" s="708"/>
      <c r="J556" s="708"/>
      <c r="K556" s="708"/>
      <c r="L556" s="708"/>
      <c r="M556" s="708"/>
      <c r="N556" s="726"/>
      <c r="O556" s="726"/>
      <c r="P556" s="726"/>
      <c r="Q556" s="726"/>
      <c r="R556" s="726"/>
      <c r="S556" s="726"/>
      <c r="T556" s="726"/>
      <c r="U556" s="726"/>
      <c r="V556" s="726"/>
      <c r="W556" s="726"/>
      <c r="X556" s="726"/>
      <c r="Y556" s="763"/>
      <c r="Z556" s="763"/>
      <c r="AA556" s="708"/>
      <c r="AB556" s="708"/>
      <c r="AC556" s="708"/>
      <c r="AD556" s="146"/>
      <c r="AE556" s="146"/>
      <c r="AF556" s="438"/>
      <c r="AG556" s="708"/>
    </row>
    <row r="557" s="570" customFormat="1" ht="24.95" customHeight="1" spans="1:33">
      <c r="A557" s="705"/>
      <c r="B557" s="714" t="s">
        <v>143</v>
      </c>
      <c r="C557" s="146" t="s">
        <v>52</v>
      </c>
      <c r="D557" s="152" t="s">
        <v>384</v>
      </c>
      <c r="E557" s="708"/>
      <c r="F557" s="714"/>
      <c r="G557" s="708"/>
      <c r="H557" s="708"/>
      <c r="I557" s="708"/>
      <c r="J557" s="708"/>
      <c r="K557" s="708"/>
      <c r="L557" s="708"/>
      <c r="M557" s="708"/>
      <c r="N557" s="726"/>
      <c r="O557" s="726"/>
      <c r="P557" s="726"/>
      <c r="Q557" s="726"/>
      <c r="R557" s="726"/>
      <c r="S557" s="726"/>
      <c r="T557" s="726"/>
      <c r="U557" s="726"/>
      <c r="V557" s="726"/>
      <c r="W557" s="726"/>
      <c r="X557" s="726"/>
      <c r="Y557" s="763"/>
      <c r="Z557" s="763"/>
      <c r="AA557" s="708"/>
      <c r="AB557" s="708"/>
      <c r="AC557" s="708"/>
      <c r="AD557" s="775"/>
      <c r="AE557" s="146"/>
      <c r="AF557" s="438"/>
      <c r="AG557" s="708"/>
    </row>
    <row r="558" s="570" customFormat="1" ht="24" spans="1:33">
      <c r="A558" s="705">
        <v>69</v>
      </c>
      <c r="B558" s="708" t="s">
        <v>411</v>
      </c>
      <c r="C558" s="708"/>
      <c r="D558" s="709" t="s">
        <v>384</v>
      </c>
      <c r="E558" s="708"/>
      <c r="F558" s="708"/>
      <c r="G558" s="708"/>
      <c r="H558" s="708"/>
      <c r="I558" s="708"/>
      <c r="J558" s="708"/>
      <c r="K558" s="708"/>
      <c r="L558" s="708"/>
      <c r="M558" s="708"/>
      <c r="N558" s="708"/>
      <c r="O558" s="708"/>
      <c r="P558" s="708"/>
      <c r="Q558" s="708"/>
      <c r="R558" s="708"/>
      <c r="S558" s="708"/>
      <c r="T558" s="708"/>
      <c r="U558" s="708"/>
      <c r="V558" s="708"/>
      <c r="W558" s="708"/>
      <c r="X558" s="708"/>
      <c r="Y558" s="708"/>
      <c r="Z558" s="708"/>
      <c r="AA558" s="708"/>
      <c r="AB558" s="708"/>
      <c r="AC558" s="708"/>
      <c r="AD558" s="775"/>
      <c r="AE558" s="753"/>
      <c r="AF558" s="712"/>
      <c r="AG558" s="708"/>
    </row>
    <row r="559" s="570" customFormat="1" ht="30" customHeight="1" spans="1:33">
      <c r="A559" s="705"/>
      <c r="B559" s="714" t="s">
        <v>101</v>
      </c>
      <c r="C559" s="146" t="s">
        <v>52</v>
      </c>
      <c r="D559" s="152" t="s">
        <v>384</v>
      </c>
      <c r="E559" s="708"/>
      <c r="F559" s="714"/>
      <c r="G559" s="708"/>
      <c r="H559" s="708"/>
      <c r="I559" s="708"/>
      <c r="J559" s="708"/>
      <c r="K559" s="708"/>
      <c r="L559" s="708"/>
      <c r="M559" s="708"/>
      <c r="N559" s="708"/>
      <c r="O559" s="708"/>
      <c r="P559" s="708"/>
      <c r="Q559" s="708"/>
      <c r="R559" s="708"/>
      <c r="S559" s="708"/>
      <c r="T559" s="708"/>
      <c r="U559" s="708"/>
      <c r="V559" s="708"/>
      <c r="W559" s="708"/>
      <c r="X559" s="708"/>
      <c r="Y559" s="708"/>
      <c r="Z559" s="708"/>
      <c r="AA559" s="708"/>
      <c r="AB559" s="708"/>
      <c r="AC559" s="708"/>
      <c r="AD559" s="146"/>
      <c r="AE559" s="146"/>
      <c r="AF559" s="438"/>
      <c r="AG559" s="708"/>
    </row>
    <row r="560" s="570" customFormat="1" ht="30" customHeight="1" spans="1:33">
      <c r="A560" s="705"/>
      <c r="B560" s="714" t="s">
        <v>151</v>
      </c>
      <c r="C560" s="146" t="s">
        <v>52</v>
      </c>
      <c r="D560" s="152" t="s">
        <v>384</v>
      </c>
      <c r="E560" s="708"/>
      <c r="F560" s="714"/>
      <c r="G560" s="708"/>
      <c r="H560" s="708"/>
      <c r="I560" s="708"/>
      <c r="J560" s="708"/>
      <c r="K560" s="708"/>
      <c r="L560" s="708"/>
      <c r="M560" s="708"/>
      <c r="N560" s="708"/>
      <c r="O560" s="708"/>
      <c r="P560" s="708"/>
      <c r="Q560" s="708"/>
      <c r="R560" s="708"/>
      <c r="S560" s="708"/>
      <c r="T560" s="708"/>
      <c r="U560" s="708"/>
      <c r="V560" s="708"/>
      <c r="W560" s="708"/>
      <c r="X560" s="708"/>
      <c r="Y560" s="708"/>
      <c r="Z560" s="708"/>
      <c r="AA560" s="708"/>
      <c r="AB560" s="708"/>
      <c r="AC560" s="708"/>
      <c r="AD560" s="146"/>
      <c r="AE560" s="146"/>
      <c r="AF560" s="438"/>
      <c r="AG560" s="708"/>
    </row>
    <row r="561" s="570" customFormat="1" ht="30" customHeight="1" spans="1:33">
      <c r="A561" s="705"/>
      <c r="B561" s="714" t="s">
        <v>154</v>
      </c>
      <c r="C561" s="146" t="s">
        <v>52</v>
      </c>
      <c r="D561" s="152" t="s">
        <v>384</v>
      </c>
      <c r="E561" s="708"/>
      <c r="F561" s="714"/>
      <c r="G561" s="708"/>
      <c r="H561" s="708"/>
      <c r="I561" s="708"/>
      <c r="J561" s="708"/>
      <c r="K561" s="708"/>
      <c r="L561" s="708"/>
      <c r="M561" s="708"/>
      <c r="N561" s="708"/>
      <c r="O561" s="708"/>
      <c r="P561" s="708"/>
      <c r="Q561" s="708"/>
      <c r="R561" s="708"/>
      <c r="S561" s="708"/>
      <c r="T561" s="708"/>
      <c r="U561" s="708"/>
      <c r="V561" s="708"/>
      <c r="W561" s="708"/>
      <c r="X561" s="708"/>
      <c r="Y561" s="708"/>
      <c r="Z561" s="708"/>
      <c r="AA561" s="708"/>
      <c r="AB561" s="708"/>
      <c r="AC561" s="708"/>
      <c r="AD561" s="146"/>
      <c r="AE561" s="146"/>
      <c r="AF561" s="438"/>
      <c r="AG561" s="708"/>
    </row>
    <row r="562" s="570" customFormat="1" ht="30" customHeight="1" spans="1:33">
      <c r="A562" s="705"/>
      <c r="B562" s="714" t="s">
        <v>81</v>
      </c>
      <c r="C562" s="146" t="s">
        <v>52</v>
      </c>
      <c r="D562" s="152" t="s">
        <v>384</v>
      </c>
      <c r="E562" s="708"/>
      <c r="F562" s="714"/>
      <c r="G562" s="708"/>
      <c r="H562" s="708"/>
      <c r="I562" s="708"/>
      <c r="J562" s="708"/>
      <c r="K562" s="708"/>
      <c r="L562" s="708"/>
      <c r="M562" s="708"/>
      <c r="N562" s="708"/>
      <c r="O562" s="708"/>
      <c r="P562" s="708"/>
      <c r="Q562" s="708"/>
      <c r="R562" s="708"/>
      <c r="S562" s="708"/>
      <c r="T562" s="708"/>
      <c r="U562" s="708"/>
      <c r="V562" s="708"/>
      <c r="W562" s="708"/>
      <c r="X562" s="708"/>
      <c r="Y562" s="708"/>
      <c r="Z562" s="708"/>
      <c r="AA562" s="708"/>
      <c r="AB562" s="708"/>
      <c r="AC562" s="708"/>
      <c r="AD562" s="146"/>
      <c r="AE562" s="146"/>
      <c r="AF562" s="146"/>
      <c r="AG562" s="708"/>
    </row>
    <row r="563" s="570" customFormat="1" ht="30" customHeight="1" spans="1:33">
      <c r="A563" s="705"/>
      <c r="B563" s="714" t="s">
        <v>98</v>
      </c>
      <c r="C563" s="146" t="s">
        <v>52</v>
      </c>
      <c r="D563" s="152" t="s">
        <v>384</v>
      </c>
      <c r="E563" s="708"/>
      <c r="F563" s="714"/>
      <c r="G563" s="708"/>
      <c r="H563" s="708"/>
      <c r="I563" s="708"/>
      <c r="J563" s="708"/>
      <c r="K563" s="708"/>
      <c r="L563" s="708"/>
      <c r="M563" s="708"/>
      <c r="N563" s="708"/>
      <c r="O563" s="708"/>
      <c r="P563" s="708"/>
      <c r="Q563" s="708"/>
      <c r="R563" s="708"/>
      <c r="S563" s="708"/>
      <c r="T563" s="708"/>
      <c r="U563" s="708"/>
      <c r="V563" s="708"/>
      <c r="W563" s="708"/>
      <c r="X563" s="708"/>
      <c r="Y563" s="708"/>
      <c r="Z563" s="708"/>
      <c r="AA563" s="708"/>
      <c r="AB563" s="708"/>
      <c r="AC563" s="708"/>
      <c r="AD563" s="146"/>
      <c r="AE563" s="146"/>
      <c r="AF563" s="438"/>
      <c r="AG563" s="708"/>
    </row>
    <row r="564" s="570" customFormat="1" ht="30" customHeight="1" spans="1:33">
      <c r="A564" s="705"/>
      <c r="B564" s="714" t="s">
        <v>211</v>
      </c>
      <c r="C564" s="146" t="s">
        <v>52</v>
      </c>
      <c r="D564" s="152" t="s">
        <v>384</v>
      </c>
      <c r="E564" s="708"/>
      <c r="F564" s="714"/>
      <c r="G564" s="708"/>
      <c r="H564" s="708"/>
      <c r="I564" s="708"/>
      <c r="J564" s="708"/>
      <c r="K564" s="708"/>
      <c r="L564" s="708"/>
      <c r="M564" s="708"/>
      <c r="N564" s="708"/>
      <c r="O564" s="708"/>
      <c r="P564" s="708"/>
      <c r="Q564" s="708"/>
      <c r="R564" s="708"/>
      <c r="S564" s="708"/>
      <c r="T564" s="708"/>
      <c r="U564" s="708"/>
      <c r="V564" s="708"/>
      <c r="W564" s="708"/>
      <c r="X564" s="708"/>
      <c r="Y564" s="708"/>
      <c r="Z564" s="708"/>
      <c r="AA564" s="708"/>
      <c r="AB564" s="708"/>
      <c r="AC564" s="708"/>
      <c r="AD564" s="146"/>
      <c r="AE564" s="146"/>
      <c r="AF564" s="438"/>
      <c r="AG564" s="708"/>
    </row>
    <row r="565" s="570" customFormat="1" ht="30" customHeight="1" spans="1:33">
      <c r="A565" s="705"/>
      <c r="B565" s="714" t="s">
        <v>155</v>
      </c>
      <c r="C565" s="146" t="s">
        <v>52</v>
      </c>
      <c r="D565" s="152" t="s">
        <v>384</v>
      </c>
      <c r="E565" s="708"/>
      <c r="F565" s="714"/>
      <c r="G565" s="708"/>
      <c r="H565" s="708"/>
      <c r="I565" s="708"/>
      <c r="J565" s="708"/>
      <c r="K565" s="708"/>
      <c r="L565" s="708"/>
      <c r="M565" s="708"/>
      <c r="N565" s="708"/>
      <c r="O565" s="708"/>
      <c r="P565" s="708"/>
      <c r="Q565" s="708"/>
      <c r="R565" s="708"/>
      <c r="S565" s="708"/>
      <c r="T565" s="708"/>
      <c r="U565" s="708"/>
      <c r="V565" s="708"/>
      <c r="W565" s="708"/>
      <c r="X565" s="708"/>
      <c r="Y565" s="708"/>
      <c r="Z565" s="708"/>
      <c r="AA565" s="708"/>
      <c r="AB565" s="708"/>
      <c r="AC565" s="708"/>
      <c r="AD565" s="146"/>
      <c r="AE565" s="146"/>
      <c r="AF565" s="438"/>
      <c r="AG565" s="708"/>
    </row>
    <row r="566" s="570" customFormat="1" ht="30" customHeight="1" spans="1:33">
      <c r="A566" s="705"/>
      <c r="B566" s="714" t="s">
        <v>102</v>
      </c>
      <c r="C566" s="146" t="s">
        <v>52</v>
      </c>
      <c r="D566" s="152" t="s">
        <v>384</v>
      </c>
      <c r="E566" s="708"/>
      <c r="F566" s="714"/>
      <c r="G566" s="708"/>
      <c r="H566" s="708"/>
      <c r="I566" s="708"/>
      <c r="J566" s="708"/>
      <c r="K566" s="708"/>
      <c r="L566" s="708"/>
      <c r="M566" s="708"/>
      <c r="N566" s="708"/>
      <c r="O566" s="708"/>
      <c r="P566" s="708"/>
      <c r="Q566" s="708"/>
      <c r="R566" s="708"/>
      <c r="S566" s="708"/>
      <c r="T566" s="708"/>
      <c r="U566" s="708"/>
      <c r="V566" s="708"/>
      <c r="W566" s="708"/>
      <c r="X566" s="708"/>
      <c r="Y566" s="708"/>
      <c r="Z566" s="708"/>
      <c r="AA566" s="708"/>
      <c r="AB566" s="708"/>
      <c r="AC566" s="708"/>
      <c r="AD566" s="146"/>
      <c r="AE566" s="146"/>
      <c r="AF566" s="438"/>
      <c r="AG566" s="708"/>
    </row>
    <row r="567" s="570" customFormat="1" ht="30" customHeight="1" spans="1:33">
      <c r="A567" s="705"/>
      <c r="B567" s="714" t="s">
        <v>100</v>
      </c>
      <c r="C567" s="146" t="s">
        <v>52</v>
      </c>
      <c r="D567" s="152" t="s">
        <v>384</v>
      </c>
      <c r="E567" s="708"/>
      <c r="F567" s="714"/>
      <c r="G567" s="708"/>
      <c r="H567" s="708"/>
      <c r="I567" s="708"/>
      <c r="J567" s="708"/>
      <c r="K567" s="708"/>
      <c r="L567" s="708"/>
      <c r="M567" s="708"/>
      <c r="N567" s="708"/>
      <c r="O567" s="708"/>
      <c r="P567" s="708"/>
      <c r="Q567" s="708"/>
      <c r="R567" s="708"/>
      <c r="S567" s="708"/>
      <c r="T567" s="708"/>
      <c r="U567" s="708"/>
      <c r="V567" s="708"/>
      <c r="W567" s="708"/>
      <c r="X567" s="708"/>
      <c r="Y567" s="708"/>
      <c r="Z567" s="708"/>
      <c r="AA567" s="708"/>
      <c r="AB567" s="708"/>
      <c r="AC567" s="708"/>
      <c r="AD567" s="146"/>
      <c r="AE567" s="146"/>
      <c r="AF567" s="438"/>
      <c r="AG567" s="708"/>
    </row>
    <row r="568" s="570" customFormat="1" ht="30" customHeight="1" spans="1:33">
      <c r="A568" s="705"/>
      <c r="B568" s="714" t="s">
        <v>84</v>
      </c>
      <c r="C568" s="146" t="s">
        <v>52</v>
      </c>
      <c r="D568" s="152" t="s">
        <v>384</v>
      </c>
      <c r="E568" s="708"/>
      <c r="F568" s="714"/>
      <c r="G568" s="708"/>
      <c r="H568" s="708"/>
      <c r="I568" s="708"/>
      <c r="J568" s="708"/>
      <c r="K568" s="708"/>
      <c r="L568" s="708"/>
      <c r="M568" s="708"/>
      <c r="N568" s="708"/>
      <c r="O568" s="708"/>
      <c r="P568" s="708"/>
      <c r="Q568" s="708"/>
      <c r="R568" s="708"/>
      <c r="S568" s="708"/>
      <c r="T568" s="708"/>
      <c r="U568" s="708"/>
      <c r="V568" s="708"/>
      <c r="W568" s="708"/>
      <c r="X568" s="708"/>
      <c r="Y568" s="708"/>
      <c r="Z568" s="708"/>
      <c r="AA568" s="708"/>
      <c r="AB568" s="708"/>
      <c r="AC568" s="708"/>
      <c r="AD568" s="146"/>
      <c r="AE568" s="146"/>
      <c r="AF568" s="438"/>
      <c r="AG568" s="708"/>
    </row>
    <row r="569" s="570" customFormat="1" ht="30" customHeight="1" spans="1:33">
      <c r="A569" s="705"/>
      <c r="B569" s="714" t="s">
        <v>259</v>
      </c>
      <c r="C569" s="146" t="s">
        <v>52</v>
      </c>
      <c r="D569" s="152" t="s">
        <v>384</v>
      </c>
      <c r="E569" s="708"/>
      <c r="F569" s="714"/>
      <c r="G569" s="708"/>
      <c r="H569" s="708"/>
      <c r="I569" s="708"/>
      <c r="J569" s="708"/>
      <c r="K569" s="708"/>
      <c r="L569" s="708"/>
      <c r="M569" s="708"/>
      <c r="N569" s="708"/>
      <c r="O569" s="708"/>
      <c r="P569" s="708"/>
      <c r="Q569" s="708"/>
      <c r="R569" s="708"/>
      <c r="S569" s="708"/>
      <c r="T569" s="708"/>
      <c r="U569" s="708"/>
      <c r="V569" s="708"/>
      <c r="W569" s="708"/>
      <c r="X569" s="708"/>
      <c r="Y569" s="708"/>
      <c r="Z569" s="708"/>
      <c r="AA569" s="708"/>
      <c r="AB569" s="708"/>
      <c r="AC569" s="708"/>
      <c r="AD569" s="146"/>
      <c r="AE569" s="146"/>
      <c r="AF569" s="438"/>
      <c r="AG569" s="708"/>
    </row>
    <row r="570" s="570" customFormat="1" ht="30" customHeight="1" spans="1:33">
      <c r="A570" s="705"/>
      <c r="B570" s="714" t="s">
        <v>143</v>
      </c>
      <c r="C570" s="146" t="s">
        <v>52</v>
      </c>
      <c r="D570" s="152" t="s">
        <v>384</v>
      </c>
      <c r="E570" s="708"/>
      <c r="F570" s="714"/>
      <c r="G570" s="708"/>
      <c r="H570" s="706"/>
      <c r="I570" s="706"/>
      <c r="J570" s="708"/>
      <c r="K570" s="708"/>
      <c r="L570" s="708"/>
      <c r="M570" s="708"/>
      <c r="N570" s="708"/>
      <c r="O570" s="708"/>
      <c r="P570" s="708"/>
      <c r="Q570" s="708"/>
      <c r="R570" s="708"/>
      <c r="S570" s="708"/>
      <c r="T570" s="708"/>
      <c r="U570" s="708"/>
      <c r="V570" s="708"/>
      <c r="W570" s="708"/>
      <c r="X570" s="708"/>
      <c r="Y570" s="708"/>
      <c r="Z570" s="708"/>
      <c r="AA570" s="708"/>
      <c r="AB570" s="708"/>
      <c r="AC570" s="708"/>
      <c r="AD570" s="775"/>
      <c r="AE570" s="146"/>
      <c r="AF570" s="438"/>
      <c r="AG570" s="708"/>
    </row>
    <row r="571" ht="32.1" customHeight="1" spans="1:33">
      <c r="A571" s="705">
        <v>70</v>
      </c>
      <c r="B571" s="706" t="s">
        <v>412</v>
      </c>
      <c r="C571" s="706"/>
      <c r="D571" s="707"/>
      <c r="E571" s="706">
        <f>E572+E574+E580+E594</f>
        <v>9</v>
      </c>
      <c r="F571" s="706">
        <f t="shared" ref="F571:AA571" si="60">F572+F574+F580+F594</f>
        <v>0</v>
      </c>
      <c r="G571" s="706">
        <f t="shared" si="60"/>
        <v>0</v>
      </c>
      <c r="H571" s="706">
        <f t="shared" si="60"/>
        <v>575</v>
      </c>
      <c r="I571" s="706">
        <f t="shared" si="60"/>
        <v>0</v>
      </c>
      <c r="J571" s="706">
        <f t="shared" si="60"/>
        <v>0</v>
      </c>
      <c r="K571" s="706">
        <f t="shared" si="60"/>
        <v>575</v>
      </c>
      <c r="L571" s="706"/>
      <c r="M571" s="706"/>
      <c r="N571" s="706">
        <f t="shared" si="60"/>
        <v>460</v>
      </c>
      <c r="O571" s="706">
        <f t="shared" si="60"/>
        <v>0</v>
      </c>
      <c r="P571" s="706">
        <f t="shared" si="60"/>
        <v>0</v>
      </c>
      <c r="Q571" s="706">
        <f t="shared" si="60"/>
        <v>460</v>
      </c>
      <c r="R571" s="706">
        <f t="shared" si="60"/>
        <v>0</v>
      </c>
      <c r="S571" s="706">
        <f t="shared" si="60"/>
        <v>460</v>
      </c>
      <c r="T571" s="706">
        <f t="shared" si="60"/>
        <v>0</v>
      </c>
      <c r="U571" s="706">
        <f t="shared" si="60"/>
        <v>0</v>
      </c>
      <c r="V571" s="706">
        <f t="shared" si="60"/>
        <v>0</v>
      </c>
      <c r="W571" s="706">
        <f t="shared" si="60"/>
        <v>0</v>
      </c>
      <c r="X571" s="706">
        <f t="shared" si="60"/>
        <v>0</v>
      </c>
      <c r="Y571" s="706">
        <f t="shared" si="60"/>
        <v>575</v>
      </c>
      <c r="Z571" s="706">
        <f t="shared" si="60"/>
        <v>2472.5</v>
      </c>
      <c r="AA571" s="706">
        <f t="shared" si="60"/>
        <v>9</v>
      </c>
      <c r="AB571" s="706"/>
      <c r="AC571" s="706"/>
      <c r="AD571" s="706"/>
      <c r="AE571" s="706"/>
      <c r="AF571" s="706"/>
      <c r="AG571" s="706" t="s">
        <v>41</v>
      </c>
    </row>
    <row r="572" s="570" customFormat="1" ht="24.95" customHeight="1" spans="1:33">
      <c r="A572" s="705">
        <v>71</v>
      </c>
      <c r="B572" s="708" t="s">
        <v>413</v>
      </c>
      <c r="C572" s="708"/>
      <c r="D572" s="709" t="s">
        <v>45</v>
      </c>
      <c r="E572" s="708">
        <f>E573</f>
        <v>0</v>
      </c>
      <c r="F572" s="708">
        <f t="shared" ref="F572:AA572" si="61">F573</f>
        <v>0</v>
      </c>
      <c r="G572" s="708">
        <f t="shared" si="61"/>
        <v>0</v>
      </c>
      <c r="H572" s="708">
        <f t="shared" si="61"/>
        <v>0</v>
      </c>
      <c r="I572" s="708">
        <f t="shared" si="61"/>
        <v>0</v>
      </c>
      <c r="J572" s="708">
        <f t="shared" si="61"/>
        <v>0</v>
      </c>
      <c r="K572" s="708">
        <f t="shared" si="61"/>
        <v>0</v>
      </c>
      <c r="L572" s="708"/>
      <c r="M572" s="708"/>
      <c r="N572" s="708">
        <f t="shared" si="61"/>
        <v>0</v>
      </c>
      <c r="O572" s="708">
        <f t="shared" si="61"/>
        <v>0</v>
      </c>
      <c r="P572" s="708">
        <f t="shared" si="61"/>
        <v>0</v>
      </c>
      <c r="Q572" s="708">
        <f t="shared" si="61"/>
        <v>0</v>
      </c>
      <c r="R572" s="708">
        <f t="shared" si="61"/>
        <v>0</v>
      </c>
      <c r="S572" s="708">
        <f t="shared" si="61"/>
        <v>0</v>
      </c>
      <c r="T572" s="708">
        <f t="shared" si="61"/>
        <v>0</v>
      </c>
      <c r="U572" s="708">
        <f t="shared" si="61"/>
        <v>0</v>
      </c>
      <c r="V572" s="708">
        <f t="shared" si="61"/>
        <v>0</v>
      </c>
      <c r="W572" s="708">
        <f t="shared" si="61"/>
        <v>0</v>
      </c>
      <c r="X572" s="708">
        <f t="shared" si="61"/>
        <v>0</v>
      </c>
      <c r="Y572" s="708">
        <f t="shared" si="61"/>
        <v>0</v>
      </c>
      <c r="Z572" s="708">
        <f t="shared" si="61"/>
        <v>0</v>
      </c>
      <c r="AA572" s="708">
        <f t="shared" si="61"/>
        <v>0</v>
      </c>
      <c r="AB572" s="708"/>
      <c r="AC572" s="708"/>
      <c r="AD572" s="146"/>
      <c r="AE572" s="146"/>
      <c r="AF572" s="146"/>
      <c r="AG572" s="708" t="s">
        <v>41</v>
      </c>
    </row>
    <row r="573" s="570" customFormat="1" ht="24.95" customHeight="1" spans="1:33">
      <c r="A573" s="705"/>
      <c r="B573" s="708" t="s">
        <v>91</v>
      </c>
      <c r="C573" s="708" t="s">
        <v>52</v>
      </c>
      <c r="D573" s="709" t="s">
        <v>45</v>
      </c>
      <c r="E573" s="708"/>
      <c r="F573" s="708"/>
      <c r="G573" s="92"/>
      <c r="H573" s="708"/>
      <c r="I573" s="152"/>
      <c r="J573" s="708"/>
      <c r="K573" s="708"/>
      <c r="L573" s="92"/>
      <c r="M573" s="92"/>
      <c r="N573" s="146"/>
      <c r="O573" s="726"/>
      <c r="P573" s="726"/>
      <c r="Q573" s="726"/>
      <c r="R573" s="726"/>
      <c r="S573" s="726"/>
      <c r="T573" s="726"/>
      <c r="U573" s="726"/>
      <c r="V573" s="726"/>
      <c r="W573" s="726"/>
      <c r="X573" s="726"/>
      <c r="Y573" s="152"/>
      <c r="Z573" s="152"/>
      <c r="AA573" s="708"/>
      <c r="AB573" s="708"/>
      <c r="AC573" s="708"/>
      <c r="AD573" s="146"/>
      <c r="AE573" s="146"/>
      <c r="AF573" s="146"/>
      <c r="AG573" s="708"/>
    </row>
    <row r="574" s="570" customFormat="1" ht="24.95" customHeight="1" spans="1:33">
      <c r="A574" s="705"/>
      <c r="B574" s="750" t="s">
        <v>414</v>
      </c>
      <c r="C574" s="146" t="s">
        <v>52</v>
      </c>
      <c r="D574" s="152" t="s">
        <v>45</v>
      </c>
      <c r="E574" s="708"/>
      <c r="F574" s="708"/>
      <c r="G574" s="92"/>
      <c r="H574" s="708"/>
      <c r="I574" s="152"/>
      <c r="J574" s="708"/>
      <c r="K574" s="708"/>
      <c r="L574" s="92"/>
      <c r="M574" s="92"/>
      <c r="N574" s="146"/>
      <c r="O574" s="726"/>
      <c r="P574" s="726"/>
      <c r="Q574" s="726"/>
      <c r="R574" s="726"/>
      <c r="S574" s="726"/>
      <c r="T574" s="726"/>
      <c r="U574" s="726"/>
      <c r="V574" s="726"/>
      <c r="W574" s="726"/>
      <c r="X574" s="726"/>
      <c r="Y574" s="152"/>
      <c r="Z574" s="152"/>
      <c r="AA574" s="708"/>
      <c r="AB574" s="708"/>
      <c r="AC574" s="708"/>
      <c r="AD574" s="146"/>
      <c r="AE574" s="146"/>
      <c r="AF574" s="146" t="s">
        <v>417</v>
      </c>
      <c r="AG574" s="708"/>
    </row>
    <row r="575" s="570" customFormat="1" ht="24.95" customHeight="1" spans="1:33">
      <c r="A575" s="705"/>
      <c r="B575" s="714" t="s">
        <v>78</v>
      </c>
      <c r="C575" s="146" t="s">
        <v>52</v>
      </c>
      <c r="D575" s="152" t="s">
        <v>45</v>
      </c>
      <c r="E575" s="708"/>
      <c r="F575" s="714"/>
      <c r="G575" s="92"/>
      <c r="H575" s="708"/>
      <c r="I575" s="152"/>
      <c r="J575" s="708"/>
      <c r="K575" s="708"/>
      <c r="L575" s="92"/>
      <c r="M575" s="92"/>
      <c r="N575" s="146"/>
      <c r="O575" s="726"/>
      <c r="P575" s="726"/>
      <c r="Q575" s="726"/>
      <c r="R575" s="726"/>
      <c r="S575" s="726"/>
      <c r="T575" s="726"/>
      <c r="U575" s="726"/>
      <c r="V575" s="726"/>
      <c r="W575" s="726"/>
      <c r="X575" s="726"/>
      <c r="Y575" s="152"/>
      <c r="Z575" s="152"/>
      <c r="AA575" s="708"/>
      <c r="AB575" s="708"/>
      <c r="AC575" s="708"/>
      <c r="AD575" s="86"/>
      <c r="AE575" s="71"/>
      <c r="AF575" s="146"/>
      <c r="AG575" s="708"/>
    </row>
    <row r="576" s="570" customFormat="1" ht="24.95" customHeight="1" spans="1:33">
      <c r="A576" s="705"/>
      <c r="B576" s="714" t="s">
        <v>55</v>
      </c>
      <c r="C576" s="715" t="s">
        <v>52</v>
      </c>
      <c r="D576" s="716" t="s">
        <v>45</v>
      </c>
      <c r="E576" s="708"/>
      <c r="F576" s="714"/>
      <c r="G576" s="92"/>
      <c r="H576" s="708"/>
      <c r="I576" s="152"/>
      <c r="J576" s="708"/>
      <c r="K576" s="708"/>
      <c r="L576" s="92"/>
      <c r="M576" s="92"/>
      <c r="N576" s="146"/>
      <c r="O576" s="726"/>
      <c r="P576" s="726"/>
      <c r="Q576" s="726"/>
      <c r="R576" s="726"/>
      <c r="S576" s="726"/>
      <c r="T576" s="726"/>
      <c r="U576" s="726"/>
      <c r="V576" s="726"/>
      <c r="W576" s="726"/>
      <c r="X576" s="726"/>
      <c r="Y576" s="152"/>
      <c r="Z576" s="152"/>
      <c r="AA576" s="708"/>
      <c r="AB576" s="708"/>
      <c r="AC576" s="708"/>
      <c r="AD576" s="146"/>
      <c r="AE576" s="146"/>
      <c r="AF576" s="146"/>
      <c r="AG576" s="708"/>
    </row>
    <row r="577" s="570" customFormat="1" ht="24.95" customHeight="1" spans="1:33">
      <c r="A577" s="705"/>
      <c r="B577" s="714" t="s">
        <v>91</v>
      </c>
      <c r="C577" s="146" t="s">
        <v>52</v>
      </c>
      <c r="D577" s="152" t="s">
        <v>45</v>
      </c>
      <c r="E577" s="708"/>
      <c r="F577" s="714"/>
      <c r="G577" s="92"/>
      <c r="H577" s="152"/>
      <c r="I577" s="152"/>
      <c r="J577" s="152"/>
      <c r="K577" s="708"/>
      <c r="L577" s="92"/>
      <c r="M577" s="92"/>
      <c r="N577" s="146"/>
      <c r="O577" s="726"/>
      <c r="P577" s="146"/>
      <c r="Q577" s="726"/>
      <c r="R577" s="726"/>
      <c r="S577" s="146"/>
      <c r="T577" s="726"/>
      <c r="U577" s="726"/>
      <c r="V577" s="726"/>
      <c r="W577" s="726"/>
      <c r="X577" s="726"/>
      <c r="Y577" s="152"/>
      <c r="Z577" s="152"/>
      <c r="AA577" s="708"/>
      <c r="AB577" s="708"/>
      <c r="AC577" s="708"/>
      <c r="AD577" s="146"/>
      <c r="AE577" s="146"/>
      <c r="AF577" s="146"/>
      <c r="AG577" s="708"/>
    </row>
    <row r="578" s="570" customFormat="1" ht="24.95" customHeight="1" spans="1:33">
      <c r="A578" s="705"/>
      <c r="B578" s="714" t="s">
        <v>92</v>
      </c>
      <c r="C578" s="146" t="s">
        <v>52</v>
      </c>
      <c r="D578" s="152" t="s">
        <v>45</v>
      </c>
      <c r="E578" s="708"/>
      <c r="F578" s="714"/>
      <c r="G578" s="92"/>
      <c r="H578" s="152"/>
      <c r="I578" s="152"/>
      <c r="J578" s="152"/>
      <c r="K578" s="708"/>
      <c r="L578" s="92"/>
      <c r="M578" s="92"/>
      <c r="N578" s="146"/>
      <c r="O578" s="726"/>
      <c r="P578" s="146"/>
      <c r="Q578" s="726"/>
      <c r="R578" s="726"/>
      <c r="S578" s="146"/>
      <c r="T578" s="726"/>
      <c r="U578" s="726"/>
      <c r="V578" s="726"/>
      <c r="W578" s="726"/>
      <c r="X578" s="726"/>
      <c r="Y578" s="152"/>
      <c r="Z578" s="152"/>
      <c r="AA578" s="708"/>
      <c r="AB578" s="708"/>
      <c r="AC578" s="708"/>
      <c r="AD578" s="86"/>
      <c r="AE578" s="86"/>
      <c r="AF578" s="146"/>
      <c r="AG578" s="708"/>
    </row>
    <row r="579" s="570" customFormat="1" ht="24.95" customHeight="1" spans="1:33">
      <c r="A579" s="705"/>
      <c r="B579" s="714" t="s">
        <v>61</v>
      </c>
      <c r="C579" s="146" t="s">
        <v>52</v>
      </c>
      <c r="D579" s="152" t="s">
        <v>45</v>
      </c>
      <c r="E579" s="708"/>
      <c r="F579" s="714"/>
      <c r="G579" s="92"/>
      <c r="H579" s="787"/>
      <c r="I579" s="152"/>
      <c r="J579" s="787"/>
      <c r="K579" s="708"/>
      <c r="L579" s="92"/>
      <c r="M579" s="92"/>
      <c r="N579" s="146"/>
      <c r="O579" s="726"/>
      <c r="P579" s="146"/>
      <c r="Q579" s="726"/>
      <c r="R579" s="726"/>
      <c r="S579" s="146"/>
      <c r="T579" s="726"/>
      <c r="U579" s="726"/>
      <c r="V579" s="726"/>
      <c r="W579" s="726"/>
      <c r="X579" s="726"/>
      <c r="Y579" s="152"/>
      <c r="Z579" s="152"/>
      <c r="AA579" s="708"/>
      <c r="AB579" s="708"/>
      <c r="AC579" s="708"/>
      <c r="AD579" s="146"/>
      <c r="AE579" s="146"/>
      <c r="AF579" s="146"/>
      <c r="AG579" s="708"/>
    </row>
    <row r="580" s="570" customFormat="1" ht="24.95" customHeight="1" spans="1:33">
      <c r="A580" s="705">
        <v>73</v>
      </c>
      <c r="B580" s="791" t="s">
        <v>423</v>
      </c>
      <c r="C580" s="708"/>
      <c r="D580" s="709" t="s">
        <v>147</v>
      </c>
      <c r="E580" s="708">
        <f>SUM(E581:E589)</f>
        <v>9</v>
      </c>
      <c r="F580" s="708">
        <f t="shared" ref="F580:AA580" si="62">SUM(F581:F589)</f>
        <v>0</v>
      </c>
      <c r="G580" s="708">
        <f t="shared" si="62"/>
        <v>0</v>
      </c>
      <c r="H580" s="708">
        <f t="shared" si="62"/>
        <v>575</v>
      </c>
      <c r="I580" s="708">
        <f t="shared" si="62"/>
        <v>0</v>
      </c>
      <c r="J580" s="708">
        <f t="shared" si="62"/>
        <v>0</v>
      </c>
      <c r="K580" s="708">
        <f t="shared" si="62"/>
        <v>575</v>
      </c>
      <c r="L580" s="708"/>
      <c r="M580" s="708"/>
      <c r="N580" s="708">
        <f t="shared" si="62"/>
        <v>460</v>
      </c>
      <c r="O580" s="708">
        <f t="shared" si="62"/>
        <v>0</v>
      </c>
      <c r="P580" s="708">
        <f t="shared" si="62"/>
        <v>0</v>
      </c>
      <c r="Q580" s="708">
        <f t="shared" si="62"/>
        <v>460</v>
      </c>
      <c r="R580" s="708">
        <f t="shared" si="62"/>
        <v>0</v>
      </c>
      <c r="S580" s="708">
        <f t="shared" si="62"/>
        <v>460</v>
      </c>
      <c r="T580" s="708">
        <f t="shared" si="62"/>
        <v>0</v>
      </c>
      <c r="U580" s="708">
        <f t="shared" si="62"/>
        <v>0</v>
      </c>
      <c r="V580" s="708">
        <f t="shared" si="62"/>
        <v>0</v>
      </c>
      <c r="W580" s="708">
        <f t="shared" si="62"/>
        <v>0</v>
      </c>
      <c r="X580" s="708">
        <f t="shared" si="62"/>
        <v>0</v>
      </c>
      <c r="Y580" s="708">
        <f t="shared" si="62"/>
        <v>575</v>
      </c>
      <c r="Z580" s="708">
        <f t="shared" si="62"/>
        <v>2472.5</v>
      </c>
      <c r="AA580" s="708">
        <f t="shared" si="62"/>
        <v>9</v>
      </c>
      <c r="AB580" s="708"/>
      <c r="AC580" s="708"/>
      <c r="AD580" s="146" t="s">
        <v>415</v>
      </c>
      <c r="AE580" s="146" t="s">
        <v>424</v>
      </c>
      <c r="AF580" s="146" t="s">
        <v>417</v>
      </c>
      <c r="AG580" s="708" t="s">
        <v>41</v>
      </c>
    </row>
    <row r="581" s="570" customFormat="1" ht="24.95" customHeight="1" spans="1:33">
      <c r="A581" s="705"/>
      <c r="B581" s="199" t="s">
        <v>69</v>
      </c>
      <c r="C581" s="146" t="s">
        <v>52</v>
      </c>
      <c r="D581" s="141" t="s">
        <v>147</v>
      </c>
      <c r="E581" s="708">
        <v>1</v>
      </c>
      <c r="F581" s="199" t="s">
        <v>69</v>
      </c>
      <c r="G581" s="708"/>
      <c r="H581" s="708">
        <v>134</v>
      </c>
      <c r="I581" s="708"/>
      <c r="J581" s="708"/>
      <c r="K581" s="708">
        <v>134</v>
      </c>
      <c r="L581" s="92">
        <v>2020.01</v>
      </c>
      <c r="M581" s="92">
        <v>2020.12</v>
      </c>
      <c r="N581" s="726">
        <v>107.2</v>
      </c>
      <c r="O581" s="726"/>
      <c r="P581" s="92"/>
      <c r="Q581" s="726">
        <v>107.2</v>
      </c>
      <c r="R581" s="726"/>
      <c r="S581" s="726">
        <v>107.2</v>
      </c>
      <c r="T581" s="726"/>
      <c r="U581" s="726"/>
      <c r="V581" s="726"/>
      <c r="W581" s="726"/>
      <c r="X581" s="726"/>
      <c r="Y581" s="708">
        <v>134</v>
      </c>
      <c r="Z581" s="763">
        <f t="shared" ref="Z581:Z589" si="63">Y581*4.3</f>
        <v>576.2</v>
      </c>
      <c r="AA581" s="708">
        <v>1</v>
      </c>
      <c r="AB581" s="708"/>
      <c r="AC581" s="708"/>
      <c r="AD581" s="146" t="s">
        <v>425</v>
      </c>
      <c r="AE581" s="146" t="s">
        <v>426</v>
      </c>
      <c r="AF581" s="146" t="s">
        <v>417</v>
      </c>
      <c r="AG581" s="708"/>
    </row>
    <row r="582" s="570" customFormat="1" ht="24.95" customHeight="1" spans="1:33">
      <c r="A582" s="705"/>
      <c r="B582" s="199" t="s">
        <v>51</v>
      </c>
      <c r="C582" s="146" t="s">
        <v>52</v>
      </c>
      <c r="D582" s="141" t="s">
        <v>147</v>
      </c>
      <c r="E582" s="708">
        <v>1</v>
      </c>
      <c r="F582" s="199" t="s">
        <v>51</v>
      </c>
      <c r="G582" s="708"/>
      <c r="H582" s="708">
        <v>84</v>
      </c>
      <c r="I582" s="708"/>
      <c r="J582" s="708"/>
      <c r="K582" s="708">
        <v>84</v>
      </c>
      <c r="L582" s="92">
        <v>2020.01</v>
      </c>
      <c r="M582" s="92">
        <v>2020.12</v>
      </c>
      <c r="N582" s="726">
        <v>67.2</v>
      </c>
      <c r="O582" s="726"/>
      <c r="P582" s="92"/>
      <c r="Q582" s="726">
        <v>67.2</v>
      </c>
      <c r="R582" s="726"/>
      <c r="S582" s="726">
        <v>67.2</v>
      </c>
      <c r="T582" s="726"/>
      <c r="U582" s="726"/>
      <c r="V582" s="726"/>
      <c r="W582" s="726"/>
      <c r="X582" s="726"/>
      <c r="Y582" s="708">
        <v>84</v>
      </c>
      <c r="Z582" s="763">
        <f t="shared" si="63"/>
        <v>361.2</v>
      </c>
      <c r="AA582" s="708">
        <v>1</v>
      </c>
      <c r="AB582" s="708"/>
      <c r="AC582" s="708"/>
      <c r="AD582" s="71" t="s">
        <v>53</v>
      </c>
      <c r="AE582" s="71" t="s">
        <v>427</v>
      </c>
      <c r="AF582" s="146" t="s">
        <v>417</v>
      </c>
      <c r="AG582" s="708"/>
    </row>
    <row r="583" s="570" customFormat="1" ht="24.95" customHeight="1" spans="1:33">
      <c r="A583" s="705"/>
      <c r="B583" s="199" t="s">
        <v>72</v>
      </c>
      <c r="C583" s="146" t="s">
        <v>52</v>
      </c>
      <c r="D583" s="141" t="s">
        <v>147</v>
      </c>
      <c r="E583" s="708">
        <v>1</v>
      </c>
      <c r="F583" s="199" t="s">
        <v>72</v>
      </c>
      <c r="G583" s="708"/>
      <c r="H583" s="708">
        <v>103</v>
      </c>
      <c r="I583" s="708"/>
      <c r="J583" s="708"/>
      <c r="K583" s="708">
        <v>103</v>
      </c>
      <c r="L583" s="92">
        <v>2020.01</v>
      </c>
      <c r="M583" s="92">
        <v>2020.12</v>
      </c>
      <c r="N583" s="726">
        <v>82.4</v>
      </c>
      <c r="O583" s="726"/>
      <c r="P583" s="92"/>
      <c r="Q583" s="726">
        <v>82.4</v>
      </c>
      <c r="R583" s="726"/>
      <c r="S583" s="726">
        <v>82.4</v>
      </c>
      <c r="T583" s="726"/>
      <c r="U583" s="726"/>
      <c r="V583" s="726"/>
      <c r="W583" s="726"/>
      <c r="X583" s="726"/>
      <c r="Y583" s="708">
        <v>103</v>
      </c>
      <c r="Z583" s="763">
        <f t="shared" si="63"/>
        <v>442.9</v>
      </c>
      <c r="AA583" s="708">
        <v>1</v>
      </c>
      <c r="AB583" s="708"/>
      <c r="AC583" s="708"/>
      <c r="AD583" s="146" t="s">
        <v>428</v>
      </c>
      <c r="AE583" s="146" t="s">
        <v>429</v>
      </c>
      <c r="AF583" s="146" t="s">
        <v>417</v>
      </c>
      <c r="AG583" s="708"/>
    </row>
    <row r="584" s="570" customFormat="1" ht="24.95" customHeight="1" spans="1:33">
      <c r="A584" s="705"/>
      <c r="B584" s="199" t="s">
        <v>58</v>
      </c>
      <c r="C584" s="146" t="s">
        <v>52</v>
      </c>
      <c r="D584" s="141" t="s">
        <v>147</v>
      </c>
      <c r="E584" s="708">
        <v>1</v>
      </c>
      <c r="F584" s="199" t="s">
        <v>58</v>
      </c>
      <c r="G584" s="708"/>
      <c r="H584" s="708">
        <v>7</v>
      </c>
      <c r="I584" s="708"/>
      <c r="J584" s="708"/>
      <c r="K584" s="708">
        <v>7</v>
      </c>
      <c r="L584" s="92">
        <v>2020.01</v>
      </c>
      <c r="M584" s="92">
        <v>2020.12</v>
      </c>
      <c r="N584" s="726">
        <v>5.6</v>
      </c>
      <c r="O584" s="726"/>
      <c r="P584" s="92"/>
      <c r="Q584" s="726">
        <v>5.6</v>
      </c>
      <c r="R584" s="726"/>
      <c r="S584" s="726">
        <v>5.6</v>
      </c>
      <c r="T584" s="726"/>
      <c r="U584" s="726"/>
      <c r="V584" s="726"/>
      <c r="W584" s="726"/>
      <c r="X584" s="726"/>
      <c r="Y584" s="708">
        <v>7</v>
      </c>
      <c r="Z584" s="763">
        <f t="shared" si="63"/>
        <v>30.1</v>
      </c>
      <c r="AA584" s="708">
        <v>1</v>
      </c>
      <c r="AB584" s="708"/>
      <c r="AC584" s="708"/>
      <c r="AD584" s="86" t="s">
        <v>399</v>
      </c>
      <c r="AE584" s="86" t="s">
        <v>430</v>
      </c>
      <c r="AF584" s="146" t="s">
        <v>417</v>
      </c>
      <c r="AG584" s="708"/>
    </row>
    <row r="585" s="570" customFormat="1" ht="24.95" customHeight="1" spans="1:33">
      <c r="A585" s="705"/>
      <c r="B585" s="199" t="s">
        <v>78</v>
      </c>
      <c r="C585" s="146" t="s">
        <v>52</v>
      </c>
      <c r="D585" s="141" t="s">
        <v>147</v>
      </c>
      <c r="E585" s="708">
        <v>1</v>
      </c>
      <c r="F585" s="199" t="s">
        <v>78</v>
      </c>
      <c r="G585" s="708"/>
      <c r="H585" s="708">
        <v>87</v>
      </c>
      <c r="I585" s="708"/>
      <c r="J585" s="708"/>
      <c r="K585" s="708">
        <v>87</v>
      </c>
      <c r="L585" s="92">
        <v>2020.01</v>
      </c>
      <c r="M585" s="92">
        <v>2020.12</v>
      </c>
      <c r="N585" s="726">
        <v>69.6</v>
      </c>
      <c r="O585" s="726"/>
      <c r="P585" s="92"/>
      <c r="Q585" s="726">
        <v>69.6</v>
      </c>
      <c r="R585" s="726"/>
      <c r="S585" s="726">
        <v>69.6</v>
      </c>
      <c r="T585" s="726"/>
      <c r="U585" s="726"/>
      <c r="V585" s="726"/>
      <c r="W585" s="726"/>
      <c r="X585" s="726"/>
      <c r="Y585" s="708">
        <v>87</v>
      </c>
      <c r="Z585" s="763">
        <f t="shared" si="63"/>
        <v>374.1</v>
      </c>
      <c r="AA585" s="708">
        <v>1</v>
      </c>
      <c r="AB585" s="708"/>
      <c r="AC585" s="708"/>
      <c r="AD585" s="86" t="s">
        <v>217</v>
      </c>
      <c r="AE585" s="71" t="s">
        <v>431</v>
      </c>
      <c r="AF585" s="146" t="s">
        <v>417</v>
      </c>
      <c r="AG585" s="708"/>
    </row>
    <row r="586" s="570" customFormat="1" ht="24.95" customHeight="1" spans="1:33">
      <c r="A586" s="705"/>
      <c r="B586" s="199" t="s">
        <v>92</v>
      </c>
      <c r="C586" s="146" t="s">
        <v>52</v>
      </c>
      <c r="D586" s="141" t="s">
        <v>147</v>
      </c>
      <c r="E586" s="708">
        <v>1</v>
      </c>
      <c r="F586" s="199" t="s">
        <v>92</v>
      </c>
      <c r="G586" s="708"/>
      <c r="H586" s="708">
        <v>10</v>
      </c>
      <c r="I586" s="708"/>
      <c r="J586" s="708"/>
      <c r="K586" s="708">
        <v>10</v>
      </c>
      <c r="L586" s="92">
        <v>2020.01</v>
      </c>
      <c r="M586" s="92">
        <v>2020.12</v>
      </c>
      <c r="N586" s="726">
        <v>8</v>
      </c>
      <c r="O586" s="726"/>
      <c r="P586" s="92"/>
      <c r="Q586" s="726">
        <v>8</v>
      </c>
      <c r="R586" s="726"/>
      <c r="S586" s="726">
        <v>8</v>
      </c>
      <c r="T586" s="726"/>
      <c r="U586" s="726"/>
      <c r="V586" s="726"/>
      <c r="W586" s="726"/>
      <c r="X586" s="726"/>
      <c r="Y586" s="708">
        <v>10</v>
      </c>
      <c r="Z586" s="763">
        <f t="shared" si="63"/>
        <v>43</v>
      </c>
      <c r="AA586" s="708">
        <v>1</v>
      </c>
      <c r="AB586" s="708"/>
      <c r="AC586" s="708"/>
      <c r="AD586" s="86" t="s">
        <v>93</v>
      </c>
      <c r="AE586" s="86" t="s">
        <v>420</v>
      </c>
      <c r="AF586" s="146" t="s">
        <v>417</v>
      </c>
      <c r="AG586" s="708"/>
    </row>
    <row r="587" s="570" customFormat="1" ht="24.95" customHeight="1" spans="1:33">
      <c r="A587" s="705"/>
      <c r="B587" s="199" t="s">
        <v>61</v>
      </c>
      <c r="C587" s="146" t="s">
        <v>52</v>
      </c>
      <c r="D587" s="141" t="s">
        <v>147</v>
      </c>
      <c r="E587" s="708">
        <v>1</v>
      </c>
      <c r="F587" s="199" t="s">
        <v>61</v>
      </c>
      <c r="G587" s="708"/>
      <c r="H587" s="708">
        <v>80</v>
      </c>
      <c r="I587" s="708"/>
      <c r="J587" s="708"/>
      <c r="K587" s="708">
        <v>80</v>
      </c>
      <c r="L587" s="92">
        <v>2020.01</v>
      </c>
      <c r="M587" s="92">
        <v>2020.12</v>
      </c>
      <c r="N587" s="726">
        <v>64</v>
      </c>
      <c r="O587" s="726"/>
      <c r="P587" s="92"/>
      <c r="Q587" s="726">
        <v>64</v>
      </c>
      <c r="R587" s="726"/>
      <c r="S587" s="726">
        <v>64</v>
      </c>
      <c r="T587" s="726"/>
      <c r="U587" s="726"/>
      <c r="V587" s="726"/>
      <c r="W587" s="726"/>
      <c r="X587" s="726"/>
      <c r="Y587" s="708">
        <v>80</v>
      </c>
      <c r="Z587" s="763">
        <f t="shared" si="63"/>
        <v>344</v>
      </c>
      <c r="AA587" s="708">
        <v>1</v>
      </c>
      <c r="AB587" s="708"/>
      <c r="AC587" s="708"/>
      <c r="AD587" s="146" t="s">
        <v>421</v>
      </c>
      <c r="AE587" s="146" t="s">
        <v>422</v>
      </c>
      <c r="AF587" s="146" t="s">
        <v>417</v>
      </c>
      <c r="AG587" s="708"/>
    </row>
    <row r="588" s="570" customFormat="1" ht="24.95" customHeight="1" spans="1:33">
      <c r="A588" s="705"/>
      <c r="B588" s="199" t="s">
        <v>64</v>
      </c>
      <c r="C588" s="146" t="s">
        <v>52</v>
      </c>
      <c r="D588" s="141" t="s">
        <v>147</v>
      </c>
      <c r="E588" s="708">
        <v>1</v>
      </c>
      <c r="F588" s="199" t="s">
        <v>64</v>
      </c>
      <c r="G588" s="708"/>
      <c r="H588" s="708">
        <v>60</v>
      </c>
      <c r="I588" s="708"/>
      <c r="J588" s="708"/>
      <c r="K588" s="708">
        <v>60</v>
      </c>
      <c r="L588" s="92">
        <v>2020.01</v>
      </c>
      <c r="M588" s="92">
        <v>2020.12</v>
      </c>
      <c r="N588" s="726">
        <v>48</v>
      </c>
      <c r="O588" s="726"/>
      <c r="P588" s="92"/>
      <c r="Q588" s="726">
        <v>48</v>
      </c>
      <c r="R588" s="726"/>
      <c r="S588" s="726">
        <v>48</v>
      </c>
      <c r="T588" s="726"/>
      <c r="U588" s="726"/>
      <c r="V588" s="726"/>
      <c r="W588" s="726"/>
      <c r="X588" s="726"/>
      <c r="Y588" s="708">
        <v>60</v>
      </c>
      <c r="Z588" s="763">
        <f t="shared" si="63"/>
        <v>258</v>
      </c>
      <c r="AA588" s="708">
        <v>1</v>
      </c>
      <c r="AB588" s="708"/>
      <c r="AC588" s="708"/>
      <c r="AD588" s="146" t="s">
        <v>185</v>
      </c>
      <c r="AE588" s="146" t="s">
        <v>432</v>
      </c>
      <c r="AF588" s="146" t="s">
        <v>417</v>
      </c>
      <c r="AG588" s="708"/>
    </row>
    <row r="589" s="570" customFormat="1" ht="24.95" customHeight="1" spans="1:33">
      <c r="A589" s="705"/>
      <c r="B589" s="199" t="s">
        <v>114</v>
      </c>
      <c r="C589" s="146" t="s">
        <v>52</v>
      </c>
      <c r="D589" s="141" t="s">
        <v>147</v>
      </c>
      <c r="E589" s="708">
        <v>1</v>
      </c>
      <c r="F589" s="199" t="s">
        <v>114</v>
      </c>
      <c r="G589" s="708"/>
      <c r="H589" s="708">
        <v>10</v>
      </c>
      <c r="I589" s="708"/>
      <c r="J589" s="708"/>
      <c r="K589" s="708">
        <v>10</v>
      </c>
      <c r="L589" s="92">
        <v>2020.01</v>
      </c>
      <c r="M589" s="92">
        <v>2020.12</v>
      </c>
      <c r="N589" s="726">
        <v>8</v>
      </c>
      <c r="O589" s="726"/>
      <c r="P589" s="92"/>
      <c r="Q589" s="726">
        <v>8</v>
      </c>
      <c r="R589" s="726"/>
      <c r="S589" s="726">
        <v>8</v>
      </c>
      <c r="T589" s="726"/>
      <c r="U589" s="726"/>
      <c r="V589" s="726"/>
      <c r="W589" s="726"/>
      <c r="X589" s="726"/>
      <c r="Y589" s="708">
        <v>10</v>
      </c>
      <c r="Z589" s="763">
        <f t="shared" si="63"/>
        <v>43</v>
      </c>
      <c r="AA589" s="708">
        <v>1</v>
      </c>
      <c r="AB589" s="708"/>
      <c r="AC589" s="708"/>
      <c r="AD589" s="146" t="s">
        <v>115</v>
      </c>
      <c r="AE589" s="146" t="s">
        <v>433</v>
      </c>
      <c r="AF589" s="146" t="s">
        <v>417</v>
      </c>
      <c r="AG589" s="708"/>
    </row>
    <row r="590" s="570" customFormat="1" ht="24.95" customHeight="1" spans="1:33">
      <c r="A590" s="705">
        <v>74</v>
      </c>
      <c r="B590" s="791" t="s">
        <v>434</v>
      </c>
      <c r="C590" s="708"/>
      <c r="D590" s="709" t="s">
        <v>147</v>
      </c>
      <c r="E590" s="708"/>
      <c r="F590" s="708"/>
      <c r="G590" s="708"/>
      <c r="H590" s="708"/>
      <c r="I590" s="708"/>
      <c r="J590" s="708"/>
      <c r="K590" s="708"/>
      <c r="L590" s="708"/>
      <c r="M590" s="708"/>
      <c r="N590" s="726"/>
      <c r="O590" s="726"/>
      <c r="P590" s="726"/>
      <c r="Q590" s="726"/>
      <c r="R590" s="726"/>
      <c r="S590" s="726"/>
      <c r="T590" s="726"/>
      <c r="U590" s="726"/>
      <c r="V590" s="726"/>
      <c r="W590" s="726"/>
      <c r="X590" s="726"/>
      <c r="Y590" s="726"/>
      <c r="Z590" s="726"/>
      <c r="AA590" s="708"/>
      <c r="AB590" s="708"/>
      <c r="AC590" s="708"/>
      <c r="AD590" s="708"/>
      <c r="AE590" s="708"/>
      <c r="AF590" s="708" t="s">
        <v>435</v>
      </c>
      <c r="AG590" s="708" t="s">
        <v>41</v>
      </c>
    </row>
    <row r="591" s="570" customFormat="1" ht="24.95" customHeight="1" spans="1:33">
      <c r="A591" s="705" t="s">
        <v>48</v>
      </c>
      <c r="B591" s="92" t="s">
        <v>148</v>
      </c>
      <c r="C591" s="92"/>
      <c r="D591" s="76"/>
      <c r="E591" s="92"/>
      <c r="F591" s="92"/>
      <c r="G591" s="92"/>
      <c r="H591" s="92"/>
      <c r="I591" s="92"/>
      <c r="J591" s="92"/>
      <c r="K591" s="92"/>
      <c r="L591" s="92"/>
      <c r="M591" s="92"/>
      <c r="N591" s="724"/>
      <c r="O591" s="724"/>
      <c r="P591" s="724"/>
      <c r="Q591" s="724"/>
      <c r="R591" s="724"/>
      <c r="S591" s="724"/>
      <c r="T591" s="724"/>
      <c r="U591" s="724"/>
      <c r="V591" s="92"/>
      <c r="W591" s="92"/>
      <c r="X591" s="92"/>
      <c r="Y591" s="92"/>
      <c r="Z591" s="92"/>
      <c r="AA591" s="92"/>
      <c r="AB591" s="92"/>
      <c r="AC591" s="92"/>
      <c r="AD591" s="92"/>
      <c r="AE591" s="92"/>
      <c r="AF591" s="92"/>
      <c r="AG591" s="92"/>
    </row>
    <row r="592" s="570" customFormat="1" ht="52.5" customHeight="1" spans="1:33">
      <c r="A592" s="705">
        <v>75</v>
      </c>
      <c r="B592" s="708" t="s">
        <v>436</v>
      </c>
      <c r="C592" s="708"/>
      <c r="D592" s="709" t="s">
        <v>150</v>
      </c>
      <c r="E592" s="708"/>
      <c r="F592" s="708"/>
      <c r="G592" s="708"/>
      <c r="H592" s="708"/>
      <c r="I592" s="708"/>
      <c r="J592" s="708"/>
      <c r="K592" s="708"/>
      <c r="L592" s="708"/>
      <c r="M592" s="708"/>
      <c r="N592" s="726"/>
      <c r="O592" s="726"/>
      <c r="P592" s="726"/>
      <c r="Q592" s="726"/>
      <c r="R592" s="726"/>
      <c r="S592" s="726"/>
      <c r="T592" s="726"/>
      <c r="U592" s="726"/>
      <c r="V592" s="726"/>
      <c r="W592" s="726"/>
      <c r="X592" s="726"/>
      <c r="Y592" s="726"/>
      <c r="Z592" s="726"/>
      <c r="AA592" s="708"/>
      <c r="AB592" s="708"/>
      <c r="AC592" s="708"/>
      <c r="AD592" s="708"/>
      <c r="AE592" s="708"/>
      <c r="AF592" s="708" t="s">
        <v>417</v>
      </c>
      <c r="AG592" s="708" t="s">
        <v>41</v>
      </c>
    </row>
    <row r="593" s="570" customFormat="1" ht="24.95" customHeight="1" spans="1:33">
      <c r="A593" s="705" t="s">
        <v>48</v>
      </c>
      <c r="B593" s="92" t="s">
        <v>148</v>
      </c>
      <c r="C593" s="92"/>
      <c r="D593" s="76"/>
      <c r="E593" s="92"/>
      <c r="F593" s="92"/>
      <c r="G593" s="92"/>
      <c r="H593" s="92"/>
      <c r="I593" s="92"/>
      <c r="J593" s="92"/>
      <c r="K593" s="92"/>
      <c r="L593" s="92"/>
      <c r="M593" s="92"/>
      <c r="N593" s="724"/>
      <c r="O593" s="724"/>
      <c r="P593" s="724"/>
      <c r="Q593" s="724"/>
      <c r="R593" s="724"/>
      <c r="S593" s="724"/>
      <c r="T593" s="724"/>
      <c r="U593" s="724"/>
      <c r="V593" s="724"/>
      <c r="W593" s="724"/>
      <c r="X593" s="724"/>
      <c r="Y593" s="724"/>
      <c r="Z593" s="724"/>
      <c r="AA593" s="92"/>
      <c r="AB593" s="92"/>
      <c r="AC593" s="92"/>
      <c r="AD593" s="92"/>
      <c r="AE593" s="92"/>
      <c r="AF593" s="92"/>
      <c r="AG593" s="92"/>
    </row>
    <row r="594" customFormat="1" ht="24.95" customHeight="1" spans="1:33">
      <c r="A594" s="705"/>
      <c r="B594" s="711" t="s">
        <v>437</v>
      </c>
      <c r="C594" s="141" t="s">
        <v>52</v>
      </c>
      <c r="D594" s="141" t="s">
        <v>438</v>
      </c>
      <c r="E594" s="92"/>
      <c r="F594" s="92"/>
      <c r="G594" s="92"/>
      <c r="H594" s="92"/>
      <c r="I594" s="92"/>
      <c r="J594" s="92"/>
      <c r="K594" s="92"/>
      <c r="L594" s="92"/>
      <c r="M594" s="92"/>
      <c r="N594" s="724"/>
      <c r="O594" s="724"/>
      <c r="P594" s="724"/>
      <c r="Q594" s="724"/>
      <c r="R594" s="724"/>
      <c r="S594" s="724"/>
      <c r="T594" s="724"/>
      <c r="U594" s="724"/>
      <c r="V594" s="724"/>
      <c r="W594" s="724"/>
      <c r="X594" s="724"/>
      <c r="Y594" s="92"/>
      <c r="Z594" s="738"/>
      <c r="AA594" s="92"/>
      <c r="AB594" s="92"/>
      <c r="AC594" s="92"/>
      <c r="AD594" s="146"/>
      <c r="AE594" s="146"/>
      <c r="AF594" s="146"/>
      <c r="AG594" s="92"/>
    </row>
    <row r="595" customFormat="1" ht="24.95" customHeight="1" spans="1:33">
      <c r="A595" s="705"/>
      <c r="B595" s="199" t="s">
        <v>69</v>
      </c>
      <c r="C595" s="141" t="s">
        <v>52</v>
      </c>
      <c r="D595" s="141" t="s">
        <v>438</v>
      </c>
      <c r="E595" s="92"/>
      <c r="F595" s="199"/>
      <c r="G595" s="92"/>
      <c r="H595" s="92"/>
      <c r="I595" s="92"/>
      <c r="J595" s="92"/>
      <c r="K595" s="92"/>
      <c r="L595" s="92"/>
      <c r="M595" s="92"/>
      <c r="N595" s="724"/>
      <c r="O595" s="724"/>
      <c r="P595" s="724"/>
      <c r="Q595" s="724"/>
      <c r="R595" s="724"/>
      <c r="S595" s="724"/>
      <c r="T595" s="724"/>
      <c r="U595" s="724"/>
      <c r="V595" s="724"/>
      <c r="W595" s="724"/>
      <c r="X595" s="724"/>
      <c r="Y595" s="92"/>
      <c r="Z595" s="738"/>
      <c r="AA595" s="92"/>
      <c r="AB595" s="92"/>
      <c r="AC595" s="92"/>
      <c r="AD595" s="146"/>
      <c r="AE595" s="146"/>
      <c r="AF595" s="146"/>
      <c r="AG595" s="92"/>
    </row>
    <row r="596" customFormat="1" ht="24.95" customHeight="1" spans="1:33">
      <c r="A596" s="705"/>
      <c r="B596" s="199" t="s">
        <v>51</v>
      </c>
      <c r="C596" s="141" t="s">
        <v>52</v>
      </c>
      <c r="D596" s="141" t="s">
        <v>438</v>
      </c>
      <c r="E596" s="92"/>
      <c r="F596" s="199"/>
      <c r="G596" s="92"/>
      <c r="H596" s="92"/>
      <c r="I596" s="92"/>
      <c r="J596" s="92"/>
      <c r="K596" s="92"/>
      <c r="L596" s="92"/>
      <c r="M596" s="92"/>
      <c r="N596" s="724"/>
      <c r="O596" s="724"/>
      <c r="P596" s="724"/>
      <c r="Q596" s="724"/>
      <c r="R596" s="724"/>
      <c r="S596" s="724"/>
      <c r="T596" s="724"/>
      <c r="U596" s="724"/>
      <c r="V596" s="724"/>
      <c r="W596" s="724"/>
      <c r="X596" s="724"/>
      <c r="Y596" s="92"/>
      <c r="Z596" s="738"/>
      <c r="AA596" s="92"/>
      <c r="AB596" s="92"/>
      <c r="AC596" s="92"/>
      <c r="AD596" s="71"/>
      <c r="AE596" s="71"/>
      <c r="AF596" s="146"/>
      <c r="AG596" s="92"/>
    </row>
    <row r="597" customFormat="1" ht="24.95" customHeight="1" spans="1:33">
      <c r="A597" s="705"/>
      <c r="B597" s="199" t="s">
        <v>72</v>
      </c>
      <c r="C597" s="141" t="s">
        <v>52</v>
      </c>
      <c r="D597" s="141" t="s">
        <v>438</v>
      </c>
      <c r="E597" s="92"/>
      <c r="F597" s="199"/>
      <c r="G597" s="92"/>
      <c r="H597" s="92"/>
      <c r="I597" s="92"/>
      <c r="J597" s="92"/>
      <c r="K597" s="92"/>
      <c r="L597" s="92"/>
      <c r="M597" s="92"/>
      <c r="N597" s="724"/>
      <c r="O597" s="724"/>
      <c r="P597" s="724"/>
      <c r="Q597" s="724"/>
      <c r="R597" s="724"/>
      <c r="S597" s="724"/>
      <c r="T597" s="724"/>
      <c r="U597" s="724"/>
      <c r="V597" s="724"/>
      <c r="W597" s="724"/>
      <c r="X597" s="724"/>
      <c r="Y597" s="92"/>
      <c r="Z597" s="738"/>
      <c r="AA597" s="92"/>
      <c r="AB597" s="92"/>
      <c r="AC597" s="92"/>
      <c r="AD597" s="146"/>
      <c r="AE597" s="146"/>
      <c r="AF597" s="146"/>
      <c r="AG597" s="92"/>
    </row>
    <row r="598" customFormat="1" ht="24.95" customHeight="1" spans="1:33">
      <c r="A598" s="705"/>
      <c r="B598" s="199" t="s">
        <v>55</v>
      </c>
      <c r="C598" s="141" t="s">
        <v>52</v>
      </c>
      <c r="D598" s="141" t="s">
        <v>438</v>
      </c>
      <c r="E598" s="92"/>
      <c r="F598" s="199"/>
      <c r="G598" s="92"/>
      <c r="H598" s="92"/>
      <c r="I598" s="92"/>
      <c r="J598" s="92"/>
      <c r="K598" s="92"/>
      <c r="L598" s="92"/>
      <c r="M598" s="92"/>
      <c r="N598" s="724"/>
      <c r="O598" s="724"/>
      <c r="P598" s="724"/>
      <c r="Q598" s="724"/>
      <c r="R598" s="724"/>
      <c r="S598" s="724"/>
      <c r="T598" s="724"/>
      <c r="U598" s="724"/>
      <c r="V598" s="724"/>
      <c r="W598" s="724"/>
      <c r="X598" s="724"/>
      <c r="Y598" s="92"/>
      <c r="Z598" s="738"/>
      <c r="AA598" s="92"/>
      <c r="AB598" s="92"/>
      <c r="AC598" s="92"/>
      <c r="AD598" s="146"/>
      <c r="AE598" s="146"/>
      <c r="AF598" s="146"/>
      <c r="AG598" s="92"/>
    </row>
    <row r="599" customFormat="1" ht="24.95" customHeight="1" spans="1:33">
      <c r="A599" s="705"/>
      <c r="B599" s="199" t="s">
        <v>91</v>
      </c>
      <c r="C599" s="141" t="s">
        <v>52</v>
      </c>
      <c r="D599" s="141" t="s">
        <v>438</v>
      </c>
      <c r="E599" s="92"/>
      <c r="F599" s="199"/>
      <c r="G599" s="92"/>
      <c r="H599" s="92"/>
      <c r="I599" s="92"/>
      <c r="J599" s="92"/>
      <c r="K599" s="92"/>
      <c r="L599" s="92"/>
      <c r="M599" s="92"/>
      <c r="N599" s="724"/>
      <c r="O599" s="724"/>
      <c r="P599" s="724"/>
      <c r="Q599" s="724"/>
      <c r="R599" s="724"/>
      <c r="S599" s="724"/>
      <c r="T599" s="724"/>
      <c r="U599" s="724"/>
      <c r="V599" s="724"/>
      <c r="W599" s="724"/>
      <c r="X599" s="724"/>
      <c r="Y599" s="92"/>
      <c r="Z599" s="738"/>
      <c r="AA599" s="92"/>
      <c r="AB599" s="92"/>
      <c r="AC599" s="92"/>
      <c r="AD599" s="146"/>
      <c r="AE599" s="146"/>
      <c r="AF599" s="146"/>
      <c r="AG599" s="92"/>
    </row>
    <row r="600" customFormat="1" ht="24.95" customHeight="1" spans="1:33">
      <c r="A600" s="705"/>
      <c r="B600" s="199" t="s">
        <v>75</v>
      </c>
      <c r="C600" s="141" t="s">
        <v>52</v>
      </c>
      <c r="D600" s="141" t="s">
        <v>438</v>
      </c>
      <c r="E600" s="92"/>
      <c r="F600" s="199"/>
      <c r="G600" s="92"/>
      <c r="H600" s="92"/>
      <c r="I600" s="92"/>
      <c r="J600" s="92"/>
      <c r="K600" s="92"/>
      <c r="L600" s="92"/>
      <c r="M600" s="92"/>
      <c r="N600" s="724"/>
      <c r="O600" s="724"/>
      <c r="P600" s="724"/>
      <c r="Q600" s="724"/>
      <c r="R600" s="724"/>
      <c r="S600" s="724"/>
      <c r="T600" s="724"/>
      <c r="U600" s="724"/>
      <c r="V600" s="724"/>
      <c r="W600" s="724"/>
      <c r="X600" s="724"/>
      <c r="Y600" s="92"/>
      <c r="Z600" s="738"/>
      <c r="AA600" s="92"/>
      <c r="AB600" s="92"/>
      <c r="AC600" s="92"/>
      <c r="AD600" s="86"/>
      <c r="AE600" s="86"/>
      <c r="AF600" s="146"/>
      <c r="AG600" s="92"/>
    </row>
    <row r="601" customFormat="1" ht="24.95" customHeight="1" spans="1:33">
      <c r="A601" s="705"/>
      <c r="B601" s="199" t="s">
        <v>58</v>
      </c>
      <c r="C601" s="141" t="s">
        <v>52</v>
      </c>
      <c r="D601" s="141" t="s">
        <v>438</v>
      </c>
      <c r="E601" s="92"/>
      <c r="F601" s="199"/>
      <c r="G601" s="92"/>
      <c r="H601" s="92"/>
      <c r="I601" s="92"/>
      <c r="J601" s="92"/>
      <c r="K601" s="92"/>
      <c r="L601" s="92"/>
      <c r="M601" s="92"/>
      <c r="N601" s="724"/>
      <c r="O601" s="724"/>
      <c r="P601" s="724"/>
      <c r="Q601" s="724"/>
      <c r="R601" s="724"/>
      <c r="S601" s="724"/>
      <c r="T601" s="724"/>
      <c r="U601" s="724"/>
      <c r="V601" s="724"/>
      <c r="W601" s="724"/>
      <c r="X601" s="724"/>
      <c r="Y601" s="92"/>
      <c r="Z601" s="738"/>
      <c r="AA601" s="92"/>
      <c r="AB601" s="92"/>
      <c r="AC601" s="92"/>
      <c r="AD601" s="86"/>
      <c r="AE601" s="86"/>
      <c r="AF601" s="146"/>
      <c r="AG601" s="92"/>
    </row>
    <row r="602" customFormat="1" ht="24.95" customHeight="1" spans="1:33">
      <c r="A602" s="705"/>
      <c r="B602" s="199" t="s">
        <v>61</v>
      </c>
      <c r="C602" s="141" t="s">
        <v>52</v>
      </c>
      <c r="D602" s="141" t="s">
        <v>438</v>
      </c>
      <c r="E602" s="92"/>
      <c r="F602" s="199"/>
      <c r="G602" s="92"/>
      <c r="H602" s="92"/>
      <c r="I602" s="92"/>
      <c r="J602" s="92"/>
      <c r="K602" s="92"/>
      <c r="L602" s="92"/>
      <c r="M602" s="92"/>
      <c r="N602" s="724"/>
      <c r="O602" s="724"/>
      <c r="P602" s="724"/>
      <c r="Q602" s="724"/>
      <c r="R602" s="724"/>
      <c r="S602" s="724"/>
      <c r="T602" s="724"/>
      <c r="U602" s="724"/>
      <c r="V602" s="724"/>
      <c r="W602" s="724"/>
      <c r="X602" s="724"/>
      <c r="Y602" s="92"/>
      <c r="Z602" s="738"/>
      <c r="AA602" s="92"/>
      <c r="AB602" s="92"/>
      <c r="AC602" s="92"/>
      <c r="AD602" s="146"/>
      <c r="AE602" s="146"/>
      <c r="AF602" s="146"/>
      <c r="AG602" s="92"/>
    </row>
    <row r="603" customFormat="1" ht="24.95" customHeight="1" spans="1:33">
      <c r="A603" s="705"/>
      <c r="B603" s="199" t="s">
        <v>78</v>
      </c>
      <c r="C603" s="141" t="s">
        <v>52</v>
      </c>
      <c r="D603" s="141" t="s">
        <v>438</v>
      </c>
      <c r="E603" s="92"/>
      <c r="F603" s="199"/>
      <c r="G603" s="92"/>
      <c r="H603" s="92"/>
      <c r="I603" s="92"/>
      <c r="J603" s="92"/>
      <c r="K603" s="92"/>
      <c r="L603" s="92"/>
      <c r="M603" s="92"/>
      <c r="N603" s="724"/>
      <c r="O603" s="724"/>
      <c r="P603" s="724"/>
      <c r="Q603" s="724"/>
      <c r="R603" s="724"/>
      <c r="S603" s="724"/>
      <c r="T603" s="724"/>
      <c r="U603" s="724"/>
      <c r="V603" s="724"/>
      <c r="W603" s="724"/>
      <c r="X603" s="724"/>
      <c r="Y603" s="92"/>
      <c r="Z603" s="738"/>
      <c r="AA603" s="92"/>
      <c r="AB603" s="92"/>
      <c r="AC603" s="92"/>
      <c r="AD603" s="86"/>
      <c r="AE603" s="71"/>
      <c r="AF603" s="146"/>
      <c r="AG603" s="92"/>
    </row>
    <row r="604" customFormat="1" ht="24.95" customHeight="1" spans="1:33">
      <c r="A604" s="705"/>
      <c r="B604" s="199" t="s">
        <v>114</v>
      </c>
      <c r="C604" s="141" t="s">
        <v>52</v>
      </c>
      <c r="D604" s="141" t="s">
        <v>438</v>
      </c>
      <c r="E604" s="92"/>
      <c r="F604" s="199"/>
      <c r="G604" s="92"/>
      <c r="H604" s="92"/>
      <c r="I604" s="92"/>
      <c r="J604" s="92"/>
      <c r="K604" s="92"/>
      <c r="L604" s="92"/>
      <c r="M604" s="92"/>
      <c r="N604" s="724"/>
      <c r="O604" s="724"/>
      <c r="P604" s="724"/>
      <c r="Q604" s="724"/>
      <c r="R604" s="724"/>
      <c r="S604" s="724"/>
      <c r="T604" s="724"/>
      <c r="U604" s="724"/>
      <c r="V604" s="724"/>
      <c r="W604" s="724"/>
      <c r="X604" s="724"/>
      <c r="Y604" s="92"/>
      <c r="Z604" s="738"/>
      <c r="AA604" s="92"/>
      <c r="AB604" s="92"/>
      <c r="AC604" s="92"/>
      <c r="AD604" s="146"/>
      <c r="AE604" s="146"/>
      <c r="AF604" s="146"/>
      <c r="AG604" s="92"/>
    </row>
    <row r="605" customFormat="1" ht="24.95" customHeight="1" spans="1:33">
      <c r="A605" s="705"/>
      <c r="B605" s="199" t="s">
        <v>64</v>
      </c>
      <c r="C605" s="141" t="s">
        <v>52</v>
      </c>
      <c r="D605" s="141" t="s">
        <v>438</v>
      </c>
      <c r="E605" s="92"/>
      <c r="F605" s="199"/>
      <c r="G605" s="92"/>
      <c r="H605" s="92"/>
      <c r="I605" s="92"/>
      <c r="J605" s="92"/>
      <c r="K605" s="92"/>
      <c r="L605" s="92"/>
      <c r="M605" s="92"/>
      <c r="N605" s="724"/>
      <c r="O605" s="724"/>
      <c r="P605" s="724"/>
      <c r="Q605" s="724"/>
      <c r="R605" s="724"/>
      <c r="S605" s="724"/>
      <c r="T605" s="724"/>
      <c r="U605" s="724"/>
      <c r="V605" s="724"/>
      <c r="W605" s="724"/>
      <c r="X605" s="724"/>
      <c r="Y605" s="92"/>
      <c r="Z605" s="738"/>
      <c r="AA605" s="92"/>
      <c r="AB605" s="92"/>
      <c r="AC605" s="92"/>
      <c r="AD605" s="146"/>
      <c r="AE605" s="146"/>
      <c r="AF605" s="146"/>
      <c r="AG605" s="92"/>
    </row>
    <row r="606" customFormat="1" ht="24.95" customHeight="1" spans="1:33">
      <c r="A606" s="705"/>
      <c r="B606" s="199" t="s">
        <v>92</v>
      </c>
      <c r="C606" s="141" t="s">
        <v>52</v>
      </c>
      <c r="D606" s="141" t="s">
        <v>438</v>
      </c>
      <c r="E606" s="92"/>
      <c r="F606" s="199"/>
      <c r="G606" s="92"/>
      <c r="H606" s="92"/>
      <c r="I606" s="92"/>
      <c r="J606" s="92"/>
      <c r="K606" s="92"/>
      <c r="L606" s="92"/>
      <c r="M606" s="92"/>
      <c r="N606" s="724"/>
      <c r="O606" s="724"/>
      <c r="P606" s="724"/>
      <c r="Q606" s="724"/>
      <c r="R606" s="724"/>
      <c r="S606" s="724"/>
      <c r="T606" s="724"/>
      <c r="U606" s="724"/>
      <c r="V606" s="724"/>
      <c r="W606" s="724"/>
      <c r="X606" s="724"/>
      <c r="Y606" s="92"/>
      <c r="Z606" s="738"/>
      <c r="AA606" s="92"/>
      <c r="AB606" s="92"/>
      <c r="AC606" s="92"/>
      <c r="AD606" s="86"/>
      <c r="AE606" s="86"/>
      <c r="AF606" s="146"/>
      <c r="AG606" s="92"/>
    </row>
    <row r="607" s="570" customFormat="1" ht="32.1" customHeight="1" spans="1:33">
      <c r="A607" s="705">
        <v>76</v>
      </c>
      <c r="B607" s="706" t="s">
        <v>442</v>
      </c>
      <c r="C607" s="706"/>
      <c r="D607" s="707"/>
      <c r="E607" s="706">
        <f>E608+E621+E637</f>
        <v>37</v>
      </c>
      <c r="F607" s="706">
        <f t="shared" ref="F607:AA607" si="64">F608+F621+F637</f>
        <v>0</v>
      </c>
      <c r="G607" s="706">
        <f t="shared" si="64"/>
        <v>0</v>
      </c>
      <c r="H607" s="706">
        <f t="shared" si="64"/>
        <v>7532</v>
      </c>
      <c r="I607" s="706">
        <f t="shared" si="64"/>
        <v>0</v>
      </c>
      <c r="J607" s="706">
        <f t="shared" si="64"/>
        <v>0</v>
      </c>
      <c r="K607" s="706">
        <f t="shared" si="64"/>
        <v>7532</v>
      </c>
      <c r="L607" s="706"/>
      <c r="M607" s="706"/>
      <c r="N607" s="706">
        <f t="shared" si="64"/>
        <v>151.668</v>
      </c>
      <c r="O607" s="706">
        <f t="shared" si="64"/>
        <v>0</v>
      </c>
      <c r="P607" s="706">
        <f t="shared" si="64"/>
        <v>0</v>
      </c>
      <c r="Q607" s="706">
        <f t="shared" si="64"/>
        <v>151.668</v>
      </c>
      <c r="R607" s="706">
        <f t="shared" si="64"/>
        <v>151.668</v>
      </c>
      <c r="S607" s="706">
        <f t="shared" si="64"/>
        <v>0</v>
      </c>
      <c r="T607" s="706">
        <f t="shared" si="64"/>
        <v>0</v>
      </c>
      <c r="U607" s="706">
        <f t="shared" si="64"/>
        <v>0</v>
      </c>
      <c r="V607" s="706">
        <f t="shared" si="64"/>
        <v>0</v>
      </c>
      <c r="W607" s="706">
        <f t="shared" si="64"/>
        <v>0</v>
      </c>
      <c r="X607" s="706">
        <f t="shared" si="64"/>
        <v>0</v>
      </c>
      <c r="Y607" s="706">
        <f t="shared" si="64"/>
        <v>7532</v>
      </c>
      <c r="Z607" s="706">
        <f t="shared" si="64"/>
        <v>21730</v>
      </c>
      <c r="AA607" s="706">
        <f t="shared" si="64"/>
        <v>37</v>
      </c>
      <c r="AB607" s="706"/>
      <c r="AC607" s="706"/>
      <c r="AD607" s="706"/>
      <c r="AE607" s="706"/>
      <c r="AF607" s="706"/>
      <c r="AG607" s="706" t="s">
        <v>41</v>
      </c>
    </row>
    <row r="608" s="570" customFormat="1" ht="24.95" customHeight="1" spans="1:33">
      <c r="A608" s="705">
        <v>77</v>
      </c>
      <c r="B608" s="708" t="s">
        <v>443</v>
      </c>
      <c r="C608" s="708"/>
      <c r="D608" s="709" t="s">
        <v>384</v>
      </c>
      <c r="E608" s="708">
        <f>SUM(E609:E620)</f>
        <v>12</v>
      </c>
      <c r="F608" s="708">
        <f t="shared" ref="F608:AA608" si="65">SUM(F609:F620)</f>
        <v>0</v>
      </c>
      <c r="G608" s="708">
        <f t="shared" si="65"/>
        <v>0</v>
      </c>
      <c r="H608" s="708">
        <f t="shared" si="65"/>
        <v>5968</v>
      </c>
      <c r="I608" s="708">
        <f t="shared" si="65"/>
        <v>0</v>
      </c>
      <c r="J608" s="708">
        <f t="shared" si="65"/>
        <v>0</v>
      </c>
      <c r="K608" s="708">
        <f t="shared" si="65"/>
        <v>5968</v>
      </c>
      <c r="L608" s="708"/>
      <c r="M608" s="708"/>
      <c r="N608" s="708">
        <f t="shared" si="65"/>
        <v>0</v>
      </c>
      <c r="O608" s="708">
        <f t="shared" si="65"/>
        <v>0</v>
      </c>
      <c r="P608" s="708">
        <f t="shared" si="65"/>
        <v>0</v>
      </c>
      <c r="Q608" s="708">
        <f t="shared" si="65"/>
        <v>0</v>
      </c>
      <c r="R608" s="708">
        <f t="shared" si="65"/>
        <v>0</v>
      </c>
      <c r="S608" s="708">
        <f t="shared" si="65"/>
        <v>0</v>
      </c>
      <c r="T608" s="708">
        <f t="shared" si="65"/>
        <v>0</v>
      </c>
      <c r="U608" s="708">
        <f t="shared" si="65"/>
        <v>0</v>
      </c>
      <c r="V608" s="708">
        <f t="shared" si="65"/>
        <v>0</v>
      </c>
      <c r="W608" s="708">
        <f t="shared" si="65"/>
        <v>0</v>
      </c>
      <c r="X608" s="708">
        <f t="shared" si="65"/>
        <v>0</v>
      </c>
      <c r="Y608" s="708">
        <f t="shared" si="65"/>
        <v>5968</v>
      </c>
      <c r="Z608" s="708">
        <f t="shared" si="65"/>
        <v>15806</v>
      </c>
      <c r="AA608" s="708">
        <f t="shared" si="65"/>
        <v>12</v>
      </c>
      <c r="AB608" s="708"/>
      <c r="AC608" s="708"/>
      <c r="AD608" s="146" t="s">
        <v>336</v>
      </c>
      <c r="AE608" s="146" t="s">
        <v>337</v>
      </c>
      <c r="AF608" s="146" t="s">
        <v>338</v>
      </c>
      <c r="AG608" s="708" t="s">
        <v>41</v>
      </c>
    </row>
    <row r="609" s="694" customFormat="1" ht="24.95" customHeight="1" spans="1:33">
      <c r="A609" s="705"/>
      <c r="B609" s="714" t="s">
        <v>101</v>
      </c>
      <c r="C609" s="146" t="s">
        <v>52</v>
      </c>
      <c r="D609" s="152" t="s">
        <v>384</v>
      </c>
      <c r="E609" s="708">
        <v>1</v>
      </c>
      <c r="F609" s="714" t="s">
        <v>101</v>
      </c>
      <c r="G609" s="708"/>
      <c r="H609" s="708">
        <v>225</v>
      </c>
      <c r="I609" s="92"/>
      <c r="J609" s="708"/>
      <c r="K609" s="708">
        <v>225</v>
      </c>
      <c r="L609" s="92">
        <v>2020.01</v>
      </c>
      <c r="M609" s="92">
        <v>2020.12</v>
      </c>
      <c r="N609" s="726"/>
      <c r="O609" s="726"/>
      <c r="P609" s="726"/>
      <c r="Q609" s="726"/>
      <c r="R609" s="726"/>
      <c r="S609" s="726"/>
      <c r="T609" s="726"/>
      <c r="U609" s="726"/>
      <c r="V609" s="726"/>
      <c r="W609" s="726"/>
      <c r="X609" s="726"/>
      <c r="Y609" s="763">
        <v>225</v>
      </c>
      <c r="Z609" s="763">
        <v>539</v>
      </c>
      <c r="AA609" s="708">
        <v>1</v>
      </c>
      <c r="AB609" s="708"/>
      <c r="AC609" s="708"/>
      <c r="AD609" s="146" t="s">
        <v>244</v>
      </c>
      <c r="AE609" s="146" t="s">
        <v>333</v>
      </c>
      <c r="AF609" s="146" t="s">
        <v>338</v>
      </c>
      <c r="AG609" s="708"/>
    </row>
    <row r="610" s="694" customFormat="1" ht="24.95" customHeight="1" spans="1:33">
      <c r="A610" s="705"/>
      <c r="B610" s="714" t="s">
        <v>151</v>
      </c>
      <c r="C610" s="146" t="s">
        <v>52</v>
      </c>
      <c r="D610" s="152" t="s">
        <v>384</v>
      </c>
      <c r="E610" s="708">
        <v>1</v>
      </c>
      <c r="F610" s="714" t="s">
        <v>151</v>
      </c>
      <c r="G610" s="708"/>
      <c r="H610" s="708">
        <v>282</v>
      </c>
      <c r="I610" s="92"/>
      <c r="J610" s="708"/>
      <c r="K610" s="708">
        <v>282</v>
      </c>
      <c r="L610" s="92">
        <v>2020.01</v>
      </c>
      <c r="M610" s="92">
        <v>2020.12</v>
      </c>
      <c r="N610" s="726"/>
      <c r="O610" s="726"/>
      <c r="P610" s="726"/>
      <c r="Q610" s="726"/>
      <c r="R610" s="726"/>
      <c r="S610" s="726"/>
      <c r="T610" s="726"/>
      <c r="U610" s="726"/>
      <c r="V610" s="726"/>
      <c r="W610" s="726"/>
      <c r="X610" s="726"/>
      <c r="Y610" s="763">
        <v>282</v>
      </c>
      <c r="Z610" s="763">
        <v>627</v>
      </c>
      <c r="AA610" s="708">
        <v>1</v>
      </c>
      <c r="AB610" s="708"/>
      <c r="AC610" s="708"/>
      <c r="AD610" s="146" t="s">
        <v>339</v>
      </c>
      <c r="AE610" s="146" t="s">
        <v>445</v>
      </c>
      <c r="AF610" s="146" t="s">
        <v>338</v>
      </c>
      <c r="AG610" s="708"/>
    </row>
    <row r="611" s="694" customFormat="1" ht="24.95" customHeight="1" spans="1:33">
      <c r="A611" s="705"/>
      <c r="B611" s="714" t="s">
        <v>154</v>
      </c>
      <c r="C611" s="146" t="s">
        <v>52</v>
      </c>
      <c r="D611" s="152" t="s">
        <v>384</v>
      </c>
      <c r="E611" s="708">
        <v>1</v>
      </c>
      <c r="F611" s="714" t="s">
        <v>154</v>
      </c>
      <c r="G611" s="708"/>
      <c r="H611" s="708">
        <v>748</v>
      </c>
      <c r="I611" s="92"/>
      <c r="J611" s="708"/>
      <c r="K611" s="708">
        <v>748</v>
      </c>
      <c r="L611" s="92">
        <v>2020.01</v>
      </c>
      <c r="M611" s="92">
        <v>2020.12</v>
      </c>
      <c r="N611" s="726"/>
      <c r="O611" s="726"/>
      <c r="P611" s="726"/>
      <c r="Q611" s="726"/>
      <c r="R611" s="726"/>
      <c r="S611" s="726"/>
      <c r="T611" s="726"/>
      <c r="U611" s="726"/>
      <c r="V611" s="726"/>
      <c r="W611" s="726"/>
      <c r="X611" s="726"/>
      <c r="Y611" s="763">
        <v>748</v>
      </c>
      <c r="Z611" s="763">
        <v>2172</v>
      </c>
      <c r="AA611" s="708">
        <v>1</v>
      </c>
      <c r="AB611" s="708"/>
      <c r="AC611" s="708"/>
      <c r="AD611" s="146" t="s">
        <v>247</v>
      </c>
      <c r="AE611" s="146" t="s">
        <v>341</v>
      </c>
      <c r="AF611" s="146" t="s">
        <v>338</v>
      </c>
      <c r="AG611" s="708"/>
    </row>
    <row r="612" s="694" customFormat="1" ht="24.95" customHeight="1" spans="1:33">
      <c r="A612" s="705"/>
      <c r="B612" s="714" t="s">
        <v>81</v>
      </c>
      <c r="C612" s="146" t="s">
        <v>52</v>
      </c>
      <c r="D612" s="152" t="s">
        <v>384</v>
      </c>
      <c r="E612" s="708">
        <v>1</v>
      </c>
      <c r="F612" s="714" t="s">
        <v>81</v>
      </c>
      <c r="G612" s="708"/>
      <c r="H612" s="708">
        <v>626</v>
      </c>
      <c r="I612" s="92"/>
      <c r="J612" s="708"/>
      <c r="K612" s="708">
        <v>626</v>
      </c>
      <c r="L612" s="92">
        <v>2020.01</v>
      </c>
      <c r="M612" s="92">
        <v>2020.12</v>
      </c>
      <c r="N612" s="726"/>
      <c r="O612" s="726"/>
      <c r="P612" s="726"/>
      <c r="Q612" s="726"/>
      <c r="R612" s="726"/>
      <c r="S612" s="726"/>
      <c r="T612" s="726"/>
      <c r="U612" s="726"/>
      <c r="V612" s="726"/>
      <c r="W612" s="726"/>
      <c r="X612" s="726"/>
      <c r="Y612" s="763">
        <v>626</v>
      </c>
      <c r="Z612" s="763">
        <v>1581</v>
      </c>
      <c r="AA612" s="708">
        <v>1</v>
      </c>
      <c r="AB612" s="708"/>
      <c r="AC612" s="708"/>
      <c r="AD612" s="146" t="s">
        <v>342</v>
      </c>
      <c r="AE612" s="146" t="s">
        <v>343</v>
      </c>
      <c r="AF612" s="146" t="s">
        <v>338</v>
      </c>
      <c r="AG612" s="708"/>
    </row>
    <row r="613" s="694" customFormat="1" ht="24.95" customHeight="1" spans="1:33">
      <c r="A613" s="705"/>
      <c r="B613" s="714" t="s">
        <v>98</v>
      </c>
      <c r="C613" s="146" t="s">
        <v>52</v>
      </c>
      <c r="D613" s="152" t="s">
        <v>384</v>
      </c>
      <c r="E613" s="708">
        <v>1</v>
      </c>
      <c r="F613" s="714" t="s">
        <v>98</v>
      </c>
      <c r="G613" s="708"/>
      <c r="H613" s="708">
        <v>965</v>
      </c>
      <c r="I613" s="92"/>
      <c r="J613" s="708"/>
      <c r="K613" s="708">
        <v>965</v>
      </c>
      <c r="L613" s="92">
        <v>2020.01</v>
      </c>
      <c r="M613" s="92">
        <v>2020.12</v>
      </c>
      <c r="N613" s="726"/>
      <c r="O613" s="726"/>
      <c r="P613" s="726"/>
      <c r="Q613" s="726"/>
      <c r="R613" s="726"/>
      <c r="S613" s="726"/>
      <c r="T613" s="726"/>
      <c r="U613" s="726"/>
      <c r="V613" s="726"/>
      <c r="W613" s="726"/>
      <c r="X613" s="726"/>
      <c r="Y613" s="763">
        <v>965</v>
      </c>
      <c r="Z613" s="763">
        <v>2505</v>
      </c>
      <c r="AA613" s="708">
        <v>1</v>
      </c>
      <c r="AB613" s="708"/>
      <c r="AC613" s="708"/>
      <c r="AD613" s="146" t="s">
        <v>344</v>
      </c>
      <c r="AE613" s="146" t="s">
        <v>345</v>
      </c>
      <c r="AF613" s="146" t="s">
        <v>338</v>
      </c>
      <c r="AG613" s="708"/>
    </row>
    <row r="614" s="694" customFormat="1" ht="24.95" customHeight="1" spans="1:33">
      <c r="A614" s="705"/>
      <c r="B614" s="714" t="s">
        <v>211</v>
      </c>
      <c r="C614" s="146" t="s">
        <v>52</v>
      </c>
      <c r="D614" s="152" t="s">
        <v>384</v>
      </c>
      <c r="E614" s="708">
        <v>1</v>
      </c>
      <c r="F614" s="714" t="s">
        <v>211</v>
      </c>
      <c r="G614" s="708"/>
      <c r="H614" s="708">
        <v>597</v>
      </c>
      <c r="I614" s="92"/>
      <c r="J614" s="708"/>
      <c r="K614" s="708">
        <v>597</v>
      </c>
      <c r="L614" s="92">
        <v>2020.01</v>
      </c>
      <c r="M614" s="92">
        <v>2020.12</v>
      </c>
      <c r="N614" s="726"/>
      <c r="O614" s="726"/>
      <c r="P614" s="726"/>
      <c r="Q614" s="726"/>
      <c r="R614" s="726"/>
      <c r="S614" s="726"/>
      <c r="T614" s="726"/>
      <c r="U614" s="726"/>
      <c r="V614" s="726"/>
      <c r="W614" s="726"/>
      <c r="X614" s="726"/>
      <c r="Y614" s="763">
        <v>597</v>
      </c>
      <c r="Z614" s="763">
        <v>1413</v>
      </c>
      <c r="AA614" s="708">
        <v>1</v>
      </c>
      <c r="AB614" s="708"/>
      <c r="AC614" s="708"/>
      <c r="AD614" s="146" t="s">
        <v>346</v>
      </c>
      <c r="AE614" s="146" t="s">
        <v>347</v>
      </c>
      <c r="AF614" s="146" t="s">
        <v>338</v>
      </c>
      <c r="AG614" s="708"/>
    </row>
    <row r="615" s="694" customFormat="1" ht="24.95" customHeight="1" spans="1:33">
      <c r="A615" s="705"/>
      <c r="B615" s="714" t="s">
        <v>155</v>
      </c>
      <c r="C615" s="146" t="s">
        <v>52</v>
      </c>
      <c r="D615" s="152" t="s">
        <v>384</v>
      </c>
      <c r="E615" s="708">
        <v>1</v>
      </c>
      <c r="F615" s="714" t="s">
        <v>155</v>
      </c>
      <c r="G615" s="708"/>
      <c r="H615" s="708">
        <v>228</v>
      </c>
      <c r="I615" s="92"/>
      <c r="J615" s="708"/>
      <c r="K615" s="708">
        <v>228</v>
      </c>
      <c r="L615" s="92">
        <v>2020.01</v>
      </c>
      <c r="M615" s="92">
        <v>2020.12</v>
      </c>
      <c r="N615" s="726"/>
      <c r="O615" s="726"/>
      <c r="P615" s="726"/>
      <c r="Q615" s="726"/>
      <c r="R615" s="726"/>
      <c r="S615" s="726"/>
      <c r="T615" s="726"/>
      <c r="U615" s="726"/>
      <c r="V615" s="726"/>
      <c r="W615" s="726"/>
      <c r="X615" s="726"/>
      <c r="Y615" s="763">
        <v>228</v>
      </c>
      <c r="Z615" s="763">
        <v>614</v>
      </c>
      <c r="AA615" s="708">
        <v>1</v>
      </c>
      <c r="AB615" s="708"/>
      <c r="AC615" s="708"/>
      <c r="AD615" s="146" t="s">
        <v>253</v>
      </c>
      <c r="AE615" s="146" t="s">
        <v>348</v>
      </c>
      <c r="AF615" s="146" t="s">
        <v>338</v>
      </c>
      <c r="AG615" s="708"/>
    </row>
    <row r="616" s="694" customFormat="1" ht="24.95" customHeight="1" spans="1:33">
      <c r="A616" s="705"/>
      <c r="B616" s="714" t="s">
        <v>102</v>
      </c>
      <c r="C616" s="146" t="s">
        <v>52</v>
      </c>
      <c r="D616" s="152" t="s">
        <v>384</v>
      </c>
      <c r="E616" s="708">
        <v>1</v>
      </c>
      <c r="F616" s="714" t="s">
        <v>102</v>
      </c>
      <c r="G616" s="708"/>
      <c r="H616" s="708">
        <v>810</v>
      </c>
      <c r="I616" s="92"/>
      <c r="J616" s="708"/>
      <c r="K616" s="708">
        <v>810</v>
      </c>
      <c r="L616" s="92">
        <v>2020.01</v>
      </c>
      <c r="M616" s="92">
        <v>2020.12</v>
      </c>
      <c r="N616" s="726"/>
      <c r="O616" s="726"/>
      <c r="P616" s="726"/>
      <c r="Q616" s="726"/>
      <c r="R616" s="726"/>
      <c r="S616" s="726"/>
      <c r="T616" s="726"/>
      <c r="U616" s="726"/>
      <c r="V616" s="726"/>
      <c r="W616" s="726"/>
      <c r="X616" s="726"/>
      <c r="Y616" s="763">
        <v>810</v>
      </c>
      <c r="Z616" s="763">
        <v>2440</v>
      </c>
      <c r="AA616" s="708">
        <v>1</v>
      </c>
      <c r="AB616" s="708"/>
      <c r="AC616" s="708"/>
      <c r="AD616" s="146" t="s">
        <v>255</v>
      </c>
      <c r="AE616" s="146" t="s">
        <v>349</v>
      </c>
      <c r="AF616" s="146" t="s">
        <v>338</v>
      </c>
      <c r="AG616" s="708"/>
    </row>
    <row r="617" s="694" customFormat="1" ht="24.95" customHeight="1" spans="1:33">
      <c r="A617" s="705"/>
      <c r="B617" s="714" t="s">
        <v>100</v>
      </c>
      <c r="C617" s="146" t="s">
        <v>52</v>
      </c>
      <c r="D617" s="152" t="s">
        <v>384</v>
      </c>
      <c r="E617" s="708">
        <v>1</v>
      </c>
      <c r="F617" s="714" t="s">
        <v>100</v>
      </c>
      <c r="G617" s="708"/>
      <c r="H617" s="708">
        <v>340</v>
      </c>
      <c r="I617" s="92"/>
      <c r="J617" s="708"/>
      <c r="K617" s="708">
        <v>340</v>
      </c>
      <c r="L617" s="92">
        <v>2020.01</v>
      </c>
      <c r="M617" s="92">
        <v>2020.12</v>
      </c>
      <c r="N617" s="726"/>
      <c r="O617" s="726"/>
      <c r="P617" s="726"/>
      <c r="Q617" s="726"/>
      <c r="R617" s="726"/>
      <c r="S617" s="726"/>
      <c r="T617" s="726"/>
      <c r="U617" s="726"/>
      <c r="V617" s="726"/>
      <c r="W617" s="726"/>
      <c r="X617" s="726"/>
      <c r="Y617" s="763">
        <v>340</v>
      </c>
      <c r="Z617" s="763">
        <v>797</v>
      </c>
      <c r="AA617" s="708">
        <v>1</v>
      </c>
      <c r="AB617" s="708"/>
      <c r="AC617" s="708"/>
      <c r="AD617" s="146" t="s">
        <v>312</v>
      </c>
      <c r="AE617" s="146" t="s">
        <v>352</v>
      </c>
      <c r="AF617" s="146" t="s">
        <v>338</v>
      </c>
      <c r="AG617" s="708"/>
    </row>
    <row r="618" s="694" customFormat="1" ht="24.95" customHeight="1" spans="1:33">
      <c r="A618" s="705"/>
      <c r="B618" s="714" t="s">
        <v>84</v>
      </c>
      <c r="C618" s="146" t="s">
        <v>52</v>
      </c>
      <c r="D618" s="152" t="s">
        <v>384</v>
      </c>
      <c r="E618" s="708">
        <v>1</v>
      </c>
      <c r="F618" s="714" t="s">
        <v>84</v>
      </c>
      <c r="G618" s="708"/>
      <c r="H618" s="708">
        <v>692</v>
      </c>
      <c r="I618" s="92"/>
      <c r="J618" s="708"/>
      <c r="K618" s="708">
        <v>692</v>
      </c>
      <c r="L618" s="92">
        <v>2020.01</v>
      </c>
      <c r="M618" s="92">
        <v>2020.12</v>
      </c>
      <c r="N618" s="726"/>
      <c r="O618" s="726"/>
      <c r="P618" s="726"/>
      <c r="Q618" s="726"/>
      <c r="R618" s="726"/>
      <c r="S618" s="726"/>
      <c r="T618" s="726"/>
      <c r="U618" s="726"/>
      <c r="V618" s="726"/>
      <c r="W618" s="726"/>
      <c r="X618" s="726"/>
      <c r="Y618" s="763">
        <v>692</v>
      </c>
      <c r="Z618" s="763">
        <v>1692</v>
      </c>
      <c r="AA618" s="708">
        <v>1</v>
      </c>
      <c r="AB618" s="708"/>
      <c r="AC618" s="708"/>
      <c r="AD618" s="146" t="s">
        <v>350</v>
      </c>
      <c r="AE618" s="146" t="s">
        <v>351</v>
      </c>
      <c r="AF618" s="146" t="s">
        <v>338</v>
      </c>
      <c r="AG618" s="708"/>
    </row>
    <row r="619" s="694" customFormat="1" ht="24.95" customHeight="1" spans="1:33">
      <c r="A619" s="705"/>
      <c r="B619" s="714" t="s">
        <v>259</v>
      </c>
      <c r="C619" s="146" t="s">
        <v>52</v>
      </c>
      <c r="D619" s="152" t="s">
        <v>384</v>
      </c>
      <c r="E619" s="708">
        <v>1</v>
      </c>
      <c r="F619" s="714" t="s">
        <v>259</v>
      </c>
      <c r="G619" s="708"/>
      <c r="H619" s="708">
        <v>91</v>
      </c>
      <c r="I619" s="92"/>
      <c r="J619" s="708"/>
      <c r="K619" s="708">
        <v>91</v>
      </c>
      <c r="L619" s="92">
        <v>2020.01</v>
      </c>
      <c r="M619" s="92">
        <v>2020.12</v>
      </c>
      <c r="N619" s="726"/>
      <c r="O619" s="726"/>
      <c r="P619" s="726"/>
      <c r="Q619" s="726"/>
      <c r="R619" s="726"/>
      <c r="S619" s="726"/>
      <c r="T619" s="726"/>
      <c r="U619" s="726"/>
      <c r="V619" s="726"/>
      <c r="W619" s="726"/>
      <c r="X619" s="726"/>
      <c r="Y619" s="763">
        <v>91</v>
      </c>
      <c r="Z619" s="763">
        <v>251</v>
      </c>
      <c r="AA619" s="708">
        <v>1</v>
      </c>
      <c r="AB619" s="708"/>
      <c r="AC619" s="708"/>
      <c r="AD619" s="146" t="s">
        <v>183</v>
      </c>
      <c r="AE619" s="146" t="s">
        <v>353</v>
      </c>
      <c r="AF619" s="146" t="s">
        <v>338</v>
      </c>
      <c r="AG619" s="708"/>
    </row>
    <row r="620" s="694" customFormat="1" ht="24.95" customHeight="1" spans="1:33">
      <c r="A620" s="705"/>
      <c r="B620" s="714" t="s">
        <v>143</v>
      </c>
      <c r="C620" s="146" t="s">
        <v>52</v>
      </c>
      <c r="D620" s="152" t="s">
        <v>384</v>
      </c>
      <c r="E620" s="708">
        <v>1</v>
      </c>
      <c r="F620" s="714" t="s">
        <v>143</v>
      </c>
      <c r="G620" s="708"/>
      <c r="H620" s="708">
        <v>364</v>
      </c>
      <c r="I620" s="92"/>
      <c r="J620" s="708"/>
      <c r="K620" s="708">
        <v>364</v>
      </c>
      <c r="L620" s="92">
        <v>2020.01</v>
      </c>
      <c r="M620" s="92">
        <v>2020.12</v>
      </c>
      <c r="N620" s="726"/>
      <c r="O620" s="726"/>
      <c r="P620" s="726"/>
      <c r="Q620" s="726"/>
      <c r="R620" s="726"/>
      <c r="S620" s="726"/>
      <c r="T620" s="726"/>
      <c r="U620" s="726"/>
      <c r="V620" s="726"/>
      <c r="W620" s="726"/>
      <c r="X620" s="726"/>
      <c r="Y620" s="763">
        <v>364</v>
      </c>
      <c r="Z620" s="763">
        <v>1175</v>
      </c>
      <c r="AA620" s="708">
        <v>1</v>
      </c>
      <c r="AB620" s="708"/>
      <c r="AC620" s="708"/>
      <c r="AD620" s="146" t="s">
        <v>354</v>
      </c>
      <c r="AE620" s="146" t="s">
        <v>263</v>
      </c>
      <c r="AF620" s="146" t="s">
        <v>338</v>
      </c>
      <c r="AG620" s="708"/>
    </row>
    <row r="621" s="570" customFormat="1" ht="51" customHeight="1" spans="1:33">
      <c r="A621" s="705">
        <v>78</v>
      </c>
      <c r="B621" s="708" t="s">
        <v>446</v>
      </c>
      <c r="C621" s="708"/>
      <c r="D621" s="709" t="s">
        <v>147</v>
      </c>
      <c r="E621" s="708">
        <f>E622+E634</f>
        <v>13</v>
      </c>
      <c r="F621" s="708">
        <f t="shared" ref="F621:AA621" si="66">F622+F634</f>
        <v>0</v>
      </c>
      <c r="G621" s="708">
        <f t="shared" si="66"/>
        <v>0</v>
      </c>
      <c r="H621" s="708">
        <f t="shared" si="66"/>
        <v>317</v>
      </c>
      <c r="I621" s="708">
        <f t="shared" si="66"/>
        <v>0</v>
      </c>
      <c r="J621" s="708">
        <f t="shared" si="66"/>
        <v>0</v>
      </c>
      <c r="K621" s="708">
        <f t="shared" si="66"/>
        <v>317</v>
      </c>
      <c r="L621" s="708"/>
      <c r="M621" s="708"/>
      <c r="N621" s="708">
        <f t="shared" si="66"/>
        <v>0</v>
      </c>
      <c r="O621" s="708">
        <f t="shared" si="66"/>
        <v>0</v>
      </c>
      <c r="P621" s="708">
        <f t="shared" si="66"/>
        <v>0</v>
      </c>
      <c r="Q621" s="708">
        <f t="shared" si="66"/>
        <v>0</v>
      </c>
      <c r="R621" s="708">
        <f t="shared" si="66"/>
        <v>0</v>
      </c>
      <c r="S621" s="708">
        <f t="shared" si="66"/>
        <v>0</v>
      </c>
      <c r="T621" s="708">
        <f t="shared" si="66"/>
        <v>0</v>
      </c>
      <c r="U621" s="708">
        <f t="shared" si="66"/>
        <v>0</v>
      </c>
      <c r="V621" s="708">
        <f t="shared" si="66"/>
        <v>0</v>
      </c>
      <c r="W621" s="708">
        <f t="shared" si="66"/>
        <v>0</v>
      </c>
      <c r="X621" s="708">
        <f t="shared" si="66"/>
        <v>0</v>
      </c>
      <c r="Y621" s="708">
        <f t="shared" si="66"/>
        <v>317</v>
      </c>
      <c r="Z621" s="708">
        <f t="shared" si="66"/>
        <v>317</v>
      </c>
      <c r="AA621" s="708">
        <f t="shared" si="66"/>
        <v>13</v>
      </c>
      <c r="AB621" s="708"/>
      <c r="AC621" s="708"/>
      <c r="AD621" s="708"/>
      <c r="AE621" s="708"/>
      <c r="AF621" s="708" t="s">
        <v>338</v>
      </c>
      <c r="AG621" s="708" t="s">
        <v>41</v>
      </c>
    </row>
    <row r="622" s="570" customFormat="1" ht="24.95" customHeight="1" spans="1:33">
      <c r="A622" s="705">
        <v>79</v>
      </c>
      <c r="B622" s="750" t="s">
        <v>447</v>
      </c>
      <c r="C622" s="146" t="s">
        <v>52</v>
      </c>
      <c r="D622" s="152" t="s">
        <v>147</v>
      </c>
      <c r="E622" s="92">
        <f>SUM(E623:E633)</f>
        <v>11</v>
      </c>
      <c r="F622" s="92">
        <f t="shared" ref="F622:AA622" si="67">SUM(F623:F633)</f>
        <v>0</v>
      </c>
      <c r="G622" s="92">
        <f t="shared" si="67"/>
        <v>0</v>
      </c>
      <c r="H622" s="92">
        <f t="shared" si="67"/>
        <v>314</v>
      </c>
      <c r="I622" s="92">
        <f t="shared" si="67"/>
        <v>0</v>
      </c>
      <c r="J622" s="92">
        <f t="shared" si="67"/>
        <v>0</v>
      </c>
      <c r="K622" s="92">
        <f t="shared" si="67"/>
        <v>314</v>
      </c>
      <c r="L622" s="92"/>
      <c r="M622" s="92"/>
      <c r="N622" s="92">
        <f t="shared" si="67"/>
        <v>0</v>
      </c>
      <c r="O622" s="92">
        <f t="shared" si="67"/>
        <v>0</v>
      </c>
      <c r="P622" s="92">
        <f t="shared" si="67"/>
        <v>0</v>
      </c>
      <c r="Q622" s="92">
        <f t="shared" si="67"/>
        <v>0</v>
      </c>
      <c r="R622" s="92">
        <f t="shared" si="67"/>
        <v>0</v>
      </c>
      <c r="S622" s="92">
        <f t="shared" si="67"/>
        <v>0</v>
      </c>
      <c r="T622" s="92">
        <f t="shared" si="67"/>
        <v>0</v>
      </c>
      <c r="U622" s="92">
        <f t="shared" si="67"/>
        <v>0</v>
      </c>
      <c r="V622" s="92">
        <f t="shared" si="67"/>
        <v>0</v>
      </c>
      <c r="W622" s="92">
        <f t="shared" si="67"/>
        <v>0</v>
      </c>
      <c r="X622" s="92">
        <f t="shared" si="67"/>
        <v>0</v>
      </c>
      <c r="Y622" s="92">
        <f t="shared" si="67"/>
        <v>314</v>
      </c>
      <c r="Z622" s="92">
        <f t="shared" si="67"/>
        <v>314</v>
      </c>
      <c r="AA622" s="92">
        <f t="shared" si="67"/>
        <v>11</v>
      </c>
      <c r="AB622" s="92"/>
      <c r="AC622" s="92"/>
      <c r="AD622" s="146" t="s">
        <v>336</v>
      </c>
      <c r="AE622" s="146" t="s">
        <v>337</v>
      </c>
      <c r="AF622" s="146" t="s">
        <v>338</v>
      </c>
      <c r="AG622" s="92" t="s">
        <v>41</v>
      </c>
    </row>
    <row r="623" s="694" customFormat="1" ht="24.95" customHeight="1" spans="1:33">
      <c r="A623" s="705"/>
      <c r="B623" s="714" t="s">
        <v>101</v>
      </c>
      <c r="C623" s="146" t="s">
        <v>52</v>
      </c>
      <c r="D623" s="152" t="s">
        <v>147</v>
      </c>
      <c r="E623" s="92">
        <v>1</v>
      </c>
      <c r="F623" s="714" t="s">
        <v>101</v>
      </c>
      <c r="G623" s="92"/>
      <c r="H623" s="92">
        <v>23</v>
      </c>
      <c r="I623" s="92"/>
      <c r="J623" s="92"/>
      <c r="K623" s="76">
        <v>23</v>
      </c>
      <c r="L623" s="92">
        <v>2020.01</v>
      </c>
      <c r="M623" s="92">
        <v>2020.12</v>
      </c>
      <c r="N623" s="724"/>
      <c r="O623" s="724"/>
      <c r="P623" s="724"/>
      <c r="Q623" s="724"/>
      <c r="R623" s="724"/>
      <c r="S623" s="724"/>
      <c r="T623" s="724"/>
      <c r="U623" s="724"/>
      <c r="V623" s="724"/>
      <c r="W623" s="724"/>
      <c r="X623" s="724"/>
      <c r="Y623" s="76">
        <v>23</v>
      </c>
      <c r="Z623" s="76">
        <v>23</v>
      </c>
      <c r="AA623" s="92">
        <v>1</v>
      </c>
      <c r="AB623" s="92"/>
      <c r="AC623" s="92"/>
      <c r="AD623" s="146" t="s">
        <v>244</v>
      </c>
      <c r="AE623" s="146" t="s">
        <v>333</v>
      </c>
      <c r="AF623" s="146" t="s">
        <v>338</v>
      </c>
      <c r="AG623" s="92"/>
    </row>
    <row r="624" s="694" customFormat="1" ht="24.95" customHeight="1" spans="1:33">
      <c r="A624" s="705"/>
      <c r="B624" s="714" t="s">
        <v>151</v>
      </c>
      <c r="C624" s="146" t="s">
        <v>52</v>
      </c>
      <c r="D624" s="152" t="s">
        <v>147</v>
      </c>
      <c r="E624" s="92">
        <v>1</v>
      </c>
      <c r="F624" s="714" t="s">
        <v>151</v>
      </c>
      <c r="G624" s="92"/>
      <c r="H624" s="92">
        <v>5</v>
      </c>
      <c r="I624" s="92"/>
      <c r="J624" s="92"/>
      <c r="K624" s="76">
        <v>5</v>
      </c>
      <c r="L624" s="92">
        <v>2020.01</v>
      </c>
      <c r="M624" s="92">
        <v>2020.12</v>
      </c>
      <c r="N624" s="724"/>
      <c r="O624" s="724"/>
      <c r="P624" s="724"/>
      <c r="Q624" s="724"/>
      <c r="R624" s="724"/>
      <c r="S624" s="724"/>
      <c r="T624" s="724"/>
      <c r="U624" s="724"/>
      <c r="V624" s="724"/>
      <c r="W624" s="724"/>
      <c r="X624" s="724"/>
      <c r="Y624" s="76">
        <v>5</v>
      </c>
      <c r="Z624" s="76">
        <v>5</v>
      </c>
      <c r="AA624" s="92">
        <v>1</v>
      </c>
      <c r="AB624" s="92"/>
      <c r="AC624" s="92"/>
      <c r="AD624" s="146" t="s">
        <v>339</v>
      </c>
      <c r="AE624" s="146" t="s">
        <v>445</v>
      </c>
      <c r="AF624" s="146" t="s">
        <v>338</v>
      </c>
      <c r="AG624" s="92"/>
    </row>
    <row r="625" s="694" customFormat="1" ht="24.95" customHeight="1" spans="1:33">
      <c r="A625" s="705"/>
      <c r="B625" s="714" t="s">
        <v>154</v>
      </c>
      <c r="C625" s="146" t="s">
        <v>52</v>
      </c>
      <c r="D625" s="152" t="s">
        <v>147</v>
      </c>
      <c r="E625" s="92">
        <v>1</v>
      </c>
      <c r="F625" s="714" t="s">
        <v>154</v>
      </c>
      <c r="G625" s="92"/>
      <c r="H625" s="92">
        <v>14</v>
      </c>
      <c r="I625" s="92"/>
      <c r="J625" s="92"/>
      <c r="K625" s="76">
        <v>14</v>
      </c>
      <c r="L625" s="92">
        <v>2020.01</v>
      </c>
      <c r="M625" s="92">
        <v>2020.12</v>
      </c>
      <c r="N625" s="724"/>
      <c r="O625" s="724"/>
      <c r="P625" s="724"/>
      <c r="Q625" s="724"/>
      <c r="R625" s="724"/>
      <c r="S625" s="724"/>
      <c r="T625" s="724"/>
      <c r="U625" s="724"/>
      <c r="V625" s="724"/>
      <c r="W625" s="724"/>
      <c r="X625" s="724"/>
      <c r="Y625" s="76">
        <v>14</v>
      </c>
      <c r="Z625" s="76">
        <v>14</v>
      </c>
      <c r="AA625" s="92">
        <v>1</v>
      </c>
      <c r="AB625" s="92"/>
      <c r="AC625" s="92"/>
      <c r="AD625" s="146" t="s">
        <v>247</v>
      </c>
      <c r="AE625" s="146" t="s">
        <v>341</v>
      </c>
      <c r="AF625" s="146" t="s">
        <v>338</v>
      </c>
      <c r="AG625" s="92"/>
    </row>
    <row r="626" s="694" customFormat="1" ht="24.95" customHeight="1" spans="1:33">
      <c r="A626" s="705"/>
      <c r="B626" s="714" t="s">
        <v>81</v>
      </c>
      <c r="C626" s="146" t="s">
        <v>52</v>
      </c>
      <c r="D626" s="152" t="s">
        <v>147</v>
      </c>
      <c r="E626" s="92">
        <v>1</v>
      </c>
      <c r="F626" s="714" t="s">
        <v>81</v>
      </c>
      <c r="G626" s="92"/>
      <c r="H626" s="92">
        <v>7</v>
      </c>
      <c r="I626" s="92"/>
      <c r="J626" s="92"/>
      <c r="K626" s="76">
        <v>7</v>
      </c>
      <c r="L626" s="92">
        <v>2020.01</v>
      </c>
      <c r="M626" s="92">
        <v>2020.12</v>
      </c>
      <c r="N626" s="724"/>
      <c r="O626" s="724"/>
      <c r="P626" s="724"/>
      <c r="Q626" s="724"/>
      <c r="R626" s="724"/>
      <c r="S626" s="724"/>
      <c r="T626" s="724"/>
      <c r="U626" s="724"/>
      <c r="V626" s="724"/>
      <c r="W626" s="724"/>
      <c r="X626" s="724"/>
      <c r="Y626" s="76">
        <v>7</v>
      </c>
      <c r="Z626" s="76">
        <v>7</v>
      </c>
      <c r="AA626" s="92">
        <v>1</v>
      </c>
      <c r="AB626" s="92"/>
      <c r="AC626" s="92"/>
      <c r="AD626" s="146" t="s">
        <v>342</v>
      </c>
      <c r="AE626" s="146" t="s">
        <v>343</v>
      </c>
      <c r="AF626" s="146" t="s">
        <v>338</v>
      </c>
      <c r="AG626" s="92"/>
    </row>
    <row r="627" s="694" customFormat="1" ht="24.95" customHeight="1" spans="1:33">
      <c r="A627" s="705"/>
      <c r="B627" s="714" t="s">
        <v>98</v>
      </c>
      <c r="C627" s="146" t="s">
        <v>52</v>
      </c>
      <c r="D627" s="152" t="s">
        <v>147</v>
      </c>
      <c r="E627" s="92">
        <v>1</v>
      </c>
      <c r="F627" s="714" t="s">
        <v>98</v>
      </c>
      <c r="G627" s="92"/>
      <c r="H627" s="92">
        <v>38</v>
      </c>
      <c r="I627" s="92"/>
      <c r="J627" s="92"/>
      <c r="K627" s="76">
        <v>38</v>
      </c>
      <c r="L627" s="92">
        <v>2020.01</v>
      </c>
      <c r="M627" s="92">
        <v>2020.12</v>
      </c>
      <c r="N627" s="724"/>
      <c r="O627" s="724"/>
      <c r="P627" s="724"/>
      <c r="Q627" s="724"/>
      <c r="R627" s="724"/>
      <c r="S627" s="724"/>
      <c r="T627" s="724"/>
      <c r="U627" s="724"/>
      <c r="V627" s="724"/>
      <c r="W627" s="724"/>
      <c r="X627" s="724"/>
      <c r="Y627" s="76">
        <v>38</v>
      </c>
      <c r="Z627" s="76">
        <v>38</v>
      </c>
      <c r="AA627" s="92">
        <v>1</v>
      </c>
      <c r="AB627" s="92"/>
      <c r="AC627" s="92"/>
      <c r="AD627" s="146" t="s">
        <v>344</v>
      </c>
      <c r="AE627" s="146" t="s">
        <v>345</v>
      </c>
      <c r="AF627" s="146" t="s">
        <v>338</v>
      </c>
      <c r="AG627" s="92"/>
    </row>
    <row r="628" s="694" customFormat="1" ht="24.95" customHeight="1" spans="1:33">
      <c r="A628" s="705"/>
      <c r="B628" s="714" t="s">
        <v>211</v>
      </c>
      <c r="C628" s="146" t="s">
        <v>52</v>
      </c>
      <c r="D628" s="152" t="s">
        <v>147</v>
      </c>
      <c r="E628" s="92">
        <v>1</v>
      </c>
      <c r="F628" s="714" t="s">
        <v>211</v>
      </c>
      <c r="G628" s="92"/>
      <c r="H628" s="92">
        <v>28</v>
      </c>
      <c r="I628" s="92"/>
      <c r="J628" s="92"/>
      <c r="K628" s="76">
        <v>28</v>
      </c>
      <c r="L628" s="92">
        <v>2020.01</v>
      </c>
      <c r="M628" s="92">
        <v>2020.12</v>
      </c>
      <c r="N628" s="724"/>
      <c r="O628" s="724"/>
      <c r="P628" s="724"/>
      <c r="Q628" s="724"/>
      <c r="R628" s="724"/>
      <c r="S628" s="724"/>
      <c r="T628" s="724"/>
      <c r="U628" s="724"/>
      <c r="V628" s="724"/>
      <c r="W628" s="724"/>
      <c r="X628" s="724"/>
      <c r="Y628" s="76">
        <v>28</v>
      </c>
      <c r="Z628" s="76">
        <v>28</v>
      </c>
      <c r="AA628" s="92">
        <v>1</v>
      </c>
      <c r="AB628" s="92"/>
      <c r="AC628" s="92"/>
      <c r="AD628" s="146" t="s">
        <v>346</v>
      </c>
      <c r="AE628" s="146" t="s">
        <v>347</v>
      </c>
      <c r="AF628" s="146" t="s">
        <v>338</v>
      </c>
      <c r="AG628" s="92"/>
    </row>
    <row r="629" s="694" customFormat="1" ht="24.95" customHeight="1" spans="1:33">
      <c r="A629" s="705"/>
      <c r="B629" s="714" t="s">
        <v>155</v>
      </c>
      <c r="C629" s="146" t="s">
        <v>52</v>
      </c>
      <c r="D629" s="152" t="s">
        <v>147</v>
      </c>
      <c r="E629" s="92">
        <v>1</v>
      </c>
      <c r="F629" s="714" t="s">
        <v>155</v>
      </c>
      <c r="G629" s="92"/>
      <c r="H629" s="92">
        <v>6</v>
      </c>
      <c r="I629" s="92"/>
      <c r="J629" s="92"/>
      <c r="K629" s="76">
        <v>6</v>
      </c>
      <c r="L629" s="92">
        <v>2020.01</v>
      </c>
      <c r="M629" s="92">
        <v>2020.12</v>
      </c>
      <c r="N629" s="724"/>
      <c r="O629" s="724"/>
      <c r="P629" s="724"/>
      <c r="Q629" s="724"/>
      <c r="R629" s="724"/>
      <c r="S629" s="724"/>
      <c r="T629" s="724"/>
      <c r="U629" s="724"/>
      <c r="V629" s="724"/>
      <c r="W629" s="724"/>
      <c r="X629" s="724"/>
      <c r="Y629" s="76">
        <v>6</v>
      </c>
      <c r="Z629" s="76">
        <v>6</v>
      </c>
      <c r="AA629" s="92">
        <v>1</v>
      </c>
      <c r="AB629" s="92"/>
      <c r="AC629" s="92"/>
      <c r="AD629" s="146" t="s">
        <v>253</v>
      </c>
      <c r="AE629" s="146" t="s">
        <v>348</v>
      </c>
      <c r="AF629" s="146" t="s">
        <v>338</v>
      </c>
      <c r="AG629" s="92"/>
    </row>
    <row r="630" s="694" customFormat="1" ht="24.95" customHeight="1" spans="1:33">
      <c r="A630" s="705"/>
      <c r="B630" s="714" t="s">
        <v>102</v>
      </c>
      <c r="C630" s="146" t="s">
        <v>52</v>
      </c>
      <c r="D630" s="152" t="s">
        <v>147</v>
      </c>
      <c r="E630" s="92">
        <v>1</v>
      </c>
      <c r="F630" s="714" t="s">
        <v>102</v>
      </c>
      <c r="G630" s="92"/>
      <c r="H630" s="92">
        <v>119</v>
      </c>
      <c r="I630" s="92"/>
      <c r="J630" s="92"/>
      <c r="K630" s="76">
        <v>119</v>
      </c>
      <c r="L630" s="92">
        <v>2020.01</v>
      </c>
      <c r="M630" s="92">
        <v>2020.12</v>
      </c>
      <c r="N630" s="724"/>
      <c r="O630" s="724"/>
      <c r="P630" s="724"/>
      <c r="Q630" s="724"/>
      <c r="R630" s="724"/>
      <c r="S630" s="724"/>
      <c r="T630" s="724"/>
      <c r="U630" s="724"/>
      <c r="V630" s="724"/>
      <c r="W630" s="724"/>
      <c r="X630" s="724"/>
      <c r="Y630" s="76">
        <v>119</v>
      </c>
      <c r="Z630" s="76">
        <v>119</v>
      </c>
      <c r="AA630" s="92">
        <v>1</v>
      </c>
      <c r="AB630" s="92"/>
      <c r="AC630" s="92"/>
      <c r="AD630" s="787" t="s">
        <v>255</v>
      </c>
      <c r="AE630" s="792" t="s">
        <v>349</v>
      </c>
      <c r="AF630" s="146" t="s">
        <v>338</v>
      </c>
      <c r="AG630" s="92"/>
    </row>
    <row r="631" s="694" customFormat="1" ht="24.95" customHeight="1" spans="1:33">
      <c r="A631" s="705"/>
      <c r="B631" s="714" t="s">
        <v>100</v>
      </c>
      <c r="C631" s="146" t="s">
        <v>52</v>
      </c>
      <c r="D631" s="152" t="s">
        <v>147</v>
      </c>
      <c r="E631" s="92">
        <v>1</v>
      </c>
      <c r="F631" s="714" t="s">
        <v>100</v>
      </c>
      <c r="G631" s="92"/>
      <c r="H631" s="92">
        <v>27</v>
      </c>
      <c r="I631" s="92"/>
      <c r="J631" s="92"/>
      <c r="K631" s="76">
        <v>27</v>
      </c>
      <c r="L631" s="92">
        <v>2020.01</v>
      </c>
      <c r="M631" s="92">
        <v>2020.12</v>
      </c>
      <c r="N631" s="724"/>
      <c r="O631" s="724"/>
      <c r="P631" s="724"/>
      <c r="Q631" s="724"/>
      <c r="R631" s="724"/>
      <c r="S631" s="724"/>
      <c r="T631" s="724"/>
      <c r="U631" s="724"/>
      <c r="V631" s="724"/>
      <c r="W631" s="724"/>
      <c r="X631" s="724"/>
      <c r="Y631" s="76">
        <v>27</v>
      </c>
      <c r="Z631" s="76">
        <v>27</v>
      </c>
      <c r="AA631" s="92">
        <v>1</v>
      </c>
      <c r="AB631" s="92"/>
      <c r="AC631" s="92"/>
      <c r="AD631" s="146" t="s">
        <v>312</v>
      </c>
      <c r="AE631" s="146" t="s">
        <v>352</v>
      </c>
      <c r="AF631" s="146" t="s">
        <v>338</v>
      </c>
      <c r="AG631" s="92"/>
    </row>
    <row r="632" s="694" customFormat="1" ht="24.95" customHeight="1" spans="1:33">
      <c r="A632" s="705"/>
      <c r="B632" s="714" t="s">
        <v>84</v>
      </c>
      <c r="C632" s="146" t="s">
        <v>52</v>
      </c>
      <c r="D632" s="152" t="s">
        <v>147</v>
      </c>
      <c r="E632" s="92">
        <v>1</v>
      </c>
      <c r="F632" s="714" t="s">
        <v>84</v>
      </c>
      <c r="G632" s="92"/>
      <c r="H632" s="92">
        <v>14</v>
      </c>
      <c r="I632" s="92"/>
      <c r="J632" s="92"/>
      <c r="K632" s="76">
        <v>14</v>
      </c>
      <c r="L632" s="92">
        <v>2020.01</v>
      </c>
      <c r="M632" s="92">
        <v>2020.12</v>
      </c>
      <c r="N632" s="724"/>
      <c r="O632" s="724"/>
      <c r="P632" s="724"/>
      <c r="Q632" s="724"/>
      <c r="R632" s="724"/>
      <c r="S632" s="724"/>
      <c r="T632" s="724"/>
      <c r="U632" s="724"/>
      <c r="V632" s="724"/>
      <c r="W632" s="724"/>
      <c r="X632" s="724"/>
      <c r="Y632" s="76">
        <v>14</v>
      </c>
      <c r="Z632" s="76">
        <v>14</v>
      </c>
      <c r="AA632" s="92">
        <v>1</v>
      </c>
      <c r="AB632" s="92"/>
      <c r="AC632" s="92"/>
      <c r="AD632" s="146" t="s">
        <v>350</v>
      </c>
      <c r="AE632" s="146" t="s">
        <v>351</v>
      </c>
      <c r="AF632" s="146" t="s">
        <v>338</v>
      </c>
      <c r="AG632" s="92"/>
    </row>
    <row r="633" s="694" customFormat="1" ht="24.95" customHeight="1" spans="1:33">
      <c r="A633" s="705"/>
      <c r="B633" s="714" t="s">
        <v>143</v>
      </c>
      <c r="C633" s="146" t="s">
        <v>52</v>
      </c>
      <c r="D633" s="152" t="s">
        <v>147</v>
      </c>
      <c r="E633" s="92">
        <v>1</v>
      </c>
      <c r="F633" s="714" t="s">
        <v>143</v>
      </c>
      <c r="G633" s="92"/>
      <c r="H633" s="92">
        <v>33</v>
      </c>
      <c r="I633" s="92"/>
      <c r="J633" s="92"/>
      <c r="K633" s="76">
        <v>33</v>
      </c>
      <c r="L633" s="92">
        <v>2020.01</v>
      </c>
      <c r="M633" s="92">
        <v>2020.12</v>
      </c>
      <c r="N633" s="724"/>
      <c r="O633" s="724"/>
      <c r="P633" s="724"/>
      <c r="Q633" s="724"/>
      <c r="R633" s="724"/>
      <c r="S633" s="724"/>
      <c r="T633" s="724"/>
      <c r="U633" s="724"/>
      <c r="V633" s="724"/>
      <c r="W633" s="724"/>
      <c r="X633" s="724"/>
      <c r="Y633" s="76">
        <v>33</v>
      </c>
      <c r="Z633" s="76">
        <v>33</v>
      </c>
      <c r="AA633" s="92">
        <v>1</v>
      </c>
      <c r="AB633" s="92"/>
      <c r="AC633" s="92"/>
      <c r="AD633" s="146" t="s">
        <v>354</v>
      </c>
      <c r="AE633" s="146" t="s">
        <v>263</v>
      </c>
      <c r="AF633" s="146" t="s">
        <v>338</v>
      </c>
      <c r="AG633" s="92"/>
    </row>
    <row r="634" s="570" customFormat="1" ht="24.95" customHeight="1" spans="1:33">
      <c r="A634" s="705">
        <v>80</v>
      </c>
      <c r="B634" s="750" t="s">
        <v>448</v>
      </c>
      <c r="C634" s="146" t="s">
        <v>52</v>
      </c>
      <c r="D634" s="152" t="s">
        <v>147</v>
      </c>
      <c r="E634" s="92">
        <f>SUM(E635:E636)</f>
        <v>2</v>
      </c>
      <c r="F634" s="92">
        <f t="shared" ref="F634:AA634" si="68">SUM(F635:F636)</f>
        <v>0</v>
      </c>
      <c r="G634" s="92">
        <f t="shared" si="68"/>
        <v>0</v>
      </c>
      <c r="H634" s="92">
        <f t="shared" si="68"/>
        <v>3</v>
      </c>
      <c r="I634" s="92">
        <f t="shared" si="68"/>
        <v>0</v>
      </c>
      <c r="J634" s="92">
        <f t="shared" si="68"/>
        <v>0</v>
      </c>
      <c r="K634" s="92">
        <f t="shared" si="68"/>
        <v>3</v>
      </c>
      <c r="L634" s="92"/>
      <c r="M634" s="92"/>
      <c r="N634" s="92">
        <f t="shared" si="68"/>
        <v>0</v>
      </c>
      <c r="O634" s="92">
        <f t="shared" si="68"/>
        <v>0</v>
      </c>
      <c r="P634" s="92">
        <f t="shared" si="68"/>
        <v>0</v>
      </c>
      <c r="Q634" s="92">
        <f t="shared" si="68"/>
        <v>0</v>
      </c>
      <c r="R634" s="92">
        <f t="shared" si="68"/>
        <v>0</v>
      </c>
      <c r="S634" s="92">
        <f t="shared" si="68"/>
        <v>0</v>
      </c>
      <c r="T634" s="92">
        <f t="shared" si="68"/>
        <v>0</v>
      </c>
      <c r="U634" s="92">
        <f t="shared" si="68"/>
        <v>0</v>
      </c>
      <c r="V634" s="92">
        <f t="shared" si="68"/>
        <v>0</v>
      </c>
      <c r="W634" s="92">
        <f t="shared" si="68"/>
        <v>0</v>
      </c>
      <c r="X634" s="92">
        <f t="shared" si="68"/>
        <v>0</v>
      </c>
      <c r="Y634" s="92">
        <f t="shared" si="68"/>
        <v>3</v>
      </c>
      <c r="Z634" s="92">
        <f t="shared" si="68"/>
        <v>3</v>
      </c>
      <c r="AA634" s="92">
        <f t="shared" si="68"/>
        <v>2</v>
      </c>
      <c r="AB634" s="92"/>
      <c r="AC634" s="92"/>
      <c r="AD634" s="146" t="s">
        <v>336</v>
      </c>
      <c r="AE634" s="146" t="s">
        <v>337</v>
      </c>
      <c r="AF634" s="146" t="s">
        <v>338</v>
      </c>
      <c r="AG634" s="92" t="s">
        <v>41</v>
      </c>
    </row>
    <row r="635" s="694" customFormat="1" ht="24.95" customHeight="1" spans="1:33">
      <c r="A635" s="705"/>
      <c r="B635" s="714" t="s">
        <v>101</v>
      </c>
      <c r="C635" s="146" t="s">
        <v>52</v>
      </c>
      <c r="D635" s="152" t="s">
        <v>147</v>
      </c>
      <c r="E635" s="92">
        <v>1</v>
      </c>
      <c r="F635" s="714" t="s">
        <v>101</v>
      </c>
      <c r="G635" s="92"/>
      <c r="H635" s="76">
        <v>1</v>
      </c>
      <c r="I635" s="92"/>
      <c r="J635" s="92"/>
      <c r="K635" s="76">
        <v>1</v>
      </c>
      <c r="L635" s="92">
        <v>2020.01</v>
      </c>
      <c r="M635" s="92">
        <v>2020.12</v>
      </c>
      <c r="N635" s="724"/>
      <c r="O635" s="724"/>
      <c r="P635" s="724"/>
      <c r="Q635" s="724"/>
      <c r="R635" s="724"/>
      <c r="S635" s="724"/>
      <c r="T635" s="724"/>
      <c r="U635" s="724"/>
      <c r="V635" s="724"/>
      <c r="W635" s="724"/>
      <c r="X635" s="724"/>
      <c r="Y635" s="76">
        <v>1</v>
      </c>
      <c r="Z635" s="76">
        <v>1</v>
      </c>
      <c r="AA635" s="92">
        <v>1</v>
      </c>
      <c r="AB635" s="92"/>
      <c r="AC635" s="92"/>
      <c r="AD635" s="146" t="s">
        <v>244</v>
      </c>
      <c r="AE635" s="146" t="s">
        <v>333</v>
      </c>
      <c r="AF635" s="146" t="s">
        <v>338</v>
      </c>
      <c r="AG635" s="92"/>
    </row>
    <row r="636" s="694" customFormat="1" ht="24.95" customHeight="1" spans="1:33">
      <c r="A636" s="705"/>
      <c r="B636" s="714" t="s">
        <v>143</v>
      </c>
      <c r="C636" s="146" t="s">
        <v>52</v>
      </c>
      <c r="D636" s="152" t="s">
        <v>147</v>
      </c>
      <c r="E636" s="92">
        <v>1</v>
      </c>
      <c r="F636" s="714" t="s">
        <v>143</v>
      </c>
      <c r="G636" s="92"/>
      <c r="H636" s="76">
        <v>2</v>
      </c>
      <c r="I636" s="92"/>
      <c r="J636" s="92"/>
      <c r="K636" s="76">
        <v>2</v>
      </c>
      <c r="L636" s="92">
        <v>2020.01</v>
      </c>
      <c r="M636" s="92">
        <v>2020.12</v>
      </c>
      <c r="N636" s="724"/>
      <c r="O636" s="724"/>
      <c r="P636" s="724"/>
      <c r="Q636" s="724"/>
      <c r="R636" s="724"/>
      <c r="S636" s="724"/>
      <c r="T636" s="724"/>
      <c r="U636" s="724"/>
      <c r="V636" s="724"/>
      <c r="W636" s="724"/>
      <c r="X636" s="724"/>
      <c r="Y636" s="76">
        <v>2</v>
      </c>
      <c r="Z636" s="76">
        <v>2</v>
      </c>
      <c r="AA636" s="92">
        <v>1</v>
      </c>
      <c r="AB636" s="92"/>
      <c r="AC636" s="92"/>
      <c r="AD636" s="146" t="s">
        <v>354</v>
      </c>
      <c r="AE636" s="146" t="s">
        <v>263</v>
      </c>
      <c r="AF636" s="146" t="s">
        <v>338</v>
      </c>
      <c r="AG636" s="92"/>
    </row>
    <row r="637" s="570" customFormat="1" ht="24.95" customHeight="1" spans="1:33">
      <c r="A637" s="705">
        <v>81</v>
      </c>
      <c r="B637" s="708" t="s">
        <v>449</v>
      </c>
      <c r="C637" s="708"/>
      <c r="D637" s="709" t="s">
        <v>147</v>
      </c>
      <c r="E637" s="708">
        <f>SUM(E638:E649)</f>
        <v>12</v>
      </c>
      <c r="F637" s="708">
        <f t="shared" ref="F637:AA637" si="69">SUM(F638:F649)</f>
        <v>0</v>
      </c>
      <c r="G637" s="708">
        <f t="shared" si="69"/>
        <v>0</v>
      </c>
      <c r="H637" s="708">
        <f t="shared" si="69"/>
        <v>1247</v>
      </c>
      <c r="I637" s="708">
        <f t="shared" si="69"/>
        <v>0</v>
      </c>
      <c r="J637" s="708">
        <f t="shared" si="69"/>
        <v>0</v>
      </c>
      <c r="K637" s="708">
        <f t="shared" si="69"/>
        <v>1247</v>
      </c>
      <c r="L637" s="708"/>
      <c r="M637" s="708"/>
      <c r="N637" s="708">
        <f t="shared" si="69"/>
        <v>151.668</v>
      </c>
      <c r="O637" s="708">
        <f t="shared" si="69"/>
        <v>0</v>
      </c>
      <c r="P637" s="708">
        <f t="shared" si="69"/>
        <v>0</v>
      </c>
      <c r="Q637" s="708">
        <f t="shared" si="69"/>
        <v>151.668</v>
      </c>
      <c r="R637" s="708">
        <f t="shared" si="69"/>
        <v>151.668</v>
      </c>
      <c r="S637" s="708">
        <f t="shared" si="69"/>
        <v>0</v>
      </c>
      <c r="T637" s="708">
        <f t="shared" si="69"/>
        <v>0</v>
      </c>
      <c r="U637" s="708">
        <f t="shared" si="69"/>
        <v>0</v>
      </c>
      <c r="V637" s="708">
        <f t="shared" si="69"/>
        <v>0</v>
      </c>
      <c r="W637" s="708">
        <f t="shared" si="69"/>
        <v>0</v>
      </c>
      <c r="X637" s="708">
        <f t="shared" si="69"/>
        <v>0</v>
      </c>
      <c r="Y637" s="708">
        <f t="shared" si="69"/>
        <v>1247</v>
      </c>
      <c r="Z637" s="708">
        <f t="shared" si="69"/>
        <v>5607</v>
      </c>
      <c r="AA637" s="708">
        <f t="shared" si="69"/>
        <v>12</v>
      </c>
      <c r="AB637" s="708"/>
      <c r="AC637" s="708"/>
      <c r="AD637" s="146" t="s">
        <v>450</v>
      </c>
      <c r="AE637" s="146" t="s">
        <v>451</v>
      </c>
      <c r="AF637" s="146" t="s">
        <v>452</v>
      </c>
      <c r="AG637" s="708" t="s">
        <v>41</v>
      </c>
    </row>
    <row r="638" s="694" customFormat="1" ht="24.95" customHeight="1" spans="1:33">
      <c r="A638" s="705"/>
      <c r="B638" s="714" t="s">
        <v>101</v>
      </c>
      <c r="C638" s="146" t="s">
        <v>52</v>
      </c>
      <c r="D638" s="152" t="s">
        <v>147</v>
      </c>
      <c r="E638" s="92">
        <v>1</v>
      </c>
      <c r="F638" s="714" t="s">
        <v>101</v>
      </c>
      <c r="G638" s="708"/>
      <c r="H638" s="708">
        <v>77</v>
      </c>
      <c r="I638" s="92"/>
      <c r="J638" s="708"/>
      <c r="K638" s="708">
        <v>77</v>
      </c>
      <c r="L638" s="92">
        <v>2020.01</v>
      </c>
      <c r="M638" s="92">
        <v>2020.12</v>
      </c>
      <c r="N638" s="726">
        <v>9.036</v>
      </c>
      <c r="O638" s="92"/>
      <c r="P638" s="726"/>
      <c r="Q638" s="726">
        <v>9.036</v>
      </c>
      <c r="R638" s="726">
        <v>9.036</v>
      </c>
      <c r="S638" s="726"/>
      <c r="T638" s="726"/>
      <c r="U638" s="726"/>
      <c r="V638" s="726"/>
      <c r="W638" s="726"/>
      <c r="X638" s="726"/>
      <c r="Y638" s="763">
        <v>77</v>
      </c>
      <c r="Z638" s="763">
        <v>346</v>
      </c>
      <c r="AA638" s="92">
        <v>1</v>
      </c>
      <c r="AB638" s="708"/>
      <c r="AC638" s="708"/>
      <c r="AD638" s="146" t="s">
        <v>244</v>
      </c>
      <c r="AE638" s="146" t="s">
        <v>333</v>
      </c>
      <c r="AF638" s="146" t="s">
        <v>452</v>
      </c>
      <c r="AG638" s="708"/>
    </row>
    <row r="639" s="694" customFormat="1" ht="24.95" customHeight="1" spans="1:33">
      <c r="A639" s="705"/>
      <c r="B639" s="714" t="s">
        <v>151</v>
      </c>
      <c r="C639" s="146" t="s">
        <v>52</v>
      </c>
      <c r="D639" s="152" t="s">
        <v>147</v>
      </c>
      <c r="E639" s="92">
        <v>1</v>
      </c>
      <c r="F639" s="714" t="s">
        <v>151</v>
      </c>
      <c r="G639" s="708"/>
      <c r="H639" s="708">
        <v>93</v>
      </c>
      <c r="I639" s="92"/>
      <c r="J639" s="708"/>
      <c r="K639" s="708">
        <v>93</v>
      </c>
      <c r="L639" s="92">
        <v>2020.01</v>
      </c>
      <c r="M639" s="92">
        <v>2020.12</v>
      </c>
      <c r="N639" s="726">
        <v>11.268</v>
      </c>
      <c r="O639" s="92"/>
      <c r="P639" s="726"/>
      <c r="Q639" s="726">
        <v>11.268</v>
      </c>
      <c r="R639" s="726">
        <v>11.268</v>
      </c>
      <c r="S639" s="726"/>
      <c r="T639" s="726"/>
      <c r="U639" s="726"/>
      <c r="V639" s="726"/>
      <c r="W639" s="726"/>
      <c r="X639" s="726"/>
      <c r="Y639" s="763">
        <v>93</v>
      </c>
      <c r="Z639" s="763">
        <v>418</v>
      </c>
      <c r="AA639" s="92">
        <v>1</v>
      </c>
      <c r="AB639" s="708"/>
      <c r="AC639" s="708"/>
      <c r="AD639" s="146" t="s">
        <v>339</v>
      </c>
      <c r="AE639" s="146" t="s">
        <v>340</v>
      </c>
      <c r="AF639" s="146" t="s">
        <v>452</v>
      </c>
      <c r="AG639" s="708"/>
    </row>
    <row r="640" s="694" customFormat="1" ht="24.95" customHeight="1" spans="1:33">
      <c r="A640" s="705"/>
      <c r="B640" s="714" t="s">
        <v>154</v>
      </c>
      <c r="C640" s="146" t="s">
        <v>52</v>
      </c>
      <c r="D640" s="152" t="s">
        <v>147</v>
      </c>
      <c r="E640" s="92">
        <v>1</v>
      </c>
      <c r="F640" s="714" t="s">
        <v>154</v>
      </c>
      <c r="G640" s="708"/>
      <c r="H640" s="708">
        <v>135</v>
      </c>
      <c r="I640" s="92"/>
      <c r="J640" s="708"/>
      <c r="K640" s="708">
        <v>135</v>
      </c>
      <c r="L640" s="92">
        <v>2020.01</v>
      </c>
      <c r="M640" s="92">
        <v>2020.12</v>
      </c>
      <c r="N640" s="726">
        <v>16.236</v>
      </c>
      <c r="O640" s="92"/>
      <c r="P640" s="726"/>
      <c r="Q640" s="726">
        <v>16.236</v>
      </c>
      <c r="R640" s="726">
        <v>16.236</v>
      </c>
      <c r="S640" s="726"/>
      <c r="T640" s="726"/>
      <c r="U640" s="726"/>
      <c r="V640" s="726"/>
      <c r="W640" s="726"/>
      <c r="X640" s="726"/>
      <c r="Y640" s="763">
        <v>135</v>
      </c>
      <c r="Z640" s="763">
        <v>607</v>
      </c>
      <c r="AA640" s="92">
        <v>1</v>
      </c>
      <c r="AB640" s="708"/>
      <c r="AC640" s="708"/>
      <c r="AD640" s="146" t="s">
        <v>453</v>
      </c>
      <c r="AE640" s="146" t="s">
        <v>454</v>
      </c>
      <c r="AF640" s="146" t="s">
        <v>452</v>
      </c>
      <c r="AG640" s="708"/>
    </row>
    <row r="641" s="694" customFormat="1" ht="24.95" customHeight="1" spans="1:33">
      <c r="A641" s="705"/>
      <c r="B641" s="714" t="s">
        <v>81</v>
      </c>
      <c r="C641" s="146" t="s">
        <v>52</v>
      </c>
      <c r="D641" s="152" t="s">
        <v>147</v>
      </c>
      <c r="E641" s="92">
        <v>1</v>
      </c>
      <c r="F641" s="714" t="s">
        <v>81</v>
      </c>
      <c r="G641" s="708"/>
      <c r="H641" s="708">
        <v>95</v>
      </c>
      <c r="I641" s="92"/>
      <c r="J641" s="708"/>
      <c r="K641" s="708">
        <v>95</v>
      </c>
      <c r="L641" s="92">
        <v>2020.01</v>
      </c>
      <c r="M641" s="92">
        <v>2020.12</v>
      </c>
      <c r="N641" s="726">
        <v>12.06</v>
      </c>
      <c r="O641" s="92"/>
      <c r="P641" s="726"/>
      <c r="Q641" s="726">
        <v>12.06</v>
      </c>
      <c r="R641" s="726">
        <v>12.06</v>
      </c>
      <c r="S641" s="726"/>
      <c r="T641" s="726"/>
      <c r="U641" s="726"/>
      <c r="V641" s="726"/>
      <c r="W641" s="726"/>
      <c r="X641" s="726"/>
      <c r="Y641" s="763">
        <v>95</v>
      </c>
      <c r="Z641" s="763">
        <v>427</v>
      </c>
      <c r="AA641" s="92">
        <v>1</v>
      </c>
      <c r="AB641" s="708"/>
      <c r="AC641" s="708"/>
      <c r="AD641" s="146" t="s">
        <v>305</v>
      </c>
      <c r="AE641" s="146" t="s">
        <v>362</v>
      </c>
      <c r="AF641" s="146" t="s">
        <v>452</v>
      </c>
      <c r="AG641" s="708"/>
    </row>
    <row r="642" s="694" customFormat="1" ht="24.95" customHeight="1" spans="1:33">
      <c r="A642" s="705"/>
      <c r="B642" s="714" t="s">
        <v>98</v>
      </c>
      <c r="C642" s="146" t="s">
        <v>52</v>
      </c>
      <c r="D642" s="152" t="s">
        <v>147</v>
      </c>
      <c r="E642" s="92">
        <v>1</v>
      </c>
      <c r="F642" s="714" t="s">
        <v>98</v>
      </c>
      <c r="G642" s="708"/>
      <c r="H642" s="708">
        <v>187</v>
      </c>
      <c r="I642" s="92"/>
      <c r="J642" s="708"/>
      <c r="K642" s="708">
        <v>187</v>
      </c>
      <c r="L642" s="92">
        <v>2020.01</v>
      </c>
      <c r="M642" s="92">
        <v>2020.12</v>
      </c>
      <c r="N642" s="726">
        <v>22.212</v>
      </c>
      <c r="O642" s="92"/>
      <c r="P642" s="726"/>
      <c r="Q642" s="726">
        <v>22.212</v>
      </c>
      <c r="R642" s="726">
        <v>22.212</v>
      </c>
      <c r="S642" s="726"/>
      <c r="T642" s="726"/>
      <c r="U642" s="726"/>
      <c r="V642" s="726"/>
      <c r="W642" s="726"/>
      <c r="X642" s="726"/>
      <c r="Y642" s="763">
        <v>187</v>
      </c>
      <c r="Z642" s="763">
        <v>841</v>
      </c>
      <c r="AA642" s="92">
        <v>1</v>
      </c>
      <c r="AB642" s="708"/>
      <c r="AC642" s="708"/>
      <c r="AD642" s="146" t="s">
        <v>344</v>
      </c>
      <c r="AE642" s="146" t="s">
        <v>455</v>
      </c>
      <c r="AF642" s="146" t="s">
        <v>452</v>
      </c>
      <c r="AG642" s="708"/>
    </row>
    <row r="643" s="694" customFormat="1" ht="24.95" customHeight="1" spans="1:33">
      <c r="A643" s="705"/>
      <c r="B643" s="714" t="s">
        <v>211</v>
      </c>
      <c r="C643" s="146" t="s">
        <v>52</v>
      </c>
      <c r="D643" s="152" t="s">
        <v>147</v>
      </c>
      <c r="E643" s="92">
        <v>1</v>
      </c>
      <c r="F643" s="714" t="s">
        <v>211</v>
      </c>
      <c r="G643" s="708"/>
      <c r="H643" s="708">
        <v>112</v>
      </c>
      <c r="I643" s="92"/>
      <c r="J643" s="708"/>
      <c r="K643" s="708">
        <v>112</v>
      </c>
      <c r="L643" s="92">
        <v>2020.01</v>
      </c>
      <c r="M643" s="92">
        <v>2020.12</v>
      </c>
      <c r="N643" s="726">
        <v>13.68</v>
      </c>
      <c r="O643" s="92"/>
      <c r="P643" s="726"/>
      <c r="Q643" s="726">
        <v>13.68</v>
      </c>
      <c r="R643" s="726">
        <v>13.68</v>
      </c>
      <c r="S643" s="726"/>
      <c r="T643" s="726"/>
      <c r="U643" s="726"/>
      <c r="V643" s="726"/>
      <c r="W643" s="726"/>
      <c r="X643" s="726"/>
      <c r="Y643" s="763">
        <v>112</v>
      </c>
      <c r="Z643" s="763">
        <v>504</v>
      </c>
      <c r="AA643" s="92">
        <v>1</v>
      </c>
      <c r="AB643" s="708"/>
      <c r="AC643" s="708"/>
      <c r="AD643" s="146" t="s">
        <v>346</v>
      </c>
      <c r="AE643" s="146" t="s">
        <v>347</v>
      </c>
      <c r="AF643" s="146" t="s">
        <v>452</v>
      </c>
      <c r="AG643" s="708"/>
    </row>
    <row r="644" s="694" customFormat="1" ht="24.95" customHeight="1" spans="1:33">
      <c r="A644" s="705"/>
      <c r="B644" s="714" t="s">
        <v>155</v>
      </c>
      <c r="C644" s="146" t="s">
        <v>52</v>
      </c>
      <c r="D644" s="152" t="s">
        <v>147</v>
      </c>
      <c r="E644" s="92">
        <v>1</v>
      </c>
      <c r="F644" s="714" t="s">
        <v>155</v>
      </c>
      <c r="G644" s="708"/>
      <c r="H644" s="708">
        <v>27</v>
      </c>
      <c r="I644" s="92"/>
      <c r="J644" s="708"/>
      <c r="K644" s="708">
        <v>27</v>
      </c>
      <c r="L644" s="92">
        <v>2020.01</v>
      </c>
      <c r="M644" s="92">
        <v>2020.12</v>
      </c>
      <c r="N644" s="726">
        <v>3.348</v>
      </c>
      <c r="O644" s="92"/>
      <c r="P644" s="726"/>
      <c r="Q644" s="726">
        <v>3.348</v>
      </c>
      <c r="R644" s="726">
        <v>3.348</v>
      </c>
      <c r="S644" s="726"/>
      <c r="T644" s="726"/>
      <c r="U644" s="726"/>
      <c r="V644" s="726"/>
      <c r="W644" s="726"/>
      <c r="X644" s="726"/>
      <c r="Y644" s="763">
        <v>27</v>
      </c>
      <c r="Z644" s="763">
        <v>121</v>
      </c>
      <c r="AA644" s="92">
        <v>1</v>
      </c>
      <c r="AB644" s="708"/>
      <c r="AC644" s="708"/>
      <c r="AD644" s="146" t="s">
        <v>253</v>
      </c>
      <c r="AE644" s="146" t="s">
        <v>348</v>
      </c>
      <c r="AF644" s="146" t="s">
        <v>452</v>
      </c>
      <c r="AG644" s="708"/>
    </row>
    <row r="645" s="694" customFormat="1" ht="24.95" customHeight="1" spans="1:33">
      <c r="A645" s="705"/>
      <c r="B645" s="714" t="s">
        <v>102</v>
      </c>
      <c r="C645" s="146" t="s">
        <v>52</v>
      </c>
      <c r="D645" s="152" t="s">
        <v>147</v>
      </c>
      <c r="E645" s="92">
        <v>1</v>
      </c>
      <c r="F645" s="714" t="s">
        <v>102</v>
      </c>
      <c r="G645" s="708"/>
      <c r="H645" s="708">
        <v>173</v>
      </c>
      <c r="I645" s="92"/>
      <c r="J645" s="708"/>
      <c r="K645" s="708">
        <v>173</v>
      </c>
      <c r="L645" s="92">
        <v>2020.01</v>
      </c>
      <c r="M645" s="92">
        <v>2020.12</v>
      </c>
      <c r="N645" s="726">
        <v>21.564</v>
      </c>
      <c r="O645" s="92"/>
      <c r="P645" s="726"/>
      <c r="Q645" s="726">
        <v>21.564</v>
      </c>
      <c r="R645" s="726">
        <v>21.564</v>
      </c>
      <c r="S645" s="726"/>
      <c r="T645" s="726"/>
      <c r="U645" s="726"/>
      <c r="V645" s="726"/>
      <c r="W645" s="726"/>
      <c r="X645" s="726"/>
      <c r="Y645" s="763">
        <v>173</v>
      </c>
      <c r="Z645" s="763">
        <v>778</v>
      </c>
      <c r="AA645" s="92">
        <v>1</v>
      </c>
      <c r="AB645" s="708"/>
      <c r="AC645" s="708"/>
      <c r="AD645" s="146" t="s">
        <v>255</v>
      </c>
      <c r="AE645" s="146" t="s">
        <v>456</v>
      </c>
      <c r="AF645" s="146" t="s">
        <v>452</v>
      </c>
      <c r="AG645" s="708"/>
    </row>
    <row r="646" s="694" customFormat="1" ht="24.95" customHeight="1" spans="1:33">
      <c r="A646" s="705"/>
      <c r="B646" s="714" t="s">
        <v>100</v>
      </c>
      <c r="C646" s="146" t="s">
        <v>52</v>
      </c>
      <c r="D646" s="152" t="s">
        <v>147</v>
      </c>
      <c r="E646" s="92">
        <v>1</v>
      </c>
      <c r="F646" s="714" t="s">
        <v>100</v>
      </c>
      <c r="G646" s="708"/>
      <c r="H646" s="708">
        <v>153</v>
      </c>
      <c r="I646" s="92"/>
      <c r="J646" s="708"/>
      <c r="K646" s="708">
        <v>153</v>
      </c>
      <c r="L646" s="92">
        <v>2020.01</v>
      </c>
      <c r="M646" s="92">
        <v>2020.12</v>
      </c>
      <c r="N646" s="726">
        <v>18.504</v>
      </c>
      <c r="O646" s="92"/>
      <c r="P646" s="726"/>
      <c r="Q646" s="726">
        <v>18.504</v>
      </c>
      <c r="R646" s="726">
        <v>18.504</v>
      </c>
      <c r="S646" s="726"/>
      <c r="T646" s="726"/>
      <c r="U646" s="726"/>
      <c r="V646" s="726"/>
      <c r="W646" s="726"/>
      <c r="X646" s="726"/>
      <c r="Y646" s="763">
        <v>153</v>
      </c>
      <c r="Z646" s="763">
        <v>688</v>
      </c>
      <c r="AA646" s="92">
        <v>1</v>
      </c>
      <c r="AB646" s="708"/>
      <c r="AC646" s="708"/>
      <c r="AD646" s="146" t="s">
        <v>312</v>
      </c>
      <c r="AE646" s="146" t="s">
        <v>352</v>
      </c>
      <c r="AF646" s="146" t="s">
        <v>452</v>
      </c>
      <c r="AG646" s="708"/>
    </row>
    <row r="647" s="694" customFormat="1" ht="24.95" customHeight="1" spans="1:33">
      <c r="A647" s="705"/>
      <c r="B647" s="714" t="s">
        <v>259</v>
      </c>
      <c r="C647" s="146" t="s">
        <v>52</v>
      </c>
      <c r="D647" s="152" t="s">
        <v>147</v>
      </c>
      <c r="E647" s="92">
        <v>1</v>
      </c>
      <c r="F647" s="714" t="s">
        <v>259</v>
      </c>
      <c r="G647" s="708"/>
      <c r="H647" s="708">
        <v>11</v>
      </c>
      <c r="I647" s="92"/>
      <c r="J647" s="708"/>
      <c r="K647" s="708">
        <v>11</v>
      </c>
      <c r="L647" s="92">
        <v>2020.01</v>
      </c>
      <c r="M647" s="92">
        <v>2020.12</v>
      </c>
      <c r="N647" s="726">
        <v>1.26</v>
      </c>
      <c r="O647" s="92"/>
      <c r="P647" s="726"/>
      <c r="Q647" s="726">
        <v>1.26</v>
      </c>
      <c r="R647" s="726">
        <v>1.26</v>
      </c>
      <c r="S647" s="726"/>
      <c r="T647" s="726"/>
      <c r="U647" s="726"/>
      <c r="V647" s="726"/>
      <c r="W647" s="726"/>
      <c r="X647" s="726"/>
      <c r="Y647" s="763">
        <v>11</v>
      </c>
      <c r="Z647" s="763">
        <v>49</v>
      </c>
      <c r="AA647" s="92">
        <v>1</v>
      </c>
      <c r="AB647" s="708"/>
      <c r="AC647" s="708"/>
      <c r="AD647" s="146" t="s">
        <v>183</v>
      </c>
      <c r="AE647" s="146" t="s">
        <v>184</v>
      </c>
      <c r="AF647" s="146" t="s">
        <v>452</v>
      </c>
      <c r="AG647" s="708"/>
    </row>
    <row r="648" s="694" customFormat="1" ht="24.95" customHeight="1" spans="1:33">
      <c r="A648" s="705"/>
      <c r="B648" s="714" t="s">
        <v>84</v>
      </c>
      <c r="C648" s="146" t="s">
        <v>52</v>
      </c>
      <c r="D648" s="152" t="s">
        <v>147</v>
      </c>
      <c r="E648" s="92">
        <v>1</v>
      </c>
      <c r="F648" s="714" t="s">
        <v>84</v>
      </c>
      <c r="G648" s="708"/>
      <c r="H648" s="708">
        <v>136</v>
      </c>
      <c r="I648" s="92"/>
      <c r="J648" s="708"/>
      <c r="K648" s="708">
        <v>136</v>
      </c>
      <c r="L648" s="92">
        <v>2020.01</v>
      </c>
      <c r="M648" s="92">
        <v>2020.12</v>
      </c>
      <c r="N648" s="726">
        <v>16.704</v>
      </c>
      <c r="O648" s="92"/>
      <c r="P648" s="726"/>
      <c r="Q648" s="726">
        <v>16.704</v>
      </c>
      <c r="R648" s="726">
        <v>16.704</v>
      </c>
      <c r="S648" s="726"/>
      <c r="T648" s="726"/>
      <c r="U648" s="726"/>
      <c r="V648" s="726"/>
      <c r="W648" s="726"/>
      <c r="X648" s="726"/>
      <c r="Y648" s="763">
        <v>136</v>
      </c>
      <c r="Z648" s="763">
        <v>612</v>
      </c>
      <c r="AA648" s="92">
        <v>1</v>
      </c>
      <c r="AB648" s="708"/>
      <c r="AC648" s="708"/>
      <c r="AD648" s="146" t="s">
        <v>350</v>
      </c>
      <c r="AE648" s="146" t="s">
        <v>351</v>
      </c>
      <c r="AF648" s="146" t="s">
        <v>452</v>
      </c>
      <c r="AG648" s="708"/>
    </row>
    <row r="649" s="694" customFormat="1" ht="24.95" customHeight="1" spans="1:33">
      <c r="A649" s="705"/>
      <c r="B649" s="714" t="s">
        <v>143</v>
      </c>
      <c r="C649" s="146" t="s">
        <v>52</v>
      </c>
      <c r="D649" s="152" t="s">
        <v>147</v>
      </c>
      <c r="E649" s="92">
        <v>1</v>
      </c>
      <c r="F649" s="714" t="s">
        <v>143</v>
      </c>
      <c r="G649" s="708"/>
      <c r="H649" s="708">
        <v>48</v>
      </c>
      <c r="I649" s="92"/>
      <c r="J649" s="708"/>
      <c r="K649" s="708">
        <v>48</v>
      </c>
      <c r="L649" s="92">
        <v>2020.01</v>
      </c>
      <c r="M649" s="92">
        <v>2020.12</v>
      </c>
      <c r="N649" s="726">
        <v>5.796</v>
      </c>
      <c r="O649" s="92"/>
      <c r="P649" s="726"/>
      <c r="Q649" s="726">
        <v>5.796</v>
      </c>
      <c r="R649" s="726">
        <v>5.796</v>
      </c>
      <c r="S649" s="726"/>
      <c r="T649" s="726"/>
      <c r="U649" s="726"/>
      <c r="V649" s="726"/>
      <c r="W649" s="726"/>
      <c r="X649" s="726"/>
      <c r="Y649" s="763">
        <v>48</v>
      </c>
      <c r="Z649" s="763">
        <v>216</v>
      </c>
      <c r="AA649" s="92">
        <v>1</v>
      </c>
      <c r="AB649" s="708"/>
      <c r="AC649" s="708"/>
      <c r="AD649" s="777" t="s">
        <v>262</v>
      </c>
      <c r="AE649" s="777" t="s">
        <v>263</v>
      </c>
      <c r="AF649" s="146" t="s">
        <v>452</v>
      </c>
      <c r="AG649" s="708"/>
    </row>
    <row r="650" s="570" customFormat="1" ht="24.95" customHeight="1" spans="1:33">
      <c r="A650" s="705">
        <v>82</v>
      </c>
      <c r="B650" s="708" t="s">
        <v>457</v>
      </c>
      <c r="C650" s="708"/>
      <c r="D650" s="709"/>
      <c r="E650" s="708"/>
      <c r="F650" s="708"/>
      <c r="G650" s="708"/>
      <c r="H650" s="708"/>
      <c r="I650" s="708"/>
      <c r="J650" s="708"/>
      <c r="K650" s="708"/>
      <c r="L650" s="708"/>
      <c r="M650" s="708"/>
      <c r="N650" s="726"/>
      <c r="O650" s="726"/>
      <c r="P650" s="726"/>
      <c r="Q650" s="726"/>
      <c r="R650" s="726"/>
      <c r="S650" s="726"/>
      <c r="T650" s="726"/>
      <c r="U650" s="726"/>
      <c r="V650" s="726"/>
      <c r="W650" s="726"/>
      <c r="X650" s="726"/>
      <c r="Y650" s="726"/>
      <c r="Z650" s="726"/>
      <c r="AA650" s="708"/>
      <c r="AB650" s="708"/>
      <c r="AC650" s="708"/>
      <c r="AD650" s="708"/>
      <c r="AE650" s="708"/>
      <c r="AF650" s="708"/>
      <c r="AG650" s="708" t="s">
        <v>41</v>
      </c>
    </row>
    <row r="651" s="570" customFormat="1" ht="24.95" customHeight="1" spans="1:33">
      <c r="A651" s="705">
        <v>83</v>
      </c>
      <c r="B651" s="92" t="s">
        <v>458</v>
      </c>
      <c r="C651" s="92"/>
      <c r="D651" s="76" t="s">
        <v>147</v>
      </c>
      <c r="E651" s="92"/>
      <c r="F651" s="92"/>
      <c r="G651" s="92"/>
      <c r="H651" s="92"/>
      <c r="I651" s="92"/>
      <c r="J651" s="92"/>
      <c r="K651" s="92"/>
      <c r="L651" s="92"/>
      <c r="M651" s="92"/>
      <c r="N651" s="724"/>
      <c r="O651" s="724"/>
      <c r="P651" s="724"/>
      <c r="Q651" s="724"/>
      <c r="R651" s="724"/>
      <c r="S651" s="724"/>
      <c r="T651" s="724"/>
      <c r="U651" s="724"/>
      <c r="V651" s="724"/>
      <c r="W651" s="724"/>
      <c r="X651" s="724"/>
      <c r="Y651" s="724"/>
      <c r="Z651" s="724"/>
      <c r="AA651" s="92"/>
      <c r="AB651" s="92"/>
      <c r="AC651" s="92"/>
      <c r="AD651" s="92"/>
      <c r="AE651" s="92"/>
      <c r="AF651" s="92" t="s">
        <v>338</v>
      </c>
      <c r="AG651" s="92" t="s">
        <v>41</v>
      </c>
    </row>
    <row r="652" s="570" customFormat="1" ht="24.95" customHeight="1" spans="1:33">
      <c r="A652" s="705" t="s">
        <v>48</v>
      </c>
      <c r="B652" s="92" t="s">
        <v>148</v>
      </c>
      <c r="C652" s="92"/>
      <c r="D652" s="76"/>
      <c r="E652" s="92"/>
      <c r="F652" s="92"/>
      <c r="G652" s="92"/>
      <c r="H652" s="92"/>
      <c r="I652" s="92"/>
      <c r="J652" s="92"/>
      <c r="K652" s="92"/>
      <c r="L652" s="92"/>
      <c r="M652" s="92"/>
      <c r="N652" s="724"/>
      <c r="O652" s="724"/>
      <c r="P652" s="724"/>
      <c r="Q652" s="724"/>
      <c r="R652" s="724"/>
      <c r="S652" s="724"/>
      <c r="T652" s="724"/>
      <c r="U652" s="724"/>
      <c r="V652" s="724"/>
      <c r="W652" s="724"/>
      <c r="X652" s="724"/>
      <c r="Y652" s="724"/>
      <c r="Z652" s="724"/>
      <c r="AA652" s="92"/>
      <c r="AB652" s="92"/>
      <c r="AC652" s="92"/>
      <c r="AD652" s="92"/>
      <c r="AE652" s="92"/>
      <c r="AF652" s="92"/>
      <c r="AG652" s="92"/>
    </row>
    <row r="653" s="570" customFormat="1" ht="24.95" customHeight="1" spans="1:33">
      <c r="A653" s="705">
        <v>84</v>
      </c>
      <c r="B653" s="92" t="s">
        <v>459</v>
      </c>
      <c r="C653" s="92"/>
      <c r="D653" s="76" t="s">
        <v>147</v>
      </c>
      <c r="E653" s="92"/>
      <c r="F653" s="92"/>
      <c r="G653" s="92"/>
      <c r="H653" s="92"/>
      <c r="I653" s="92"/>
      <c r="J653" s="92"/>
      <c r="K653" s="92"/>
      <c r="L653" s="92"/>
      <c r="M653" s="92"/>
      <c r="N653" s="724"/>
      <c r="O653" s="724"/>
      <c r="P653" s="724"/>
      <c r="Q653" s="724"/>
      <c r="R653" s="724"/>
      <c r="S653" s="724"/>
      <c r="T653" s="724"/>
      <c r="U653" s="724"/>
      <c r="V653" s="724"/>
      <c r="W653" s="724"/>
      <c r="X653" s="724"/>
      <c r="Y653" s="724"/>
      <c r="Z653" s="724"/>
      <c r="AA653" s="92"/>
      <c r="AB653" s="92"/>
      <c r="AC653" s="92"/>
      <c r="AD653" s="92"/>
      <c r="AE653" s="92"/>
      <c r="AF653" s="92" t="s">
        <v>338</v>
      </c>
      <c r="AG653" s="92" t="s">
        <v>41</v>
      </c>
    </row>
    <row r="654" s="570" customFormat="1" ht="24.95" customHeight="1" spans="1:33">
      <c r="A654" s="705" t="s">
        <v>48</v>
      </c>
      <c r="B654" s="92" t="s">
        <v>148</v>
      </c>
      <c r="C654" s="92"/>
      <c r="D654" s="76"/>
      <c r="E654" s="92"/>
      <c r="F654" s="92"/>
      <c r="G654" s="92"/>
      <c r="H654" s="92"/>
      <c r="I654" s="92"/>
      <c r="J654" s="92"/>
      <c r="K654" s="92"/>
      <c r="L654" s="92"/>
      <c r="M654" s="92"/>
      <c r="N654" s="724"/>
      <c r="O654" s="724"/>
      <c r="P654" s="724"/>
      <c r="Q654" s="724"/>
      <c r="R654" s="724"/>
      <c r="S654" s="724"/>
      <c r="T654" s="724"/>
      <c r="U654" s="724"/>
      <c r="V654" s="724"/>
      <c r="W654" s="724"/>
      <c r="X654" s="724"/>
      <c r="Y654" s="724"/>
      <c r="Z654" s="724"/>
      <c r="AA654" s="92"/>
      <c r="AB654" s="92"/>
      <c r="AC654" s="92"/>
      <c r="AD654" s="92"/>
      <c r="AE654" s="92"/>
      <c r="AF654" s="92"/>
      <c r="AG654" s="92"/>
    </row>
    <row r="655" ht="32.1" customHeight="1" spans="1:33">
      <c r="A655" s="705">
        <v>85</v>
      </c>
      <c r="B655" s="706" t="s">
        <v>460</v>
      </c>
      <c r="C655" s="706"/>
      <c r="D655" s="707"/>
      <c r="E655" s="706">
        <f>E658+E707+E729+E755+E780+E826</f>
        <v>94</v>
      </c>
      <c r="F655" s="706">
        <f t="shared" ref="F655:AA655" si="70">F658+F707+F729+F755+F780+F826</f>
        <v>0</v>
      </c>
      <c r="G655" s="706">
        <f t="shared" si="70"/>
        <v>0</v>
      </c>
      <c r="H655" s="706">
        <f t="shared" si="70"/>
        <v>19813.61</v>
      </c>
      <c r="I655" s="706">
        <f t="shared" si="70"/>
        <v>0</v>
      </c>
      <c r="J655" s="706">
        <f t="shared" si="70"/>
        <v>0</v>
      </c>
      <c r="K655" s="706">
        <f t="shared" si="70"/>
        <v>19813.61</v>
      </c>
      <c r="L655" s="706"/>
      <c r="M655" s="706"/>
      <c r="N655" s="706">
        <f t="shared" si="70"/>
        <v>16681.7845</v>
      </c>
      <c r="O655" s="706">
        <f t="shared" si="70"/>
        <v>0</v>
      </c>
      <c r="P655" s="706">
        <f t="shared" si="70"/>
        <v>0</v>
      </c>
      <c r="Q655" s="706">
        <f t="shared" si="70"/>
        <v>16681.7845</v>
      </c>
      <c r="R655" s="706">
        <f t="shared" si="70"/>
        <v>5074.56</v>
      </c>
      <c r="S655" s="706">
        <f t="shared" si="70"/>
        <v>11607.2245</v>
      </c>
      <c r="T655" s="706">
        <f t="shared" si="70"/>
        <v>0</v>
      </c>
      <c r="U655" s="706">
        <f t="shared" si="70"/>
        <v>0</v>
      </c>
      <c r="V655" s="706">
        <f t="shared" si="70"/>
        <v>0</v>
      </c>
      <c r="W655" s="706">
        <f t="shared" si="70"/>
        <v>0</v>
      </c>
      <c r="X655" s="706">
        <f t="shared" si="70"/>
        <v>0</v>
      </c>
      <c r="Y655" s="739">
        <f t="shared" si="70"/>
        <v>27300.4736842105</v>
      </c>
      <c r="Z655" s="739">
        <f t="shared" si="70"/>
        <v>113980</v>
      </c>
      <c r="AA655" s="706">
        <f t="shared" si="70"/>
        <v>94</v>
      </c>
      <c r="AB655" s="706"/>
      <c r="AC655" s="706"/>
      <c r="AD655" s="706"/>
      <c r="AE655" s="706"/>
      <c r="AF655" s="706"/>
      <c r="AG655" s="706" t="s">
        <v>41</v>
      </c>
    </row>
    <row r="656" s="570" customFormat="1" ht="24.95" customHeight="1" spans="1:33">
      <c r="A656" s="705">
        <v>86</v>
      </c>
      <c r="B656" s="791" t="s">
        <v>461</v>
      </c>
      <c r="C656" s="708"/>
      <c r="D656" s="709"/>
      <c r="E656" s="708"/>
      <c r="F656" s="708"/>
      <c r="G656" s="708"/>
      <c r="H656" s="708"/>
      <c r="I656" s="708"/>
      <c r="J656" s="708"/>
      <c r="K656" s="708"/>
      <c r="L656" s="708"/>
      <c r="M656" s="708"/>
      <c r="N656" s="708"/>
      <c r="O656" s="708"/>
      <c r="P656" s="708"/>
      <c r="Q656" s="708"/>
      <c r="R656" s="708"/>
      <c r="S656" s="708"/>
      <c r="T656" s="708"/>
      <c r="U656" s="708"/>
      <c r="V656" s="708"/>
      <c r="W656" s="708"/>
      <c r="X656" s="708"/>
      <c r="Y656" s="763"/>
      <c r="Z656" s="763"/>
      <c r="AA656" s="708"/>
      <c r="AB656" s="708"/>
      <c r="AC656" s="708"/>
      <c r="AD656" s="708"/>
      <c r="AE656" s="708"/>
      <c r="AF656" s="708"/>
      <c r="AG656" s="708"/>
    </row>
    <row r="657" s="570" customFormat="1" ht="24.95" customHeight="1" spans="1:33">
      <c r="A657" s="705" t="s">
        <v>48</v>
      </c>
      <c r="B657" s="92" t="s">
        <v>148</v>
      </c>
      <c r="C657" s="92"/>
      <c r="D657" s="76"/>
      <c r="E657" s="92"/>
      <c r="F657" s="92"/>
      <c r="G657" s="92"/>
      <c r="H657" s="92"/>
      <c r="I657" s="92"/>
      <c r="J657" s="92"/>
      <c r="K657" s="92"/>
      <c r="L657" s="92"/>
      <c r="M657" s="92"/>
      <c r="N657" s="92"/>
      <c r="O657" s="92"/>
      <c r="P657" s="92"/>
      <c r="Q657" s="92"/>
      <c r="R657" s="92"/>
      <c r="S657" s="92"/>
      <c r="T657" s="92"/>
      <c r="U657" s="92"/>
      <c r="V657" s="92"/>
      <c r="W657" s="92"/>
      <c r="X657" s="92"/>
      <c r="Y657" s="738"/>
      <c r="Z657" s="738"/>
      <c r="AA657" s="92"/>
      <c r="AB657" s="92"/>
      <c r="AC657" s="92"/>
      <c r="AD657" s="92"/>
      <c r="AE657" s="92"/>
      <c r="AF657" s="92"/>
      <c r="AG657" s="92"/>
    </row>
    <row r="658" s="570" customFormat="1" ht="24.95" customHeight="1" spans="1:33">
      <c r="A658" s="705">
        <v>87</v>
      </c>
      <c r="B658" s="791" t="s">
        <v>462</v>
      </c>
      <c r="C658" s="708"/>
      <c r="D658" s="709" t="s">
        <v>192</v>
      </c>
      <c r="E658" s="708">
        <f>E659+E672+E689+E702+E706</f>
        <v>16</v>
      </c>
      <c r="F658" s="708">
        <f t="shared" ref="F658:AA658" si="71">F659+F672+F689+F702+F706</f>
        <v>0</v>
      </c>
      <c r="G658" s="708">
        <f t="shared" si="71"/>
        <v>0</v>
      </c>
      <c r="H658" s="708">
        <f t="shared" si="71"/>
        <v>359.61</v>
      </c>
      <c r="I658" s="708">
        <f t="shared" si="71"/>
        <v>0</v>
      </c>
      <c r="J658" s="708">
        <f t="shared" si="71"/>
        <v>0</v>
      </c>
      <c r="K658" s="708">
        <f t="shared" si="71"/>
        <v>359.61</v>
      </c>
      <c r="L658" s="708"/>
      <c r="M658" s="708"/>
      <c r="N658" s="708">
        <f t="shared" si="71"/>
        <v>7289.52</v>
      </c>
      <c r="O658" s="708">
        <f t="shared" si="71"/>
        <v>0</v>
      </c>
      <c r="P658" s="708">
        <f t="shared" si="71"/>
        <v>0</v>
      </c>
      <c r="Q658" s="708">
        <f t="shared" si="71"/>
        <v>7289.52</v>
      </c>
      <c r="R658" s="708">
        <f t="shared" si="71"/>
        <v>0</v>
      </c>
      <c r="S658" s="708">
        <f t="shared" si="71"/>
        <v>7289.52</v>
      </c>
      <c r="T658" s="708">
        <f t="shared" si="71"/>
        <v>0</v>
      </c>
      <c r="U658" s="708">
        <f t="shared" si="71"/>
        <v>0</v>
      </c>
      <c r="V658" s="708">
        <f t="shared" si="71"/>
        <v>0</v>
      </c>
      <c r="W658" s="708">
        <f t="shared" si="71"/>
        <v>0</v>
      </c>
      <c r="X658" s="708">
        <f t="shared" si="71"/>
        <v>0</v>
      </c>
      <c r="Y658" s="763">
        <f t="shared" si="71"/>
        <v>18800</v>
      </c>
      <c r="Z658" s="763">
        <f t="shared" si="71"/>
        <v>80159</v>
      </c>
      <c r="AA658" s="708">
        <f t="shared" si="71"/>
        <v>16</v>
      </c>
      <c r="AB658" s="708"/>
      <c r="AC658" s="708"/>
      <c r="AD658" s="708"/>
      <c r="AE658" s="708"/>
      <c r="AF658" s="708" t="s">
        <v>271</v>
      </c>
      <c r="AG658" s="708" t="s">
        <v>41</v>
      </c>
    </row>
    <row r="659" s="570" customFormat="1" ht="36" spans="1:33">
      <c r="A659" s="705">
        <v>88</v>
      </c>
      <c r="B659" s="95" t="s">
        <v>464</v>
      </c>
      <c r="C659" s="92"/>
      <c r="D659" s="76" t="s">
        <v>192</v>
      </c>
      <c r="E659" s="92">
        <f>SUM(E660:E671)</f>
        <v>6</v>
      </c>
      <c r="F659" s="92">
        <f t="shared" ref="F659:AA659" si="72">SUM(F660:F671)</f>
        <v>0</v>
      </c>
      <c r="G659" s="92">
        <f t="shared" si="72"/>
        <v>0</v>
      </c>
      <c r="H659" s="92">
        <f t="shared" si="72"/>
        <v>214.98</v>
      </c>
      <c r="I659" s="92">
        <f t="shared" si="72"/>
        <v>0</v>
      </c>
      <c r="J659" s="92">
        <f t="shared" si="72"/>
        <v>0</v>
      </c>
      <c r="K659" s="92">
        <f t="shared" si="72"/>
        <v>214.98</v>
      </c>
      <c r="L659" s="92"/>
      <c r="M659" s="92"/>
      <c r="N659" s="92">
        <f t="shared" si="72"/>
        <v>1505</v>
      </c>
      <c r="O659" s="92">
        <f t="shared" si="72"/>
        <v>0</v>
      </c>
      <c r="P659" s="92">
        <f t="shared" si="72"/>
        <v>0</v>
      </c>
      <c r="Q659" s="92">
        <f t="shared" si="72"/>
        <v>1505</v>
      </c>
      <c r="R659" s="92">
        <f t="shared" si="72"/>
        <v>0</v>
      </c>
      <c r="S659" s="92">
        <f t="shared" si="72"/>
        <v>1505</v>
      </c>
      <c r="T659" s="92">
        <f t="shared" si="72"/>
        <v>0</v>
      </c>
      <c r="U659" s="92">
        <f t="shared" si="72"/>
        <v>0</v>
      </c>
      <c r="V659" s="92">
        <f t="shared" si="72"/>
        <v>0</v>
      </c>
      <c r="W659" s="92">
        <f t="shared" si="72"/>
        <v>0</v>
      </c>
      <c r="X659" s="92">
        <f t="shared" si="72"/>
        <v>0</v>
      </c>
      <c r="Y659" s="738">
        <f t="shared" si="72"/>
        <v>6010</v>
      </c>
      <c r="Z659" s="738">
        <f t="shared" si="72"/>
        <v>25644</v>
      </c>
      <c r="AA659" s="92">
        <f t="shared" si="72"/>
        <v>6</v>
      </c>
      <c r="AB659" s="92"/>
      <c r="AC659" s="92"/>
      <c r="AD659" s="753" t="s">
        <v>465</v>
      </c>
      <c r="AE659" s="753" t="s">
        <v>466</v>
      </c>
      <c r="AF659" s="712" t="s">
        <v>271</v>
      </c>
      <c r="AG659" s="92" t="s">
        <v>41</v>
      </c>
    </row>
    <row r="660" s="570" customFormat="1" ht="29" customHeight="1" spans="1:33">
      <c r="A660" s="705"/>
      <c r="B660" s="97" t="s">
        <v>69</v>
      </c>
      <c r="C660" s="71" t="s">
        <v>52</v>
      </c>
      <c r="D660" s="71" t="s">
        <v>192</v>
      </c>
      <c r="E660" s="92"/>
      <c r="F660" s="97"/>
      <c r="G660" s="92"/>
      <c r="H660" s="92"/>
      <c r="I660" s="92"/>
      <c r="J660" s="92"/>
      <c r="K660" s="92"/>
      <c r="L660" s="92"/>
      <c r="M660" s="92"/>
      <c r="N660" s="724"/>
      <c r="O660" s="724"/>
      <c r="P660" s="724"/>
      <c r="Q660" s="724"/>
      <c r="R660" s="724"/>
      <c r="S660" s="724"/>
      <c r="T660" s="724"/>
      <c r="U660" s="724"/>
      <c r="V660" s="724"/>
      <c r="W660" s="724"/>
      <c r="X660" s="724"/>
      <c r="Y660" s="738"/>
      <c r="Z660" s="738"/>
      <c r="AA660" s="92"/>
      <c r="AB660" s="92"/>
      <c r="AC660" s="92"/>
      <c r="AD660" s="146"/>
      <c r="AE660" s="146"/>
      <c r="AF660" s="712"/>
      <c r="AG660" s="92"/>
    </row>
    <row r="661" s="570" customFormat="1" ht="29" customHeight="1" spans="1:33">
      <c r="A661" s="705"/>
      <c r="B661" s="97" t="s">
        <v>51</v>
      </c>
      <c r="C661" s="71" t="s">
        <v>52</v>
      </c>
      <c r="D661" s="71" t="s">
        <v>192</v>
      </c>
      <c r="E661" s="92"/>
      <c r="F661" s="97"/>
      <c r="G661" s="92"/>
      <c r="H661" s="92"/>
      <c r="I661" s="92"/>
      <c r="J661" s="92"/>
      <c r="K661" s="92"/>
      <c r="L661" s="92"/>
      <c r="M661" s="92"/>
      <c r="N661" s="724"/>
      <c r="O661" s="724"/>
      <c r="P661" s="724"/>
      <c r="Q661" s="724"/>
      <c r="R661" s="724"/>
      <c r="S661" s="724"/>
      <c r="T661" s="724"/>
      <c r="U661" s="724"/>
      <c r="V661" s="724"/>
      <c r="W661" s="724"/>
      <c r="X661" s="724"/>
      <c r="Y661" s="738"/>
      <c r="Z661" s="738"/>
      <c r="AA661" s="92"/>
      <c r="AB661" s="92"/>
      <c r="AC661" s="92"/>
      <c r="AD661" s="146"/>
      <c r="AE661" s="146"/>
      <c r="AF661" s="712"/>
      <c r="AG661" s="92"/>
    </row>
    <row r="662" s="570" customFormat="1" ht="29" customHeight="1" spans="1:33">
      <c r="A662" s="705"/>
      <c r="B662" s="97" t="s">
        <v>72</v>
      </c>
      <c r="C662" s="71" t="s">
        <v>52</v>
      </c>
      <c r="D662" s="71" t="s">
        <v>192</v>
      </c>
      <c r="E662" s="92">
        <v>1</v>
      </c>
      <c r="F662" s="97" t="s">
        <v>72</v>
      </c>
      <c r="G662" s="92"/>
      <c r="H662" s="92">
        <v>44.42</v>
      </c>
      <c r="I662" s="92"/>
      <c r="J662" s="92"/>
      <c r="K662" s="92">
        <v>44.42</v>
      </c>
      <c r="L662" s="92">
        <v>2020.01</v>
      </c>
      <c r="M662" s="92">
        <v>2020.12</v>
      </c>
      <c r="N662" s="724">
        <v>310.94</v>
      </c>
      <c r="O662" s="724"/>
      <c r="P662" s="724"/>
      <c r="Q662" s="724">
        <v>310.94</v>
      </c>
      <c r="R662" s="724"/>
      <c r="S662" s="724">
        <v>310.94</v>
      </c>
      <c r="T662" s="724"/>
      <c r="U662" s="724"/>
      <c r="V662" s="724"/>
      <c r="W662" s="724"/>
      <c r="X662" s="724"/>
      <c r="Y662" s="738">
        <v>711</v>
      </c>
      <c r="Z662" s="738">
        <v>2994</v>
      </c>
      <c r="AA662" s="92">
        <v>1</v>
      </c>
      <c r="AB662" s="92"/>
      <c r="AC662" s="92"/>
      <c r="AD662" s="146" t="s">
        <v>469</v>
      </c>
      <c r="AE662" s="146" t="s">
        <v>470</v>
      </c>
      <c r="AF662" s="712" t="s">
        <v>271</v>
      </c>
      <c r="AG662" s="92"/>
    </row>
    <row r="663" s="570" customFormat="1" ht="29" customHeight="1" spans="1:33">
      <c r="A663" s="705"/>
      <c r="B663" s="97" t="s">
        <v>91</v>
      </c>
      <c r="C663" s="71" t="s">
        <v>52</v>
      </c>
      <c r="D663" s="71" t="s">
        <v>192</v>
      </c>
      <c r="E663" s="92"/>
      <c r="F663" s="97"/>
      <c r="G663" s="92"/>
      <c r="H663" s="92"/>
      <c r="I663" s="92"/>
      <c r="J663" s="92"/>
      <c r="K663" s="92"/>
      <c r="L663" s="92"/>
      <c r="M663" s="92"/>
      <c r="N663" s="724"/>
      <c r="O663" s="724"/>
      <c r="P663" s="724"/>
      <c r="Q663" s="724"/>
      <c r="R663" s="724"/>
      <c r="S663" s="724"/>
      <c r="T663" s="724"/>
      <c r="U663" s="724"/>
      <c r="V663" s="724"/>
      <c r="W663" s="724"/>
      <c r="X663" s="724"/>
      <c r="Y663" s="738"/>
      <c r="Z663" s="738"/>
      <c r="AA663" s="92"/>
      <c r="AB663" s="92"/>
      <c r="AC663" s="92"/>
      <c r="AD663" s="146"/>
      <c r="AE663" s="146"/>
      <c r="AF663" s="712"/>
      <c r="AG663" s="92"/>
    </row>
    <row r="664" s="570" customFormat="1" ht="29" customHeight="1" spans="1:33">
      <c r="A664" s="705"/>
      <c r="B664" s="97" t="s">
        <v>55</v>
      </c>
      <c r="C664" s="71" t="s">
        <v>52</v>
      </c>
      <c r="D664" s="71" t="s">
        <v>192</v>
      </c>
      <c r="E664" s="92">
        <v>1</v>
      </c>
      <c r="F664" s="97" t="s">
        <v>55</v>
      </c>
      <c r="G664" s="92"/>
      <c r="H664" s="92">
        <v>41.53</v>
      </c>
      <c r="I664" s="92"/>
      <c r="J664" s="92"/>
      <c r="K664" s="92">
        <v>41.53</v>
      </c>
      <c r="L664" s="92">
        <v>2020.01</v>
      </c>
      <c r="M664" s="92">
        <v>2020.12</v>
      </c>
      <c r="N664" s="724">
        <v>290.829</v>
      </c>
      <c r="O664" s="724"/>
      <c r="P664" s="724"/>
      <c r="Q664" s="724">
        <v>290.829</v>
      </c>
      <c r="R664" s="724"/>
      <c r="S664" s="724">
        <v>290.829</v>
      </c>
      <c r="T664" s="724"/>
      <c r="U664" s="724"/>
      <c r="V664" s="724"/>
      <c r="W664" s="724"/>
      <c r="X664" s="724"/>
      <c r="Y664" s="738">
        <v>2920</v>
      </c>
      <c r="Z664" s="738">
        <v>12305</v>
      </c>
      <c r="AA664" s="92">
        <v>1</v>
      </c>
      <c r="AB664" s="92"/>
      <c r="AC664" s="92"/>
      <c r="AD664" s="146" t="s">
        <v>473</v>
      </c>
      <c r="AE664" s="146" t="s">
        <v>474</v>
      </c>
      <c r="AF664" s="712" t="s">
        <v>271</v>
      </c>
      <c r="AG664" s="92"/>
    </row>
    <row r="665" s="570" customFormat="1" ht="29" customHeight="1" spans="1:33">
      <c r="A665" s="705"/>
      <c r="B665" s="97" t="s">
        <v>75</v>
      </c>
      <c r="C665" s="71" t="s">
        <v>52</v>
      </c>
      <c r="D665" s="71" t="s">
        <v>192</v>
      </c>
      <c r="E665" s="92"/>
      <c r="F665" s="97"/>
      <c r="G665" s="92"/>
      <c r="H665" s="92"/>
      <c r="I665" s="92"/>
      <c r="J665" s="92"/>
      <c r="K665" s="92"/>
      <c r="L665" s="92"/>
      <c r="M665" s="92"/>
      <c r="N665" s="724"/>
      <c r="O665" s="724"/>
      <c r="P665" s="724"/>
      <c r="Q665" s="724"/>
      <c r="R665" s="724"/>
      <c r="S665" s="724"/>
      <c r="T665" s="724"/>
      <c r="U665" s="724"/>
      <c r="V665" s="724"/>
      <c r="W665" s="724"/>
      <c r="X665" s="724"/>
      <c r="Y665" s="738"/>
      <c r="Z665" s="738"/>
      <c r="AA665" s="92"/>
      <c r="AB665" s="92"/>
      <c r="AC665" s="92"/>
      <c r="AD665" s="146"/>
      <c r="AE665" s="146"/>
      <c r="AF665" s="712"/>
      <c r="AG665" s="92"/>
    </row>
    <row r="666" s="570" customFormat="1" ht="29" customHeight="1" spans="1:33">
      <c r="A666" s="705"/>
      <c r="B666" s="97" t="s">
        <v>58</v>
      </c>
      <c r="C666" s="71" t="s">
        <v>52</v>
      </c>
      <c r="D666" s="71" t="s">
        <v>192</v>
      </c>
      <c r="E666" s="92">
        <v>1</v>
      </c>
      <c r="F666" s="97" t="s">
        <v>58</v>
      </c>
      <c r="G666" s="92"/>
      <c r="H666" s="92">
        <v>18.73</v>
      </c>
      <c r="I666" s="92"/>
      <c r="J666" s="92"/>
      <c r="K666" s="92">
        <v>18.73</v>
      </c>
      <c r="L666" s="92">
        <v>2020.01</v>
      </c>
      <c r="M666" s="92">
        <v>2020.12</v>
      </c>
      <c r="N666" s="724">
        <v>131.075</v>
      </c>
      <c r="O666" s="724"/>
      <c r="P666" s="724"/>
      <c r="Q666" s="724">
        <v>131.075</v>
      </c>
      <c r="R666" s="724"/>
      <c r="S666" s="724">
        <v>131.075</v>
      </c>
      <c r="T666" s="724"/>
      <c r="U666" s="724"/>
      <c r="V666" s="724"/>
      <c r="W666" s="724"/>
      <c r="X666" s="724"/>
      <c r="Y666" s="738">
        <v>624</v>
      </c>
      <c r="Z666" s="738">
        <v>2650</v>
      </c>
      <c r="AA666" s="92">
        <v>1</v>
      </c>
      <c r="AB666" s="92"/>
      <c r="AC666" s="92"/>
      <c r="AD666" s="146" t="s">
        <v>476</v>
      </c>
      <c r="AE666" s="146" t="s">
        <v>477</v>
      </c>
      <c r="AF666" s="712" t="s">
        <v>271</v>
      </c>
      <c r="AG666" s="92"/>
    </row>
    <row r="667" s="570" customFormat="1" ht="29" customHeight="1" spans="1:33">
      <c r="A667" s="705"/>
      <c r="B667" s="97" t="s">
        <v>61</v>
      </c>
      <c r="C667" s="71" t="s">
        <v>52</v>
      </c>
      <c r="D667" s="71" t="s">
        <v>192</v>
      </c>
      <c r="E667" s="92"/>
      <c r="F667" s="97"/>
      <c r="G667" s="92"/>
      <c r="H667" s="92"/>
      <c r="I667" s="92"/>
      <c r="J667" s="92"/>
      <c r="K667" s="92"/>
      <c r="L667" s="92"/>
      <c r="M667" s="92"/>
      <c r="N667" s="724"/>
      <c r="O667" s="724"/>
      <c r="P667" s="724"/>
      <c r="Q667" s="724"/>
      <c r="R667" s="724"/>
      <c r="S667" s="724"/>
      <c r="T667" s="724"/>
      <c r="U667" s="724"/>
      <c r="V667" s="724"/>
      <c r="W667" s="724"/>
      <c r="X667" s="724"/>
      <c r="Y667" s="738"/>
      <c r="Z667" s="738"/>
      <c r="AA667" s="92"/>
      <c r="AB667" s="92"/>
      <c r="AC667" s="92"/>
      <c r="AD667" s="146"/>
      <c r="AE667" s="146"/>
      <c r="AF667" s="712"/>
      <c r="AG667" s="92"/>
    </row>
    <row r="668" s="570" customFormat="1" ht="29" customHeight="1" spans="1:33">
      <c r="A668" s="705"/>
      <c r="B668" s="97" t="s">
        <v>92</v>
      </c>
      <c r="C668" s="71" t="s">
        <v>52</v>
      </c>
      <c r="D668" s="71" t="s">
        <v>192</v>
      </c>
      <c r="E668" s="92">
        <v>1</v>
      </c>
      <c r="F668" s="97" t="s">
        <v>92</v>
      </c>
      <c r="G668" s="92"/>
      <c r="H668" s="92">
        <v>56.41</v>
      </c>
      <c r="I668" s="92"/>
      <c r="J668" s="92"/>
      <c r="K668" s="92">
        <v>56.41</v>
      </c>
      <c r="L668" s="92">
        <v>2020.01</v>
      </c>
      <c r="M668" s="92">
        <v>2020.12</v>
      </c>
      <c r="N668" s="724">
        <v>394.877</v>
      </c>
      <c r="O668" s="724"/>
      <c r="P668" s="724"/>
      <c r="Q668" s="724">
        <v>394.877</v>
      </c>
      <c r="R668" s="724"/>
      <c r="S668" s="724">
        <v>394.877</v>
      </c>
      <c r="T668" s="724"/>
      <c r="U668" s="724"/>
      <c r="V668" s="724"/>
      <c r="W668" s="724"/>
      <c r="X668" s="724"/>
      <c r="Y668" s="738">
        <v>927</v>
      </c>
      <c r="Z668" s="738">
        <v>4326</v>
      </c>
      <c r="AA668" s="92">
        <v>1</v>
      </c>
      <c r="AB668" s="92"/>
      <c r="AC668" s="92"/>
      <c r="AD668" s="146" t="s">
        <v>480</v>
      </c>
      <c r="AE668" s="146" t="s">
        <v>481</v>
      </c>
      <c r="AF668" s="712" t="s">
        <v>271</v>
      </c>
      <c r="AG668" s="92"/>
    </row>
    <row r="669" s="570" customFormat="1" ht="29" customHeight="1" spans="1:33">
      <c r="A669" s="705"/>
      <c r="B669" s="97" t="s">
        <v>114</v>
      </c>
      <c r="C669" s="71" t="s">
        <v>52</v>
      </c>
      <c r="D669" s="71" t="s">
        <v>192</v>
      </c>
      <c r="E669" s="92"/>
      <c r="F669" s="97"/>
      <c r="G669" s="92"/>
      <c r="H669" s="92"/>
      <c r="I669" s="92"/>
      <c r="J669" s="92"/>
      <c r="K669" s="92"/>
      <c r="L669" s="92"/>
      <c r="M669" s="92"/>
      <c r="N669" s="724"/>
      <c r="O669" s="724"/>
      <c r="P669" s="724"/>
      <c r="Q669" s="724"/>
      <c r="R669" s="724"/>
      <c r="S669" s="724"/>
      <c r="T669" s="724"/>
      <c r="U669" s="724"/>
      <c r="V669" s="724"/>
      <c r="W669" s="724"/>
      <c r="X669" s="724"/>
      <c r="Y669" s="738"/>
      <c r="Z669" s="738"/>
      <c r="AA669" s="92"/>
      <c r="AB669" s="92"/>
      <c r="AC669" s="92"/>
      <c r="AD669" s="146"/>
      <c r="AE669" s="146"/>
      <c r="AF669" s="712"/>
      <c r="AG669" s="92"/>
    </row>
    <row r="670" s="570" customFormat="1" ht="29" customHeight="1" spans="1:33">
      <c r="A670" s="705"/>
      <c r="B670" s="97" t="s">
        <v>78</v>
      </c>
      <c r="C670" s="71" t="s">
        <v>52</v>
      </c>
      <c r="D670" s="71" t="s">
        <v>192</v>
      </c>
      <c r="E670" s="92">
        <v>1</v>
      </c>
      <c r="F670" s="97" t="s">
        <v>78</v>
      </c>
      <c r="G670" s="92"/>
      <c r="H670" s="92">
        <v>15.92</v>
      </c>
      <c r="I670" s="92"/>
      <c r="J670" s="92"/>
      <c r="K670" s="92">
        <v>15.92</v>
      </c>
      <c r="L670" s="92">
        <v>2020.01</v>
      </c>
      <c r="M670" s="92">
        <v>2020.12</v>
      </c>
      <c r="N670" s="724">
        <v>111.468</v>
      </c>
      <c r="O670" s="724"/>
      <c r="P670" s="724"/>
      <c r="Q670" s="724">
        <v>111.468</v>
      </c>
      <c r="R670" s="724"/>
      <c r="S670" s="724">
        <v>111.468</v>
      </c>
      <c r="T670" s="724"/>
      <c r="U670" s="724"/>
      <c r="V670" s="724"/>
      <c r="W670" s="724"/>
      <c r="X670" s="724"/>
      <c r="Y670" s="738">
        <v>144</v>
      </c>
      <c r="Z670" s="738">
        <v>689</v>
      </c>
      <c r="AA670" s="92">
        <v>1</v>
      </c>
      <c r="AB670" s="92"/>
      <c r="AC670" s="92"/>
      <c r="AD670" s="146" t="s">
        <v>483</v>
      </c>
      <c r="AE670" s="146" t="s">
        <v>484</v>
      </c>
      <c r="AF670" s="712" t="s">
        <v>271</v>
      </c>
      <c r="AG670" s="92"/>
    </row>
    <row r="671" s="570" customFormat="1" ht="29" customHeight="1" spans="1:33">
      <c r="A671" s="705"/>
      <c r="B671" s="793" t="s">
        <v>64</v>
      </c>
      <c r="C671" s="71" t="s">
        <v>52</v>
      </c>
      <c r="D671" s="71" t="s">
        <v>192</v>
      </c>
      <c r="E671" s="92">
        <v>1</v>
      </c>
      <c r="F671" s="793" t="s">
        <v>64</v>
      </c>
      <c r="G671" s="92"/>
      <c r="H671" s="95">
        <v>37.97</v>
      </c>
      <c r="I671" s="95"/>
      <c r="J671" s="92"/>
      <c r="K671" s="95">
        <v>37.97</v>
      </c>
      <c r="L671" s="92">
        <v>2020.01</v>
      </c>
      <c r="M671" s="92">
        <v>2020.12</v>
      </c>
      <c r="N671" s="724">
        <v>265.811</v>
      </c>
      <c r="O671" s="724"/>
      <c r="P671" s="724"/>
      <c r="Q671" s="724">
        <v>265.811</v>
      </c>
      <c r="R671" s="724"/>
      <c r="S671" s="724">
        <v>265.811</v>
      </c>
      <c r="T671" s="724"/>
      <c r="U671" s="724"/>
      <c r="V671" s="724"/>
      <c r="W671" s="724"/>
      <c r="X671" s="724"/>
      <c r="Y671" s="738">
        <v>684</v>
      </c>
      <c r="Z671" s="738">
        <v>2680</v>
      </c>
      <c r="AA671" s="92">
        <v>1</v>
      </c>
      <c r="AB671" s="92"/>
      <c r="AC671" s="92"/>
      <c r="AD671" s="146" t="s">
        <v>485</v>
      </c>
      <c r="AE671" s="146" t="s">
        <v>486</v>
      </c>
      <c r="AF671" s="712" t="s">
        <v>271</v>
      </c>
      <c r="AG671" s="92"/>
    </row>
    <row r="672" s="570" customFormat="1" ht="24.95" customHeight="1" spans="1:33">
      <c r="A672" s="794">
        <v>89</v>
      </c>
      <c r="B672" s="95" t="s">
        <v>487</v>
      </c>
      <c r="C672" s="95"/>
      <c r="D672" s="795"/>
      <c r="E672" s="95">
        <f>SUM(E673:E684)</f>
        <v>10</v>
      </c>
      <c r="F672" s="95">
        <f t="shared" ref="F672:AA672" si="73">SUM(F673:F684)</f>
        <v>0</v>
      </c>
      <c r="G672" s="95">
        <f t="shared" si="73"/>
        <v>0</v>
      </c>
      <c r="H672" s="95">
        <f t="shared" si="73"/>
        <v>144.63</v>
      </c>
      <c r="I672" s="95">
        <f t="shared" si="73"/>
        <v>0</v>
      </c>
      <c r="J672" s="95">
        <f t="shared" si="73"/>
        <v>0</v>
      </c>
      <c r="K672" s="95">
        <f t="shared" si="73"/>
        <v>144.63</v>
      </c>
      <c r="L672" s="95"/>
      <c r="M672" s="95"/>
      <c r="N672" s="95">
        <f t="shared" si="73"/>
        <v>5784.52</v>
      </c>
      <c r="O672" s="95">
        <f t="shared" si="73"/>
        <v>0</v>
      </c>
      <c r="P672" s="95">
        <f t="shared" si="73"/>
        <v>0</v>
      </c>
      <c r="Q672" s="95">
        <f t="shared" si="73"/>
        <v>5784.52</v>
      </c>
      <c r="R672" s="95">
        <f t="shared" si="73"/>
        <v>0</v>
      </c>
      <c r="S672" s="95">
        <f t="shared" si="73"/>
        <v>5784.52</v>
      </c>
      <c r="T672" s="95">
        <f t="shared" si="73"/>
        <v>0</v>
      </c>
      <c r="U672" s="95">
        <f t="shared" si="73"/>
        <v>0</v>
      </c>
      <c r="V672" s="95">
        <f t="shared" si="73"/>
        <v>0</v>
      </c>
      <c r="W672" s="95">
        <f t="shared" si="73"/>
        <v>0</v>
      </c>
      <c r="X672" s="95">
        <f t="shared" si="73"/>
        <v>0</v>
      </c>
      <c r="Y672" s="95">
        <f t="shared" si="73"/>
        <v>12790</v>
      </c>
      <c r="Z672" s="95">
        <f t="shared" si="73"/>
        <v>54515</v>
      </c>
      <c r="AA672" s="95">
        <f t="shared" si="73"/>
        <v>10</v>
      </c>
      <c r="AB672" s="92"/>
      <c r="AC672" s="95"/>
      <c r="AD672" s="753" t="s">
        <v>465</v>
      </c>
      <c r="AE672" s="753" t="s">
        <v>466</v>
      </c>
      <c r="AF672" s="712" t="s">
        <v>271</v>
      </c>
      <c r="AG672" s="95"/>
    </row>
    <row r="673" s="570" customFormat="1" ht="24.95" customHeight="1" spans="1:33">
      <c r="A673" s="794"/>
      <c r="B673" s="785" t="s">
        <v>69</v>
      </c>
      <c r="C673" s="71" t="s">
        <v>488</v>
      </c>
      <c r="D673" s="71" t="s">
        <v>192</v>
      </c>
      <c r="E673" s="92">
        <v>1</v>
      </c>
      <c r="F673" s="785" t="s">
        <v>69</v>
      </c>
      <c r="G673" s="95"/>
      <c r="H673" s="95">
        <v>11.72</v>
      </c>
      <c r="I673" s="92"/>
      <c r="J673" s="95"/>
      <c r="K673" s="95">
        <v>11.72</v>
      </c>
      <c r="L673" s="92">
        <v>2020.01</v>
      </c>
      <c r="M673" s="92">
        <v>2020.12</v>
      </c>
      <c r="N673" s="95">
        <v>468.84</v>
      </c>
      <c r="O673" s="95"/>
      <c r="P673" s="95"/>
      <c r="Q673" s="95">
        <v>468.84</v>
      </c>
      <c r="R673" s="95"/>
      <c r="S673" s="95">
        <v>468.84</v>
      </c>
      <c r="T673" s="95"/>
      <c r="U673" s="95"/>
      <c r="V673" s="95"/>
      <c r="W673" s="95"/>
      <c r="X673" s="95"/>
      <c r="Y673" s="95">
        <v>1492</v>
      </c>
      <c r="Z673" s="95">
        <v>6469</v>
      </c>
      <c r="AA673" s="92">
        <v>1</v>
      </c>
      <c r="AB673" s="92"/>
      <c r="AC673" s="95"/>
      <c r="AD673" s="146" t="s">
        <v>425</v>
      </c>
      <c r="AE673" s="146" t="s">
        <v>467</v>
      </c>
      <c r="AF673" s="712" t="s">
        <v>271</v>
      </c>
      <c r="AG673" s="95"/>
    </row>
    <row r="674" s="570" customFormat="1" ht="24.95" customHeight="1" spans="1:33">
      <c r="A674" s="794"/>
      <c r="B674" s="785" t="s">
        <v>51</v>
      </c>
      <c r="C674" s="71" t="s">
        <v>488</v>
      </c>
      <c r="D674" s="71" t="s">
        <v>192</v>
      </c>
      <c r="E674" s="92">
        <v>1</v>
      </c>
      <c r="F674" s="785" t="s">
        <v>51</v>
      </c>
      <c r="G674" s="95"/>
      <c r="H674" s="95">
        <v>1.73</v>
      </c>
      <c r="I674" s="92"/>
      <c r="J674" s="95"/>
      <c r="K674" s="95">
        <v>1.73</v>
      </c>
      <c r="L674" s="92">
        <v>2020.01</v>
      </c>
      <c r="M674" s="92">
        <v>2020.12</v>
      </c>
      <c r="N674" s="95">
        <v>69.08</v>
      </c>
      <c r="O674" s="95"/>
      <c r="P674" s="95"/>
      <c r="Q674" s="95">
        <v>69.08</v>
      </c>
      <c r="R674" s="95"/>
      <c r="S674" s="95">
        <v>69.08</v>
      </c>
      <c r="T674" s="95"/>
      <c r="U674" s="95"/>
      <c r="V674" s="95"/>
      <c r="W674" s="95"/>
      <c r="X674" s="95"/>
      <c r="Y674" s="95">
        <v>1760</v>
      </c>
      <c r="Z674" s="95">
        <v>7269</v>
      </c>
      <c r="AA674" s="92">
        <v>1</v>
      </c>
      <c r="AB674" s="92"/>
      <c r="AC674" s="95"/>
      <c r="AD674" s="146" t="s">
        <v>389</v>
      </c>
      <c r="AE674" s="146" t="s">
        <v>468</v>
      </c>
      <c r="AF674" s="712" t="s">
        <v>271</v>
      </c>
      <c r="AG674" s="95"/>
    </row>
    <row r="675" s="570" customFormat="1" ht="24.95" customHeight="1" spans="1:33">
      <c r="A675" s="794"/>
      <c r="B675" s="785" t="s">
        <v>72</v>
      </c>
      <c r="C675" s="71" t="s">
        <v>488</v>
      </c>
      <c r="D675" s="71" t="s">
        <v>192</v>
      </c>
      <c r="E675" s="92">
        <v>1</v>
      </c>
      <c r="F675" s="785" t="s">
        <v>72</v>
      </c>
      <c r="G675" s="95"/>
      <c r="H675" s="95">
        <v>45.46</v>
      </c>
      <c r="I675" s="92"/>
      <c r="J675" s="95"/>
      <c r="K675" s="95">
        <v>45.46</v>
      </c>
      <c r="L675" s="92">
        <v>2020.01</v>
      </c>
      <c r="M675" s="92">
        <v>2020.12</v>
      </c>
      <c r="N675" s="95">
        <v>1818.2</v>
      </c>
      <c r="O675" s="95"/>
      <c r="P675" s="95"/>
      <c r="Q675" s="95">
        <v>1818.2</v>
      </c>
      <c r="R675" s="95"/>
      <c r="S675" s="95">
        <v>1818.2</v>
      </c>
      <c r="T675" s="95"/>
      <c r="U675" s="95"/>
      <c r="V675" s="95"/>
      <c r="W675" s="95"/>
      <c r="X675" s="95"/>
      <c r="Y675" s="95">
        <v>454</v>
      </c>
      <c r="Z675" s="95">
        <v>1922</v>
      </c>
      <c r="AA675" s="92">
        <v>1</v>
      </c>
      <c r="AB675" s="92"/>
      <c r="AC675" s="95"/>
      <c r="AD675" s="146" t="s">
        <v>469</v>
      </c>
      <c r="AE675" s="146" t="s">
        <v>470</v>
      </c>
      <c r="AF675" s="712" t="s">
        <v>271</v>
      </c>
      <c r="AG675" s="95"/>
    </row>
    <row r="676" s="570" customFormat="1" ht="24.95" customHeight="1" spans="1:33">
      <c r="A676" s="794"/>
      <c r="B676" s="785" t="s">
        <v>91</v>
      </c>
      <c r="C676" s="71" t="s">
        <v>488</v>
      </c>
      <c r="D676" s="71" t="s">
        <v>192</v>
      </c>
      <c r="E676" s="92"/>
      <c r="F676" s="785"/>
      <c r="G676" s="95"/>
      <c r="H676" s="95"/>
      <c r="I676" s="92"/>
      <c r="J676" s="95"/>
      <c r="K676" s="95"/>
      <c r="L676" s="92"/>
      <c r="M676" s="92"/>
      <c r="N676" s="95"/>
      <c r="O676" s="95"/>
      <c r="P676" s="95"/>
      <c r="Q676" s="95"/>
      <c r="R676" s="95"/>
      <c r="S676" s="95"/>
      <c r="T676" s="95"/>
      <c r="U676" s="95"/>
      <c r="V676" s="95"/>
      <c r="W676" s="95"/>
      <c r="X676" s="95"/>
      <c r="Y676" s="95"/>
      <c r="Z676" s="95"/>
      <c r="AA676" s="92"/>
      <c r="AB676" s="92"/>
      <c r="AC676" s="95"/>
      <c r="AD676" s="146"/>
      <c r="AE676" s="146"/>
      <c r="AF676" s="712"/>
      <c r="AG676" s="95"/>
    </row>
    <row r="677" s="570" customFormat="1" ht="24.95" customHeight="1" spans="1:33">
      <c r="A677" s="794"/>
      <c r="B677" s="785" t="s">
        <v>55</v>
      </c>
      <c r="C677" s="71" t="s">
        <v>488</v>
      </c>
      <c r="D677" s="71" t="s">
        <v>192</v>
      </c>
      <c r="E677" s="92">
        <v>1</v>
      </c>
      <c r="F677" s="785" t="s">
        <v>55</v>
      </c>
      <c r="G677" s="95"/>
      <c r="H677" s="95">
        <v>13.53</v>
      </c>
      <c r="I677" s="92"/>
      <c r="J677" s="95"/>
      <c r="K677" s="95">
        <v>13.53</v>
      </c>
      <c r="L677" s="92">
        <v>2020.01</v>
      </c>
      <c r="M677" s="92">
        <v>2020.12</v>
      </c>
      <c r="N677" s="95">
        <v>541.04</v>
      </c>
      <c r="O677" s="95"/>
      <c r="P677" s="95"/>
      <c r="Q677" s="95">
        <v>541.04</v>
      </c>
      <c r="R677" s="95"/>
      <c r="S677" s="95">
        <v>541.04</v>
      </c>
      <c r="T677" s="95"/>
      <c r="U677" s="95"/>
      <c r="V677" s="95"/>
      <c r="W677" s="95"/>
      <c r="X677" s="95"/>
      <c r="Y677" s="95">
        <v>3379</v>
      </c>
      <c r="Z677" s="95">
        <v>14263</v>
      </c>
      <c r="AA677" s="92">
        <v>1</v>
      </c>
      <c r="AB677" s="92"/>
      <c r="AC677" s="95"/>
      <c r="AD677" s="146" t="s">
        <v>473</v>
      </c>
      <c r="AE677" s="146" t="s">
        <v>474</v>
      </c>
      <c r="AF677" s="712" t="s">
        <v>271</v>
      </c>
      <c r="AG677" s="95"/>
    </row>
    <row r="678" s="570" customFormat="1" ht="24.95" customHeight="1" spans="1:33">
      <c r="A678" s="794"/>
      <c r="B678" s="785" t="s">
        <v>75</v>
      </c>
      <c r="C678" s="71" t="s">
        <v>488</v>
      </c>
      <c r="D678" s="71" t="s">
        <v>192</v>
      </c>
      <c r="E678" s="92">
        <v>1</v>
      </c>
      <c r="F678" s="785" t="s">
        <v>75</v>
      </c>
      <c r="G678" s="95"/>
      <c r="H678" s="95">
        <v>28.63</v>
      </c>
      <c r="I678" s="92"/>
      <c r="J678" s="95"/>
      <c r="K678" s="95">
        <v>28.63</v>
      </c>
      <c r="L678" s="92">
        <v>2020.01</v>
      </c>
      <c r="M678" s="92">
        <v>2020.12</v>
      </c>
      <c r="N678" s="95">
        <v>1145.28</v>
      </c>
      <c r="O678" s="95"/>
      <c r="P678" s="95"/>
      <c r="Q678" s="95">
        <v>1145.28</v>
      </c>
      <c r="R678" s="95"/>
      <c r="S678" s="95">
        <v>1145.28</v>
      </c>
      <c r="T678" s="95"/>
      <c r="U678" s="95"/>
      <c r="V678" s="95"/>
      <c r="W678" s="95"/>
      <c r="X678" s="95"/>
      <c r="Y678" s="95">
        <v>837</v>
      </c>
      <c r="Z678" s="95">
        <v>3719</v>
      </c>
      <c r="AA678" s="92">
        <v>1</v>
      </c>
      <c r="AB678" s="92"/>
      <c r="AC678" s="95"/>
      <c r="AD678" s="146" t="s">
        <v>329</v>
      </c>
      <c r="AE678" s="146" t="s">
        <v>475</v>
      </c>
      <c r="AF678" s="712" t="s">
        <v>271</v>
      </c>
      <c r="AG678" s="95"/>
    </row>
    <row r="679" s="570" customFormat="1" ht="24.95" customHeight="1" spans="1:33">
      <c r="A679" s="794"/>
      <c r="B679" s="785" t="s">
        <v>58</v>
      </c>
      <c r="C679" s="71" t="s">
        <v>488</v>
      </c>
      <c r="D679" s="71" t="s">
        <v>192</v>
      </c>
      <c r="E679" s="92">
        <v>1</v>
      </c>
      <c r="F679" s="785" t="s">
        <v>58</v>
      </c>
      <c r="G679" s="95"/>
      <c r="H679" s="95">
        <v>6.01</v>
      </c>
      <c r="I679" s="92"/>
      <c r="J679" s="95"/>
      <c r="K679" s="95">
        <v>6.01</v>
      </c>
      <c r="L679" s="92">
        <v>2020.01</v>
      </c>
      <c r="M679" s="92">
        <v>2020.12</v>
      </c>
      <c r="N679" s="95">
        <v>240.2</v>
      </c>
      <c r="O679" s="95"/>
      <c r="P679" s="95"/>
      <c r="Q679" s="95">
        <v>240.2</v>
      </c>
      <c r="R679" s="95"/>
      <c r="S679" s="95">
        <v>240.2</v>
      </c>
      <c r="T679" s="95"/>
      <c r="U679" s="95"/>
      <c r="V679" s="95"/>
      <c r="W679" s="95"/>
      <c r="X679" s="95"/>
      <c r="Y679" s="95">
        <v>438</v>
      </c>
      <c r="Z679" s="95">
        <v>1922</v>
      </c>
      <c r="AA679" s="92">
        <v>1</v>
      </c>
      <c r="AB679" s="92"/>
      <c r="AC679" s="95"/>
      <c r="AD679" s="146" t="s">
        <v>476</v>
      </c>
      <c r="AE679" s="146" t="s">
        <v>477</v>
      </c>
      <c r="AF679" s="712" t="s">
        <v>271</v>
      </c>
      <c r="AG679" s="95"/>
    </row>
    <row r="680" s="570" customFormat="1" ht="24.95" customHeight="1" spans="1:33">
      <c r="A680" s="794"/>
      <c r="B680" s="785" t="s">
        <v>61</v>
      </c>
      <c r="C680" s="71" t="s">
        <v>488</v>
      </c>
      <c r="D680" s="71" t="s">
        <v>192</v>
      </c>
      <c r="E680" s="92">
        <v>1</v>
      </c>
      <c r="F680" s="785" t="s">
        <v>61</v>
      </c>
      <c r="G680" s="95"/>
      <c r="H680" s="95">
        <v>7.68</v>
      </c>
      <c r="I680" s="92"/>
      <c r="J680" s="95"/>
      <c r="K680" s="95">
        <v>7.68</v>
      </c>
      <c r="L680" s="92">
        <v>2020.01</v>
      </c>
      <c r="M680" s="92">
        <v>2020.12</v>
      </c>
      <c r="N680" s="95">
        <v>307.08</v>
      </c>
      <c r="O680" s="95"/>
      <c r="P680" s="95"/>
      <c r="Q680" s="95">
        <v>307.08</v>
      </c>
      <c r="R680" s="95"/>
      <c r="S680" s="95">
        <v>307.08</v>
      </c>
      <c r="T680" s="95"/>
      <c r="U680" s="95"/>
      <c r="V680" s="95"/>
      <c r="W680" s="95"/>
      <c r="X680" s="95"/>
      <c r="Y680" s="95">
        <v>2701</v>
      </c>
      <c r="Z680" s="95">
        <v>12044</v>
      </c>
      <c r="AA680" s="92">
        <v>1</v>
      </c>
      <c r="AB680" s="92"/>
      <c r="AC680" s="95"/>
      <c r="AD680" s="146" t="s">
        <v>478</v>
      </c>
      <c r="AE680" s="146" t="s">
        <v>479</v>
      </c>
      <c r="AF680" s="712" t="s">
        <v>271</v>
      </c>
      <c r="AG680" s="95"/>
    </row>
    <row r="681" s="570" customFormat="1" ht="24.95" customHeight="1" spans="1:33">
      <c r="A681" s="794"/>
      <c r="B681" s="785" t="s">
        <v>92</v>
      </c>
      <c r="C681" s="71" t="s">
        <v>488</v>
      </c>
      <c r="D681" s="71" t="s">
        <v>192</v>
      </c>
      <c r="E681" s="92"/>
      <c r="F681" s="785"/>
      <c r="G681" s="95"/>
      <c r="H681" s="95"/>
      <c r="I681" s="92"/>
      <c r="J681" s="95"/>
      <c r="K681" s="95"/>
      <c r="L681" s="92"/>
      <c r="M681" s="92"/>
      <c r="N681" s="95"/>
      <c r="O681" s="95"/>
      <c r="P681" s="95"/>
      <c r="Q681" s="95"/>
      <c r="R681" s="95"/>
      <c r="S681" s="95"/>
      <c r="T681" s="95"/>
      <c r="U681" s="95"/>
      <c r="V681" s="95"/>
      <c r="W681" s="95"/>
      <c r="X681" s="95"/>
      <c r="Y681" s="95"/>
      <c r="Z681" s="95"/>
      <c r="AA681" s="92"/>
      <c r="AB681" s="92"/>
      <c r="AC681" s="95"/>
      <c r="AD681" s="146"/>
      <c r="AE681" s="146"/>
      <c r="AF681" s="712"/>
      <c r="AG681" s="95"/>
    </row>
    <row r="682" s="570" customFormat="1" ht="24.95" customHeight="1" spans="1:33">
      <c r="A682" s="794"/>
      <c r="B682" s="785" t="s">
        <v>114</v>
      </c>
      <c r="C682" s="71" t="s">
        <v>488</v>
      </c>
      <c r="D682" s="71" t="s">
        <v>192</v>
      </c>
      <c r="E682" s="92">
        <v>1</v>
      </c>
      <c r="F682" s="785" t="s">
        <v>114</v>
      </c>
      <c r="G682" s="95"/>
      <c r="H682" s="95">
        <v>10.89</v>
      </c>
      <c r="I682" s="92"/>
      <c r="J682" s="95"/>
      <c r="K682" s="95">
        <v>10.89</v>
      </c>
      <c r="L682" s="92">
        <v>2020.01</v>
      </c>
      <c r="M682" s="92">
        <v>2020.12</v>
      </c>
      <c r="N682" s="95">
        <v>435.68</v>
      </c>
      <c r="O682" s="95"/>
      <c r="P682" s="95"/>
      <c r="Q682" s="95">
        <v>435.68</v>
      </c>
      <c r="R682" s="95"/>
      <c r="S682" s="95">
        <v>435.68</v>
      </c>
      <c r="T682" s="95"/>
      <c r="U682" s="95"/>
      <c r="V682" s="95"/>
      <c r="W682" s="95"/>
      <c r="X682" s="95"/>
      <c r="Y682" s="95">
        <v>368</v>
      </c>
      <c r="Z682" s="95">
        <v>1523</v>
      </c>
      <c r="AA682" s="92">
        <v>1</v>
      </c>
      <c r="AB682" s="92"/>
      <c r="AC682" s="95"/>
      <c r="AD682" s="146" t="s">
        <v>315</v>
      </c>
      <c r="AE682" s="146" t="s">
        <v>482</v>
      </c>
      <c r="AF682" s="712" t="s">
        <v>271</v>
      </c>
      <c r="AG682" s="95"/>
    </row>
    <row r="683" s="570" customFormat="1" ht="24.95" customHeight="1" spans="1:33">
      <c r="A683" s="794"/>
      <c r="B683" s="785" t="s">
        <v>78</v>
      </c>
      <c r="C683" s="71" t="s">
        <v>488</v>
      </c>
      <c r="D683" s="71" t="s">
        <v>192</v>
      </c>
      <c r="E683" s="92">
        <v>1</v>
      </c>
      <c r="F683" s="785" t="s">
        <v>78</v>
      </c>
      <c r="G683" s="95"/>
      <c r="H683" s="95">
        <v>9.74</v>
      </c>
      <c r="I683" s="92"/>
      <c r="J683" s="95"/>
      <c r="K683" s="95">
        <v>9.74</v>
      </c>
      <c r="L683" s="92">
        <v>2020.01</v>
      </c>
      <c r="M683" s="92">
        <v>2020.12</v>
      </c>
      <c r="N683" s="95">
        <v>389.56</v>
      </c>
      <c r="O683" s="95"/>
      <c r="P683" s="95"/>
      <c r="Q683" s="95">
        <v>389.56</v>
      </c>
      <c r="R683" s="95"/>
      <c r="S683" s="95">
        <v>389.56</v>
      </c>
      <c r="T683" s="95"/>
      <c r="U683" s="95"/>
      <c r="V683" s="95"/>
      <c r="W683" s="95"/>
      <c r="X683" s="95"/>
      <c r="Y683" s="95">
        <v>396</v>
      </c>
      <c r="Z683" s="95">
        <v>1842</v>
      </c>
      <c r="AA683" s="92">
        <v>1</v>
      </c>
      <c r="AB683" s="92"/>
      <c r="AC683" s="95"/>
      <c r="AD683" s="146" t="s">
        <v>483</v>
      </c>
      <c r="AE683" s="146" t="s">
        <v>484</v>
      </c>
      <c r="AF683" s="712" t="s">
        <v>271</v>
      </c>
      <c r="AG683" s="95"/>
    </row>
    <row r="684" s="570" customFormat="1" ht="24.95" customHeight="1" spans="1:33">
      <c r="A684" s="794"/>
      <c r="B684" s="785" t="s">
        <v>84</v>
      </c>
      <c r="C684" s="71" t="s">
        <v>488</v>
      </c>
      <c r="D684" s="71" t="s">
        <v>192</v>
      </c>
      <c r="E684" s="92">
        <v>1</v>
      </c>
      <c r="F684" s="785" t="s">
        <v>84</v>
      </c>
      <c r="G684" s="95"/>
      <c r="H684" s="95">
        <v>9.24</v>
      </c>
      <c r="I684" s="92"/>
      <c r="J684" s="95"/>
      <c r="K684" s="95">
        <v>9.24</v>
      </c>
      <c r="L684" s="92">
        <v>2020.01</v>
      </c>
      <c r="M684" s="92">
        <v>2020.12</v>
      </c>
      <c r="N684" s="796">
        <v>369.56</v>
      </c>
      <c r="O684" s="796"/>
      <c r="P684" s="95"/>
      <c r="Q684" s="796">
        <v>369.56</v>
      </c>
      <c r="R684" s="95"/>
      <c r="S684" s="796">
        <v>369.56</v>
      </c>
      <c r="T684" s="95"/>
      <c r="U684" s="95"/>
      <c r="V684" s="95"/>
      <c r="W684" s="95"/>
      <c r="X684" s="95"/>
      <c r="Y684" s="95">
        <v>965</v>
      </c>
      <c r="Z684" s="95">
        <v>3542</v>
      </c>
      <c r="AA684" s="92">
        <v>1</v>
      </c>
      <c r="AB684" s="92"/>
      <c r="AC684" s="95"/>
      <c r="AD684" s="146" t="s">
        <v>485</v>
      </c>
      <c r="AE684" s="146" t="s">
        <v>486</v>
      </c>
      <c r="AF684" s="712" t="s">
        <v>271</v>
      </c>
      <c r="AG684" s="95"/>
    </row>
    <row r="685" s="570" customFormat="1" ht="24.95" customHeight="1" spans="1:33">
      <c r="A685" s="794">
        <v>90</v>
      </c>
      <c r="B685" s="95" t="s">
        <v>489</v>
      </c>
      <c r="C685" s="92"/>
      <c r="D685" s="795" t="s">
        <v>192</v>
      </c>
      <c r="E685" s="95"/>
      <c r="F685" s="95"/>
      <c r="G685" s="95"/>
      <c r="H685" s="95"/>
      <c r="I685" s="95"/>
      <c r="J685" s="95"/>
      <c r="K685" s="95"/>
      <c r="L685" s="95"/>
      <c r="M685" s="95"/>
      <c r="N685" s="696"/>
      <c r="O685" s="796"/>
      <c r="P685" s="796"/>
      <c r="Q685" s="796"/>
      <c r="R685" s="796"/>
      <c r="S685" s="796"/>
      <c r="T685" s="796"/>
      <c r="U685" s="796"/>
      <c r="V685" s="797"/>
      <c r="W685" s="797"/>
      <c r="X685" s="797"/>
      <c r="Y685" s="797"/>
      <c r="Z685" s="797"/>
      <c r="AA685" s="92"/>
      <c r="AB685" s="92"/>
      <c r="AC685" s="95"/>
      <c r="AD685" s="92"/>
      <c r="AE685" s="92"/>
      <c r="AF685" s="92" t="s">
        <v>271</v>
      </c>
      <c r="AG685" s="95"/>
    </row>
    <row r="686" s="570" customFormat="1" ht="24.95" customHeight="1" spans="1:33">
      <c r="A686" s="705" t="s">
        <v>48</v>
      </c>
      <c r="B686" s="92" t="s">
        <v>148</v>
      </c>
      <c r="C686" s="92"/>
      <c r="D686" s="76"/>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row>
    <row r="687" s="570" customFormat="1" ht="26" customHeight="1" spans="1:33">
      <c r="A687" s="705">
        <v>91</v>
      </c>
      <c r="B687" s="92" t="s">
        <v>490</v>
      </c>
      <c r="C687" s="73"/>
      <c r="D687" s="71" t="s">
        <v>192</v>
      </c>
      <c r="E687" s="73"/>
      <c r="F687" s="73"/>
      <c r="G687" s="73"/>
      <c r="H687" s="92"/>
      <c r="I687" s="92"/>
      <c r="J687" s="92"/>
      <c r="K687" s="92"/>
      <c r="L687" s="92"/>
      <c r="M687" s="92"/>
      <c r="N687" s="724"/>
      <c r="O687" s="724"/>
      <c r="P687" s="724"/>
      <c r="Q687" s="724"/>
      <c r="R687" s="724"/>
      <c r="S687" s="724"/>
      <c r="T687" s="724"/>
      <c r="U687" s="724"/>
      <c r="V687" s="724"/>
      <c r="W687" s="724"/>
      <c r="X687" s="724"/>
      <c r="Y687" s="724"/>
      <c r="Z687" s="724"/>
      <c r="AA687" s="92"/>
      <c r="AB687" s="92"/>
      <c r="AC687" s="92"/>
      <c r="AD687" s="92"/>
      <c r="AE687" s="92"/>
      <c r="AF687" s="92" t="s">
        <v>271</v>
      </c>
      <c r="AG687" s="92"/>
    </row>
    <row r="688" s="570" customFormat="1" ht="24.95" customHeight="1" spans="1:33">
      <c r="A688" s="705" t="s">
        <v>48</v>
      </c>
      <c r="B688" s="92" t="s">
        <v>148</v>
      </c>
      <c r="C688" s="73"/>
      <c r="D688" s="71"/>
      <c r="E688" s="73"/>
      <c r="F688" s="73"/>
      <c r="G688" s="73"/>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row>
    <row r="689" s="570" customFormat="1" ht="24.95" customHeight="1" spans="1:33">
      <c r="A689" s="705"/>
      <c r="B689" s="92" t="s">
        <v>491</v>
      </c>
      <c r="C689" s="73"/>
      <c r="D689" s="141" t="s">
        <v>492</v>
      </c>
      <c r="E689" s="73"/>
      <c r="F689" s="73"/>
      <c r="G689" s="73"/>
      <c r="H689" s="724"/>
      <c r="I689" s="724"/>
      <c r="J689" s="92"/>
      <c r="K689" s="92"/>
      <c r="L689" s="92"/>
      <c r="M689" s="92"/>
      <c r="N689" s="724"/>
      <c r="O689" s="724"/>
      <c r="P689" s="92"/>
      <c r="Q689" s="92"/>
      <c r="R689" s="92"/>
      <c r="S689" s="724"/>
      <c r="T689" s="92"/>
      <c r="U689" s="92"/>
      <c r="V689" s="92"/>
      <c r="W689" s="92"/>
      <c r="X689" s="92"/>
      <c r="Y689" s="92"/>
      <c r="Z689" s="92"/>
      <c r="AA689" s="92"/>
      <c r="AB689" s="92"/>
      <c r="AC689" s="92"/>
      <c r="AD689" s="753"/>
      <c r="AE689" s="753"/>
      <c r="AF689" s="712"/>
      <c r="AG689" s="92"/>
    </row>
    <row r="690" s="570" customFormat="1" ht="24.95" customHeight="1" spans="1:33">
      <c r="A690" s="705"/>
      <c r="B690" s="199" t="s">
        <v>101</v>
      </c>
      <c r="C690" s="141" t="s">
        <v>52</v>
      </c>
      <c r="D690" s="141" t="s">
        <v>492</v>
      </c>
      <c r="E690" s="92"/>
      <c r="F690" s="199"/>
      <c r="G690" s="73"/>
      <c r="H690" s="724"/>
      <c r="I690" s="724"/>
      <c r="J690" s="92"/>
      <c r="K690" s="92"/>
      <c r="L690" s="708"/>
      <c r="M690" s="708"/>
      <c r="N690" s="724"/>
      <c r="O690" s="724"/>
      <c r="P690" s="92"/>
      <c r="Q690" s="92"/>
      <c r="R690" s="92"/>
      <c r="S690" s="724"/>
      <c r="T690" s="92"/>
      <c r="U690" s="92"/>
      <c r="V690" s="92"/>
      <c r="W690" s="92"/>
      <c r="X690" s="92"/>
      <c r="Y690" s="92"/>
      <c r="Z690" s="92"/>
      <c r="AA690" s="92"/>
      <c r="AB690" s="92"/>
      <c r="AC690" s="92"/>
      <c r="AD690" s="146"/>
      <c r="AE690" s="146"/>
      <c r="AF690" s="712"/>
      <c r="AG690" s="92"/>
    </row>
    <row r="691" s="570" customFormat="1" ht="24.95" customHeight="1" spans="1:33">
      <c r="A691" s="705"/>
      <c r="B691" s="199" t="s">
        <v>151</v>
      </c>
      <c r="C691" s="141" t="s">
        <v>52</v>
      </c>
      <c r="D691" s="141" t="s">
        <v>492</v>
      </c>
      <c r="E691" s="92"/>
      <c r="F691" s="199"/>
      <c r="G691" s="73"/>
      <c r="H691" s="724"/>
      <c r="I691" s="724"/>
      <c r="J691" s="92"/>
      <c r="K691" s="92"/>
      <c r="L691" s="708"/>
      <c r="M691" s="708"/>
      <c r="N691" s="724"/>
      <c r="O691" s="724"/>
      <c r="P691" s="92"/>
      <c r="Q691" s="92"/>
      <c r="R691" s="92"/>
      <c r="S691" s="724"/>
      <c r="T691" s="92"/>
      <c r="U691" s="92"/>
      <c r="V691" s="92"/>
      <c r="W691" s="92"/>
      <c r="X691" s="92"/>
      <c r="Y691" s="92"/>
      <c r="Z691" s="92"/>
      <c r="AA691" s="92"/>
      <c r="AB691" s="92"/>
      <c r="AC691" s="92"/>
      <c r="AD691" s="146"/>
      <c r="AE691" s="146"/>
      <c r="AF691" s="712"/>
      <c r="AG691" s="92"/>
    </row>
    <row r="692" s="570" customFormat="1" ht="24.95" customHeight="1" spans="1:33">
      <c r="A692" s="705"/>
      <c r="B692" s="199" t="s">
        <v>154</v>
      </c>
      <c r="C692" s="141" t="s">
        <v>52</v>
      </c>
      <c r="D692" s="141" t="s">
        <v>492</v>
      </c>
      <c r="E692" s="92"/>
      <c r="F692" s="199"/>
      <c r="G692" s="73"/>
      <c r="H692" s="724"/>
      <c r="I692" s="724"/>
      <c r="J692" s="92"/>
      <c r="K692" s="92"/>
      <c r="L692" s="708"/>
      <c r="M692" s="708"/>
      <c r="N692" s="724"/>
      <c r="O692" s="724"/>
      <c r="P692" s="92"/>
      <c r="Q692" s="92"/>
      <c r="R692" s="92"/>
      <c r="S692" s="724"/>
      <c r="T692" s="92"/>
      <c r="U692" s="92"/>
      <c r="V692" s="92"/>
      <c r="W692" s="92"/>
      <c r="X692" s="92"/>
      <c r="Y692" s="92"/>
      <c r="Z692" s="92"/>
      <c r="AA692" s="92"/>
      <c r="AB692" s="92"/>
      <c r="AC692" s="92"/>
      <c r="AD692" s="146"/>
      <c r="AE692" s="146"/>
      <c r="AF692" s="712"/>
      <c r="AG692" s="92"/>
    </row>
    <row r="693" s="570" customFormat="1" ht="24.95" customHeight="1" spans="1:33">
      <c r="A693" s="705"/>
      <c r="B693" s="199" t="s">
        <v>81</v>
      </c>
      <c r="C693" s="141" t="s">
        <v>52</v>
      </c>
      <c r="D693" s="141" t="s">
        <v>492</v>
      </c>
      <c r="E693" s="92"/>
      <c r="F693" s="199"/>
      <c r="G693" s="73"/>
      <c r="H693" s="724"/>
      <c r="I693" s="724"/>
      <c r="J693" s="92"/>
      <c r="K693" s="92"/>
      <c r="L693" s="708"/>
      <c r="M693" s="708"/>
      <c r="N693" s="724"/>
      <c r="O693" s="724"/>
      <c r="P693" s="92"/>
      <c r="Q693" s="92"/>
      <c r="R693" s="92"/>
      <c r="S693" s="724"/>
      <c r="T693" s="92"/>
      <c r="U693" s="92"/>
      <c r="V693" s="92"/>
      <c r="W693" s="92"/>
      <c r="X693" s="92"/>
      <c r="Y693" s="92"/>
      <c r="Z693" s="92"/>
      <c r="AA693" s="92"/>
      <c r="AB693" s="92"/>
      <c r="AC693" s="92"/>
      <c r="AD693" s="146"/>
      <c r="AE693" s="146"/>
      <c r="AF693" s="712"/>
      <c r="AG693" s="92"/>
    </row>
    <row r="694" s="570" customFormat="1" ht="24.95" customHeight="1" spans="1:33">
      <c r="A694" s="705"/>
      <c r="B694" s="199" t="s">
        <v>98</v>
      </c>
      <c r="C694" s="141" t="s">
        <v>52</v>
      </c>
      <c r="D694" s="141" t="s">
        <v>492</v>
      </c>
      <c r="E694" s="92"/>
      <c r="F694" s="199"/>
      <c r="G694" s="73"/>
      <c r="H694" s="724"/>
      <c r="I694" s="724"/>
      <c r="J694" s="92"/>
      <c r="K694" s="92"/>
      <c r="L694" s="708"/>
      <c r="M694" s="708"/>
      <c r="N694" s="724"/>
      <c r="O694" s="724"/>
      <c r="P694" s="92"/>
      <c r="Q694" s="92"/>
      <c r="R694" s="92"/>
      <c r="S694" s="724"/>
      <c r="T694" s="92"/>
      <c r="U694" s="92"/>
      <c r="V694" s="92"/>
      <c r="W694" s="92"/>
      <c r="X694" s="92"/>
      <c r="Y694" s="92"/>
      <c r="Z694" s="92"/>
      <c r="AA694" s="92"/>
      <c r="AB694" s="92"/>
      <c r="AC694" s="92"/>
      <c r="AD694" s="146"/>
      <c r="AE694" s="146"/>
      <c r="AF694" s="712"/>
      <c r="AG694" s="92"/>
    </row>
    <row r="695" s="570" customFormat="1" ht="24.95" customHeight="1" spans="1:33">
      <c r="A695" s="705"/>
      <c r="B695" s="199" t="s">
        <v>211</v>
      </c>
      <c r="C695" s="141" t="s">
        <v>52</v>
      </c>
      <c r="D695" s="141" t="s">
        <v>492</v>
      </c>
      <c r="E695" s="92"/>
      <c r="F695" s="199"/>
      <c r="G695" s="73"/>
      <c r="H695" s="724"/>
      <c r="I695" s="724"/>
      <c r="J695" s="92"/>
      <c r="K695" s="92"/>
      <c r="L695" s="708"/>
      <c r="M695" s="708"/>
      <c r="N695" s="724"/>
      <c r="O695" s="724"/>
      <c r="P695" s="92"/>
      <c r="Q695" s="92"/>
      <c r="R695" s="92"/>
      <c r="S695" s="724"/>
      <c r="T695" s="92"/>
      <c r="U695" s="92"/>
      <c r="V695" s="92"/>
      <c r="W695" s="92"/>
      <c r="X695" s="92"/>
      <c r="Y695" s="92"/>
      <c r="Z695" s="92"/>
      <c r="AA695" s="92"/>
      <c r="AB695" s="92"/>
      <c r="AC695" s="92"/>
      <c r="AD695" s="146"/>
      <c r="AE695" s="146"/>
      <c r="AF695" s="712"/>
      <c r="AG695" s="92"/>
    </row>
    <row r="696" s="570" customFormat="1" ht="24.95" customHeight="1" spans="1:33">
      <c r="A696" s="705"/>
      <c r="B696" s="199" t="s">
        <v>155</v>
      </c>
      <c r="C696" s="141" t="s">
        <v>52</v>
      </c>
      <c r="D696" s="141" t="s">
        <v>492</v>
      </c>
      <c r="E696" s="92"/>
      <c r="F696" s="199"/>
      <c r="G696" s="73"/>
      <c r="H696" s="724"/>
      <c r="I696" s="724"/>
      <c r="J696" s="92"/>
      <c r="K696" s="92"/>
      <c r="L696" s="708"/>
      <c r="M696" s="708"/>
      <c r="N696" s="724"/>
      <c r="O696" s="724"/>
      <c r="P696" s="92"/>
      <c r="Q696" s="92"/>
      <c r="R696" s="92"/>
      <c r="S696" s="724"/>
      <c r="T696" s="92"/>
      <c r="U696" s="92"/>
      <c r="V696" s="92"/>
      <c r="W696" s="92"/>
      <c r="X696" s="92"/>
      <c r="Y696" s="92"/>
      <c r="Z696" s="92"/>
      <c r="AA696" s="92"/>
      <c r="AB696" s="92"/>
      <c r="AC696" s="92"/>
      <c r="AD696" s="146"/>
      <c r="AE696" s="146"/>
      <c r="AF696" s="712"/>
      <c r="AG696" s="92"/>
    </row>
    <row r="697" s="570" customFormat="1" ht="24.95" customHeight="1" spans="1:33">
      <c r="A697" s="705"/>
      <c r="B697" s="199" t="s">
        <v>102</v>
      </c>
      <c r="C697" s="141" t="s">
        <v>52</v>
      </c>
      <c r="D697" s="141" t="s">
        <v>492</v>
      </c>
      <c r="E697" s="92"/>
      <c r="F697" s="199"/>
      <c r="G697" s="73"/>
      <c r="H697" s="724"/>
      <c r="I697" s="724"/>
      <c r="J697" s="92"/>
      <c r="K697" s="92"/>
      <c r="L697" s="708"/>
      <c r="M697" s="708"/>
      <c r="N697" s="724"/>
      <c r="O697" s="724"/>
      <c r="P697" s="92"/>
      <c r="Q697" s="92"/>
      <c r="R697" s="92"/>
      <c r="S697" s="724"/>
      <c r="T697" s="92"/>
      <c r="U697" s="92"/>
      <c r="V697" s="92"/>
      <c r="W697" s="92"/>
      <c r="X697" s="92"/>
      <c r="Y697" s="92"/>
      <c r="Z697" s="92"/>
      <c r="AA697" s="92"/>
      <c r="AB697" s="92"/>
      <c r="AC697" s="92"/>
      <c r="AD697" s="146"/>
      <c r="AE697" s="146"/>
      <c r="AF697" s="712"/>
      <c r="AG697" s="92"/>
    </row>
    <row r="698" s="570" customFormat="1" ht="24.95" customHeight="1" spans="1:33">
      <c r="A698" s="705"/>
      <c r="B698" s="199" t="s">
        <v>100</v>
      </c>
      <c r="C698" s="141" t="s">
        <v>52</v>
      </c>
      <c r="D698" s="141" t="s">
        <v>492</v>
      </c>
      <c r="E698" s="92"/>
      <c r="F698" s="199"/>
      <c r="G698" s="73"/>
      <c r="H698" s="724"/>
      <c r="I698" s="724"/>
      <c r="J698" s="92"/>
      <c r="K698" s="92"/>
      <c r="L698" s="708"/>
      <c r="M698" s="708"/>
      <c r="N698" s="724"/>
      <c r="O698" s="724"/>
      <c r="P698" s="92"/>
      <c r="Q698" s="92"/>
      <c r="R698" s="92"/>
      <c r="S698" s="724"/>
      <c r="T698" s="92"/>
      <c r="U698" s="92"/>
      <c r="V698" s="92"/>
      <c r="W698" s="92"/>
      <c r="X698" s="92"/>
      <c r="Y698" s="92"/>
      <c r="Z698" s="92"/>
      <c r="AA698" s="92"/>
      <c r="AB698" s="92"/>
      <c r="AC698" s="92"/>
      <c r="AD698" s="146"/>
      <c r="AE698" s="146"/>
      <c r="AF698" s="712"/>
      <c r="AG698" s="92"/>
    </row>
    <row r="699" s="570" customFormat="1" ht="24.95" customHeight="1" spans="1:33">
      <c r="A699" s="705"/>
      <c r="B699" s="199" t="s">
        <v>84</v>
      </c>
      <c r="C699" s="141" t="s">
        <v>52</v>
      </c>
      <c r="D699" s="141" t="s">
        <v>492</v>
      </c>
      <c r="E699" s="92"/>
      <c r="F699" s="199"/>
      <c r="G699" s="73"/>
      <c r="H699" s="724"/>
      <c r="I699" s="724"/>
      <c r="J699" s="92"/>
      <c r="K699" s="92"/>
      <c r="L699" s="708"/>
      <c r="M699" s="708"/>
      <c r="N699" s="724"/>
      <c r="O699" s="724"/>
      <c r="P699" s="92"/>
      <c r="Q699" s="92"/>
      <c r="R699" s="92"/>
      <c r="S699" s="724"/>
      <c r="T699" s="92"/>
      <c r="U699" s="92"/>
      <c r="V699" s="92"/>
      <c r="W699" s="92"/>
      <c r="X699" s="92"/>
      <c r="Y699" s="92"/>
      <c r="Z699" s="92"/>
      <c r="AA699" s="92"/>
      <c r="AB699" s="92"/>
      <c r="AC699" s="92"/>
      <c r="AD699" s="146"/>
      <c r="AE699" s="146"/>
      <c r="AF699" s="712"/>
      <c r="AG699" s="92"/>
    </row>
    <row r="700" s="570" customFormat="1" ht="24.95" customHeight="1" spans="1:33">
      <c r="A700" s="705"/>
      <c r="B700" s="199" t="s">
        <v>259</v>
      </c>
      <c r="C700" s="141" t="s">
        <v>52</v>
      </c>
      <c r="D700" s="141" t="s">
        <v>492</v>
      </c>
      <c r="E700" s="92"/>
      <c r="F700" s="199"/>
      <c r="G700" s="73"/>
      <c r="H700" s="724"/>
      <c r="I700" s="724"/>
      <c r="J700" s="92"/>
      <c r="K700" s="92"/>
      <c r="L700" s="708"/>
      <c r="M700" s="708"/>
      <c r="N700" s="724"/>
      <c r="O700" s="724"/>
      <c r="P700" s="92"/>
      <c r="Q700" s="92"/>
      <c r="R700" s="92"/>
      <c r="S700" s="724"/>
      <c r="T700" s="92"/>
      <c r="U700" s="92"/>
      <c r="V700" s="92"/>
      <c r="W700" s="92"/>
      <c r="X700" s="92"/>
      <c r="Y700" s="92"/>
      <c r="Z700" s="92"/>
      <c r="AA700" s="92"/>
      <c r="AB700" s="92"/>
      <c r="AC700" s="92"/>
      <c r="AD700" s="146"/>
      <c r="AE700" s="146"/>
      <c r="AF700" s="712"/>
      <c r="AG700" s="92"/>
    </row>
    <row r="701" s="570" customFormat="1" ht="24.95" customHeight="1" spans="1:33">
      <c r="A701" s="705"/>
      <c r="B701" s="199" t="s">
        <v>143</v>
      </c>
      <c r="C701" s="141" t="s">
        <v>52</v>
      </c>
      <c r="D701" s="141" t="s">
        <v>492</v>
      </c>
      <c r="E701" s="92"/>
      <c r="F701" s="199"/>
      <c r="G701" s="73"/>
      <c r="H701" s="724"/>
      <c r="I701" s="724"/>
      <c r="J701" s="92"/>
      <c r="K701" s="92"/>
      <c r="L701" s="708"/>
      <c r="M701" s="708"/>
      <c r="N701" s="724"/>
      <c r="O701" s="724"/>
      <c r="P701" s="92"/>
      <c r="Q701" s="92"/>
      <c r="R701" s="92"/>
      <c r="S701" s="724"/>
      <c r="T701" s="92"/>
      <c r="U701" s="92"/>
      <c r="V701" s="92"/>
      <c r="W701" s="92"/>
      <c r="X701" s="92"/>
      <c r="Y701" s="92"/>
      <c r="Z701" s="92"/>
      <c r="AA701" s="92"/>
      <c r="AB701" s="92"/>
      <c r="AC701" s="92"/>
      <c r="AD701" s="146"/>
      <c r="AE701" s="146"/>
      <c r="AF701" s="712"/>
      <c r="AG701" s="92"/>
    </row>
    <row r="702" s="694" customFormat="1" ht="24.95" customHeight="1" spans="1:33">
      <c r="A702" s="705"/>
      <c r="B702" s="711" t="s">
        <v>493</v>
      </c>
      <c r="C702" s="71" t="s">
        <v>488</v>
      </c>
      <c r="D702" s="71" t="s">
        <v>192</v>
      </c>
      <c r="E702" s="92"/>
      <c r="F702" s="199"/>
      <c r="G702" s="73"/>
      <c r="H702" s="92"/>
      <c r="I702" s="92"/>
      <c r="J702" s="92"/>
      <c r="K702" s="92"/>
      <c r="L702" s="708"/>
      <c r="M702" s="708"/>
      <c r="N702" s="724"/>
      <c r="O702" s="724"/>
      <c r="P702" s="92"/>
      <c r="Q702" s="92"/>
      <c r="R702" s="92"/>
      <c r="S702" s="724"/>
      <c r="T702" s="92"/>
      <c r="U702" s="92"/>
      <c r="V702" s="92"/>
      <c r="W702" s="92"/>
      <c r="X702" s="92"/>
      <c r="Y702" s="92"/>
      <c r="Z702" s="92"/>
      <c r="AA702" s="92"/>
      <c r="AB702" s="92"/>
      <c r="AC702" s="92"/>
      <c r="AD702" s="146"/>
      <c r="AE702" s="146"/>
      <c r="AF702" s="712"/>
      <c r="AG702" s="92"/>
    </row>
    <row r="703" s="694" customFormat="1" ht="24.95" customHeight="1" spans="1:33">
      <c r="A703" s="705"/>
      <c r="B703" s="793" t="s">
        <v>64</v>
      </c>
      <c r="C703" s="71" t="s">
        <v>488</v>
      </c>
      <c r="D703" s="71" t="s">
        <v>192</v>
      </c>
      <c r="E703" s="92"/>
      <c r="F703" s="793"/>
      <c r="G703" s="73"/>
      <c r="H703" s="92"/>
      <c r="I703" s="92"/>
      <c r="J703" s="92"/>
      <c r="K703" s="92"/>
      <c r="L703" s="708"/>
      <c r="M703" s="708"/>
      <c r="N703" s="724"/>
      <c r="O703" s="724"/>
      <c r="P703" s="92"/>
      <c r="Q703" s="92"/>
      <c r="R703" s="92"/>
      <c r="S703" s="724"/>
      <c r="T703" s="92"/>
      <c r="U703" s="92"/>
      <c r="V703" s="92"/>
      <c r="W703" s="92"/>
      <c r="X703" s="92"/>
      <c r="Y703" s="92"/>
      <c r="Z703" s="92"/>
      <c r="AA703" s="92"/>
      <c r="AB703" s="92"/>
      <c r="AC703" s="92"/>
      <c r="AD703" s="146"/>
      <c r="AE703" s="146"/>
      <c r="AF703" s="712"/>
      <c r="AG703" s="92"/>
    </row>
    <row r="704" s="694" customFormat="1" ht="24.95" customHeight="1" spans="1:33">
      <c r="A704" s="705"/>
      <c r="B704" s="793" t="s">
        <v>78</v>
      </c>
      <c r="C704" s="71" t="s">
        <v>488</v>
      </c>
      <c r="D704" s="71" t="s">
        <v>192</v>
      </c>
      <c r="E704" s="92"/>
      <c r="F704" s="793"/>
      <c r="G704" s="73"/>
      <c r="H704" s="92"/>
      <c r="I704" s="92"/>
      <c r="J704" s="92"/>
      <c r="K704" s="92"/>
      <c r="L704" s="708"/>
      <c r="M704" s="708"/>
      <c r="N704" s="724"/>
      <c r="O704" s="724"/>
      <c r="P704" s="92"/>
      <c r="Q704" s="92"/>
      <c r="R704" s="92"/>
      <c r="S704" s="724"/>
      <c r="T704" s="92"/>
      <c r="U704" s="92"/>
      <c r="V704" s="92"/>
      <c r="W704" s="92"/>
      <c r="X704" s="92"/>
      <c r="Y704" s="92"/>
      <c r="Z704" s="92"/>
      <c r="AA704" s="92"/>
      <c r="AB704" s="92"/>
      <c r="AC704" s="92"/>
      <c r="AD704" s="146"/>
      <c r="AE704" s="146"/>
      <c r="AF704" s="712"/>
      <c r="AG704" s="92"/>
    </row>
    <row r="705" s="694" customFormat="1" ht="24.95" customHeight="1" spans="1:33">
      <c r="A705" s="705"/>
      <c r="B705" s="793" t="s">
        <v>75</v>
      </c>
      <c r="C705" s="71" t="s">
        <v>488</v>
      </c>
      <c r="D705" s="71" t="s">
        <v>192</v>
      </c>
      <c r="E705" s="92"/>
      <c r="F705" s="793"/>
      <c r="G705" s="73"/>
      <c r="H705" s="92"/>
      <c r="I705" s="92"/>
      <c r="J705" s="92"/>
      <c r="K705" s="92"/>
      <c r="L705" s="708"/>
      <c r="M705" s="708"/>
      <c r="N705" s="724"/>
      <c r="O705" s="724"/>
      <c r="P705" s="92"/>
      <c r="Q705" s="92"/>
      <c r="R705" s="92"/>
      <c r="S705" s="724"/>
      <c r="T705" s="92"/>
      <c r="U705" s="92"/>
      <c r="V705" s="92"/>
      <c r="W705" s="92"/>
      <c r="X705" s="92"/>
      <c r="Y705" s="92"/>
      <c r="Z705" s="92"/>
      <c r="AA705" s="92"/>
      <c r="AB705" s="92"/>
      <c r="AC705" s="92"/>
      <c r="AD705" s="146"/>
      <c r="AE705" s="146"/>
      <c r="AF705" s="712"/>
      <c r="AG705" s="92"/>
    </row>
    <row r="706" s="694" customFormat="1" ht="41" customHeight="1" spans="1:33">
      <c r="A706" s="705"/>
      <c r="B706" s="710" t="s">
        <v>494</v>
      </c>
      <c r="C706" s="71" t="s">
        <v>52</v>
      </c>
      <c r="D706" s="71" t="s">
        <v>202</v>
      </c>
      <c r="E706" s="92"/>
      <c r="F706" s="199"/>
      <c r="G706" s="199"/>
      <c r="H706" s="92"/>
      <c r="I706" s="92"/>
      <c r="J706" s="92"/>
      <c r="K706" s="92"/>
      <c r="L706" s="708"/>
      <c r="M706" s="708"/>
      <c r="N706" s="724"/>
      <c r="O706" s="724"/>
      <c r="P706" s="92"/>
      <c r="Q706" s="92"/>
      <c r="R706" s="92"/>
      <c r="S706" s="724"/>
      <c r="T706" s="92"/>
      <c r="U706" s="92"/>
      <c r="V706" s="92"/>
      <c r="W706" s="92"/>
      <c r="X706" s="92"/>
      <c r="Y706" s="151"/>
      <c r="Z706" s="151"/>
      <c r="AA706" s="92"/>
      <c r="AB706" s="92"/>
      <c r="AC706" s="92"/>
      <c r="AD706" s="753"/>
      <c r="AE706" s="753"/>
      <c r="AF706" s="712"/>
      <c r="AG706" s="92"/>
    </row>
    <row r="707" ht="24" spans="1:33">
      <c r="A707" s="705">
        <v>92</v>
      </c>
      <c r="B707" s="791" t="s">
        <v>495</v>
      </c>
      <c r="C707" s="708"/>
      <c r="D707" s="709" t="s">
        <v>496</v>
      </c>
      <c r="E707" s="708"/>
      <c r="F707" s="708"/>
      <c r="G707" s="708"/>
      <c r="H707" s="708"/>
      <c r="I707" s="708"/>
      <c r="J707" s="708"/>
      <c r="K707" s="708"/>
      <c r="L707" s="708"/>
      <c r="M707" s="708"/>
      <c r="N707" s="726"/>
      <c r="O707" s="726"/>
      <c r="P707" s="726"/>
      <c r="Q707" s="726"/>
      <c r="R707" s="726"/>
      <c r="S707" s="726"/>
      <c r="T707" s="726"/>
      <c r="U707" s="726"/>
      <c r="V707" s="726"/>
      <c r="W707" s="726"/>
      <c r="X707" s="726"/>
      <c r="Y707" s="726"/>
      <c r="Z707" s="726"/>
      <c r="AA707" s="708"/>
      <c r="AB707" s="708"/>
      <c r="AC707" s="708"/>
      <c r="AD707" s="708"/>
      <c r="AE707" s="708"/>
      <c r="AF707" s="708" t="s">
        <v>497</v>
      </c>
      <c r="AG707" s="708" t="s">
        <v>41</v>
      </c>
    </row>
    <row r="708" s="570" customFormat="1" ht="29" customHeight="1" spans="1:33">
      <c r="A708" s="705"/>
      <c r="B708" s="714" t="s">
        <v>101</v>
      </c>
      <c r="C708" s="146" t="s">
        <v>52</v>
      </c>
      <c r="D708" s="152" t="s">
        <v>498</v>
      </c>
      <c r="E708" s="92"/>
      <c r="F708" s="714"/>
      <c r="G708" s="708"/>
      <c r="H708" s="708"/>
      <c r="I708" s="708"/>
      <c r="J708" s="708"/>
      <c r="K708" s="708"/>
      <c r="L708" s="708"/>
      <c r="M708" s="708"/>
      <c r="N708" s="726"/>
      <c r="O708" s="726"/>
      <c r="P708" s="726"/>
      <c r="Q708" s="726"/>
      <c r="R708" s="726"/>
      <c r="S708" s="726"/>
      <c r="T708" s="726"/>
      <c r="U708" s="726"/>
      <c r="V708" s="726"/>
      <c r="W708" s="726"/>
      <c r="X708" s="726"/>
      <c r="Y708" s="763"/>
      <c r="Z708" s="763"/>
      <c r="AA708" s="708"/>
      <c r="AB708" s="708"/>
      <c r="AC708" s="708"/>
      <c r="AD708" s="146"/>
      <c r="AE708" s="146"/>
      <c r="AF708" s="146"/>
      <c r="AG708" s="708"/>
    </row>
    <row r="709" s="570" customFormat="1" ht="29" customHeight="1" spans="1:33">
      <c r="A709" s="705"/>
      <c r="B709" s="714" t="s">
        <v>151</v>
      </c>
      <c r="C709" s="146" t="s">
        <v>52</v>
      </c>
      <c r="D709" s="152" t="s">
        <v>498</v>
      </c>
      <c r="E709" s="92"/>
      <c r="F709" s="714"/>
      <c r="G709" s="708"/>
      <c r="H709" s="708"/>
      <c r="I709" s="708"/>
      <c r="J709" s="708"/>
      <c r="K709" s="708"/>
      <c r="L709" s="708"/>
      <c r="M709" s="708"/>
      <c r="N709" s="726"/>
      <c r="O709" s="726"/>
      <c r="P709" s="726"/>
      <c r="Q709" s="726"/>
      <c r="R709" s="726"/>
      <c r="S709" s="726"/>
      <c r="T709" s="726"/>
      <c r="U709" s="726"/>
      <c r="V709" s="726"/>
      <c r="W709" s="726"/>
      <c r="X709" s="726"/>
      <c r="Y709" s="763"/>
      <c r="Z709" s="763"/>
      <c r="AA709" s="708"/>
      <c r="AB709" s="708"/>
      <c r="AC709" s="708"/>
      <c r="AD709" s="146"/>
      <c r="AE709" s="146"/>
      <c r="AF709" s="146"/>
      <c r="AG709" s="708"/>
    </row>
    <row r="710" s="570" customFormat="1" ht="29" customHeight="1" spans="1:33">
      <c r="A710" s="705"/>
      <c r="B710" s="714" t="s">
        <v>154</v>
      </c>
      <c r="C710" s="146" t="s">
        <v>52</v>
      </c>
      <c r="D710" s="152" t="s">
        <v>498</v>
      </c>
      <c r="E710" s="92"/>
      <c r="F710" s="714"/>
      <c r="G710" s="708"/>
      <c r="H710" s="708"/>
      <c r="I710" s="708"/>
      <c r="J710" s="708"/>
      <c r="K710" s="708"/>
      <c r="L710" s="708"/>
      <c r="M710" s="708"/>
      <c r="N710" s="726"/>
      <c r="O710" s="726"/>
      <c r="P710" s="726"/>
      <c r="Q710" s="726"/>
      <c r="R710" s="726"/>
      <c r="S710" s="726"/>
      <c r="T710" s="726"/>
      <c r="U710" s="726"/>
      <c r="V710" s="726"/>
      <c r="W710" s="726"/>
      <c r="X710" s="726"/>
      <c r="Y710" s="763"/>
      <c r="Z710" s="763"/>
      <c r="AA710" s="708"/>
      <c r="AB710" s="708"/>
      <c r="AC710" s="708"/>
      <c r="AD710" s="146"/>
      <c r="AE710" s="146"/>
      <c r="AF710" s="146"/>
      <c r="AG710" s="708"/>
    </row>
    <row r="711" s="570" customFormat="1" ht="29" customHeight="1" spans="1:33">
      <c r="A711" s="705"/>
      <c r="B711" s="714" t="s">
        <v>81</v>
      </c>
      <c r="C711" s="146" t="s">
        <v>52</v>
      </c>
      <c r="D711" s="152" t="s">
        <v>498</v>
      </c>
      <c r="E711" s="92"/>
      <c r="F711" s="714"/>
      <c r="G711" s="708"/>
      <c r="H711" s="708"/>
      <c r="I711" s="708"/>
      <c r="J711" s="708"/>
      <c r="K711" s="708"/>
      <c r="L711" s="708"/>
      <c r="M711" s="708"/>
      <c r="N711" s="726"/>
      <c r="O711" s="726"/>
      <c r="P711" s="726"/>
      <c r="Q711" s="726"/>
      <c r="R711" s="726"/>
      <c r="S711" s="726"/>
      <c r="T711" s="726"/>
      <c r="U711" s="726"/>
      <c r="V711" s="726"/>
      <c r="W711" s="726"/>
      <c r="X711" s="726"/>
      <c r="Y711" s="763"/>
      <c r="Z711" s="763"/>
      <c r="AA711" s="708"/>
      <c r="AB711" s="708"/>
      <c r="AC711" s="708"/>
      <c r="AD711" s="146"/>
      <c r="AE711" s="146"/>
      <c r="AF711" s="146"/>
      <c r="AG711" s="708"/>
    </row>
    <row r="712" s="570" customFormat="1" ht="29" customHeight="1" spans="1:33">
      <c r="A712" s="705"/>
      <c r="B712" s="714" t="s">
        <v>98</v>
      </c>
      <c r="C712" s="146" t="s">
        <v>52</v>
      </c>
      <c r="D712" s="152" t="s">
        <v>498</v>
      </c>
      <c r="E712" s="92"/>
      <c r="F712" s="714"/>
      <c r="G712" s="708"/>
      <c r="H712" s="708"/>
      <c r="I712" s="708"/>
      <c r="J712" s="708"/>
      <c r="K712" s="708"/>
      <c r="L712" s="708"/>
      <c r="M712" s="708"/>
      <c r="N712" s="726"/>
      <c r="O712" s="726"/>
      <c r="P712" s="726"/>
      <c r="Q712" s="726"/>
      <c r="R712" s="726"/>
      <c r="S712" s="726"/>
      <c r="T712" s="726"/>
      <c r="U712" s="726"/>
      <c r="V712" s="726"/>
      <c r="W712" s="726"/>
      <c r="X712" s="726"/>
      <c r="Y712" s="763"/>
      <c r="Z712" s="763"/>
      <c r="AA712" s="708"/>
      <c r="AB712" s="708"/>
      <c r="AC712" s="708"/>
      <c r="AD712" s="146"/>
      <c r="AE712" s="146"/>
      <c r="AF712" s="146"/>
      <c r="AG712" s="708"/>
    </row>
    <row r="713" s="570" customFormat="1" ht="29" customHeight="1" spans="1:33">
      <c r="A713" s="705"/>
      <c r="B713" s="714" t="s">
        <v>211</v>
      </c>
      <c r="C713" s="146" t="s">
        <v>52</v>
      </c>
      <c r="D713" s="152" t="s">
        <v>498</v>
      </c>
      <c r="E713" s="92"/>
      <c r="F713" s="714"/>
      <c r="G713" s="708"/>
      <c r="H713" s="708"/>
      <c r="I713" s="708"/>
      <c r="J713" s="708"/>
      <c r="K713" s="708"/>
      <c r="L713" s="708"/>
      <c r="M713" s="708"/>
      <c r="N713" s="726"/>
      <c r="O713" s="726"/>
      <c r="P713" s="726"/>
      <c r="Q713" s="726"/>
      <c r="R713" s="726"/>
      <c r="S713" s="726"/>
      <c r="T713" s="726"/>
      <c r="U713" s="726"/>
      <c r="V713" s="726"/>
      <c r="W713" s="726"/>
      <c r="X713" s="726"/>
      <c r="Y713" s="763"/>
      <c r="Z713" s="763"/>
      <c r="AA713" s="708"/>
      <c r="AB713" s="708"/>
      <c r="AC713" s="708"/>
      <c r="AD713" s="146"/>
      <c r="AE713" s="146"/>
      <c r="AF713" s="146"/>
      <c r="AG713" s="708"/>
    </row>
    <row r="714" s="570" customFormat="1" ht="29" customHeight="1" spans="1:33">
      <c r="A714" s="705"/>
      <c r="B714" s="714" t="s">
        <v>155</v>
      </c>
      <c r="C714" s="146" t="s">
        <v>52</v>
      </c>
      <c r="D714" s="152" t="s">
        <v>498</v>
      </c>
      <c r="E714" s="92"/>
      <c r="F714" s="714"/>
      <c r="G714" s="708"/>
      <c r="H714" s="708"/>
      <c r="I714" s="708"/>
      <c r="J714" s="708"/>
      <c r="K714" s="708"/>
      <c r="L714" s="708"/>
      <c r="M714" s="708"/>
      <c r="N714" s="726"/>
      <c r="O714" s="726"/>
      <c r="P714" s="726"/>
      <c r="Q714" s="726"/>
      <c r="R714" s="726"/>
      <c r="S714" s="726"/>
      <c r="T714" s="726"/>
      <c r="U714" s="726"/>
      <c r="V714" s="726"/>
      <c r="W714" s="726"/>
      <c r="X714" s="726"/>
      <c r="Y714" s="763"/>
      <c r="Z714" s="763"/>
      <c r="AA714" s="708"/>
      <c r="AB714" s="708"/>
      <c r="AC714" s="708"/>
      <c r="AD714" s="146"/>
      <c r="AE714" s="146"/>
      <c r="AF714" s="146"/>
      <c r="AG714" s="708"/>
    </row>
    <row r="715" s="570" customFormat="1" ht="29" customHeight="1" spans="1:33">
      <c r="A715" s="705"/>
      <c r="B715" s="714" t="s">
        <v>102</v>
      </c>
      <c r="C715" s="146" t="s">
        <v>52</v>
      </c>
      <c r="D715" s="152" t="s">
        <v>498</v>
      </c>
      <c r="E715" s="92"/>
      <c r="F715" s="714"/>
      <c r="G715" s="708"/>
      <c r="H715" s="708"/>
      <c r="I715" s="708"/>
      <c r="J715" s="708"/>
      <c r="K715" s="708"/>
      <c r="L715" s="708"/>
      <c r="M715" s="708"/>
      <c r="N715" s="726"/>
      <c r="O715" s="726"/>
      <c r="P715" s="726"/>
      <c r="Q715" s="726"/>
      <c r="R715" s="726"/>
      <c r="S715" s="726"/>
      <c r="T715" s="726"/>
      <c r="U715" s="726"/>
      <c r="V715" s="726"/>
      <c r="W715" s="726"/>
      <c r="X715" s="726"/>
      <c r="Y715" s="763"/>
      <c r="Z715" s="763"/>
      <c r="AA715" s="708"/>
      <c r="AB715" s="708"/>
      <c r="AC715" s="708"/>
      <c r="AD715" s="146"/>
      <c r="AE715" s="146"/>
      <c r="AF715" s="146"/>
      <c r="AG715" s="708"/>
    </row>
    <row r="716" s="570" customFormat="1" ht="29" customHeight="1" spans="1:33">
      <c r="A716" s="705"/>
      <c r="B716" s="714" t="s">
        <v>100</v>
      </c>
      <c r="C716" s="146" t="s">
        <v>52</v>
      </c>
      <c r="D716" s="152" t="s">
        <v>498</v>
      </c>
      <c r="E716" s="92"/>
      <c r="F716" s="714"/>
      <c r="G716" s="708"/>
      <c r="H716" s="708"/>
      <c r="I716" s="708"/>
      <c r="J716" s="708"/>
      <c r="K716" s="708"/>
      <c r="L716" s="708"/>
      <c r="M716" s="708"/>
      <c r="N716" s="726"/>
      <c r="O716" s="726"/>
      <c r="P716" s="726"/>
      <c r="Q716" s="726"/>
      <c r="R716" s="726"/>
      <c r="S716" s="726"/>
      <c r="T716" s="726"/>
      <c r="U716" s="726"/>
      <c r="V716" s="726"/>
      <c r="W716" s="726"/>
      <c r="X716" s="726"/>
      <c r="Y716" s="763"/>
      <c r="Z716" s="763"/>
      <c r="AA716" s="708"/>
      <c r="AB716" s="708"/>
      <c r="AC716" s="708"/>
      <c r="AD716" s="146"/>
      <c r="AE716" s="146"/>
      <c r="AF716" s="146"/>
      <c r="AG716" s="708"/>
    </row>
    <row r="717" s="570" customFormat="1" ht="29" customHeight="1" spans="1:33">
      <c r="A717" s="705"/>
      <c r="B717" s="714" t="s">
        <v>259</v>
      </c>
      <c r="C717" s="146" t="s">
        <v>52</v>
      </c>
      <c r="D717" s="152" t="s">
        <v>498</v>
      </c>
      <c r="E717" s="92"/>
      <c r="F717" s="714"/>
      <c r="G717" s="708"/>
      <c r="H717" s="708"/>
      <c r="I717" s="708"/>
      <c r="J717" s="708"/>
      <c r="K717" s="708"/>
      <c r="L717" s="708"/>
      <c r="M717" s="708"/>
      <c r="N717" s="726"/>
      <c r="O717" s="726"/>
      <c r="P717" s="726"/>
      <c r="Q717" s="726"/>
      <c r="R717" s="726"/>
      <c r="S717" s="726"/>
      <c r="T717" s="726"/>
      <c r="U717" s="726"/>
      <c r="V717" s="726"/>
      <c r="W717" s="726"/>
      <c r="X717" s="726"/>
      <c r="Y717" s="763"/>
      <c r="Z717" s="763"/>
      <c r="AA717" s="708"/>
      <c r="AB717" s="708"/>
      <c r="AC717" s="708"/>
      <c r="AD717" s="146"/>
      <c r="AE717" s="146"/>
      <c r="AF717" s="146"/>
      <c r="AG717" s="708"/>
    </row>
    <row r="718" s="570" customFormat="1" ht="29" customHeight="1" spans="1:33">
      <c r="A718" s="705"/>
      <c r="B718" s="714" t="s">
        <v>84</v>
      </c>
      <c r="C718" s="146" t="s">
        <v>52</v>
      </c>
      <c r="D718" s="152" t="s">
        <v>498</v>
      </c>
      <c r="E718" s="92"/>
      <c r="F718" s="714"/>
      <c r="G718" s="708"/>
      <c r="H718" s="708"/>
      <c r="I718" s="708"/>
      <c r="J718" s="708"/>
      <c r="K718" s="708"/>
      <c r="L718" s="708"/>
      <c r="M718" s="708"/>
      <c r="N718" s="726"/>
      <c r="O718" s="726"/>
      <c r="P718" s="726"/>
      <c r="Q718" s="726"/>
      <c r="R718" s="726"/>
      <c r="S718" s="726"/>
      <c r="T718" s="726"/>
      <c r="U718" s="726"/>
      <c r="V718" s="726"/>
      <c r="W718" s="726"/>
      <c r="X718" s="726"/>
      <c r="Y718" s="763"/>
      <c r="Z718" s="763"/>
      <c r="AA718" s="708"/>
      <c r="AB718" s="708"/>
      <c r="AC718" s="708"/>
      <c r="AD718" s="146"/>
      <c r="AE718" s="146"/>
      <c r="AF718" s="146"/>
      <c r="AG718" s="708"/>
    </row>
    <row r="719" s="570" customFormat="1" ht="29" customHeight="1" spans="1:33">
      <c r="A719" s="705"/>
      <c r="B719" s="714" t="s">
        <v>143</v>
      </c>
      <c r="C719" s="146" t="s">
        <v>52</v>
      </c>
      <c r="D719" s="152" t="s">
        <v>498</v>
      </c>
      <c r="E719" s="92"/>
      <c r="F719" s="714"/>
      <c r="G719" s="708"/>
      <c r="H719" s="708"/>
      <c r="I719" s="708"/>
      <c r="J719" s="708"/>
      <c r="K719" s="708"/>
      <c r="L719" s="708"/>
      <c r="M719" s="708"/>
      <c r="N719" s="726"/>
      <c r="O719" s="726"/>
      <c r="P719" s="726"/>
      <c r="Q719" s="726"/>
      <c r="R719" s="726"/>
      <c r="S719" s="726"/>
      <c r="T719" s="726"/>
      <c r="U719" s="726"/>
      <c r="V719" s="726"/>
      <c r="W719" s="726"/>
      <c r="X719" s="726"/>
      <c r="Y719" s="763"/>
      <c r="Z719" s="763"/>
      <c r="AA719" s="708"/>
      <c r="AB719" s="708"/>
      <c r="AC719" s="708"/>
      <c r="AD719" s="146"/>
      <c r="AE719" s="146"/>
      <c r="AF719" s="146"/>
      <c r="AG719" s="708"/>
    </row>
    <row r="720" ht="24" spans="1:33">
      <c r="A720" s="705">
        <v>93</v>
      </c>
      <c r="B720" s="791" t="s">
        <v>499</v>
      </c>
      <c r="C720" s="708"/>
      <c r="D720" s="709" t="s">
        <v>384</v>
      </c>
      <c r="E720" s="708"/>
      <c r="F720" s="708"/>
      <c r="G720" s="708"/>
      <c r="H720" s="708"/>
      <c r="I720" s="708"/>
      <c r="J720" s="708"/>
      <c r="K720" s="708"/>
      <c r="L720" s="708"/>
      <c r="M720" s="708"/>
      <c r="N720" s="726"/>
      <c r="O720" s="726"/>
      <c r="P720" s="726"/>
      <c r="Q720" s="726"/>
      <c r="R720" s="726"/>
      <c r="S720" s="726"/>
      <c r="T720" s="726"/>
      <c r="U720" s="726"/>
      <c r="V720" s="726"/>
      <c r="W720" s="726"/>
      <c r="X720" s="726"/>
      <c r="Y720" s="726"/>
      <c r="Z720" s="726"/>
      <c r="AA720" s="708"/>
      <c r="AB720" s="708"/>
      <c r="AC720" s="708"/>
      <c r="AD720" s="708"/>
      <c r="AE720" s="708"/>
      <c r="AF720" s="708" t="s">
        <v>500</v>
      </c>
      <c r="AG720" s="708" t="s">
        <v>41</v>
      </c>
    </row>
    <row r="721" ht="24.95" customHeight="1" spans="1:33">
      <c r="A721" s="705" t="s">
        <v>48</v>
      </c>
      <c r="B721" s="92" t="s">
        <v>148</v>
      </c>
      <c r="C721" s="92"/>
      <c r="D721" s="76"/>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row>
    <row r="722" ht="24.95" customHeight="1" spans="1:33">
      <c r="A722" s="705">
        <v>94</v>
      </c>
      <c r="B722" s="791" t="s">
        <v>501</v>
      </c>
      <c r="C722" s="708"/>
      <c r="D722" s="709" t="s">
        <v>496</v>
      </c>
      <c r="E722" s="708"/>
      <c r="F722" s="708"/>
      <c r="G722" s="708"/>
      <c r="H722" s="708"/>
      <c r="I722" s="708"/>
      <c r="J722" s="708"/>
      <c r="K722" s="708"/>
      <c r="L722" s="708"/>
      <c r="M722" s="708"/>
      <c r="N722" s="726"/>
      <c r="O722" s="726"/>
      <c r="P722" s="726"/>
      <c r="Q722" s="726"/>
      <c r="R722" s="726"/>
      <c r="S722" s="726"/>
      <c r="T722" s="726"/>
      <c r="U722" s="726"/>
      <c r="V722" s="726"/>
      <c r="W722" s="726"/>
      <c r="X722" s="726"/>
      <c r="Y722" s="726"/>
      <c r="Z722" s="726"/>
      <c r="AA722" s="708"/>
      <c r="AB722" s="708"/>
      <c r="AC722" s="708"/>
      <c r="AD722" s="708"/>
      <c r="AE722" s="708"/>
      <c r="AF722" s="708" t="s">
        <v>497</v>
      </c>
      <c r="AG722" s="708" t="s">
        <v>41</v>
      </c>
    </row>
    <row r="723" ht="24.95" customHeight="1" spans="1:33">
      <c r="A723" s="705">
        <v>95</v>
      </c>
      <c r="B723" s="95" t="s">
        <v>502</v>
      </c>
      <c r="C723" s="92"/>
      <c r="D723" s="76" t="s">
        <v>496</v>
      </c>
      <c r="E723" s="92"/>
      <c r="F723" s="92"/>
      <c r="G723" s="92"/>
      <c r="H723" s="92"/>
      <c r="I723" s="92"/>
      <c r="J723" s="92"/>
      <c r="K723" s="92"/>
      <c r="L723" s="92"/>
      <c r="M723" s="92"/>
      <c r="N723" s="724"/>
      <c r="O723" s="724"/>
      <c r="P723" s="724"/>
      <c r="Q723" s="724"/>
      <c r="R723" s="724"/>
      <c r="S723" s="724"/>
      <c r="T723" s="724"/>
      <c r="U723" s="724"/>
      <c r="V723" s="724"/>
      <c r="W723" s="724"/>
      <c r="X723" s="724"/>
      <c r="Y723" s="724"/>
      <c r="Z723" s="724"/>
      <c r="AA723" s="92"/>
      <c r="AB723" s="92"/>
      <c r="AC723" s="92"/>
      <c r="AD723" s="92"/>
      <c r="AE723" s="92"/>
      <c r="AF723" s="92" t="s">
        <v>497</v>
      </c>
      <c r="AG723" s="92" t="s">
        <v>41</v>
      </c>
    </row>
    <row r="724" ht="24.95" customHeight="1" spans="1:33">
      <c r="A724" s="705" t="s">
        <v>48</v>
      </c>
      <c r="B724" s="92" t="s">
        <v>148</v>
      </c>
      <c r="C724" s="92"/>
      <c r="D724" s="76"/>
      <c r="E724" s="92"/>
      <c r="F724" s="92"/>
      <c r="G724" s="92"/>
      <c r="H724" s="92"/>
      <c r="I724" s="92"/>
      <c r="J724" s="92"/>
      <c r="K724" s="92"/>
      <c r="L724" s="92"/>
      <c r="M724" s="92"/>
      <c r="N724" s="724"/>
      <c r="O724" s="724"/>
      <c r="P724" s="724"/>
      <c r="Q724" s="724"/>
      <c r="R724" s="724"/>
      <c r="S724" s="724"/>
      <c r="T724" s="724"/>
      <c r="U724" s="724"/>
      <c r="V724" s="724"/>
      <c r="W724" s="724"/>
      <c r="X724" s="724"/>
      <c r="Y724" s="724"/>
      <c r="Z724" s="724"/>
      <c r="AA724" s="92"/>
      <c r="AB724" s="92"/>
      <c r="AC724" s="92"/>
      <c r="AD724" s="92"/>
      <c r="AE724" s="92"/>
      <c r="AF724" s="92"/>
      <c r="AG724" s="92"/>
    </row>
    <row r="725" ht="24.95" customHeight="1" spans="1:33">
      <c r="A725" s="705">
        <v>96</v>
      </c>
      <c r="B725" s="95" t="s">
        <v>503</v>
      </c>
      <c r="C725" s="92"/>
      <c r="D725" s="76" t="s">
        <v>496</v>
      </c>
      <c r="E725" s="92"/>
      <c r="F725" s="92"/>
      <c r="G725" s="92"/>
      <c r="H725" s="92"/>
      <c r="I725" s="92"/>
      <c r="J725" s="92"/>
      <c r="K725" s="92"/>
      <c r="L725" s="92"/>
      <c r="M725" s="92"/>
      <c r="N725" s="724"/>
      <c r="O725" s="724"/>
      <c r="P725" s="724"/>
      <c r="Q725" s="724"/>
      <c r="R725" s="724"/>
      <c r="S725" s="724"/>
      <c r="T725" s="724"/>
      <c r="U725" s="724"/>
      <c r="V725" s="724"/>
      <c r="W725" s="724"/>
      <c r="X725" s="724"/>
      <c r="Y725" s="724"/>
      <c r="Z725" s="724"/>
      <c r="AA725" s="92"/>
      <c r="AB725" s="92"/>
      <c r="AC725" s="92"/>
      <c r="AD725" s="92"/>
      <c r="AE725" s="92"/>
      <c r="AF725" s="92" t="s">
        <v>497</v>
      </c>
      <c r="AG725" s="92" t="s">
        <v>41</v>
      </c>
    </row>
    <row r="726" ht="24.95" customHeight="1" spans="1:33">
      <c r="A726" s="705" t="s">
        <v>48</v>
      </c>
      <c r="B726" s="92" t="s">
        <v>148</v>
      </c>
      <c r="C726" s="92"/>
      <c r="D726" s="76"/>
      <c r="E726" s="92"/>
      <c r="F726" s="92"/>
      <c r="G726" s="92"/>
      <c r="H726" s="92"/>
      <c r="I726" s="92"/>
      <c r="J726" s="92"/>
      <c r="K726" s="92"/>
      <c r="L726" s="92"/>
      <c r="M726" s="92"/>
      <c r="N726" s="724"/>
      <c r="O726" s="724"/>
      <c r="P726" s="724"/>
      <c r="Q726" s="724"/>
      <c r="R726" s="724"/>
      <c r="S726" s="724"/>
      <c r="T726" s="724"/>
      <c r="U726" s="724"/>
      <c r="V726" s="724"/>
      <c r="W726" s="724"/>
      <c r="X726" s="724"/>
      <c r="Y726" s="724"/>
      <c r="Z726" s="724"/>
      <c r="AA726" s="92"/>
      <c r="AB726" s="92"/>
      <c r="AC726" s="92"/>
      <c r="AD726" s="92"/>
      <c r="AE726" s="92"/>
      <c r="AF726" s="92"/>
      <c r="AG726" s="92"/>
    </row>
    <row r="727" ht="24.95" customHeight="1" spans="1:33">
      <c r="A727" s="705">
        <v>97</v>
      </c>
      <c r="B727" s="95" t="s">
        <v>504</v>
      </c>
      <c r="C727" s="92"/>
      <c r="D727" s="76" t="s">
        <v>496</v>
      </c>
      <c r="E727" s="92"/>
      <c r="F727" s="92"/>
      <c r="G727" s="92"/>
      <c r="H727" s="92"/>
      <c r="I727" s="92"/>
      <c r="J727" s="92"/>
      <c r="K727" s="92"/>
      <c r="L727" s="92"/>
      <c r="M727" s="92"/>
      <c r="N727" s="724"/>
      <c r="O727" s="724"/>
      <c r="P727" s="724"/>
      <c r="Q727" s="724"/>
      <c r="R727" s="724"/>
      <c r="S727" s="724"/>
      <c r="T727" s="724"/>
      <c r="U727" s="724"/>
      <c r="V727" s="724"/>
      <c r="W727" s="724"/>
      <c r="X727" s="724"/>
      <c r="Y727" s="724"/>
      <c r="Z727" s="724"/>
      <c r="AA727" s="92"/>
      <c r="AB727" s="92"/>
      <c r="AC727" s="92"/>
      <c r="AD727" s="92"/>
      <c r="AE727" s="92"/>
      <c r="AF727" s="92" t="s">
        <v>497</v>
      </c>
      <c r="AG727" s="92" t="s">
        <v>41</v>
      </c>
    </row>
    <row r="728" ht="24.95" customHeight="1" spans="1:33">
      <c r="A728" s="705" t="s">
        <v>48</v>
      </c>
      <c r="B728" s="92" t="s">
        <v>148</v>
      </c>
      <c r="C728" s="92"/>
      <c r="D728" s="76"/>
      <c r="E728" s="92"/>
      <c r="F728" s="92"/>
      <c r="G728" s="92"/>
      <c r="H728" s="92"/>
      <c r="I728" s="92"/>
      <c r="J728" s="92"/>
      <c r="K728" s="92"/>
      <c r="L728" s="92"/>
      <c r="M728" s="92"/>
      <c r="N728" s="724"/>
      <c r="O728" s="724"/>
      <c r="P728" s="724"/>
      <c r="Q728" s="724"/>
      <c r="R728" s="724"/>
      <c r="S728" s="724"/>
      <c r="T728" s="724"/>
      <c r="U728" s="724"/>
      <c r="V728" s="724"/>
      <c r="W728" s="724"/>
      <c r="X728" s="724"/>
      <c r="Y728" s="724"/>
      <c r="Z728" s="724"/>
      <c r="AA728" s="92"/>
      <c r="AB728" s="92"/>
      <c r="AC728" s="92"/>
      <c r="AD728" s="92"/>
      <c r="AE728" s="92"/>
      <c r="AF728" s="92"/>
      <c r="AG728" s="92"/>
    </row>
    <row r="729" s="570" customFormat="1" ht="24.95" customHeight="1" spans="1:33">
      <c r="A729" s="705">
        <v>98</v>
      </c>
      <c r="B729" s="708" t="s">
        <v>505</v>
      </c>
      <c r="C729" s="708"/>
      <c r="D729" s="709"/>
      <c r="E729" s="708">
        <f>SUM(E730:E742)</f>
        <v>61</v>
      </c>
      <c r="F729" s="708">
        <f t="shared" ref="F729:AA729" si="74">SUM(F730:F742)</f>
        <v>0</v>
      </c>
      <c r="G729" s="708">
        <f t="shared" si="74"/>
        <v>0</v>
      </c>
      <c r="H729" s="708">
        <f t="shared" si="74"/>
        <v>61</v>
      </c>
      <c r="I729" s="708">
        <f t="shared" si="74"/>
        <v>0</v>
      </c>
      <c r="J729" s="708">
        <f t="shared" si="74"/>
        <v>0</v>
      </c>
      <c r="K729" s="708">
        <f t="shared" si="74"/>
        <v>61</v>
      </c>
      <c r="L729" s="708"/>
      <c r="M729" s="708"/>
      <c r="N729" s="708">
        <f t="shared" si="74"/>
        <v>4317.7045</v>
      </c>
      <c r="O729" s="708">
        <f t="shared" si="74"/>
        <v>0</v>
      </c>
      <c r="P729" s="708">
        <f t="shared" si="74"/>
        <v>0</v>
      </c>
      <c r="Q729" s="708">
        <f t="shared" si="74"/>
        <v>4317.7045</v>
      </c>
      <c r="R729" s="708">
        <f t="shared" si="74"/>
        <v>0</v>
      </c>
      <c r="S729" s="708">
        <f t="shared" si="74"/>
        <v>4317.7045</v>
      </c>
      <c r="T729" s="708">
        <f t="shared" si="74"/>
        <v>0</v>
      </c>
      <c r="U729" s="708">
        <f t="shared" si="74"/>
        <v>0</v>
      </c>
      <c r="V729" s="708">
        <f t="shared" si="74"/>
        <v>0</v>
      </c>
      <c r="W729" s="708">
        <f t="shared" si="74"/>
        <v>0</v>
      </c>
      <c r="X729" s="708">
        <f t="shared" si="74"/>
        <v>0</v>
      </c>
      <c r="Y729" s="763">
        <f t="shared" si="74"/>
        <v>7627.47368421053</v>
      </c>
      <c r="Z729" s="708">
        <f t="shared" si="74"/>
        <v>30176</v>
      </c>
      <c r="AA729" s="708">
        <f t="shared" si="74"/>
        <v>61</v>
      </c>
      <c r="AB729" s="708"/>
      <c r="AC729" s="708"/>
      <c r="AD729" s="146" t="s">
        <v>507</v>
      </c>
      <c r="AE729" s="146" t="s">
        <v>508</v>
      </c>
      <c r="AF729" s="146" t="s">
        <v>275</v>
      </c>
      <c r="AG729" s="708" t="s">
        <v>41</v>
      </c>
    </row>
    <row r="730" s="570" customFormat="1" ht="24.95" customHeight="1" spans="1:33">
      <c r="A730" s="705"/>
      <c r="B730" s="798" t="s">
        <v>69</v>
      </c>
      <c r="C730" s="146" t="s">
        <v>52</v>
      </c>
      <c r="D730" s="152" t="s">
        <v>509</v>
      </c>
      <c r="E730" s="708"/>
      <c r="F730" s="798"/>
      <c r="G730" s="708"/>
      <c r="H730" s="708"/>
      <c r="I730" s="708"/>
      <c r="J730" s="708"/>
      <c r="K730" s="708"/>
      <c r="L730" s="92"/>
      <c r="M730" s="92"/>
      <c r="N730" s="726"/>
      <c r="O730" s="726"/>
      <c r="P730" s="726"/>
      <c r="Q730" s="726"/>
      <c r="R730" s="726"/>
      <c r="S730" s="726"/>
      <c r="T730" s="726"/>
      <c r="U730" s="726"/>
      <c r="V730" s="726"/>
      <c r="W730" s="726"/>
      <c r="X730" s="726"/>
      <c r="Y730" s="763"/>
      <c r="Z730" s="763"/>
      <c r="AA730" s="708"/>
      <c r="AB730" s="708"/>
      <c r="AC730" s="708"/>
      <c r="AD730" s="146"/>
      <c r="AE730" s="146"/>
      <c r="AF730" s="146"/>
      <c r="AG730" s="708"/>
    </row>
    <row r="731" s="570" customFormat="1" ht="24.95" customHeight="1" spans="1:33">
      <c r="A731" s="705"/>
      <c r="B731" s="798" t="s">
        <v>51</v>
      </c>
      <c r="C731" s="146" t="s">
        <v>52</v>
      </c>
      <c r="D731" s="152" t="s">
        <v>509</v>
      </c>
      <c r="E731" s="708"/>
      <c r="F731" s="798"/>
      <c r="G731" s="708"/>
      <c r="H731" s="708"/>
      <c r="I731" s="708"/>
      <c r="J731" s="708"/>
      <c r="K731" s="708"/>
      <c r="L731" s="92"/>
      <c r="M731" s="92"/>
      <c r="N731" s="726"/>
      <c r="O731" s="726"/>
      <c r="P731" s="726"/>
      <c r="Q731" s="726"/>
      <c r="R731" s="726"/>
      <c r="S731" s="726"/>
      <c r="T731" s="726"/>
      <c r="U731" s="726"/>
      <c r="V731" s="726"/>
      <c r="W731" s="726"/>
      <c r="X731" s="726"/>
      <c r="Y731" s="763"/>
      <c r="Z731" s="763"/>
      <c r="AA731" s="708"/>
      <c r="AB731" s="708"/>
      <c r="AC731" s="708"/>
      <c r="AD731" s="146"/>
      <c r="AE731" s="146"/>
      <c r="AF731" s="146"/>
      <c r="AG731" s="708"/>
    </row>
    <row r="732" s="570" customFormat="1" ht="24.95" customHeight="1" spans="1:33">
      <c r="A732" s="705"/>
      <c r="B732" s="798" t="s">
        <v>72</v>
      </c>
      <c r="C732" s="146" t="s">
        <v>52</v>
      </c>
      <c r="D732" s="152" t="s">
        <v>509</v>
      </c>
      <c r="E732" s="708">
        <v>12</v>
      </c>
      <c r="F732" s="798" t="s">
        <v>72</v>
      </c>
      <c r="G732" s="708"/>
      <c r="H732" s="708">
        <v>12</v>
      </c>
      <c r="I732" s="708"/>
      <c r="J732" s="708"/>
      <c r="K732" s="708">
        <v>12</v>
      </c>
      <c r="L732" s="92">
        <v>2020.01</v>
      </c>
      <c r="M732" s="92">
        <v>2020.12</v>
      </c>
      <c r="N732" s="726">
        <v>160</v>
      </c>
      <c r="O732" s="726"/>
      <c r="P732" s="726"/>
      <c r="Q732" s="726">
        <v>160</v>
      </c>
      <c r="R732" s="726"/>
      <c r="S732" s="726">
        <v>160</v>
      </c>
      <c r="T732" s="726"/>
      <c r="U732" s="726"/>
      <c r="V732" s="726"/>
      <c r="W732" s="726"/>
      <c r="X732" s="726"/>
      <c r="Y732" s="763">
        <v>650.789473684211</v>
      </c>
      <c r="Z732" s="763">
        <v>2482</v>
      </c>
      <c r="AA732" s="708">
        <v>12</v>
      </c>
      <c r="AB732" s="708"/>
      <c r="AC732" s="708"/>
      <c r="AD732" s="146" t="s">
        <v>73</v>
      </c>
      <c r="AE732" s="146" t="s">
        <v>513</v>
      </c>
      <c r="AF732" s="146" t="s">
        <v>275</v>
      </c>
      <c r="AG732" s="708"/>
    </row>
    <row r="733" s="570" customFormat="1" ht="24.95" customHeight="1" spans="1:33">
      <c r="A733" s="705"/>
      <c r="B733" s="798" t="s">
        <v>91</v>
      </c>
      <c r="C733" s="146" t="s">
        <v>52</v>
      </c>
      <c r="D733" s="152" t="s">
        <v>509</v>
      </c>
      <c r="E733" s="708"/>
      <c r="F733" s="798"/>
      <c r="G733" s="708"/>
      <c r="H733" s="708"/>
      <c r="I733" s="708"/>
      <c r="J733" s="708"/>
      <c r="K733" s="708"/>
      <c r="L733" s="92"/>
      <c r="M733" s="92"/>
      <c r="N733" s="726"/>
      <c r="O733" s="726"/>
      <c r="P733" s="726"/>
      <c r="Q733" s="726"/>
      <c r="R733" s="726"/>
      <c r="S733" s="726"/>
      <c r="T733" s="726"/>
      <c r="U733" s="726"/>
      <c r="V733" s="726"/>
      <c r="W733" s="726"/>
      <c r="X733" s="726"/>
      <c r="Y733" s="763"/>
      <c r="Z733" s="763"/>
      <c r="AA733" s="708"/>
      <c r="AB733" s="708"/>
      <c r="AC733" s="708"/>
      <c r="AD733" s="146"/>
      <c r="AE733" s="146"/>
      <c r="AF733" s="146"/>
      <c r="AG733" s="708"/>
    </row>
    <row r="734" s="570" customFormat="1" ht="24.95" customHeight="1" spans="1:33">
      <c r="A734" s="705"/>
      <c r="B734" s="798" t="s">
        <v>55</v>
      </c>
      <c r="C734" s="146" t="s">
        <v>52</v>
      </c>
      <c r="D734" s="152" t="s">
        <v>509</v>
      </c>
      <c r="E734" s="708">
        <v>5</v>
      </c>
      <c r="F734" s="798" t="s">
        <v>55</v>
      </c>
      <c r="G734" s="708"/>
      <c r="H734" s="708">
        <v>5</v>
      </c>
      <c r="I734" s="708"/>
      <c r="J734" s="708"/>
      <c r="K734" s="708">
        <v>5</v>
      </c>
      <c r="L734" s="92">
        <v>2020.01</v>
      </c>
      <c r="M734" s="92">
        <v>2020.12</v>
      </c>
      <c r="N734" s="726">
        <v>238</v>
      </c>
      <c r="O734" s="726"/>
      <c r="P734" s="726"/>
      <c r="Q734" s="726">
        <v>238</v>
      </c>
      <c r="R734" s="726"/>
      <c r="S734" s="726">
        <v>238</v>
      </c>
      <c r="T734" s="726"/>
      <c r="U734" s="726"/>
      <c r="V734" s="726"/>
      <c r="W734" s="726"/>
      <c r="X734" s="726"/>
      <c r="Y734" s="763">
        <v>1180.78947368421</v>
      </c>
      <c r="Z734" s="763">
        <v>4582</v>
      </c>
      <c r="AA734" s="708">
        <v>5</v>
      </c>
      <c r="AB734" s="708"/>
      <c r="AC734" s="708"/>
      <c r="AD734" s="146" t="s">
        <v>56</v>
      </c>
      <c r="AE734" s="146" t="s">
        <v>514</v>
      </c>
      <c r="AF734" s="146" t="s">
        <v>275</v>
      </c>
      <c r="AG734" s="708"/>
    </row>
    <row r="735" s="570" customFormat="1" ht="24.95" customHeight="1" spans="1:33">
      <c r="A735" s="705"/>
      <c r="B735" s="798" t="s">
        <v>75</v>
      </c>
      <c r="C735" s="146" t="s">
        <v>52</v>
      </c>
      <c r="D735" s="152" t="s">
        <v>509</v>
      </c>
      <c r="E735" s="708">
        <v>11</v>
      </c>
      <c r="F735" s="798" t="s">
        <v>75</v>
      </c>
      <c r="G735" s="708"/>
      <c r="H735" s="708">
        <v>11</v>
      </c>
      <c r="I735" s="708"/>
      <c r="J735" s="708"/>
      <c r="K735" s="708">
        <v>11</v>
      </c>
      <c r="L735" s="92">
        <v>2020.01</v>
      </c>
      <c r="M735" s="92">
        <v>2020.12</v>
      </c>
      <c r="N735" s="726">
        <v>219.75</v>
      </c>
      <c r="O735" s="726"/>
      <c r="P735" s="726"/>
      <c r="Q735" s="726">
        <v>219.75</v>
      </c>
      <c r="R735" s="726"/>
      <c r="S735" s="726">
        <v>219.75</v>
      </c>
      <c r="T735" s="726"/>
      <c r="U735" s="726"/>
      <c r="V735" s="726"/>
      <c r="W735" s="726"/>
      <c r="X735" s="726"/>
      <c r="Y735" s="763">
        <v>1138</v>
      </c>
      <c r="Z735" s="763">
        <v>5107</v>
      </c>
      <c r="AA735" s="708">
        <v>11</v>
      </c>
      <c r="AB735" s="708"/>
      <c r="AC735" s="708"/>
      <c r="AD735" s="146" t="s">
        <v>397</v>
      </c>
      <c r="AE735" s="146" t="s">
        <v>515</v>
      </c>
      <c r="AF735" s="146" t="s">
        <v>275</v>
      </c>
      <c r="AG735" s="708"/>
    </row>
    <row r="736" s="570" customFormat="1" ht="24.95" customHeight="1" spans="1:33">
      <c r="A736" s="705"/>
      <c r="B736" s="798" t="s">
        <v>58</v>
      </c>
      <c r="C736" s="146" t="s">
        <v>52</v>
      </c>
      <c r="D736" s="152" t="s">
        <v>509</v>
      </c>
      <c r="E736" s="708">
        <v>15</v>
      </c>
      <c r="F736" s="798" t="s">
        <v>58</v>
      </c>
      <c r="G736" s="708"/>
      <c r="H736" s="708">
        <v>15</v>
      </c>
      <c r="I736" s="708"/>
      <c r="J736" s="708"/>
      <c r="K736" s="708">
        <v>15</v>
      </c>
      <c r="L736" s="92">
        <v>2020.01</v>
      </c>
      <c r="M736" s="92">
        <v>2020.12</v>
      </c>
      <c r="N736" s="726">
        <v>1711</v>
      </c>
      <c r="O736" s="726"/>
      <c r="P736" s="726"/>
      <c r="Q736" s="726">
        <v>1711</v>
      </c>
      <c r="R736" s="726"/>
      <c r="S736" s="726">
        <v>1711</v>
      </c>
      <c r="T736" s="726"/>
      <c r="U736" s="726"/>
      <c r="V736" s="726"/>
      <c r="W736" s="726"/>
      <c r="X736" s="726"/>
      <c r="Y736" s="763">
        <v>671.157894736842</v>
      </c>
      <c r="Z736" s="763">
        <v>2606</v>
      </c>
      <c r="AA736" s="708">
        <v>15</v>
      </c>
      <c r="AB736" s="708"/>
      <c r="AC736" s="708"/>
      <c r="AD736" s="146" t="s">
        <v>476</v>
      </c>
      <c r="AE736" s="146" t="s">
        <v>516</v>
      </c>
      <c r="AF736" s="146" t="s">
        <v>275</v>
      </c>
      <c r="AG736" s="708"/>
    </row>
    <row r="737" s="570" customFormat="1" ht="24.95" customHeight="1" spans="1:33">
      <c r="A737" s="705"/>
      <c r="B737" s="798" t="s">
        <v>61</v>
      </c>
      <c r="C737" s="146" t="s">
        <v>52</v>
      </c>
      <c r="D737" s="152" t="s">
        <v>509</v>
      </c>
      <c r="E737" s="708">
        <v>1</v>
      </c>
      <c r="F737" s="798" t="s">
        <v>61</v>
      </c>
      <c r="G737" s="708"/>
      <c r="H737" s="708">
        <v>1</v>
      </c>
      <c r="I737" s="708"/>
      <c r="J737" s="708"/>
      <c r="K737" s="708">
        <v>1</v>
      </c>
      <c r="L737" s="92">
        <v>2020.01</v>
      </c>
      <c r="M737" s="92">
        <v>2020.12</v>
      </c>
      <c r="N737" s="726">
        <v>325</v>
      </c>
      <c r="O737" s="726"/>
      <c r="P737" s="726"/>
      <c r="Q737" s="726">
        <v>325</v>
      </c>
      <c r="R737" s="726"/>
      <c r="S737" s="726">
        <v>325</v>
      </c>
      <c r="T737" s="726"/>
      <c r="U737" s="726"/>
      <c r="V737" s="726"/>
      <c r="W737" s="726"/>
      <c r="X737" s="726"/>
      <c r="Y737" s="763">
        <v>1715.42105263158</v>
      </c>
      <c r="Z737" s="763">
        <v>6553</v>
      </c>
      <c r="AA737" s="708">
        <v>1</v>
      </c>
      <c r="AB737" s="708"/>
      <c r="AC737" s="708"/>
      <c r="AD737" s="146" t="s">
        <v>215</v>
      </c>
      <c r="AE737" s="146" t="s">
        <v>517</v>
      </c>
      <c r="AF737" s="146" t="s">
        <v>275</v>
      </c>
      <c r="AG737" s="708"/>
    </row>
    <row r="738" s="570" customFormat="1" ht="24.95" customHeight="1" spans="1:33">
      <c r="A738" s="705"/>
      <c r="B738" s="798" t="s">
        <v>78</v>
      </c>
      <c r="C738" s="146" t="s">
        <v>52</v>
      </c>
      <c r="D738" s="152" t="s">
        <v>509</v>
      </c>
      <c r="E738" s="708">
        <v>2</v>
      </c>
      <c r="F738" s="798" t="s">
        <v>78</v>
      </c>
      <c r="G738" s="708"/>
      <c r="H738" s="708">
        <v>2</v>
      </c>
      <c r="I738" s="708"/>
      <c r="J738" s="708"/>
      <c r="K738" s="708">
        <v>2</v>
      </c>
      <c r="L738" s="92">
        <v>2020.01</v>
      </c>
      <c r="M738" s="92">
        <v>2020.12</v>
      </c>
      <c r="N738" s="726">
        <v>950</v>
      </c>
      <c r="O738" s="726"/>
      <c r="P738" s="726"/>
      <c r="Q738" s="726">
        <v>950</v>
      </c>
      <c r="R738" s="726"/>
      <c r="S738" s="726">
        <v>950</v>
      </c>
      <c r="T738" s="726"/>
      <c r="U738" s="726"/>
      <c r="V738" s="726"/>
      <c r="W738" s="726"/>
      <c r="X738" s="726"/>
      <c r="Y738" s="763">
        <v>664.473684210526</v>
      </c>
      <c r="Z738" s="763">
        <v>2525</v>
      </c>
      <c r="AA738" s="708">
        <v>2</v>
      </c>
      <c r="AB738" s="708"/>
      <c r="AC738" s="708"/>
      <c r="AD738" s="146" t="s">
        <v>518</v>
      </c>
      <c r="AE738" s="146" t="s">
        <v>519</v>
      </c>
      <c r="AF738" s="146" t="s">
        <v>275</v>
      </c>
      <c r="AG738" s="708"/>
    </row>
    <row r="739" s="570" customFormat="1" ht="24.95" customHeight="1" spans="1:33">
      <c r="A739" s="705"/>
      <c r="B739" s="798" t="s">
        <v>114</v>
      </c>
      <c r="C739" s="146" t="s">
        <v>52</v>
      </c>
      <c r="D739" s="152" t="s">
        <v>509</v>
      </c>
      <c r="E739" s="708">
        <v>3</v>
      </c>
      <c r="F739" s="798" t="s">
        <v>114</v>
      </c>
      <c r="G739" s="708"/>
      <c r="H739" s="708">
        <v>3</v>
      </c>
      <c r="I739" s="708"/>
      <c r="J739" s="708"/>
      <c r="K739" s="708">
        <v>3</v>
      </c>
      <c r="L739" s="92">
        <v>2020.01</v>
      </c>
      <c r="M739" s="92">
        <v>2020.12</v>
      </c>
      <c r="N739" s="726">
        <v>34.43</v>
      </c>
      <c r="O739" s="726"/>
      <c r="P739" s="726"/>
      <c r="Q739" s="726">
        <v>34.43</v>
      </c>
      <c r="R739" s="726"/>
      <c r="S739" s="726">
        <v>34.43</v>
      </c>
      <c r="T739" s="726"/>
      <c r="U739" s="726"/>
      <c r="V739" s="726"/>
      <c r="W739" s="726"/>
      <c r="X739" s="726"/>
      <c r="Y739" s="763">
        <v>228.684210526316</v>
      </c>
      <c r="Z739" s="763">
        <v>867</v>
      </c>
      <c r="AA739" s="708">
        <v>3</v>
      </c>
      <c r="AB739" s="708"/>
      <c r="AC739" s="708"/>
      <c r="AD739" s="146" t="s">
        <v>520</v>
      </c>
      <c r="AE739" s="146" t="s">
        <v>521</v>
      </c>
      <c r="AF739" s="146" t="s">
        <v>275</v>
      </c>
      <c r="AG739" s="708"/>
    </row>
    <row r="740" s="570" customFormat="1" ht="24.95" customHeight="1" spans="1:33">
      <c r="A740" s="705"/>
      <c r="B740" s="798" t="s">
        <v>64</v>
      </c>
      <c r="C740" s="146" t="s">
        <v>52</v>
      </c>
      <c r="D740" s="152" t="s">
        <v>509</v>
      </c>
      <c r="E740" s="708">
        <v>12</v>
      </c>
      <c r="F740" s="798" t="s">
        <v>64</v>
      </c>
      <c r="G740" s="708"/>
      <c r="H740" s="708">
        <v>12</v>
      </c>
      <c r="I740" s="708"/>
      <c r="J740" s="708"/>
      <c r="K740" s="708">
        <v>12</v>
      </c>
      <c r="L740" s="92">
        <v>2020.01</v>
      </c>
      <c r="M740" s="92">
        <v>2020.12</v>
      </c>
      <c r="N740" s="726">
        <v>100.29</v>
      </c>
      <c r="O740" s="726"/>
      <c r="P740" s="726"/>
      <c r="Q740" s="726">
        <v>100.29</v>
      </c>
      <c r="R740" s="726"/>
      <c r="S740" s="726">
        <v>100.29</v>
      </c>
      <c r="T740" s="726"/>
      <c r="U740" s="726"/>
      <c r="V740" s="726"/>
      <c r="W740" s="726"/>
      <c r="X740" s="726"/>
      <c r="Y740" s="763">
        <v>708.526315789474</v>
      </c>
      <c r="Z740" s="763">
        <v>2847</v>
      </c>
      <c r="AA740" s="708">
        <v>12</v>
      </c>
      <c r="AB740" s="708"/>
      <c r="AC740" s="708"/>
      <c r="AD740" s="146" t="s">
        <v>115</v>
      </c>
      <c r="AE740" s="146" t="s">
        <v>522</v>
      </c>
      <c r="AF740" s="146" t="s">
        <v>275</v>
      </c>
      <c r="AG740" s="708"/>
    </row>
    <row r="741" s="570" customFormat="1" ht="24.95" customHeight="1" spans="1:33">
      <c r="A741" s="705"/>
      <c r="B741" s="798" t="s">
        <v>92</v>
      </c>
      <c r="C741" s="146" t="s">
        <v>52</v>
      </c>
      <c r="D741" s="152" t="s">
        <v>509</v>
      </c>
      <c r="E741" s="708"/>
      <c r="F741" s="798" t="s">
        <v>92</v>
      </c>
      <c r="G741" s="708"/>
      <c r="H741" s="708"/>
      <c r="I741" s="708"/>
      <c r="J741" s="708"/>
      <c r="K741" s="708"/>
      <c r="L741" s="92">
        <v>2020.01</v>
      </c>
      <c r="M741" s="92">
        <v>2020.12</v>
      </c>
      <c r="N741" s="726">
        <v>579.2345</v>
      </c>
      <c r="O741" s="726"/>
      <c r="P741" s="726"/>
      <c r="Q741" s="726">
        <v>579.2345</v>
      </c>
      <c r="R741" s="726"/>
      <c r="S741" s="726">
        <v>579.2345</v>
      </c>
      <c r="T741" s="726"/>
      <c r="U741" s="726"/>
      <c r="V741" s="726"/>
      <c r="W741" s="726"/>
      <c r="X741" s="726"/>
      <c r="Y741" s="763">
        <v>669.631578947368</v>
      </c>
      <c r="Z741" s="763">
        <v>2607</v>
      </c>
      <c r="AA741" s="708"/>
      <c r="AB741" s="708"/>
      <c r="AC741" s="708"/>
      <c r="AD741" s="146" t="s">
        <v>93</v>
      </c>
      <c r="AE741" s="146" t="s">
        <v>523</v>
      </c>
      <c r="AF741" s="146" t="s">
        <v>275</v>
      </c>
      <c r="AG741" s="708"/>
    </row>
    <row r="742" s="694" customFormat="1" ht="24.95" customHeight="1" spans="1:33">
      <c r="A742" s="705"/>
      <c r="B742" s="799" t="s">
        <v>524</v>
      </c>
      <c r="C742" s="800"/>
      <c r="D742" s="152"/>
      <c r="E742" s="708"/>
      <c r="F742" s="798"/>
      <c r="G742" s="708"/>
      <c r="H742" s="708"/>
      <c r="I742" s="708"/>
      <c r="J742" s="708"/>
      <c r="K742" s="708"/>
      <c r="L742" s="92"/>
      <c r="M742" s="92"/>
      <c r="N742" s="726"/>
      <c r="O742" s="726"/>
      <c r="P742" s="726"/>
      <c r="Q742" s="726"/>
      <c r="R742" s="726"/>
      <c r="S742" s="726"/>
      <c r="T742" s="726"/>
      <c r="U742" s="726"/>
      <c r="V742" s="726"/>
      <c r="W742" s="726"/>
      <c r="X742" s="726"/>
      <c r="Y742" s="763"/>
      <c r="Z742" s="763"/>
      <c r="AA742" s="708"/>
      <c r="AB742" s="708"/>
      <c r="AC742" s="708"/>
      <c r="AD742" s="146"/>
      <c r="AE742" s="146"/>
      <c r="AF742" s="146"/>
      <c r="AG742" s="708"/>
    </row>
    <row r="743" s="694" customFormat="1" ht="24.95" customHeight="1" spans="1:33">
      <c r="A743" s="705"/>
      <c r="B743" s="132" t="s">
        <v>525</v>
      </c>
      <c r="C743" s="212" t="s">
        <v>162</v>
      </c>
      <c r="D743" s="71" t="s">
        <v>147</v>
      </c>
      <c r="E743" s="708"/>
      <c r="F743" s="801"/>
      <c r="G743" s="801"/>
      <c r="H743" s="708"/>
      <c r="I743" s="708"/>
      <c r="J743" s="708"/>
      <c r="K743" s="708"/>
      <c r="L743" s="92"/>
      <c r="M743" s="92"/>
      <c r="N743" s="726"/>
      <c r="O743" s="726"/>
      <c r="P743" s="726"/>
      <c r="Q743" s="726"/>
      <c r="R743" s="726"/>
      <c r="S743" s="726"/>
      <c r="T743" s="726"/>
      <c r="U743" s="726"/>
      <c r="V743" s="726"/>
      <c r="W743" s="726"/>
      <c r="X743" s="769"/>
      <c r="Y743" s="763"/>
      <c r="Z743" s="763"/>
      <c r="AA743" s="708"/>
      <c r="AB743" s="708"/>
      <c r="AC743" s="708"/>
      <c r="AD743" s="146"/>
      <c r="AE743" s="146"/>
      <c r="AF743" s="146"/>
      <c r="AG743" s="708"/>
    </row>
    <row r="744" s="694" customFormat="1" ht="24.95" customHeight="1" spans="1:33">
      <c r="A744" s="705"/>
      <c r="B744" s="132" t="s">
        <v>526</v>
      </c>
      <c r="C744" s="212" t="s">
        <v>162</v>
      </c>
      <c r="D744" s="71" t="s">
        <v>147</v>
      </c>
      <c r="E744" s="708"/>
      <c r="F744" s="801"/>
      <c r="G744" s="801"/>
      <c r="H744" s="708"/>
      <c r="I744" s="708"/>
      <c r="J744" s="708"/>
      <c r="K744" s="708"/>
      <c r="L744" s="92"/>
      <c r="M744" s="92"/>
      <c r="N744" s="726"/>
      <c r="O744" s="726"/>
      <c r="P744" s="726"/>
      <c r="Q744" s="726"/>
      <c r="R744" s="726"/>
      <c r="S744" s="726"/>
      <c r="T744" s="726"/>
      <c r="U744" s="726"/>
      <c r="V744" s="726"/>
      <c r="W744" s="726"/>
      <c r="X744" s="769"/>
      <c r="Y744" s="763"/>
      <c r="Z744" s="763"/>
      <c r="AA744" s="708"/>
      <c r="AB744" s="708"/>
      <c r="AC744" s="708"/>
      <c r="AD744" s="146"/>
      <c r="AE744" s="146"/>
      <c r="AF744" s="146"/>
      <c r="AG744" s="708"/>
    </row>
    <row r="745" s="694" customFormat="1" ht="24.95" customHeight="1" spans="1:33">
      <c r="A745" s="705"/>
      <c r="B745" s="132" t="s">
        <v>527</v>
      </c>
      <c r="C745" s="212" t="s">
        <v>162</v>
      </c>
      <c r="D745" s="71" t="s">
        <v>147</v>
      </c>
      <c r="E745" s="708"/>
      <c r="F745" s="801"/>
      <c r="G745" s="801"/>
      <c r="H745" s="708"/>
      <c r="I745" s="708"/>
      <c r="J745" s="708"/>
      <c r="K745" s="708"/>
      <c r="L745" s="92"/>
      <c r="M745" s="92"/>
      <c r="N745" s="726"/>
      <c r="O745" s="726"/>
      <c r="P745" s="726"/>
      <c r="Q745" s="726"/>
      <c r="R745" s="726"/>
      <c r="S745" s="726"/>
      <c r="T745" s="726"/>
      <c r="U745" s="726"/>
      <c r="V745" s="726"/>
      <c r="W745" s="726"/>
      <c r="X745" s="769"/>
      <c r="Y745" s="763"/>
      <c r="Z745" s="763"/>
      <c r="AA745" s="708"/>
      <c r="AB745" s="708"/>
      <c r="AC745" s="708"/>
      <c r="AD745" s="146"/>
      <c r="AE745" s="146"/>
      <c r="AF745" s="146"/>
      <c r="AG745" s="708"/>
    </row>
    <row r="746" s="694" customFormat="1" ht="24.95" customHeight="1" spans="1:33">
      <c r="A746" s="705"/>
      <c r="B746" s="132" t="s">
        <v>528</v>
      </c>
      <c r="C746" s="212" t="s">
        <v>162</v>
      </c>
      <c r="D746" s="71" t="s">
        <v>147</v>
      </c>
      <c r="E746" s="708"/>
      <c r="F746" s="801"/>
      <c r="G746" s="801"/>
      <c r="H746" s="708"/>
      <c r="I746" s="708"/>
      <c r="J746" s="708"/>
      <c r="K746" s="708"/>
      <c r="L746" s="92"/>
      <c r="M746" s="92"/>
      <c r="N746" s="726"/>
      <c r="O746" s="726"/>
      <c r="P746" s="726"/>
      <c r="Q746" s="726"/>
      <c r="R746" s="726"/>
      <c r="S746" s="726"/>
      <c r="T746" s="726"/>
      <c r="U746" s="726"/>
      <c r="V746" s="726"/>
      <c r="W746" s="726"/>
      <c r="X746" s="769"/>
      <c r="Y746" s="763"/>
      <c r="Z746" s="763"/>
      <c r="AA746" s="708"/>
      <c r="AB746" s="708"/>
      <c r="AC746" s="708"/>
      <c r="AD746" s="146"/>
      <c r="AE746" s="146"/>
      <c r="AF746" s="146"/>
      <c r="AG746" s="708"/>
    </row>
    <row r="747" s="694" customFormat="1" ht="24.95" customHeight="1" spans="1:33">
      <c r="A747" s="705"/>
      <c r="B747" s="132" t="s">
        <v>529</v>
      </c>
      <c r="C747" s="212" t="s">
        <v>162</v>
      </c>
      <c r="D747" s="71" t="s">
        <v>147</v>
      </c>
      <c r="E747" s="708"/>
      <c r="F747" s="801"/>
      <c r="G747" s="801"/>
      <c r="H747" s="708"/>
      <c r="I747" s="708"/>
      <c r="J747" s="708"/>
      <c r="K747" s="708"/>
      <c r="L747" s="92"/>
      <c r="M747" s="92"/>
      <c r="N747" s="726"/>
      <c r="O747" s="726"/>
      <c r="P747" s="726"/>
      <c r="Q747" s="726"/>
      <c r="R747" s="726"/>
      <c r="S747" s="726"/>
      <c r="T747" s="726"/>
      <c r="U747" s="726"/>
      <c r="V747" s="726"/>
      <c r="W747" s="726"/>
      <c r="X747" s="769"/>
      <c r="Y747" s="763"/>
      <c r="Z747" s="763"/>
      <c r="AA747" s="708"/>
      <c r="AB747" s="708"/>
      <c r="AC747" s="708"/>
      <c r="AD747" s="146"/>
      <c r="AE747" s="146"/>
      <c r="AF747" s="146"/>
      <c r="AG747" s="708"/>
    </row>
    <row r="748" s="694" customFormat="1" ht="24.95" customHeight="1" spans="1:33">
      <c r="A748" s="705"/>
      <c r="B748" s="132" t="s">
        <v>530</v>
      </c>
      <c r="C748" s="212" t="s">
        <v>162</v>
      </c>
      <c r="D748" s="71" t="s">
        <v>147</v>
      </c>
      <c r="E748" s="708"/>
      <c r="F748" s="801"/>
      <c r="G748" s="801"/>
      <c r="H748" s="708"/>
      <c r="I748" s="708"/>
      <c r="J748" s="708"/>
      <c r="K748" s="708"/>
      <c r="L748" s="92"/>
      <c r="M748" s="92"/>
      <c r="N748" s="726"/>
      <c r="O748" s="726"/>
      <c r="P748" s="726"/>
      <c r="Q748" s="726"/>
      <c r="R748" s="726"/>
      <c r="S748" s="726"/>
      <c r="T748" s="726"/>
      <c r="U748" s="726"/>
      <c r="V748" s="726"/>
      <c r="W748" s="726"/>
      <c r="X748" s="769"/>
      <c r="Y748" s="763"/>
      <c r="Z748" s="763"/>
      <c r="AA748" s="708"/>
      <c r="AB748" s="708"/>
      <c r="AC748" s="708"/>
      <c r="AD748" s="146"/>
      <c r="AE748" s="146"/>
      <c r="AF748" s="146"/>
      <c r="AG748" s="708"/>
    </row>
    <row r="749" s="694" customFormat="1" ht="24.95" customHeight="1" spans="1:33">
      <c r="A749" s="705"/>
      <c r="B749" s="132" t="s">
        <v>531</v>
      </c>
      <c r="C749" s="212" t="s">
        <v>162</v>
      </c>
      <c r="D749" s="71" t="s">
        <v>147</v>
      </c>
      <c r="E749" s="708"/>
      <c r="F749" s="801"/>
      <c r="G749" s="801"/>
      <c r="H749" s="708"/>
      <c r="I749" s="708"/>
      <c r="J749" s="708"/>
      <c r="K749" s="708"/>
      <c r="L749" s="92"/>
      <c r="M749" s="92"/>
      <c r="N749" s="726"/>
      <c r="O749" s="726"/>
      <c r="P749" s="726"/>
      <c r="Q749" s="726"/>
      <c r="R749" s="726"/>
      <c r="S749" s="726"/>
      <c r="T749" s="726"/>
      <c r="U749" s="726"/>
      <c r="V749" s="726"/>
      <c r="W749" s="726"/>
      <c r="X749" s="769"/>
      <c r="Y749" s="763"/>
      <c r="Z749" s="763"/>
      <c r="AA749" s="708"/>
      <c r="AB749" s="708"/>
      <c r="AC749" s="708"/>
      <c r="AD749" s="146"/>
      <c r="AE749" s="146"/>
      <c r="AF749" s="146"/>
      <c r="AG749" s="708"/>
    </row>
    <row r="750" s="694" customFormat="1" ht="24.95" customHeight="1" spans="1:33">
      <c r="A750" s="705"/>
      <c r="B750" s="132" t="s">
        <v>532</v>
      </c>
      <c r="C750" s="212" t="s">
        <v>162</v>
      </c>
      <c r="D750" s="71" t="s">
        <v>147</v>
      </c>
      <c r="E750" s="708"/>
      <c r="F750" s="801"/>
      <c r="G750" s="801"/>
      <c r="H750" s="708"/>
      <c r="I750" s="708"/>
      <c r="J750" s="708"/>
      <c r="K750" s="708"/>
      <c r="L750" s="92"/>
      <c r="M750" s="92"/>
      <c r="N750" s="726"/>
      <c r="O750" s="726"/>
      <c r="P750" s="726"/>
      <c r="Q750" s="726"/>
      <c r="R750" s="726"/>
      <c r="S750" s="726"/>
      <c r="T750" s="726"/>
      <c r="U750" s="726"/>
      <c r="V750" s="726"/>
      <c r="W750" s="726"/>
      <c r="X750" s="769"/>
      <c r="Y750" s="763"/>
      <c r="Z750" s="763"/>
      <c r="AA750" s="708"/>
      <c r="AB750" s="708"/>
      <c r="AC750" s="708"/>
      <c r="AD750" s="146"/>
      <c r="AE750" s="146"/>
      <c r="AF750" s="146"/>
      <c r="AG750" s="708"/>
    </row>
    <row r="751" s="694" customFormat="1" ht="24.95" customHeight="1" spans="1:33">
      <c r="A751" s="705"/>
      <c r="B751" s="132" t="s">
        <v>533</v>
      </c>
      <c r="C751" s="212" t="s">
        <v>162</v>
      </c>
      <c r="D751" s="71" t="s">
        <v>147</v>
      </c>
      <c r="E751" s="708"/>
      <c r="F751" s="801"/>
      <c r="G751" s="801"/>
      <c r="H751" s="708"/>
      <c r="I751" s="708"/>
      <c r="J751" s="708"/>
      <c r="K751" s="708"/>
      <c r="L751" s="92"/>
      <c r="M751" s="92"/>
      <c r="N751" s="726"/>
      <c r="O751" s="726"/>
      <c r="P751" s="726"/>
      <c r="Q751" s="726"/>
      <c r="R751" s="726"/>
      <c r="S751" s="726"/>
      <c r="T751" s="726"/>
      <c r="U751" s="726"/>
      <c r="V751" s="726"/>
      <c r="W751" s="726"/>
      <c r="X751" s="769"/>
      <c r="Y751" s="763"/>
      <c r="Z751" s="763"/>
      <c r="AA751" s="708"/>
      <c r="AB751" s="708"/>
      <c r="AC751" s="708"/>
      <c r="AD751" s="146"/>
      <c r="AE751" s="146"/>
      <c r="AF751" s="146"/>
      <c r="AG751" s="708"/>
    </row>
    <row r="752" s="694" customFormat="1" ht="24.95" customHeight="1" spans="1:33">
      <c r="A752" s="705"/>
      <c r="B752" s="132" t="s">
        <v>534</v>
      </c>
      <c r="C752" s="212" t="s">
        <v>162</v>
      </c>
      <c r="D752" s="71" t="s">
        <v>147</v>
      </c>
      <c r="E752" s="708"/>
      <c r="F752" s="801"/>
      <c r="G752" s="801"/>
      <c r="H752" s="708"/>
      <c r="I752" s="708"/>
      <c r="J752" s="708"/>
      <c r="K752" s="708"/>
      <c r="L752" s="92"/>
      <c r="M752" s="92"/>
      <c r="N752" s="726"/>
      <c r="O752" s="726"/>
      <c r="P752" s="726"/>
      <c r="Q752" s="726"/>
      <c r="R752" s="726"/>
      <c r="S752" s="726"/>
      <c r="T752" s="726"/>
      <c r="U752" s="726"/>
      <c r="V752" s="726"/>
      <c r="W752" s="726"/>
      <c r="X752" s="769"/>
      <c r="Y752" s="763"/>
      <c r="Z752" s="763"/>
      <c r="AA752" s="708"/>
      <c r="AB752" s="708"/>
      <c r="AC752" s="708"/>
      <c r="AD752" s="146"/>
      <c r="AE752" s="146"/>
      <c r="AF752" s="146"/>
      <c r="AG752" s="708"/>
    </row>
    <row r="753" s="694" customFormat="1" ht="24.95" customHeight="1" spans="1:33">
      <c r="A753" s="705"/>
      <c r="B753" s="132" t="s">
        <v>535</v>
      </c>
      <c r="C753" s="212" t="s">
        <v>162</v>
      </c>
      <c r="D753" s="71" t="s">
        <v>147</v>
      </c>
      <c r="E753" s="708"/>
      <c r="F753" s="801"/>
      <c r="G753" s="801"/>
      <c r="H753" s="708"/>
      <c r="I753" s="708"/>
      <c r="J753" s="708"/>
      <c r="K753" s="708"/>
      <c r="L753" s="92"/>
      <c r="M753" s="92"/>
      <c r="N753" s="726"/>
      <c r="O753" s="726"/>
      <c r="P753" s="726"/>
      <c r="Q753" s="726"/>
      <c r="R753" s="726"/>
      <c r="S753" s="726"/>
      <c r="T753" s="726"/>
      <c r="U753" s="726"/>
      <c r="V753" s="726"/>
      <c r="W753" s="726"/>
      <c r="X753" s="769"/>
      <c r="Y753" s="763"/>
      <c r="Z753" s="763"/>
      <c r="AA753" s="708"/>
      <c r="AB753" s="708"/>
      <c r="AC753" s="708"/>
      <c r="AD753" s="146"/>
      <c r="AE753" s="146"/>
      <c r="AF753" s="146"/>
      <c r="AG753" s="708"/>
    </row>
    <row r="754" s="694" customFormat="1" ht="24.95" customHeight="1" spans="1:33">
      <c r="A754" s="705"/>
      <c r="B754" s="132" t="s">
        <v>536</v>
      </c>
      <c r="C754" s="212" t="s">
        <v>162</v>
      </c>
      <c r="D754" s="71" t="s">
        <v>147</v>
      </c>
      <c r="E754" s="708"/>
      <c r="F754" s="801"/>
      <c r="G754" s="801"/>
      <c r="H754" s="708"/>
      <c r="I754" s="708"/>
      <c r="J754" s="708"/>
      <c r="K754" s="708"/>
      <c r="L754" s="92"/>
      <c r="M754" s="92"/>
      <c r="N754" s="726"/>
      <c r="O754" s="726"/>
      <c r="P754" s="726"/>
      <c r="Q754" s="726"/>
      <c r="R754" s="726"/>
      <c r="S754" s="726"/>
      <c r="T754" s="726"/>
      <c r="U754" s="726"/>
      <c r="V754" s="726"/>
      <c r="W754" s="726"/>
      <c r="X754" s="769"/>
      <c r="Y754" s="763"/>
      <c r="Z754" s="763"/>
      <c r="AA754" s="708"/>
      <c r="AB754" s="708"/>
      <c r="AC754" s="708"/>
      <c r="AD754" s="146"/>
      <c r="AE754" s="146"/>
      <c r="AF754" s="146"/>
      <c r="AG754" s="708"/>
    </row>
    <row r="755" ht="24.95" customHeight="1" spans="1:33">
      <c r="A755" s="705">
        <v>99</v>
      </c>
      <c r="B755" s="791" t="s">
        <v>537</v>
      </c>
      <c r="C755" s="708"/>
      <c r="D755" s="709" t="s">
        <v>150</v>
      </c>
      <c r="E755" s="708"/>
      <c r="F755" s="708"/>
      <c r="G755" s="708"/>
      <c r="H755" s="708"/>
      <c r="I755" s="708"/>
      <c r="J755" s="708"/>
      <c r="K755" s="708"/>
      <c r="L755" s="708"/>
      <c r="M755" s="708"/>
      <c r="N755" s="726"/>
      <c r="O755" s="726"/>
      <c r="P755" s="726"/>
      <c r="Q755" s="726"/>
      <c r="R755" s="726"/>
      <c r="S755" s="726"/>
      <c r="T755" s="726"/>
      <c r="U755" s="726"/>
      <c r="V755" s="726"/>
      <c r="W755" s="726"/>
      <c r="X755" s="726"/>
      <c r="Y755" s="726"/>
      <c r="Z755" s="726"/>
      <c r="AA755" s="708"/>
      <c r="AB755" s="708"/>
      <c r="AC755" s="708"/>
      <c r="AD755" s="708"/>
      <c r="AE755" s="708"/>
      <c r="AF755" s="708" t="s">
        <v>358</v>
      </c>
      <c r="AG755" s="708" t="s">
        <v>41</v>
      </c>
    </row>
    <row r="756" s="570" customFormat="1" ht="24.95" customHeight="1" spans="1:33">
      <c r="A756" s="705"/>
      <c r="B756" s="750" t="s">
        <v>538</v>
      </c>
      <c r="C756" s="146" t="s">
        <v>539</v>
      </c>
      <c r="D756" s="76" t="s">
        <v>150</v>
      </c>
      <c r="E756" s="92"/>
      <c r="F756" s="92"/>
      <c r="G756" s="92"/>
      <c r="H756" s="92"/>
      <c r="I756" s="92"/>
      <c r="J756" s="92"/>
      <c r="K756" s="92"/>
      <c r="L756" s="92"/>
      <c r="M756" s="92"/>
      <c r="N756" s="146"/>
      <c r="O756" s="146"/>
      <c r="P756" s="146"/>
      <c r="Q756" s="724"/>
      <c r="R756" s="146"/>
      <c r="S756" s="724"/>
      <c r="T756" s="724"/>
      <c r="U756" s="724"/>
      <c r="V756" s="724"/>
      <c r="W756" s="724"/>
      <c r="X756" s="724"/>
      <c r="Y756" s="738"/>
      <c r="Z756" s="738"/>
      <c r="AA756" s="92"/>
      <c r="AB756" s="92"/>
      <c r="AC756" s="92"/>
      <c r="AD756" s="146"/>
      <c r="AE756" s="146"/>
      <c r="AF756" s="146"/>
      <c r="AG756" s="92"/>
    </row>
    <row r="757" s="570" customFormat="1" ht="24.95" customHeight="1" spans="1:33">
      <c r="A757" s="705"/>
      <c r="B757" s="714" t="s">
        <v>151</v>
      </c>
      <c r="C757" s="146" t="s">
        <v>539</v>
      </c>
      <c r="D757" s="76" t="s">
        <v>150</v>
      </c>
      <c r="E757" s="92"/>
      <c r="F757" s="714"/>
      <c r="G757" s="92"/>
      <c r="H757" s="92"/>
      <c r="I757" s="92"/>
      <c r="J757" s="92"/>
      <c r="K757" s="92"/>
      <c r="L757" s="92"/>
      <c r="M757" s="92"/>
      <c r="N757" s="146"/>
      <c r="O757" s="146"/>
      <c r="P757" s="146"/>
      <c r="Q757" s="724"/>
      <c r="R757" s="146"/>
      <c r="S757" s="724"/>
      <c r="T757" s="724"/>
      <c r="U757" s="724"/>
      <c r="V757" s="724"/>
      <c r="W757" s="724"/>
      <c r="X757" s="724"/>
      <c r="Y757" s="738"/>
      <c r="Z757" s="738"/>
      <c r="AA757" s="92"/>
      <c r="AB757" s="92"/>
      <c r="AC757" s="92"/>
      <c r="AD757" s="146"/>
      <c r="AE757" s="146"/>
      <c r="AF757" s="146"/>
      <c r="AG757" s="92"/>
    </row>
    <row r="758" s="570" customFormat="1" ht="24.95" customHeight="1" spans="1:33">
      <c r="A758" s="705"/>
      <c r="B758" s="714" t="s">
        <v>154</v>
      </c>
      <c r="C758" s="146" t="s">
        <v>539</v>
      </c>
      <c r="D758" s="76" t="s">
        <v>150</v>
      </c>
      <c r="E758" s="92"/>
      <c r="F758" s="714"/>
      <c r="G758" s="92"/>
      <c r="H758" s="92"/>
      <c r="I758" s="92"/>
      <c r="J758" s="92"/>
      <c r="K758" s="92"/>
      <c r="L758" s="708"/>
      <c r="M758" s="708"/>
      <c r="N758" s="724"/>
      <c r="O758" s="724"/>
      <c r="P758" s="724"/>
      <c r="Q758" s="724"/>
      <c r="R758" s="724"/>
      <c r="S758" s="724"/>
      <c r="T758" s="724"/>
      <c r="U758" s="724"/>
      <c r="V758" s="724"/>
      <c r="W758" s="724"/>
      <c r="X758" s="724"/>
      <c r="Y758" s="738"/>
      <c r="Z758" s="738"/>
      <c r="AA758" s="92"/>
      <c r="AB758" s="92"/>
      <c r="AC758" s="92"/>
      <c r="AD758" s="146"/>
      <c r="AE758" s="146"/>
      <c r="AF758" s="146"/>
      <c r="AG758" s="92"/>
    </row>
    <row r="759" s="570" customFormat="1" ht="24.95" customHeight="1" spans="1:33">
      <c r="A759" s="705"/>
      <c r="B759" s="714" t="s">
        <v>81</v>
      </c>
      <c r="C759" s="146" t="s">
        <v>539</v>
      </c>
      <c r="D759" s="76" t="s">
        <v>150</v>
      </c>
      <c r="E759" s="92"/>
      <c r="F759" s="714"/>
      <c r="G759" s="92"/>
      <c r="H759" s="92"/>
      <c r="I759" s="92"/>
      <c r="J759" s="92"/>
      <c r="K759" s="92"/>
      <c r="L759" s="708"/>
      <c r="M759" s="708"/>
      <c r="N759" s="724"/>
      <c r="O759" s="724"/>
      <c r="P759" s="724"/>
      <c r="Q759" s="724"/>
      <c r="R759" s="724"/>
      <c r="S759" s="724"/>
      <c r="T759" s="724"/>
      <c r="U759" s="724"/>
      <c r="V759" s="724"/>
      <c r="W759" s="724"/>
      <c r="X759" s="724"/>
      <c r="Y759" s="738"/>
      <c r="Z759" s="738"/>
      <c r="AA759" s="92"/>
      <c r="AB759" s="92"/>
      <c r="AC759" s="92"/>
      <c r="AD759" s="146"/>
      <c r="AE759" s="146"/>
      <c r="AF759" s="146"/>
      <c r="AG759" s="92"/>
    </row>
    <row r="760" s="570" customFormat="1" ht="24.95" customHeight="1" spans="1:33">
      <c r="A760" s="705"/>
      <c r="B760" s="714" t="s">
        <v>98</v>
      </c>
      <c r="C760" s="146" t="s">
        <v>539</v>
      </c>
      <c r="D760" s="76" t="s">
        <v>150</v>
      </c>
      <c r="E760" s="92"/>
      <c r="F760" s="714"/>
      <c r="G760" s="92"/>
      <c r="H760" s="92"/>
      <c r="I760" s="92"/>
      <c r="J760" s="92"/>
      <c r="K760" s="92"/>
      <c r="L760" s="708"/>
      <c r="M760" s="708"/>
      <c r="N760" s="724"/>
      <c r="O760" s="724"/>
      <c r="P760" s="724"/>
      <c r="Q760" s="724"/>
      <c r="R760" s="724"/>
      <c r="S760" s="724"/>
      <c r="T760" s="724"/>
      <c r="U760" s="724"/>
      <c r="V760" s="724"/>
      <c r="W760" s="724"/>
      <c r="X760" s="724"/>
      <c r="Y760" s="738"/>
      <c r="Z760" s="738"/>
      <c r="AA760" s="92"/>
      <c r="AB760" s="92"/>
      <c r="AC760" s="92"/>
      <c r="AD760" s="146"/>
      <c r="AE760" s="146"/>
      <c r="AF760" s="146"/>
      <c r="AG760" s="92"/>
    </row>
    <row r="761" s="570" customFormat="1" ht="24.95" customHeight="1" spans="1:33">
      <c r="A761" s="705"/>
      <c r="B761" s="714" t="s">
        <v>211</v>
      </c>
      <c r="C761" s="146" t="s">
        <v>539</v>
      </c>
      <c r="D761" s="76" t="s">
        <v>150</v>
      </c>
      <c r="E761" s="92"/>
      <c r="F761" s="714"/>
      <c r="G761" s="92"/>
      <c r="H761" s="92"/>
      <c r="I761" s="92"/>
      <c r="J761" s="92"/>
      <c r="K761" s="92"/>
      <c r="L761" s="708"/>
      <c r="M761" s="708"/>
      <c r="N761" s="724"/>
      <c r="O761" s="724"/>
      <c r="P761" s="724"/>
      <c r="Q761" s="724"/>
      <c r="R761" s="724"/>
      <c r="S761" s="724"/>
      <c r="T761" s="724"/>
      <c r="U761" s="724"/>
      <c r="V761" s="724"/>
      <c r="W761" s="724"/>
      <c r="X761" s="724"/>
      <c r="Y761" s="738"/>
      <c r="Z761" s="738"/>
      <c r="AA761" s="92"/>
      <c r="AB761" s="92"/>
      <c r="AC761" s="92"/>
      <c r="AD761" s="146"/>
      <c r="AE761" s="146"/>
      <c r="AF761" s="146"/>
      <c r="AG761" s="92"/>
    </row>
    <row r="762" s="570" customFormat="1" ht="24.95" customHeight="1" spans="1:33">
      <c r="A762" s="705"/>
      <c r="B762" s="714" t="s">
        <v>155</v>
      </c>
      <c r="C762" s="146" t="s">
        <v>539</v>
      </c>
      <c r="D762" s="76" t="s">
        <v>150</v>
      </c>
      <c r="E762" s="92"/>
      <c r="F762" s="714"/>
      <c r="G762" s="92"/>
      <c r="H762" s="92"/>
      <c r="I762" s="92"/>
      <c r="J762" s="92"/>
      <c r="K762" s="92"/>
      <c r="L762" s="708"/>
      <c r="M762" s="708"/>
      <c r="N762" s="724"/>
      <c r="O762" s="724"/>
      <c r="P762" s="724"/>
      <c r="Q762" s="724"/>
      <c r="R762" s="724"/>
      <c r="S762" s="724"/>
      <c r="T762" s="724"/>
      <c r="U762" s="724"/>
      <c r="V762" s="724"/>
      <c r="W762" s="724"/>
      <c r="X762" s="724"/>
      <c r="Y762" s="738"/>
      <c r="Z762" s="738"/>
      <c r="AA762" s="92"/>
      <c r="AB762" s="92"/>
      <c r="AC762" s="92"/>
      <c r="AD762" s="146"/>
      <c r="AE762" s="146"/>
      <c r="AF762" s="146"/>
      <c r="AG762" s="92"/>
    </row>
    <row r="763" s="570" customFormat="1" ht="24.95" customHeight="1" spans="1:33">
      <c r="A763" s="705"/>
      <c r="B763" s="714" t="s">
        <v>102</v>
      </c>
      <c r="C763" s="146" t="s">
        <v>539</v>
      </c>
      <c r="D763" s="76" t="s">
        <v>150</v>
      </c>
      <c r="E763" s="92"/>
      <c r="F763" s="714"/>
      <c r="G763" s="92"/>
      <c r="H763" s="92"/>
      <c r="I763" s="92"/>
      <c r="J763" s="92"/>
      <c r="K763" s="92"/>
      <c r="L763" s="708"/>
      <c r="M763" s="708"/>
      <c r="N763" s="724"/>
      <c r="O763" s="724"/>
      <c r="P763" s="724"/>
      <c r="Q763" s="724"/>
      <c r="R763" s="724"/>
      <c r="S763" s="724"/>
      <c r="T763" s="724"/>
      <c r="U763" s="724"/>
      <c r="V763" s="724"/>
      <c r="W763" s="724"/>
      <c r="X763" s="724"/>
      <c r="Y763" s="738"/>
      <c r="Z763" s="738"/>
      <c r="AA763" s="92"/>
      <c r="AB763" s="92"/>
      <c r="AC763" s="92"/>
      <c r="AD763" s="146"/>
      <c r="AE763" s="146"/>
      <c r="AF763" s="146"/>
      <c r="AG763" s="92"/>
    </row>
    <row r="764" s="570" customFormat="1" ht="24.95" customHeight="1" spans="1:33">
      <c r="A764" s="705"/>
      <c r="B764" s="714" t="s">
        <v>100</v>
      </c>
      <c r="C764" s="146" t="s">
        <v>539</v>
      </c>
      <c r="D764" s="76" t="s">
        <v>150</v>
      </c>
      <c r="E764" s="92"/>
      <c r="F764" s="714"/>
      <c r="G764" s="92"/>
      <c r="H764" s="92"/>
      <c r="I764" s="92"/>
      <c r="J764" s="92"/>
      <c r="K764" s="92"/>
      <c r="L764" s="708"/>
      <c r="M764" s="708"/>
      <c r="N764" s="724"/>
      <c r="O764" s="724"/>
      <c r="P764" s="724"/>
      <c r="Q764" s="724"/>
      <c r="R764" s="724"/>
      <c r="S764" s="724"/>
      <c r="T764" s="724"/>
      <c r="U764" s="724"/>
      <c r="V764" s="724"/>
      <c r="W764" s="724"/>
      <c r="X764" s="724"/>
      <c r="Y764" s="738"/>
      <c r="Z764" s="738"/>
      <c r="AA764" s="92"/>
      <c r="AB764" s="92"/>
      <c r="AC764" s="92"/>
      <c r="AD764" s="146"/>
      <c r="AE764" s="146"/>
      <c r="AF764" s="146"/>
      <c r="AG764" s="92"/>
    </row>
    <row r="765" s="570" customFormat="1" ht="24.95" customHeight="1" spans="1:33">
      <c r="A765" s="705"/>
      <c r="B765" s="714" t="s">
        <v>84</v>
      </c>
      <c r="C765" s="146" t="s">
        <v>539</v>
      </c>
      <c r="D765" s="76" t="s">
        <v>150</v>
      </c>
      <c r="E765" s="92"/>
      <c r="F765" s="714"/>
      <c r="G765" s="92"/>
      <c r="H765" s="92"/>
      <c r="I765" s="92"/>
      <c r="J765" s="92"/>
      <c r="K765" s="92"/>
      <c r="L765" s="708"/>
      <c r="M765" s="708"/>
      <c r="N765" s="724"/>
      <c r="O765" s="724"/>
      <c r="P765" s="724"/>
      <c r="Q765" s="724"/>
      <c r="R765" s="724"/>
      <c r="S765" s="724"/>
      <c r="T765" s="724"/>
      <c r="U765" s="724"/>
      <c r="V765" s="724"/>
      <c r="W765" s="724"/>
      <c r="X765" s="724"/>
      <c r="Y765" s="738"/>
      <c r="Z765" s="738"/>
      <c r="AA765" s="92"/>
      <c r="AB765" s="92"/>
      <c r="AC765" s="92"/>
      <c r="AD765" s="146"/>
      <c r="AE765" s="146"/>
      <c r="AF765" s="146"/>
      <c r="AG765" s="92"/>
    </row>
    <row r="766" s="570" customFormat="1" ht="24.95" customHeight="1" spans="1:33">
      <c r="A766" s="705"/>
      <c r="B766" s="714" t="s">
        <v>259</v>
      </c>
      <c r="C766" s="146" t="s">
        <v>539</v>
      </c>
      <c r="D766" s="76" t="s">
        <v>150</v>
      </c>
      <c r="E766" s="92"/>
      <c r="F766" s="714"/>
      <c r="G766" s="92"/>
      <c r="H766" s="92"/>
      <c r="I766" s="92"/>
      <c r="J766" s="92"/>
      <c r="K766" s="92"/>
      <c r="L766" s="708"/>
      <c r="M766" s="708"/>
      <c r="N766" s="724"/>
      <c r="O766" s="724"/>
      <c r="P766" s="724"/>
      <c r="Q766" s="724"/>
      <c r="R766" s="724"/>
      <c r="S766" s="724"/>
      <c r="T766" s="724"/>
      <c r="U766" s="724"/>
      <c r="V766" s="724"/>
      <c r="W766" s="724"/>
      <c r="X766" s="724"/>
      <c r="Y766" s="738"/>
      <c r="Z766" s="738"/>
      <c r="AA766" s="92"/>
      <c r="AB766" s="92"/>
      <c r="AC766" s="92"/>
      <c r="AD766" s="146"/>
      <c r="AE766" s="146"/>
      <c r="AF766" s="146"/>
      <c r="AG766" s="92"/>
    </row>
    <row r="767" s="570" customFormat="1" ht="24.95" customHeight="1" spans="1:33">
      <c r="A767" s="705"/>
      <c r="B767" s="714" t="s">
        <v>143</v>
      </c>
      <c r="C767" s="146" t="s">
        <v>539</v>
      </c>
      <c r="D767" s="76" t="s">
        <v>150</v>
      </c>
      <c r="E767" s="92"/>
      <c r="F767" s="714"/>
      <c r="G767" s="92"/>
      <c r="H767" s="92"/>
      <c r="I767" s="92"/>
      <c r="J767" s="92"/>
      <c r="K767" s="92"/>
      <c r="L767" s="708"/>
      <c r="M767" s="708"/>
      <c r="N767" s="724"/>
      <c r="O767" s="724"/>
      <c r="P767" s="724"/>
      <c r="Q767" s="724"/>
      <c r="R767" s="724"/>
      <c r="S767" s="724"/>
      <c r="T767" s="724"/>
      <c r="U767" s="724"/>
      <c r="V767" s="724"/>
      <c r="W767" s="724"/>
      <c r="X767" s="724"/>
      <c r="Y767" s="738"/>
      <c r="Z767" s="738"/>
      <c r="AA767" s="92"/>
      <c r="AB767" s="92"/>
      <c r="AC767" s="92"/>
      <c r="AD767" s="146"/>
      <c r="AE767" s="146"/>
      <c r="AF767" s="146"/>
      <c r="AG767" s="92"/>
    </row>
    <row r="768" s="570" customFormat="1" ht="24.95" customHeight="1" spans="1:33">
      <c r="A768" s="705"/>
      <c r="B768" s="750" t="s">
        <v>541</v>
      </c>
      <c r="C768" s="146" t="s">
        <v>542</v>
      </c>
      <c r="D768" s="76" t="s">
        <v>150</v>
      </c>
      <c r="E768" s="92"/>
      <c r="F768" s="92"/>
      <c r="G768" s="92"/>
      <c r="H768" s="92"/>
      <c r="I768" s="92"/>
      <c r="J768" s="92"/>
      <c r="K768" s="92"/>
      <c r="L768" s="708"/>
      <c r="M768" s="708"/>
      <c r="N768" s="724"/>
      <c r="O768" s="724"/>
      <c r="P768" s="724"/>
      <c r="Q768" s="724"/>
      <c r="R768" s="724"/>
      <c r="S768" s="724"/>
      <c r="T768" s="724"/>
      <c r="U768" s="724"/>
      <c r="V768" s="724"/>
      <c r="W768" s="724"/>
      <c r="X768" s="724"/>
      <c r="Y768" s="738"/>
      <c r="Z768" s="738"/>
      <c r="AA768" s="92"/>
      <c r="AB768" s="92"/>
      <c r="AC768" s="92"/>
      <c r="AD768" s="146"/>
      <c r="AE768" s="146"/>
      <c r="AF768" s="146"/>
      <c r="AG768" s="92"/>
    </row>
    <row r="769" s="570" customFormat="1" ht="24.95" customHeight="1" spans="1:33">
      <c r="A769" s="705"/>
      <c r="B769" s="714" t="s">
        <v>543</v>
      </c>
      <c r="C769" s="146" t="s">
        <v>162</v>
      </c>
      <c r="D769" s="76" t="s">
        <v>150</v>
      </c>
      <c r="E769" s="92"/>
      <c r="F769" s="714"/>
      <c r="G769" s="92"/>
      <c r="H769" s="92"/>
      <c r="I769" s="92"/>
      <c r="J769" s="92"/>
      <c r="K769" s="92"/>
      <c r="L769" s="708"/>
      <c r="M769" s="708"/>
      <c r="N769" s="724"/>
      <c r="O769" s="724"/>
      <c r="P769" s="724"/>
      <c r="Q769" s="724"/>
      <c r="R769" s="724"/>
      <c r="S769" s="724"/>
      <c r="T769" s="724"/>
      <c r="U769" s="724"/>
      <c r="V769" s="724"/>
      <c r="W769" s="724"/>
      <c r="X769" s="724"/>
      <c r="Y769" s="738"/>
      <c r="Z769" s="738"/>
      <c r="AA769" s="92"/>
      <c r="AB769" s="92"/>
      <c r="AC769" s="92"/>
      <c r="AD769" s="146"/>
      <c r="AE769" s="146"/>
      <c r="AF769" s="146"/>
      <c r="AG769" s="92"/>
    </row>
    <row r="770" s="570" customFormat="1" ht="24.95" customHeight="1" spans="1:33">
      <c r="A770" s="705"/>
      <c r="B770" s="714" t="s">
        <v>544</v>
      </c>
      <c r="C770" s="146" t="s">
        <v>52</v>
      </c>
      <c r="D770" s="76" t="s">
        <v>150</v>
      </c>
      <c r="E770" s="92"/>
      <c r="F770" s="714"/>
      <c r="G770" s="92"/>
      <c r="H770" s="92"/>
      <c r="I770" s="92"/>
      <c r="J770" s="92"/>
      <c r="K770" s="92"/>
      <c r="L770" s="708"/>
      <c r="M770" s="708"/>
      <c r="N770" s="724"/>
      <c r="O770" s="724"/>
      <c r="P770" s="724"/>
      <c r="Q770" s="724"/>
      <c r="R770" s="724"/>
      <c r="S770" s="724"/>
      <c r="T770" s="724"/>
      <c r="U770" s="724"/>
      <c r="V770" s="724"/>
      <c r="W770" s="724"/>
      <c r="X770" s="724"/>
      <c r="Y770" s="738"/>
      <c r="Z770" s="738"/>
      <c r="AA770" s="92"/>
      <c r="AB770" s="92"/>
      <c r="AC770" s="92"/>
      <c r="AD770" s="146"/>
      <c r="AE770" s="146"/>
      <c r="AF770" s="146"/>
      <c r="AG770" s="92"/>
    </row>
    <row r="771" s="570" customFormat="1" ht="24.95" customHeight="1" spans="1:33">
      <c r="A771" s="705"/>
      <c r="B771" s="714" t="s">
        <v>545</v>
      </c>
      <c r="C771" s="146" t="s">
        <v>546</v>
      </c>
      <c r="D771" s="76" t="s">
        <v>150</v>
      </c>
      <c r="E771" s="92"/>
      <c r="F771" s="714"/>
      <c r="G771" s="92"/>
      <c r="H771" s="92"/>
      <c r="I771" s="92"/>
      <c r="J771" s="92"/>
      <c r="K771" s="92"/>
      <c r="L771" s="708"/>
      <c r="M771" s="708"/>
      <c r="N771" s="724"/>
      <c r="O771" s="724"/>
      <c r="P771" s="724"/>
      <c r="Q771" s="724"/>
      <c r="R771" s="724"/>
      <c r="S771" s="724"/>
      <c r="T771" s="724"/>
      <c r="U771" s="724"/>
      <c r="V771" s="724"/>
      <c r="W771" s="724"/>
      <c r="X771" s="724"/>
      <c r="Y771" s="738"/>
      <c r="Z771" s="738"/>
      <c r="AA771" s="92"/>
      <c r="AB771" s="92"/>
      <c r="AC771" s="92"/>
      <c r="AD771" s="146"/>
      <c r="AE771" s="146"/>
      <c r="AF771" s="146"/>
      <c r="AG771" s="92"/>
    </row>
    <row r="772" s="570" customFormat="1" ht="24.95" customHeight="1" spans="1:33">
      <c r="A772" s="705"/>
      <c r="B772" s="714" t="s">
        <v>547</v>
      </c>
      <c r="C772" s="146" t="s">
        <v>52</v>
      </c>
      <c r="D772" s="76" t="s">
        <v>150</v>
      </c>
      <c r="E772" s="92"/>
      <c r="F772" s="714"/>
      <c r="G772" s="92"/>
      <c r="H772" s="92"/>
      <c r="I772" s="92"/>
      <c r="J772" s="92"/>
      <c r="K772" s="92"/>
      <c r="L772" s="708"/>
      <c r="M772" s="708"/>
      <c r="N772" s="724"/>
      <c r="O772" s="724"/>
      <c r="P772" s="724"/>
      <c r="Q772" s="724"/>
      <c r="R772" s="724"/>
      <c r="S772" s="724"/>
      <c r="T772" s="724"/>
      <c r="U772" s="724"/>
      <c r="V772" s="724"/>
      <c r="W772" s="724"/>
      <c r="X772" s="724"/>
      <c r="Y772" s="738"/>
      <c r="Z772" s="738"/>
      <c r="AA772" s="92"/>
      <c r="AB772" s="92"/>
      <c r="AC772" s="92"/>
      <c r="AD772" s="146"/>
      <c r="AE772" s="146"/>
      <c r="AF772" s="146"/>
      <c r="AG772" s="92"/>
    </row>
    <row r="773" s="570" customFormat="1" ht="24.95" customHeight="1" spans="1:33">
      <c r="A773" s="705"/>
      <c r="B773" s="714" t="s">
        <v>548</v>
      </c>
      <c r="C773" s="146" t="s">
        <v>546</v>
      </c>
      <c r="D773" s="76" t="s">
        <v>150</v>
      </c>
      <c r="E773" s="92"/>
      <c r="F773" s="714"/>
      <c r="G773" s="92"/>
      <c r="H773" s="92"/>
      <c r="I773" s="92"/>
      <c r="J773" s="92"/>
      <c r="K773" s="92"/>
      <c r="L773" s="708"/>
      <c r="M773" s="708"/>
      <c r="N773" s="724"/>
      <c r="O773" s="724"/>
      <c r="P773" s="724"/>
      <c r="Q773" s="724"/>
      <c r="R773" s="724"/>
      <c r="S773" s="724"/>
      <c r="T773" s="724"/>
      <c r="U773" s="724"/>
      <c r="V773" s="724"/>
      <c r="W773" s="724"/>
      <c r="X773" s="724"/>
      <c r="Y773" s="738"/>
      <c r="Z773" s="738"/>
      <c r="AA773" s="92"/>
      <c r="AB773" s="92"/>
      <c r="AC773" s="92"/>
      <c r="AD773" s="146"/>
      <c r="AE773" s="146"/>
      <c r="AF773" s="146"/>
      <c r="AG773" s="92"/>
    </row>
    <row r="774" s="570" customFormat="1" ht="24.95" customHeight="1" spans="1:33">
      <c r="A774" s="705"/>
      <c r="B774" s="714" t="s">
        <v>549</v>
      </c>
      <c r="C774" s="146" t="s">
        <v>546</v>
      </c>
      <c r="D774" s="76" t="s">
        <v>150</v>
      </c>
      <c r="E774" s="92"/>
      <c r="F774" s="714"/>
      <c r="G774" s="92"/>
      <c r="H774" s="92"/>
      <c r="I774" s="92"/>
      <c r="J774" s="92"/>
      <c r="K774" s="92"/>
      <c r="L774" s="708"/>
      <c r="M774" s="708"/>
      <c r="N774" s="724"/>
      <c r="O774" s="724"/>
      <c r="P774" s="724"/>
      <c r="Q774" s="724"/>
      <c r="R774" s="724"/>
      <c r="S774" s="724"/>
      <c r="T774" s="724"/>
      <c r="U774" s="724"/>
      <c r="V774" s="724"/>
      <c r="W774" s="724"/>
      <c r="X774" s="724"/>
      <c r="Y774" s="738"/>
      <c r="Z774" s="738"/>
      <c r="AA774" s="92"/>
      <c r="AB774" s="92"/>
      <c r="AC774" s="92"/>
      <c r="AD774" s="146"/>
      <c r="AE774" s="146"/>
      <c r="AF774" s="146"/>
      <c r="AG774" s="92"/>
    </row>
    <row r="775" s="570" customFormat="1" ht="24.95" customHeight="1" spans="1:33">
      <c r="A775" s="705"/>
      <c r="B775" s="714" t="s">
        <v>550</v>
      </c>
      <c r="C775" s="146" t="s">
        <v>546</v>
      </c>
      <c r="D775" s="76" t="s">
        <v>150</v>
      </c>
      <c r="E775" s="92"/>
      <c r="F775" s="714"/>
      <c r="G775" s="92"/>
      <c r="H775" s="92"/>
      <c r="I775" s="92"/>
      <c r="J775" s="92"/>
      <c r="K775" s="92"/>
      <c r="L775" s="708"/>
      <c r="M775" s="708"/>
      <c r="N775" s="724"/>
      <c r="O775" s="724"/>
      <c r="P775" s="724"/>
      <c r="Q775" s="724"/>
      <c r="R775" s="724"/>
      <c r="S775" s="724"/>
      <c r="T775" s="724"/>
      <c r="U775" s="724"/>
      <c r="V775" s="724"/>
      <c r="W775" s="724"/>
      <c r="X775" s="724"/>
      <c r="Y775" s="738"/>
      <c r="Z775" s="738"/>
      <c r="AA775" s="92"/>
      <c r="AB775" s="92"/>
      <c r="AC775" s="92"/>
      <c r="AD775" s="146"/>
      <c r="AE775" s="146"/>
      <c r="AF775" s="146"/>
      <c r="AG775" s="92"/>
    </row>
    <row r="776" s="570" customFormat="1" ht="24.95" customHeight="1" spans="1:33">
      <c r="A776" s="705"/>
      <c r="B776" s="714" t="s">
        <v>551</v>
      </c>
      <c r="C776" s="146" t="s">
        <v>546</v>
      </c>
      <c r="D776" s="76" t="s">
        <v>150</v>
      </c>
      <c r="E776" s="92"/>
      <c r="F776" s="714"/>
      <c r="G776" s="92"/>
      <c r="H776" s="92"/>
      <c r="I776" s="92"/>
      <c r="J776" s="92"/>
      <c r="K776" s="92"/>
      <c r="L776" s="708"/>
      <c r="M776" s="708"/>
      <c r="N776" s="724"/>
      <c r="O776" s="724"/>
      <c r="P776" s="724"/>
      <c r="Q776" s="724"/>
      <c r="R776" s="724"/>
      <c r="S776" s="724"/>
      <c r="T776" s="724"/>
      <c r="U776" s="724"/>
      <c r="V776" s="724"/>
      <c r="W776" s="724"/>
      <c r="X776" s="724"/>
      <c r="Y776" s="738"/>
      <c r="Z776" s="738"/>
      <c r="AA776" s="92"/>
      <c r="AB776" s="92"/>
      <c r="AC776" s="92"/>
      <c r="AD776" s="146"/>
      <c r="AE776" s="146"/>
      <c r="AF776" s="146"/>
      <c r="AG776" s="92"/>
    </row>
    <row r="777" ht="24.95" customHeight="1" spans="1:33">
      <c r="A777" s="705">
        <v>101</v>
      </c>
      <c r="B777" s="791" t="s">
        <v>552</v>
      </c>
      <c r="C777" s="708"/>
      <c r="D777" s="709" t="s">
        <v>150</v>
      </c>
      <c r="E777" s="708"/>
      <c r="F777" s="708"/>
      <c r="G777" s="708"/>
      <c r="H777" s="708"/>
      <c r="I777" s="708"/>
      <c r="J777" s="708"/>
      <c r="K777" s="708"/>
      <c r="L777" s="708"/>
      <c r="M777" s="708"/>
      <c r="N777" s="726"/>
      <c r="O777" s="726"/>
      <c r="P777" s="726"/>
      <c r="Q777" s="726"/>
      <c r="R777" s="726"/>
      <c r="S777" s="726"/>
      <c r="T777" s="726"/>
      <c r="U777" s="726"/>
      <c r="V777" s="726"/>
      <c r="W777" s="726"/>
      <c r="X777" s="726"/>
      <c r="Y777" s="726"/>
      <c r="Z777" s="726"/>
      <c r="AA777" s="708"/>
      <c r="AB777" s="708"/>
      <c r="AC777" s="708"/>
      <c r="AD777" s="708"/>
      <c r="AE777" s="708"/>
      <c r="AF777" s="708" t="s">
        <v>553</v>
      </c>
      <c r="AG777" s="708" t="s">
        <v>41</v>
      </c>
    </row>
    <row r="778" ht="24.95" customHeight="1" spans="1:33">
      <c r="A778" s="705">
        <v>102</v>
      </c>
      <c r="B778" s="95" t="s">
        <v>554</v>
      </c>
      <c r="C778" s="92"/>
      <c r="D778" s="76" t="s">
        <v>150</v>
      </c>
      <c r="E778" s="92"/>
      <c r="F778" s="92"/>
      <c r="G778" s="92"/>
      <c r="H778" s="92"/>
      <c r="I778" s="92"/>
      <c r="J778" s="92"/>
      <c r="K778" s="92"/>
      <c r="L778" s="92"/>
      <c r="M778" s="92"/>
      <c r="N778" s="724"/>
      <c r="O778" s="724"/>
      <c r="P778" s="724"/>
      <c r="Q778" s="724"/>
      <c r="R778" s="724"/>
      <c r="S778" s="724"/>
      <c r="T778" s="724"/>
      <c r="U778" s="724"/>
      <c r="V778" s="724"/>
      <c r="W778" s="724"/>
      <c r="X778" s="724"/>
      <c r="Y778" s="724"/>
      <c r="Z778" s="724"/>
      <c r="AA778" s="92"/>
      <c r="AB778" s="92"/>
      <c r="AC778" s="92"/>
      <c r="AD778" s="92"/>
      <c r="AE778" s="92"/>
      <c r="AF778" s="92" t="s">
        <v>553</v>
      </c>
      <c r="AG778" s="92" t="s">
        <v>41</v>
      </c>
    </row>
    <row r="779" ht="24.95" customHeight="1" spans="1:33">
      <c r="A779" s="705" t="s">
        <v>48</v>
      </c>
      <c r="B779" s="92" t="s">
        <v>148</v>
      </c>
      <c r="C779" s="92"/>
      <c r="D779" s="76"/>
      <c r="E779" s="92"/>
      <c r="F779" s="92"/>
      <c r="G779" s="9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row>
    <row r="780" ht="24.95" customHeight="1" spans="1:33">
      <c r="A780" s="705">
        <v>103</v>
      </c>
      <c r="B780" s="791" t="s">
        <v>555</v>
      </c>
      <c r="C780" s="708"/>
      <c r="D780" s="709"/>
      <c r="E780" s="708">
        <f>E783</f>
        <v>17</v>
      </c>
      <c r="F780" s="708">
        <f t="shared" ref="F780:AA780" si="75">F783</f>
        <v>0</v>
      </c>
      <c r="G780" s="708">
        <f t="shared" si="75"/>
        <v>0</v>
      </c>
      <c r="H780" s="708">
        <f t="shared" si="75"/>
        <v>19393</v>
      </c>
      <c r="I780" s="708">
        <f t="shared" si="75"/>
        <v>0</v>
      </c>
      <c r="J780" s="708">
        <f t="shared" si="75"/>
        <v>0</v>
      </c>
      <c r="K780" s="708">
        <f t="shared" si="75"/>
        <v>19393</v>
      </c>
      <c r="L780" s="708"/>
      <c r="M780" s="708"/>
      <c r="N780" s="708">
        <f t="shared" si="75"/>
        <v>5074.56</v>
      </c>
      <c r="O780" s="708">
        <f t="shared" si="75"/>
        <v>0</v>
      </c>
      <c r="P780" s="708">
        <f t="shared" si="75"/>
        <v>0</v>
      </c>
      <c r="Q780" s="708">
        <f t="shared" si="75"/>
        <v>5074.56</v>
      </c>
      <c r="R780" s="708">
        <f t="shared" si="75"/>
        <v>5074.56</v>
      </c>
      <c r="S780" s="708">
        <f t="shared" si="75"/>
        <v>0</v>
      </c>
      <c r="T780" s="708">
        <f t="shared" si="75"/>
        <v>0</v>
      </c>
      <c r="U780" s="708">
        <f t="shared" si="75"/>
        <v>0</v>
      </c>
      <c r="V780" s="708">
        <f t="shared" si="75"/>
        <v>0</v>
      </c>
      <c r="W780" s="708">
        <f t="shared" si="75"/>
        <v>0</v>
      </c>
      <c r="X780" s="708">
        <f t="shared" si="75"/>
        <v>0</v>
      </c>
      <c r="Y780" s="708">
        <f t="shared" si="75"/>
        <v>873</v>
      </c>
      <c r="Z780" s="708">
        <f t="shared" si="75"/>
        <v>3645</v>
      </c>
      <c r="AA780" s="708">
        <f t="shared" si="75"/>
        <v>17</v>
      </c>
      <c r="AB780" s="708"/>
      <c r="AC780" s="708"/>
      <c r="AD780" s="708"/>
      <c r="AE780" s="708"/>
      <c r="AF780" s="708"/>
      <c r="AG780" s="708" t="s">
        <v>41</v>
      </c>
    </row>
    <row r="781" ht="60" spans="1:33">
      <c r="A781" s="705">
        <v>104</v>
      </c>
      <c r="B781" s="95" t="s">
        <v>556</v>
      </c>
      <c r="C781" s="92"/>
      <c r="D781" s="76" t="s">
        <v>147</v>
      </c>
      <c r="E781" s="92"/>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t="s">
        <v>294</v>
      </c>
      <c r="AG781" s="92" t="s">
        <v>41</v>
      </c>
    </row>
    <row r="782" ht="24.95" customHeight="1" spans="1:33">
      <c r="A782" s="705" t="s">
        <v>48</v>
      </c>
      <c r="B782" s="92" t="s">
        <v>148</v>
      </c>
      <c r="C782" s="92"/>
      <c r="D782" s="76"/>
      <c r="E782" s="92"/>
      <c r="F782" s="92"/>
      <c r="G782" s="9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row>
    <row r="783" s="570" customFormat="1" ht="24.95" customHeight="1" spans="1:33">
      <c r="A783" s="705"/>
      <c r="B783" s="92" t="s">
        <v>557</v>
      </c>
      <c r="C783" s="92"/>
      <c r="D783" s="76"/>
      <c r="E783" s="92">
        <f>E784+E796+E810</f>
        <v>17</v>
      </c>
      <c r="F783" s="92">
        <f t="shared" ref="F783:AA783" si="76">F784+F796+F810</f>
        <v>0</v>
      </c>
      <c r="G783" s="92">
        <f t="shared" si="76"/>
        <v>0</v>
      </c>
      <c r="H783" s="92">
        <f t="shared" si="76"/>
        <v>19393</v>
      </c>
      <c r="I783" s="92">
        <f t="shared" si="76"/>
        <v>0</v>
      </c>
      <c r="J783" s="92">
        <f t="shared" si="76"/>
        <v>0</v>
      </c>
      <c r="K783" s="92">
        <f t="shared" si="76"/>
        <v>19393</v>
      </c>
      <c r="L783" s="92"/>
      <c r="M783" s="92"/>
      <c r="N783" s="92">
        <f t="shared" si="76"/>
        <v>5074.56</v>
      </c>
      <c r="O783" s="92">
        <f t="shared" si="76"/>
        <v>0</v>
      </c>
      <c r="P783" s="92">
        <f t="shared" si="76"/>
        <v>0</v>
      </c>
      <c r="Q783" s="92">
        <f t="shared" si="76"/>
        <v>5074.56</v>
      </c>
      <c r="R783" s="92">
        <f t="shared" si="76"/>
        <v>5074.56</v>
      </c>
      <c r="S783" s="92">
        <f t="shared" si="76"/>
        <v>0</v>
      </c>
      <c r="T783" s="92">
        <f t="shared" si="76"/>
        <v>0</v>
      </c>
      <c r="U783" s="92">
        <f t="shared" si="76"/>
        <v>0</v>
      </c>
      <c r="V783" s="92">
        <f t="shared" si="76"/>
        <v>0</v>
      </c>
      <c r="W783" s="92">
        <f t="shared" si="76"/>
        <v>0</v>
      </c>
      <c r="X783" s="92">
        <f t="shared" si="76"/>
        <v>0</v>
      </c>
      <c r="Y783" s="92">
        <f t="shared" si="76"/>
        <v>873</v>
      </c>
      <c r="Z783" s="92">
        <f t="shared" si="76"/>
        <v>3645</v>
      </c>
      <c r="AA783" s="92">
        <f t="shared" si="76"/>
        <v>17</v>
      </c>
      <c r="AB783" s="92"/>
      <c r="AC783" s="92"/>
      <c r="AD783" s="92"/>
      <c r="AE783" s="92"/>
      <c r="AF783" s="92" t="s">
        <v>294</v>
      </c>
      <c r="AG783" s="92" t="s">
        <v>41</v>
      </c>
    </row>
    <row r="784" s="570" customFormat="1" ht="24.95" customHeight="1" spans="1:33">
      <c r="A784" s="705"/>
      <c r="B784" s="802" t="s">
        <v>559</v>
      </c>
      <c r="C784" s="146" t="s">
        <v>52</v>
      </c>
      <c r="D784" s="152" t="s">
        <v>560</v>
      </c>
      <c r="E784" s="92">
        <f>SUM(E785:E795)</f>
        <v>2</v>
      </c>
      <c r="F784" s="92">
        <f t="shared" ref="F784:AA784" si="77">SUM(F785:F795)</f>
        <v>0</v>
      </c>
      <c r="G784" s="92">
        <f t="shared" si="77"/>
        <v>0</v>
      </c>
      <c r="H784" s="92">
        <f t="shared" si="77"/>
        <v>19378</v>
      </c>
      <c r="I784" s="92">
        <f t="shared" si="77"/>
        <v>0</v>
      </c>
      <c r="J784" s="92">
        <f t="shared" si="77"/>
        <v>0</v>
      </c>
      <c r="K784" s="92">
        <f t="shared" si="77"/>
        <v>19378</v>
      </c>
      <c r="L784" s="92"/>
      <c r="M784" s="92"/>
      <c r="N784" s="92">
        <f t="shared" si="77"/>
        <v>3875.6</v>
      </c>
      <c r="O784" s="92">
        <f t="shared" si="77"/>
        <v>0</v>
      </c>
      <c r="P784" s="92">
        <f t="shared" si="77"/>
        <v>0</v>
      </c>
      <c r="Q784" s="92">
        <f t="shared" si="77"/>
        <v>3875.6</v>
      </c>
      <c r="R784" s="92">
        <f t="shared" si="77"/>
        <v>3875.6</v>
      </c>
      <c r="S784" s="92">
        <f t="shared" si="77"/>
        <v>0</v>
      </c>
      <c r="T784" s="92">
        <f t="shared" si="77"/>
        <v>0</v>
      </c>
      <c r="U784" s="92">
        <f t="shared" si="77"/>
        <v>0</v>
      </c>
      <c r="V784" s="92">
        <f t="shared" si="77"/>
        <v>0</v>
      </c>
      <c r="W784" s="92">
        <f t="shared" si="77"/>
        <v>0</v>
      </c>
      <c r="X784" s="92">
        <f t="shared" si="77"/>
        <v>0</v>
      </c>
      <c r="Y784" s="92">
        <f t="shared" si="77"/>
        <v>314</v>
      </c>
      <c r="Z784" s="92">
        <f t="shared" si="77"/>
        <v>1242</v>
      </c>
      <c r="AA784" s="92">
        <f t="shared" si="77"/>
        <v>2</v>
      </c>
      <c r="AB784" s="92"/>
      <c r="AC784" s="92"/>
      <c r="AD784" s="146" t="s">
        <v>296</v>
      </c>
      <c r="AE784" s="146" t="s">
        <v>561</v>
      </c>
      <c r="AF784" s="146" t="s">
        <v>294</v>
      </c>
      <c r="AG784" s="92"/>
    </row>
    <row r="785" s="570" customFormat="1" ht="24.95" customHeight="1" spans="1:33">
      <c r="A785" s="705"/>
      <c r="B785" s="714" t="s">
        <v>69</v>
      </c>
      <c r="C785" s="146" t="s">
        <v>52</v>
      </c>
      <c r="D785" s="152" t="s">
        <v>560</v>
      </c>
      <c r="E785" s="92"/>
      <c r="F785" s="714"/>
      <c r="G785" s="92"/>
      <c r="H785" s="92"/>
      <c r="I785" s="92"/>
      <c r="J785" s="92"/>
      <c r="K785" s="92"/>
      <c r="L785" s="708"/>
      <c r="M785" s="708"/>
      <c r="N785" s="92"/>
      <c r="O785" s="92"/>
      <c r="P785" s="92"/>
      <c r="Q785" s="92"/>
      <c r="R785" s="92"/>
      <c r="S785" s="92"/>
      <c r="T785" s="92"/>
      <c r="U785" s="92"/>
      <c r="V785" s="92"/>
      <c r="W785" s="92"/>
      <c r="X785" s="92"/>
      <c r="Y785" s="92"/>
      <c r="Z785" s="92"/>
      <c r="AA785" s="92"/>
      <c r="AB785" s="92"/>
      <c r="AC785" s="92"/>
      <c r="AD785" s="146"/>
      <c r="AE785" s="146"/>
      <c r="AF785" s="146"/>
      <c r="AG785" s="92"/>
    </row>
    <row r="786" s="570" customFormat="1" ht="24.95" customHeight="1" spans="1:33">
      <c r="A786" s="705"/>
      <c r="B786" s="714" t="s">
        <v>51</v>
      </c>
      <c r="C786" s="146" t="s">
        <v>52</v>
      </c>
      <c r="D786" s="152" t="s">
        <v>560</v>
      </c>
      <c r="E786" s="92"/>
      <c r="F786" s="714"/>
      <c r="G786" s="92"/>
      <c r="H786" s="92"/>
      <c r="I786" s="92"/>
      <c r="J786" s="92"/>
      <c r="K786" s="92"/>
      <c r="L786" s="708"/>
      <c r="M786" s="708"/>
      <c r="N786" s="92"/>
      <c r="O786" s="92"/>
      <c r="P786" s="92"/>
      <c r="Q786" s="92"/>
      <c r="R786" s="92"/>
      <c r="S786" s="92"/>
      <c r="T786" s="92"/>
      <c r="U786" s="92"/>
      <c r="V786" s="92"/>
      <c r="W786" s="92"/>
      <c r="X786" s="92"/>
      <c r="Y786" s="92"/>
      <c r="Z786" s="92"/>
      <c r="AA786" s="92"/>
      <c r="AB786" s="92"/>
      <c r="AC786" s="92"/>
      <c r="AD786" s="146"/>
      <c r="AE786" s="146"/>
      <c r="AF786" s="146"/>
      <c r="AG786" s="92"/>
    </row>
    <row r="787" s="570" customFormat="1" ht="24.95" customHeight="1" spans="1:33">
      <c r="A787" s="705"/>
      <c r="B787" s="714" t="s">
        <v>72</v>
      </c>
      <c r="C787" s="146" t="s">
        <v>52</v>
      </c>
      <c r="D787" s="152" t="s">
        <v>560</v>
      </c>
      <c r="E787" s="92">
        <v>1</v>
      </c>
      <c r="F787" s="714" t="s">
        <v>72</v>
      </c>
      <c r="G787" s="92"/>
      <c r="H787" s="92">
        <v>2078</v>
      </c>
      <c r="I787" s="92"/>
      <c r="J787" s="92"/>
      <c r="K787" s="92">
        <v>2078</v>
      </c>
      <c r="L787" s="92">
        <v>2020.01</v>
      </c>
      <c r="M787" s="92">
        <v>2020.12</v>
      </c>
      <c r="N787" s="92">
        <v>415.6</v>
      </c>
      <c r="O787" s="92"/>
      <c r="P787" s="92"/>
      <c r="Q787" s="92">
        <v>415.6</v>
      </c>
      <c r="R787" s="92">
        <v>415.6</v>
      </c>
      <c r="S787" s="92"/>
      <c r="T787" s="92"/>
      <c r="U787" s="92"/>
      <c r="V787" s="92"/>
      <c r="W787" s="92"/>
      <c r="X787" s="92"/>
      <c r="Y787" s="92">
        <v>314</v>
      </c>
      <c r="Z787" s="92">
        <v>1242</v>
      </c>
      <c r="AA787" s="92">
        <v>1</v>
      </c>
      <c r="AB787" s="92"/>
      <c r="AC787" s="92"/>
      <c r="AD787" s="807" t="s">
        <v>247</v>
      </c>
      <c r="AE787" s="146" t="s">
        <v>302</v>
      </c>
      <c r="AF787" s="146" t="s">
        <v>294</v>
      </c>
      <c r="AG787" s="92"/>
    </row>
    <row r="788" s="570" customFormat="1" ht="24.95" customHeight="1" spans="1:33">
      <c r="A788" s="705"/>
      <c r="B788" s="714" t="s">
        <v>91</v>
      </c>
      <c r="C788" s="146" t="s">
        <v>52</v>
      </c>
      <c r="D788" s="152" t="s">
        <v>560</v>
      </c>
      <c r="E788" s="92"/>
      <c r="F788" s="714"/>
      <c r="G788" s="92"/>
      <c r="H788" s="92"/>
      <c r="I788" s="92"/>
      <c r="J788" s="92"/>
      <c r="K788" s="92"/>
      <c r="L788" s="708"/>
      <c r="M788" s="708"/>
      <c r="N788" s="92"/>
      <c r="O788" s="92"/>
      <c r="P788" s="92"/>
      <c r="Q788" s="92"/>
      <c r="R788" s="92"/>
      <c r="S788" s="92"/>
      <c r="T788" s="92"/>
      <c r="U788" s="92"/>
      <c r="V788" s="92"/>
      <c r="W788" s="92"/>
      <c r="X788" s="92"/>
      <c r="Y788" s="92"/>
      <c r="Z788" s="92"/>
      <c r="AA788" s="92"/>
      <c r="AB788" s="92"/>
      <c r="AC788" s="92"/>
      <c r="AD788" s="146"/>
      <c r="AE788" s="146"/>
      <c r="AF788" s="146"/>
      <c r="AG788" s="92"/>
    </row>
    <row r="789" s="570" customFormat="1" ht="24.95" customHeight="1" spans="1:33">
      <c r="A789" s="705"/>
      <c r="B789" s="714" t="s">
        <v>55</v>
      </c>
      <c r="C789" s="146" t="s">
        <v>52</v>
      </c>
      <c r="D789" s="152" t="s">
        <v>560</v>
      </c>
      <c r="E789" s="92"/>
      <c r="F789" s="714"/>
      <c r="G789" s="92"/>
      <c r="H789" s="92"/>
      <c r="I789" s="92"/>
      <c r="J789" s="92"/>
      <c r="K789" s="92"/>
      <c r="L789" s="708"/>
      <c r="M789" s="708"/>
      <c r="N789" s="92"/>
      <c r="O789" s="92"/>
      <c r="P789" s="92"/>
      <c r="Q789" s="92"/>
      <c r="R789" s="92"/>
      <c r="S789" s="92"/>
      <c r="T789" s="92"/>
      <c r="U789" s="92"/>
      <c r="V789" s="92"/>
      <c r="W789" s="92"/>
      <c r="X789" s="92"/>
      <c r="Y789" s="92"/>
      <c r="Z789" s="92"/>
      <c r="AA789" s="92"/>
      <c r="AB789" s="92"/>
      <c r="AC789" s="92"/>
      <c r="AD789" s="146"/>
      <c r="AE789" s="146"/>
      <c r="AF789" s="146"/>
      <c r="AG789" s="92"/>
    </row>
    <row r="790" s="570" customFormat="1" ht="24.95" customHeight="1" spans="1:33">
      <c r="A790" s="705"/>
      <c r="B790" s="714" t="s">
        <v>75</v>
      </c>
      <c r="C790" s="146" t="s">
        <v>52</v>
      </c>
      <c r="D790" s="152" t="s">
        <v>560</v>
      </c>
      <c r="E790" s="92"/>
      <c r="F790" s="714"/>
      <c r="G790" s="92"/>
      <c r="H790" s="92"/>
      <c r="I790" s="92"/>
      <c r="J790" s="92"/>
      <c r="K790" s="92"/>
      <c r="L790" s="708"/>
      <c r="M790" s="708"/>
      <c r="N790" s="92"/>
      <c r="O790" s="92"/>
      <c r="P790" s="92"/>
      <c r="Q790" s="92"/>
      <c r="R790" s="92"/>
      <c r="S790" s="92"/>
      <c r="T790" s="92"/>
      <c r="U790" s="92"/>
      <c r="V790" s="92"/>
      <c r="W790" s="92"/>
      <c r="X790" s="92"/>
      <c r="Y790" s="92"/>
      <c r="Z790" s="92"/>
      <c r="AA790" s="92"/>
      <c r="AB790" s="92"/>
      <c r="AC790" s="92"/>
      <c r="AD790" s="146"/>
      <c r="AE790" s="146"/>
      <c r="AF790" s="146"/>
      <c r="AG790" s="92"/>
    </row>
    <row r="791" s="570" customFormat="1" ht="24.95" customHeight="1" spans="1:33">
      <c r="A791" s="705"/>
      <c r="B791" s="714" t="s">
        <v>61</v>
      </c>
      <c r="C791" s="146" t="s">
        <v>52</v>
      </c>
      <c r="D791" s="152" t="s">
        <v>560</v>
      </c>
      <c r="E791" s="92"/>
      <c r="F791" s="714"/>
      <c r="G791" s="92"/>
      <c r="H791" s="92"/>
      <c r="I791" s="92"/>
      <c r="J791" s="92"/>
      <c r="K791" s="92"/>
      <c r="L791" s="708"/>
      <c r="M791" s="708"/>
      <c r="N791" s="92"/>
      <c r="O791" s="92"/>
      <c r="P791" s="92"/>
      <c r="Q791" s="92"/>
      <c r="R791" s="92"/>
      <c r="S791" s="92"/>
      <c r="T791" s="92"/>
      <c r="U791" s="92"/>
      <c r="V791" s="92"/>
      <c r="W791" s="92"/>
      <c r="X791" s="92"/>
      <c r="Y791" s="92"/>
      <c r="Z791" s="92"/>
      <c r="AA791" s="92"/>
      <c r="AB791" s="92"/>
      <c r="AC791" s="92"/>
      <c r="AD791" s="146"/>
      <c r="AE791" s="146"/>
      <c r="AF791" s="146"/>
      <c r="AG791" s="92"/>
    </row>
    <row r="792" s="570" customFormat="1" ht="24.95" customHeight="1" spans="1:33">
      <c r="A792" s="705"/>
      <c r="B792" s="714" t="s">
        <v>78</v>
      </c>
      <c r="C792" s="146" t="s">
        <v>52</v>
      </c>
      <c r="D792" s="152" t="s">
        <v>560</v>
      </c>
      <c r="E792" s="92"/>
      <c r="F792" s="714"/>
      <c r="G792" s="92"/>
      <c r="H792" s="92"/>
      <c r="I792" s="92"/>
      <c r="J792" s="92"/>
      <c r="K792" s="92"/>
      <c r="L792" s="708"/>
      <c r="M792" s="708"/>
      <c r="N792" s="92"/>
      <c r="O792" s="92"/>
      <c r="P792" s="92"/>
      <c r="Q792" s="92"/>
      <c r="R792" s="92"/>
      <c r="S792" s="92"/>
      <c r="T792" s="92"/>
      <c r="U792" s="92"/>
      <c r="V792" s="92"/>
      <c r="W792" s="92"/>
      <c r="X792" s="92"/>
      <c r="Y792" s="92"/>
      <c r="Z792" s="92"/>
      <c r="AA792" s="92"/>
      <c r="AB792" s="92"/>
      <c r="AC792" s="92"/>
      <c r="AD792" s="146"/>
      <c r="AE792" s="146"/>
      <c r="AF792" s="146"/>
      <c r="AG792" s="92"/>
    </row>
    <row r="793" s="570" customFormat="1" ht="24.95" customHeight="1" spans="1:33">
      <c r="A793" s="705"/>
      <c r="B793" s="714" t="s">
        <v>114</v>
      </c>
      <c r="C793" s="146" t="s">
        <v>52</v>
      </c>
      <c r="D793" s="152" t="s">
        <v>560</v>
      </c>
      <c r="E793" s="92"/>
      <c r="F793" s="714"/>
      <c r="G793" s="92"/>
      <c r="H793" s="92"/>
      <c r="I793" s="92"/>
      <c r="J793" s="92"/>
      <c r="K793" s="92"/>
      <c r="L793" s="708"/>
      <c r="M793" s="708"/>
      <c r="N793" s="92"/>
      <c r="O793" s="92"/>
      <c r="P793" s="92"/>
      <c r="Q793" s="92"/>
      <c r="R793" s="92"/>
      <c r="S793" s="92"/>
      <c r="T793" s="92"/>
      <c r="U793" s="92"/>
      <c r="V793" s="92"/>
      <c r="W793" s="92"/>
      <c r="X793" s="92"/>
      <c r="Y793" s="92"/>
      <c r="Z793" s="92"/>
      <c r="AA793" s="92"/>
      <c r="AB793" s="92"/>
      <c r="AC793" s="92"/>
      <c r="AD793" s="146"/>
      <c r="AE793" s="146"/>
      <c r="AF793" s="146"/>
      <c r="AG793" s="92"/>
    </row>
    <row r="794" s="570" customFormat="1" ht="24.95" customHeight="1" spans="1:33">
      <c r="A794" s="705"/>
      <c r="B794" s="714" t="s">
        <v>64</v>
      </c>
      <c r="C794" s="146" t="s">
        <v>52</v>
      </c>
      <c r="D794" s="152" t="s">
        <v>560</v>
      </c>
      <c r="E794" s="92"/>
      <c r="F794" s="714"/>
      <c r="G794" s="92"/>
      <c r="H794" s="92"/>
      <c r="I794" s="92"/>
      <c r="J794" s="92"/>
      <c r="K794" s="92"/>
      <c r="L794" s="708"/>
      <c r="M794" s="708"/>
      <c r="N794" s="92"/>
      <c r="O794" s="92"/>
      <c r="P794" s="92"/>
      <c r="Q794" s="92"/>
      <c r="R794" s="92"/>
      <c r="S794" s="92"/>
      <c r="T794" s="92"/>
      <c r="U794" s="92"/>
      <c r="V794" s="92"/>
      <c r="W794" s="92"/>
      <c r="X794" s="92"/>
      <c r="Y794" s="92"/>
      <c r="Z794" s="92"/>
      <c r="AA794" s="92"/>
      <c r="AB794" s="92"/>
      <c r="AC794" s="92"/>
      <c r="AD794" s="146"/>
      <c r="AE794" s="146"/>
      <c r="AF794" s="146"/>
      <c r="AG794" s="92"/>
    </row>
    <row r="795" s="570" customFormat="1" ht="24.95" customHeight="1" spans="1:33">
      <c r="A795" s="705"/>
      <c r="B795" s="714" t="s">
        <v>564</v>
      </c>
      <c r="C795" s="146" t="s">
        <v>52</v>
      </c>
      <c r="D795" s="152" t="s">
        <v>560</v>
      </c>
      <c r="E795" s="92">
        <v>1</v>
      </c>
      <c r="F795" s="714" t="s">
        <v>564</v>
      </c>
      <c r="G795" s="92"/>
      <c r="H795" s="92">
        <v>17300</v>
      </c>
      <c r="I795" s="92"/>
      <c r="J795" s="92"/>
      <c r="K795" s="92">
        <v>17300</v>
      </c>
      <c r="L795" s="92">
        <v>2020.01</v>
      </c>
      <c r="M795" s="92">
        <v>2020.12</v>
      </c>
      <c r="N795" s="92">
        <v>3460</v>
      </c>
      <c r="O795" s="92"/>
      <c r="P795" s="92"/>
      <c r="Q795" s="92">
        <v>3460</v>
      </c>
      <c r="R795" s="92">
        <v>3460</v>
      </c>
      <c r="S795" s="92"/>
      <c r="T795" s="92"/>
      <c r="U795" s="92"/>
      <c r="V795" s="92"/>
      <c r="W795" s="92"/>
      <c r="X795" s="92"/>
      <c r="Y795" s="92"/>
      <c r="Z795" s="92"/>
      <c r="AA795" s="92">
        <v>1</v>
      </c>
      <c r="AB795" s="92"/>
      <c r="AC795" s="92"/>
      <c r="AD795" s="146" t="s">
        <v>296</v>
      </c>
      <c r="AE795" s="146" t="s">
        <v>561</v>
      </c>
      <c r="AF795" s="146" t="s">
        <v>294</v>
      </c>
      <c r="AG795" s="92"/>
    </row>
    <row r="796" s="570" customFormat="1" ht="24.95" customHeight="1" spans="1:33">
      <c r="A796" s="705"/>
      <c r="B796" s="802" t="s">
        <v>565</v>
      </c>
      <c r="C796" s="146" t="s">
        <v>52</v>
      </c>
      <c r="D796" s="152" t="s">
        <v>509</v>
      </c>
      <c r="E796" s="92">
        <f>SUM(E797:E809)</f>
        <v>15</v>
      </c>
      <c r="F796" s="92">
        <f t="shared" ref="F796:AA796" si="78">SUM(F797:F809)</f>
        <v>0</v>
      </c>
      <c r="G796" s="92">
        <f t="shared" si="78"/>
        <v>0</v>
      </c>
      <c r="H796" s="92">
        <f t="shared" si="78"/>
        <v>15</v>
      </c>
      <c r="I796" s="92">
        <f t="shared" si="78"/>
        <v>0</v>
      </c>
      <c r="J796" s="92">
        <f t="shared" si="78"/>
        <v>0</v>
      </c>
      <c r="K796" s="92">
        <f t="shared" si="78"/>
        <v>15</v>
      </c>
      <c r="L796" s="92"/>
      <c r="M796" s="92"/>
      <c r="N796" s="92">
        <f t="shared" si="78"/>
        <v>1198.96</v>
      </c>
      <c r="O796" s="92">
        <f t="shared" si="78"/>
        <v>0</v>
      </c>
      <c r="P796" s="92">
        <f t="shared" si="78"/>
        <v>0</v>
      </c>
      <c r="Q796" s="92">
        <f t="shared" si="78"/>
        <v>1198.96</v>
      </c>
      <c r="R796" s="92">
        <f t="shared" si="78"/>
        <v>1198.96</v>
      </c>
      <c r="S796" s="92">
        <f t="shared" si="78"/>
        <v>0</v>
      </c>
      <c r="T796" s="92">
        <f t="shared" si="78"/>
        <v>0</v>
      </c>
      <c r="U796" s="92">
        <f t="shared" si="78"/>
        <v>0</v>
      </c>
      <c r="V796" s="92">
        <f t="shared" si="78"/>
        <v>0</v>
      </c>
      <c r="W796" s="92">
        <f t="shared" si="78"/>
        <v>0</v>
      </c>
      <c r="X796" s="92">
        <f t="shared" si="78"/>
        <v>0</v>
      </c>
      <c r="Y796" s="92">
        <f t="shared" si="78"/>
        <v>559</v>
      </c>
      <c r="Z796" s="92">
        <f t="shared" si="78"/>
        <v>2403</v>
      </c>
      <c r="AA796" s="92">
        <f t="shared" si="78"/>
        <v>15</v>
      </c>
      <c r="AB796" s="92"/>
      <c r="AC796" s="92"/>
      <c r="AD796" s="146" t="s">
        <v>296</v>
      </c>
      <c r="AE796" s="146" t="s">
        <v>561</v>
      </c>
      <c r="AF796" s="146" t="s">
        <v>294</v>
      </c>
      <c r="AG796" s="92"/>
    </row>
    <row r="797" s="570" customFormat="1" ht="24.95" customHeight="1" spans="1:33">
      <c r="A797" s="705"/>
      <c r="B797" s="97" t="s">
        <v>69</v>
      </c>
      <c r="C797" s="146" t="s">
        <v>52</v>
      </c>
      <c r="D797" s="152" t="s">
        <v>509</v>
      </c>
      <c r="E797" s="92"/>
      <c r="F797" s="97"/>
      <c r="G797" s="92"/>
      <c r="H797" s="92"/>
      <c r="I797" s="92"/>
      <c r="J797" s="92"/>
      <c r="K797" s="92"/>
      <c r="L797" s="708"/>
      <c r="M797" s="708"/>
      <c r="N797" s="92"/>
      <c r="O797" s="92"/>
      <c r="P797" s="92"/>
      <c r="Q797" s="92"/>
      <c r="R797" s="92"/>
      <c r="S797" s="92"/>
      <c r="T797" s="92"/>
      <c r="U797" s="92"/>
      <c r="V797" s="92"/>
      <c r="W797" s="92"/>
      <c r="X797" s="92"/>
      <c r="Y797" s="92"/>
      <c r="Z797" s="92"/>
      <c r="AA797" s="92"/>
      <c r="AB797" s="92"/>
      <c r="AC797" s="92"/>
      <c r="AD797" s="146"/>
      <c r="AE797" s="146"/>
      <c r="AF797" s="146"/>
      <c r="AG797" s="92"/>
    </row>
    <row r="798" s="570" customFormat="1" ht="24.95" customHeight="1" spans="1:33">
      <c r="A798" s="705"/>
      <c r="B798" s="803" t="s">
        <v>51</v>
      </c>
      <c r="C798" s="146" t="s">
        <v>52</v>
      </c>
      <c r="D798" s="152" t="s">
        <v>509</v>
      </c>
      <c r="E798" s="92"/>
      <c r="F798" s="803"/>
      <c r="G798" s="92"/>
      <c r="H798" s="92"/>
      <c r="I798" s="92"/>
      <c r="J798" s="92"/>
      <c r="K798" s="92"/>
      <c r="L798" s="708"/>
      <c r="M798" s="708"/>
      <c r="N798" s="92"/>
      <c r="O798" s="92"/>
      <c r="P798" s="92"/>
      <c r="Q798" s="92"/>
      <c r="R798" s="92"/>
      <c r="S798" s="92"/>
      <c r="T798" s="92"/>
      <c r="U798" s="92"/>
      <c r="V798" s="92"/>
      <c r="W798" s="92"/>
      <c r="X798" s="92"/>
      <c r="Y798" s="92"/>
      <c r="Z798" s="92"/>
      <c r="AA798" s="92"/>
      <c r="AB798" s="92"/>
      <c r="AC798" s="92"/>
      <c r="AD798" s="146"/>
      <c r="AE798" s="146"/>
      <c r="AF798" s="146"/>
      <c r="AG798" s="92"/>
    </row>
    <row r="799" s="570" customFormat="1" ht="24.95" customHeight="1" spans="1:33">
      <c r="A799" s="705"/>
      <c r="B799" s="803" t="s">
        <v>72</v>
      </c>
      <c r="C799" s="146" t="s">
        <v>52</v>
      </c>
      <c r="D799" s="152" t="s">
        <v>509</v>
      </c>
      <c r="E799" s="92">
        <v>2</v>
      </c>
      <c r="F799" s="803" t="s">
        <v>72</v>
      </c>
      <c r="G799" s="92"/>
      <c r="H799" s="92">
        <v>2</v>
      </c>
      <c r="I799" s="92"/>
      <c r="J799" s="92"/>
      <c r="K799" s="92">
        <v>2</v>
      </c>
      <c r="L799" s="92">
        <v>2020.01</v>
      </c>
      <c r="M799" s="92">
        <v>2020.12</v>
      </c>
      <c r="N799" s="92">
        <v>166</v>
      </c>
      <c r="O799" s="92"/>
      <c r="P799" s="92"/>
      <c r="Q799" s="92">
        <v>166</v>
      </c>
      <c r="R799" s="92">
        <v>166</v>
      </c>
      <c r="S799" s="92"/>
      <c r="T799" s="92"/>
      <c r="U799" s="92"/>
      <c r="V799" s="92"/>
      <c r="W799" s="92"/>
      <c r="X799" s="92"/>
      <c r="Y799" s="92"/>
      <c r="Z799" s="92"/>
      <c r="AA799" s="92">
        <v>2</v>
      </c>
      <c r="AB799" s="92"/>
      <c r="AC799" s="92"/>
      <c r="AD799" s="146" t="s">
        <v>247</v>
      </c>
      <c r="AE799" s="146" t="s">
        <v>302</v>
      </c>
      <c r="AF799" s="146" t="s">
        <v>294</v>
      </c>
      <c r="AG799" s="92"/>
    </row>
    <row r="800" s="570" customFormat="1" ht="24.95" customHeight="1" spans="1:33">
      <c r="A800" s="705"/>
      <c r="B800" s="803" t="s">
        <v>91</v>
      </c>
      <c r="C800" s="146" t="s">
        <v>52</v>
      </c>
      <c r="D800" s="152" t="s">
        <v>509</v>
      </c>
      <c r="E800" s="92"/>
      <c r="F800" s="803"/>
      <c r="G800" s="92"/>
      <c r="H800" s="92"/>
      <c r="I800" s="92"/>
      <c r="J800" s="92"/>
      <c r="K800" s="92"/>
      <c r="L800" s="708"/>
      <c r="M800" s="708"/>
      <c r="N800" s="92"/>
      <c r="O800" s="92"/>
      <c r="P800" s="92"/>
      <c r="Q800" s="92"/>
      <c r="R800" s="92"/>
      <c r="S800" s="92"/>
      <c r="T800" s="92"/>
      <c r="U800" s="92"/>
      <c r="V800" s="92"/>
      <c r="W800" s="92"/>
      <c r="X800" s="92"/>
      <c r="Y800" s="92"/>
      <c r="Z800" s="92"/>
      <c r="AA800" s="92"/>
      <c r="AB800" s="92"/>
      <c r="AC800" s="92"/>
      <c r="AD800" s="146"/>
      <c r="AE800" s="146"/>
      <c r="AF800" s="146"/>
      <c r="AG800" s="92"/>
    </row>
    <row r="801" s="570" customFormat="1" ht="24.95" customHeight="1" spans="1:33">
      <c r="A801" s="705"/>
      <c r="B801" s="803" t="s">
        <v>55</v>
      </c>
      <c r="C801" s="146" t="s">
        <v>52</v>
      </c>
      <c r="D801" s="152" t="s">
        <v>509</v>
      </c>
      <c r="E801" s="92">
        <v>4</v>
      </c>
      <c r="F801" s="803" t="s">
        <v>55</v>
      </c>
      <c r="G801" s="92"/>
      <c r="H801" s="92">
        <v>4</v>
      </c>
      <c r="I801" s="92"/>
      <c r="J801" s="92"/>
      <c r="K801" s="92">
        <v>4</v>
      </c>
      <c r="L801" s="92">
        <v>2020.01</v>
      </c>
      <c r="M801" s="92">
        <v>2020.12</v>
      </c>
      <c r="N801" s="92">
        <v>196.76</v>
      </c>
      <c r="O801" s="92"/>
      <c r="P801" s="92"/>
      <c r="Q801" s="92">
        <v>196.76</v>
      </c>
      <c r="R801" s="92">
        <v>196.76</v>
      </c>
      <c r="S801" s="92"/>
      <c r="T801" s="92"/>
      <c r="U801" s="92"/>
      <c r="V801" s="92"/>
      <c r="W801" s="92"/>
      <c r="X801" s="92"/>
      <c r="Y801" s="92"/>
      <c r="Z801" s="92"/>
      <c r="AA801" s="92">
        <v>4</v>
      </c>
      <c r="AB801" s="92"/>
      <c r="AC801" s="92"/>
      <c r="AD801" s="146" t="s">
        <v>305</v>
      </c>
      <c r="AE801" s="146" t="s">
        <v>306</v>
      </c>
      <c r="AF801" s="146" t="s">
        <v>294</v>
      </c>
      <c r="AG801" s="92"/>
    </row>
    <row r="802" s="570" customFormat="1" ht="24.95" customHeight="1" spans="1:33">
      <c r="A802" s="705"/>
      <c r="B802" s="803" t="s">
        <v>75</v>
      </c>
      <c r="C802" s="146" t="s">
        <v>52</v>
      </c>
      <c r="D802" s="152" t="s">
        <v>509</v>
      </c>
      <c r="E802" s="92"/>
      <c r="F802" s="803"/>
      <c r="G802" s="92"/>
      <c r="H802" s="92"/>
      <c r="I802" s="92"/>
      <c r="J802" s="92"/>
      <c r="K802" s="92"/>
      <c r="L802" s="708"/>
      <c r="M802" s="708"/>
      <c r="N802" s="92"/>
      <c r="O802" s="92"/>
      <c r="P802" s="92"/>
      <c r="Q802" s="92"/>
      <c r="R802" s="92"/>
      <c r="S802" s="92"/>
      <c r="T802" s="92"/>
      <c r="U802" s="92"/>
      <c r="V802" s="92"/>
      <c r="W802" s="92"/>
      <c r="X802" s="92"/>
      <c r="Y802" s="92"/>
      <c r="Z802" s="92"/>
      <c r="AA802" s="92"/>
      <c r="AB802" s="92"/>
      <c r="AC802" s="92"/>
      <c r="AD802" s="146"/>
      <c r="AE802" s="146"/>
      <c r="AF802" s="146"/>
      <c r="AG802" s="92"/>
    </row>
    <row r="803" s="570" customFormat="1" ht="24.95" customHeight="1" spans="1:33">
      <c r="A803" s="705"/>
      <c r="B803" s="803" t="s">
        <v>58</v>
      </c>
      <c r="C803" s="146" t="s">
        <v>52</v>
      </c>
      <c r="D803" s="152" t="s">
        <v>509</v>
      </c>
      <c r="E803" s="92"/>
      <c r="F803" s="803"/>
      <c r="G803" s="92"/>
      <c r="H803" s="92"/>
      <c r="I803" s="92"/>
      <c r="J803" s="92"/>
      <c r="K803" s="92"/>
      <c r="L803" s="708"/>
      <c r="M803" s="708"/>
      <c r="N803" s="92"/>
      <c r="O803" s="92"/>
      <c r="P803" s="92"/>
      <c r="Q803" s="92"/>
      <c r="R803" s="92"/>
      <c r="S803" s="92"/>
      <c r="T803" s="92"/>
      <c r="U803" s="92"/>
      <c r="V803" s="92"/>
      <c r="W803" s="92"/>
      <c r="X803" s="92"/>
      <c r="Y803" s="92"/>
      <c r="Z803" s="92"/>
      <c r="AA803" s="92"/>
      <c r="AB803" s="92"/>
      <c r="AC803" s="92"/>
      <c r="AD803" s="146"/>
      <c r="AE803" s="146"/>
      <c r="AF803" s="146"/>
      <c r="AG803" s="92"/>
    </row>
    <row r="804" s="570" customFormat="1" ht="24.95" customHeight="1" spans="1:33">
      <c r="A804" s="705"/>
      <c r="B804" s="803" t="s">
        <v>61</v>
      </c>
      <c r="C804" s="146" t="s">
        <v>52</v>
      </c>
      <c r="D804" s="152" t="s">
        <v>509</v>
      </c>
      <c r="E804" s="92"/>
      <c r="F804" s="803"/>
      <c r="G804" s="92"/>
      <c r="H804" s="92"/>
      <c r="I804" s="92"/>
      <c r="J804" s="92"/>
      <c r="K804" s="92"/>
      <c r="L804" s="708"/>
      <c r="M804" s="708"/>
      <c r="N804" s="92"/>
      <c r="O804" s="92"/>
      <c r="P804" s="92"/>
      <c r="Q804" s="92"/>
      <c r="R804" s="92"/>
      <c r="S804" s="92"/>
      <c r="T804" s="92"/>
      <c r="U804" s="92"/>
      <c r="V804" s="92"/>
      <c r="W804" s="92"/>
      <c r="X804" s="92"/>
      <c r="Y804" s="92"/>
      <c r="Z804" s="92"/>
      <c r="AA804" s="92"/>
      <c r="AB804" s="92"/>
      <c r="AC804" s="92"/>
      <c r="AD804" s="146"/>
      <c r="AE804" s="146"/>
      <c r="AF804" s="146"/>
      <c r="AG804" s="92"/>
    </row>
    <row r="805" s="570" customFormat="1" ht="24.95" customHeight="1" spans="1:33">
      <c r="A805" s="705"/>
      <c r="B805" s="803" t="s">
        <v>78</v>
      </c>
      <c r="C805" s="146" t="s">
        <v>52</v>
      </c>
      <c r="D805" s="152" t="s">
        <v>509</v>
      </c>
      <c r="E805" s="92"/>
      <c r="F805" s="803"/>
      <c r="G805" s="92"/>
      <c r="H805" s="92"/>
      <c r="I805" s="92"/>
      <c r="J805" s="92"/>
      <c r="K805" s="92"/>
      <c r="L805" s="708"/>
      <c r="M805" s="708"/>
      <c r="N805" s="92"/>
      <c r="O805" s="92"/>
      <c r="P805" s="92"/>
      <c r="Q805" s="92"/>
      <c r="R805" s="92"/>
      <c r="S805" s="92"/>
      <c r="T805" s="92"/>
      <c r="U805" s="92"/>
      <c r="V805" s="92"/>
      <c r="W805" s="92"/>
      <c r="X805" s="92"/>
      <c r="Y805" s="92"/>
      <c r="Z805" s="92"/>
      <c r="AA805" s="92"/>
      <c r="AB805" s="92"/>
      <c r="AC805" s="92"/>
      <c r="AD805" s="146"/>
      <c r="AE805" s="146"/>
      <c r="AF805" s="146"/>
      <c r="AG805" s="92"/>
    </row>
    <row r="806" s="570" customFormat="1" ht="24.95" customHeight="1" spans="1:33">
      <c r="A806" s="705"/>
      <c r="B806" s="803" t="s">
        <v>114</v>
      </c>
      <c r="C806" s="146" t="s">
        <v>52</v>
      </c>
      <c r="D806" s="152" t="s">
        <v>509</v>
      </c>
      <c r="E806" s="92"/>
      <c r="F806" s="803"/>
      <c r="G806" s="92"/>
      <c r="H806" s="92"/>
      <c r="I806" s="92"/>
      <c r="J806" s="92"/>
      <c r="K806" s="92"/>
      <c r="L806" s="708"/>
      <c r="M806" s="708"/>
      <c r="N806" s="92"/>
      <c r="O806" s="92"/>
      <c r="P806" s="92"/>
      <c r="Q806" s="92"/>
      <c r="R806" s="92"/>
      <c r="S806" s="92"/>
      <c r="T806" s="92"/>
      <c r="U806" s="92"/>
      <c r="V806" s="92"/>
      <c r="W806" s="92"/>
      <c r="X806" s="92"/>
      <c r="Y806" s="92"/>
      <c r="Z806" s="92"/>
      <c r="AA806" s="92"/>
      <c r="AB806" s="92"/>
      <c r="AC806" s="92"/>
      <c r="AD806" s="146"/>
      <c r="AE806" s="146"/>
      <c r="AF806" s="146"/>
      <c r="AG806" s="92"/>
    </row>
    <row r="807" s="570" customFormat="1" ht="24.95" customHeight="1" spans="1:33">
      <c r="A807" s="705"/>
      <c r="B807" s="803" t="s">
        <v>64</v>
      </c>
      <c r="C807" s="146" t="s">
        <v>52</v>
      </c>
      <c r="D807" s="152" t="s">
        <v>509</v>
      </c>
      <c r="E807" s="92">
        <v>4</v>
      </c>
      <c r="F807" s="803" t="s">
        <v>64</v>
      </c>
      <c r="G807" s="92"/>
      <c r="H807" s="92">
        <v>4</v>
      </c>
      <c r="I807" s="92"/>
      <c r="J807" s="92"/>
      <c r="K807" s="92">
        <v>4</v>
      </c>
      <c r="L807" s="92">
        <v>2020.01</v>
      </c>
      <c r="M807" s="92">
        <v>2020.12</v>
      </c>
      <c r="N807" s="92">
        <v>128.12</v>
      </c>
      <c r="O807" s="92"/>
      <c r="P807" s="92"/>
      <c r="Q807" s="92">
        <v>128.12</v>
      </c>
      <c r="R807" s="92">
        <v>128.12</v>
      </c>
      <c r="S807" s="92"/>
      <c r="T807" s="92"/>
      <c r="U807" s="92"/>
      <c r="V807" s="92"/>
      <c r="W807" s="92"/>
      <c r="X807" s="92"/>
      <c r="Y807" s="92">
        <v>559</v>
      </c>
      <c r="Z807" s="92">
        <v>2403</v>
      </c>
      <c r="AA807" s="92">
        <v>4</v>
      </c>
      <c r="AB807" s="92"/>
      <c r="AC807" s="92"/>
      <c r="AD807" s="146" t="s">
        <v>185</v>
      </c>
      <c r="AE807" s="146" t="s">
        <v>563</v>
      </c>
      <c r="AF807" s="146" t="s">
        <v>294</v>
      </c>
      <c r="AG807" s="92"/>
    </row>
    <row r="808" s="570" customFormat="1" ht="24.95" customHeight="1" spans="1:33">
      <c r="A808" s="705"/>
      <c r="B808" s="803" t="s">
        <v>92</v>
      </c>
      <c r="C808" s="146" t="s">
        <v>52</v>
      </c>
      <c r="D808" s="152" t="s">
        <v>509</v>
      </c>
      <c r="E808" s="92"/>
      <c r="F808" s="803"/>
      <c r="G808" s="92"/>
      <c r="H808" s="92"/>
      <c r="I808" s="92"/>
      <c r="J808" s="92"/>
      <c r="K808" s="92"/>
      <c r="L808" s="708"/>
      <c r="M808" s="708"/>
      <c r="N808" s="92"/>
      <c r="O808" s="92"/>
      <c r="P808" s="92"/>
      <c r="Q808" s="92"/>
      <c r="R808" s="92"/>
      <c r="S808" s="92"/>
      <c r="T808" s="92"/>
      <c r="U808" s="92"/>
      <c r="V808" s="92"/>
      <c r="W808" s="92"/>
      <c r="X808" s="92"/>
      <c r="Y808" s="92"/>
      <c r="Z808" s="92"/>
      <c r="AA808" s="92"/>
      <c r="AB808" s="92"/>
      <c r="AC808" s="92"/>
      <c r="AD808" s="146"/>
      <c r="AE808" s="146"/>
      <c r="AF808" s="146"/>
      <c r="AG808" s="92"/>
    </row>
    <row r="809" s="570" customFormat="1" ht="24.95" customHeight="1" spans="1:33">
      <c r="A809" s="705"/>
      <c r="B809" s="803" t="s">
        <v>564</v>
      </c>
      <c r="C809" s="146" t="s">
        <v>52</v>
      </c>
      <c r="D809" s="152" t="s">
        <v>509</v>
      </c>
      <c r="E809" s="92">
        <v>5</v>
      </c>
      <c r="F809" s="803" t="s">
        <v>564</v>
      </c>
      <c r="G809" s="92"/>
      <c r="H809" s="92">
        <v>5</v>
      </c>
      <c r="I809" s="92"/>
      <c r="J809" s="92"/>
      <c r="K809" s="92">
        <v>5</v>
      </c>
      <c r="L809" s="92">
        <v>2020.01</v>
      </c>
      <c r="M809" s="92">
        <v>2020.12</v>
      </c>
      <c r="N809" s="92">
        <v>708.08</v>
      </c>
      <c r="O809" s="92"/>
      <c r="P809" s="92"/>
      <c r="Q809" s="92">
        <v>708.08</v>
      </c>
      <c r="R809" s="92">
        <v>708.08</v>
      </c>
      <c r="S809" s="92"/>
      <c r="T809" s="92"/>
      <c r="U809" s="92"/>
      <c r="V809" s="92"/>
      <c r="W809" s="92"/>
      <c r="X809" s="92"/>
      <c r="Y809" s="92"/>
      <c r="Z809" s="92"/>
      <c r="AA809" s="92">
        <v>5</v>
      </c>
      <c r="AB809" s="92"/>
      <c r="AC809" s="92"/>
      <c r="AD809" s="146" t="s">
        <v>296</v>
      </c>
      <c r="AE809" s="146" t="s">
        <v>561</v>
      </c>
      <c r="AF809" s="146" t="s">
        <v>294</v>
      </c>
      <c r="AG809" s="92"/>
    </row>
    <row r="810" s="570" customFormat="1" ht="24.95" customHeight="1" spans="1:33">
      <c r="A810" s="705"/>
      <c r="B810" s="802" t="s">
        <v>566</v>
      </c>
      <c r="C810" s="712" t="s">
        <v>52</v>
      </c>
      <c r="D810" s="152" t="s">
        <v>509</v>
      </c>
      <c r="E810" s="92"/>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146"/>
      <c r="AE810" s="146"/>
      <c r="AF810" s="146"/>
      <c r="AG810" s="92"/>
    </row>
    <row r="811" s="570" customFormat="1" ht="24.95" customHeight="1" spans="1:33">
      <c r="A811" s="705"/>
      <c r="B811" s="714" t="s">
        <v>69</v>
      </c>
      <c r="C811" s="712" t="s">
        <v>52</v>
      </c>
      <c r="D811" s="152" t="s">
        <v>509</v>
      </c>
      <c r="E811" s="92"/>
      <c r="F811" s="714"/>
      <c r="G811" s="92"/>
      <c r="H811" s="92"/>
      <c r="I811" s="92"/>
      <c r="J811" s="92"/>
      <c r="K811" s="92"/>
      <c r="L811" s="708"/>
      <c r="M811" s="708"/>
      <c r="N811" s="92"/>
      <c r="O811" s="92"/>
      <c r="P811" s="92"/>
      <c r="Q811" s="92"/>
      <c r="R811" s="92"/>
      <c r="S811" s="92"/>
      <c r="T811" s="92"/>
      <c r="U811" s="92"/>
      <c r="V811" s="92"/>
      <c r="W811" s="92"/>
      <c r="X811" s="92"/>
      <c r="Y811" s="92"/>
      <c r="Z811" s="92"/>
      <c r="AA811" s="92"/>
      <c r="AB811" s="92"/>
      <c r="AC811" s="92"/>
      <c r="AD811" s="146"/>
      <c r="AE811" s="146"/>
      <c r="AF811" s="146"/>
      <c r="AG811" s="92"/>
    </row>
    <row r="812" s="570" customFormat="1" ht="24.95" customHeight="1" spans="1:33">
      <c r="A812" s="705"/>
      <c r="B812" s="803" t="s">
        <v>51</v>
      </c>
      <c r="C812" s="712" t="s">
        <v>52</v>
      </c>
      <c r="D812" s="152" t="s">
        <v>509</v>
      </c>
      <c r="E812" s="92"/>
      <c r="F812" s="803"/>
      <c r="G812" s="92"/>
      <c r="H812" s="92"/>
      <c r="I812" s="92"/>
      <c r="J812" s="92"/>
      <c r="K812" s="92"/>
      <c r="L812" s="708"/>
      <c r="M812" s="708"/>
      <c r="N812" s="92"/>
      <c r="O812" s="92"/>
      <c r="P812" s="92"/>
      <c r="Q812" s="92"/>
      <c r="R812" s="92"/>
      <c r="S812" s="92"/>
      <c r="T812" s="92"/>
      <c r="U812" s="92"/>
      <c r="V812" s="92"/>
      <c r="W812" s="92"/>
      <c r="X812" s="92"/>
      <c r="Y812" s="92"/>
      <c r="Z812" s="92"/>
      <c r="AA812" s="92"/>
      <c r="AB812" s="92"/>
      <c r="AC812" s="92"/>
      <c r="AD812" s="146"/>
      <c r="AE812" s="146"/>
      <c r="AF812" s="146"/>
      <c r="AG812" s="92"/>
    </row>
    <row r="813" s="570" customFormat="1" ht="24.95" customHeight="1" spans="1:33">
      <c r="A813" s="705"/>
      <c r="B813" s="803" t="s">
        <v>72</v>
      </c>
      <c r="C813" s="712" t="s">
        <v>52</v>
      </c>
      <c r="D813" s="152" t="s">
        <v>509</v>
      </c>
      <c r="E813" s="92"/>
      <c r="F813" s="803"/>
      <c r="G813" s="92"/>
      <c r="H813" s="92"/>
      <c r="I813" s="92"/>
      <c r="J813" s="92"/>
      <c r="K813" s="92"/>
      <c r="L813" s="708"/>
      <c r="M813" s="708"/>
      <c r="N813" s="92"/>
      <c r="O813" s="92"/>
      <c r="P813" s="92"/>
      <c r="Q813" s="92"/>
      <c r="R813" s="92"/>
      <c r="S813" s="92"/>
      <c r="T813" s="92"/>
      <c r="U813" s="92"/>
      <c r="V813" s="92"/>
      <c r="W813" s="92"/>
      <c r="X813" s="92"/>
      <c r="Y813" s="92"/>
      <c r="Z813" s="92"/>
      <c r="AA813" s="92"/>
      <c r="AB813" s="92"/>
      <c r="AC813" s="92"/>
      <c r="AD813" s="146"/>
      <c r="AE813" s="146"/>
      <c r="AF813" s="146"/>
      <c r="AG813" s="92"/>
    </row>
    <row r="814" s="570" customFormat="1" ht="24.95" customHeight="1" spans="1:33">
      <c r="A814" s="705"/>
      <c r="B814" s="803" t="s">
        <v>91</v>
      </c>
      <c r="C814" s="712" t="s">
        <v>52</v>
      </c>
      <c r="D814" s="152" t="s">
        <v>509</v>
      </c>
      <c r="E814" s="92"/>
      <c r="F814" s="803"/>
      <c r="G814" s="92"/>
      <c r="H814" s="92"/>
      <c r="I814" s="92"/>
      <c r="J814" s="92"/>
      <c r="K814" s="92"/>
      <c r="L814" s="708"/>
      <c r="M814" s="708"/>
      <c r="N814" s="92"/>
      <c r="O814" s="92"/>
      <c r="P814" s="92"/>
      <c r="Q814" s="92"/>
      <c r="R814" s="92"/>
      <c r="S814" s="92"/>
      <c r="T814" s="92"/>
      <c r="U814" s="92"/>
      <c r="V814" s="92"/>
      <c r="W814" s="92"/>
      <c r="X814" s="92"/>
      <c r="Y814" s="92"/>
      <c r="Z814" s="92"/>
      <c r="AA814" s="92"/>
      <c r="AB814" s="92"/>
      <c r="AC814" s="92"/>
      <c r="AD814" s="146"/>
      <c r="AE814" s="146"/>
      <c r="AF814" s="146"/>
      <c r="AG814" s="92"/>
    </row>
    <row r="815" s="570" customFormat="1" ht="24.95" customHeight="1" spans="1:33">
      <c r="A815" s="705"/>
      <c r="B815" s="803" t="s">
        <v>55</v>
      </c>
      <c r="C815" s="712" t="s">
        <v>52</v>
      </c>
      <c r="D815" s="152" t="s">
        <v>509</v>
      </c>
      <c r="E815" s="92"/>
      <c r="F815" s="803"/>
      <c r="G815" s="92"/>
      <c r="H815" s="92"/>
      <c r="I815" s="92"/>
      <c r="J815" s="92"/>
      <c r="K815" s="92"/>
      <c r="L815" s="708"/>
      <c r="M815" s="708"/>
      <c r="N815" s="92"/>
      <c r="O815" s="92"/>
      <c r="P815" s="92"/>
      <c r="Q815" s="92"/>
      <c r="R815" s="92"/>
      <c r="S815" s="92"/>
      <c r="T815" s="92"/>
      <c r="U815" s="92"/>
      <c r="V815" s="92"/>
      <c r="W815" s="92"/>
      <c r="X815" s="92"/>
      <c r="Y815" s="92"/>
      <c r="Z815" s="92"/>
      <c r="AA815" s="92"/>
      <c r="AB815" s="92"/>
      <c r="AC815" s="92"/>
      <c r="AD815" s="146"/>
      <c r="AE815" s="146"/>
      <c r="AF815" s="146"/>
      <c r="AG815" s="92"/>
    </row>
    <row r="816" s="570" customFormat="1" ht="24.95" customHeight="1" spans="1:33">
      <c r="A816" s="705"/>
      <c r="B816" s="803" t="s">
        <v>75</v>
      </c>
      <c r="C816" s="712" t="s">
        <v>52</v>
      </c>
      <c r="D816" s="152" t="s">
        <v>509</v>
      </c>
      <c r="E816" s="92"/>
      <c r="F816" s="803"/>
      <c r="G816" s="92"/>
      <c r="H816" s="92"/>
      <c r="I816" s="92"/>
      <c r="J816" s="92"/>
      <c r="K816" s="92"/>
      <c r="L816" s="708"/>
      <c r="M816" s="708"/>
      <c r="N816" s="92"/>
      <c r="O816" s="92"/>
      <c r="P816" s="92"/>
      <c r="Q816" s="92"/>
      <c r="R816" s="92"/>
      <c r="S816" s="92"/>
      <c r="T816" s="92"/>
      <c r="U816" s="92"/>
      <c r="V816" s="92"/>
      <c r="W816" s="92"/>
      <c r="X816" s="92"/>
      <c r="Y816" s="92"/>
      <c r="Z816" s="92"/>
      <c r="AA816" s="92"/>
      <c r="AB816" s="92"/>
      <c r="AC816" s="92"/>
      <c r="AD816" s="146"/>
      <c r="AE816" s="146"/>
      <c r="AF816" s="146"/>
      <c r="AG816" s="92"/>
    </row>
    <row r="817" s="570" customFormat="1" ht="24.95" customHeight="1" spans="1:33">
      <c r="A817" s="705"/>
      <c r="B817" s="803" t="s">
        <v>58</v>
      </c>
      <c r="C817" s="712" t="s">
        <v>52</v>
      </c>
      <c r="D817" s="152" t="s">
        <v>509</v>
      </c>
      <c r="E817" s="92"/>
      <c r="F817" s="803"/>
      <c r="G817" s="92"/>
      <c r="H817" s="92"/>
      <c r="I817" s="92"/>
      <c r="J817" s="92"/>
      <c r="K817" s="92"/>
      <c r="L817" s="708"/>
      <c r="M817" s="708"/>
      <c r="N817" s="92"/>
      <c r="O817" s="92"/>
      <c r="P817" s="92"/>
      <c r="Q817" s="92"/>
      <c r="R817" s="92"/>
      <c r="S817" s="92"/>
      <c r="T817" s="92"/>
      <c r="U817" s="92"/>
      <c r="V817" s="92"/>
      <c r="W817" s="92"/>
      <c r="X817" s="92"/>
      <c r="Y817" s="92"/>
      <c r="Z817" s="92"/>
      <c r="AA817" s="92"/>
      <c r="AB817" s="92"/>
      <c r="AC817" s="92"/>
      <c r="AD817" s="146"/>
      <c r="AE817" s="146"/>
      <c r="AF817" s="146"/>
      <c r="AG817" s="92"/>
    </row>
    <row r="818" s="570" customFormat="1" ht="24.95" customHeight="1" spans="1:33">
      <c r="A818" s="705"/>
      <c r="B818" s="803" t="s">
        <v>61</v>
      </c>
      <c r="C818" s="712" t="s">
        <v>52</v>
      </c>
      <c r="D818" s="152" t="s">
        <v>509</v>
      </c>
      <c r="E818" s="92"/>
      <c r="F818" s="803"/>
      <c r="G818" s="92"/>
      <c r="H818" s="92"/>
      <c r="I818" s="92"/>
      <c r="J818" s="92"/>
      <c r="K818" s="92"/>
      <c r="L818" s="708"/>
      <c r="M818" s="708"/>
      <c r="N818" s="92"/>
      <c r="O818" s="92"/>
      <c r="P818" s="92"/>
      <c r="Q818" s="92"/>
      <c r="R818" s="92"/>
      <c r="S818" s="92"/>
      <c r="T818" s="92"/>
      <c r="U818" s="92"/>
      <c r="V818" s="92"/>
      <c r="W818" s="92"/>
      <c r="X818" s="92"/>
      <c r="Y818" s="92"/>
      <c r="Z818" s="92"/>
      <c r="AA818" s="92"/>
      <c r="AB818" s="92"/>
      <c r="AC818" s="92"/>
      <c r="AD818" s="146"/>
      <c r="AE818" s="146"/>
      <c r="AF818" s="146"/>
      <c r="AG818" s="92"/>
    </row>
    <row r="819" s="570" customFormat="1" ht="24.95" customHeight="1" spans="1:33">
      <c r="A819" s="705"/>
      <c r="B819" s="803" t="s">
        <v>78</v>
      </c>
      <c r="C819" s="712" t="s">
        <v>52</v>
      </c>
      <c r="D819" s="152" t="s">
        <v>509</v>
      </c>
      <c r="E819" s="92"/>
      <c r="F819" s="803"/>
      <c r="G819" s="92"/>
      <c r="H819" s="92"/>
      <c r="I819" s="92"/>
      <c r="J819" s="92"/>
      <c r="K819" s="92"/>
      <c r="L819" s="708"/>
      <c r="M819" s="708"/>
      <c r="N819" s="92"/>
      <c r="O819" s="92"/>
      <c r="P819" s="92"/>
      <c r="Q819" s="92"/>
      <c r="R819" s="92"/>
      <c r="S819" s="92"/>
      <c r="T819" s="92"/>
      <c r="U819" s="92"/>
      <c r="V819" s="92"/>
      <c r="W819" s="92"/>
      <c r="X819" s="92"/>
      <c r="Y819" s="92"/>
      <c r="Z819" s="92"/>
      <c r="AA819" s="92"/>
      <c r="AB819" s="92"/>
      <c r="AC819" s="92"/>
      <c r="AD819" s="146"/>
      <c r="AE819" s="146"/>
      <c r="AF819" s="146"/>
      <c r="AG819" s="92"/>
    </row>
    <row r="820" s="570" customFormat="1" ht="24.95" customHeight="1" spans="1:33">
      <c r="A820" s="705"/>
      <c r="B820" s="803" t="s">
        <v>114</v>
      </c>
      <c r="C820" s="712" t="s">
        <v>52</v>
      </c>
      <c r="D820" s="152" t="s">
        <v>509</v>
      </c>
      <c r="E820" s="92"/>
      <c r="F820" s="803"/>
      <c r="G820" s="92"/>
      <c r="H820" s="92"/>
      <c r="I820" s="92"/>
      <c r="J820" s="92"/>
      <c r="K820" s="92"/>
      <c r="L820" s="708"/>
      <c r="M820" s="708"/>
      <c r="N820" s="92"/>
      <c r="O820" s="92"/>
      <c r="P820" s="92"/>
      <c r="Q820" s="92"/>
      <c r="R820" s="92"/>
      <c r="S820" s="92"/>
      <c r="T820" s="92"/>
      <c r="U820" s="92"/>
      <c r="V820" s="92"/>
      <c r="W820" s="92"/>
      <c r="X820" s="92"/>
      <c r="Y820" s="92"/>
      <c r="Z820" s="92"/>
      <c r="AA820" s="92"/>
      <c r="AB820" s="92"/>
      <c r="AC820" s="92"/>
      <c r="AD820" s="146"/>
      <c r="AE820" s="146"/>
      <c r="AF820" s="146"/>
      <c r="AG820" s="92"/>
    </row>
    <row r="821" s="570" customFormat="1" ht="24.95" customHeight="1" spans="1:33">
      <c r="A821" s="705"/>
      <c r="B821" s="803" t="s">
        <v>64</v>
      </c>
      <c r="C821" s="712" t="s">
        <v>52</v>
      </c>
      <c r="D821" s="152" t="s">
        <v>509</v>
      </c>
      <c r="E821" s="92"/>
      <c r="F821" s="803"/>
      <c r="G821" s="92"/>
      <c r="H821" s="92"/>
      <c r="I821" s="92"/>
      <c r="J821" s="92"/>
      <c r="K821" s="92"/>
      <c r="L821" s="708"/>
      <c r="M821" s="708"/>
      <c r="N821" s="92"/>
      <c r="O821" s="92"/>
      <c r="P821" s="92"/>
      <c r="Q821" s="92"/>
      <c r="R821" s="92"/>
      <c r="S821" s="92"/>
      <c r="T821" s="92"/>
      <c r="U821" s="92"/>
      <c r="V821" s="92"/>
      <c r="W821" s="92"/>
      <c r="X821" s="92"/>
      <c r="Y821" s="92"/>
      <c r="Z821" s="92"/>
      <c r="AA821" s="92"/>
      <c r="AB821" s="92"/>
      <c r="AC821" s="92"/>
      <c r="AD821" s="146"/>
      <c r="AE821" s="146"/>
      <c r="AF821" s="146"/>
      <c r="AG821" s="92"/>
    </row>
    <row r="822" s="570" customFormat="1" ht="24.95" customHeight="1" spans="1:33">
      <c r="A822" s="705"/>
      <c r="B822" s="803" t="s">
        <v>92</v>
      </c>
      <c r="C822" s="712" t="s">
        <v>52</v>
      </c>
      <c r="D822" s="152" t="s">
        <v>509</v>
      </c>
      <c r="E822" s="92"/>
      <c r="F822" s="803"/>
      <c r="G822" s="92"/>
      <c r="H822" s="92"/>
      <c r="I822" s="92"/>
      <c r="J822" s="92"/>
      <c r="K822" s="92"/>
      <c r="L822" s="708"/>
      <c r="M822" s="708"/>
      <c r="N822" s="92"/>
      <c r="O822" s="92"/>
      <c r="P822" s="92"/>
      <c r="Q822" s="92"/>
      <c r="R822" s="92"/>
      <c r="S822" s="92"/>
      <c r="T822" s="92"/>
      <c r="U822" s="92"/>
      <c r="V822" s="92"/>
      <c r="W822" s="92"/>
      <c r="X822" s="92"/>
      <c r="Y822" s="92"/>
      <c r="Z822" s="92"/>
      <c r="AA822" s="92"/>
      <c r="AB822" s="92"/>
      <c r="AC822" s="92"/>
      <c r="AD822" s="146"/>
      <c r="AE822" s="146"/>
      <c r="AF822" s="146"/>
      <c r="AG822" s="92"/>
    </row>
    <row r="823" s="570" customFormat="1" ht="24.95" customHeight="1" spans="1:33">
      <c r="A823" s="705">
        <v>105</v>
      </c>
      <c r="B823" s="803" t="s">
        <v>564</v>
      </c>
      <c r="C823" s="712" t="s">
        <v>52</v>
      </c>
      <c r="D823" s="152" t="s">
        <v>509</v>
      </c>
      <c r="E823" s="708"/>
      <c r="F823" s="803"/>
      <c r="G823" s="708"/>
      <c r="H823" s="708"/>
      <c r="I823" s="708"/>
      <c r="J823" s="708"/>
      <c r="K823" s="708"/>
      <c r="L823" s="708"/>
      <c r="M823" s="708"/>
      <c r="N823" s="726"/>
      <c r="O823" s="726"/>
      <c r="P823" s="726"/>
      <c r="Q823" s="726"/>
      <c r="R823" s="726"/>
      <c r="S823" s="726"/>
      <c r="T823" s="726"/>
      <c r="U823" s="726"/>
      <c r="V823" s="726"/>
      <c r="W823" s="726"/>
      <c r="X823" s="726"/>
      <c r="Y823" s="726"/>
      <c r="Z823" s="726"/>
      <c r="AA823" s="708"/>
      <c r="AB823" s="708"/>
      <c r="AC823" s="708"/>
      <c r="AD823" s="146"/>
      <c r="AE823" s="146"/>
      <c r="AF823" s="146"/>
      <c r="AG823" s="708"/>
    </row>
    <row r="824" s="570" customFormat="1" ht="24.95" customHeight="1" spans="1:33">
      <c r="A824" s="705"/>
      <c r="B824" s="802" t="s">
        <v>567</v>
      </c>
      <c r="C824" s="712" t="s">
        <v>52</v>
      </c>
      <c r="D824" s="152" t="s">
        <v>568</v>
      </c>
      <c r="E824" s="708">
        <v>1</v>
      </c>
      <c r="F824" s="708"/>
      <c r="G824" s="708"/>
      <c r="H824" s="708">
        <v>1</v>
      </c>
      <c r="I824" s="708"/>
      <c r="J824" s="708"/>
      <c r="K824" s="708">
        <v>1</v>
      </c>
      <c r="L824" s="708"/>
      <c r="M824" s="708"/>
      <c r="N824" s="726">
        <v>276.61</v>
      </c>
      <c r="O824" s="726"/>
      <c r="P824" s="726"/>
      <c r="Q824" s="726">
        <v>276.61</v>
      </c>
      <c r="R824" s="726">
        <v>276.61</v>
      </c>
      <c r="S824" s="726"/>
      <c r="T824" s="726"/>
      <c r="U824" s="726"/>
      <c r="V824" s="726"/>
      <c r="W824" s="726"/>
      <c r="X824" s="726"/>
      <c r="Y824" s="726"/>
      <c r="Z824" s="726"/>
      <c r="AA824" s="708">
        <v>1</v>
      </c>
      <c r="AB824" s="708"/>
      <c r="AC824" s="708"/>
      <c r="AD824" s="146" t="s">
        <v>296</v>
      </c>
      <c r="AE824" s="146" t="s">
        <v>561</v>
      </c>
      <c r="AF824" s="146" t="s">
        <v>294</v>
      </c>
      <c r="AG824" s="708"/>
    </row>
    <row r="825" s="570" customFormat="1" ht="24.95" customHeight="1" spans="1:33">
      <c r="A825" s="705"/>
      <c r="B825" s="97" t="s">
        <v>569</v>
      </c>
      <c r="C825" s="712" t="s">
        <v>52</v>
      </c>
      <c r="D825" s="152" t="s">
        <v>568</v>
      </c>
      <c r="E825" s="708">
        <v>1</v>
      </c>
      <c r="F825" s="97" t="s">
        <v>569</v>
      </c>
      <c r="G825" s="708"/>
      <c r="H825" s="708">
        <v>1</v>
      </c>
      <c r="I825" s="708"/>
      <c r="J825" s="708"/>
      <c r="K825" s="708">
        <v>1</v>
      </c>
      <c r="L825" s="708"/>
      <c r="M825" s="708"/>
      <c r="N825" s="726">
        <v>276.612</v>
      </c>
      <c r="O825" s="726"/>
      <c r="P825" s="726"/>
      <c r="Q825" s="726">
        <v>276.612</v>
      </c>
      <c r="R825" s="726">
        <v>276.612</v>
      </c>
      <c r="S825" s="726"/>
      <c r="T825" s="726"/>
      <c r="U825" s="726"/>
      <c r="V825" s="726"/>
      <c r="W825" s="726"/>
      <c r="X825" s="726"/>
      <c r="Y825" s="726"/>
      <c r="Z825" s="726"/>
      <c r="AA825" s="708">
        <v>1</v>
      </c>
      <c r="AB825" s="708"/>
      <c r="AC825" s="708"/>
      <c r="AD825" s="146" t="s">
        <v>215</v>
      </c>
      <c r="AE825" s="146" t="s">
        <v>311</v>
      </c>
      <c r="AF825" s="146" t="s">
        <v>294</v>
      </c>
      <c r="AG825" s="708"/>
    </row>
    <row r="826" ht="24.95" customHeight="1" spans="1:33">
      <c r="A826" s="705">
        <v>105</v>
      </c>
      <c r="B826" s="791" t="s">
        <v>570</v>
      </c>
      <c r="C826" s="708"/>
      <c r="D826" s="709" t="s">
        <v>150</v>
      </c>
      <c r="E826" s="708"/>
      <c r="F826" s="708"/>
      <c r="G826" s="708"/>
      <c r="H826" s="708"/>
      <c r="I826" s="708"/>
      <c r="J826" s="708"/>
      <c r="K826" s="708"/>
      <c r="L826" s="708"/>
      <c r="M826" s="708"/>
      <c r="N826" s="726"/>
      <c r="O826" s="726"/>
      <c r="P826" s="726"/>
      <c r="Q826" s="726"/>
      <c r="R826" s="726"/>
      <c r="S826" s="726"/>
      <c r="T826" s="726"/>
      <c r="U826" s="726"/>
      <c r="V826" s="726"/>
      <c r="W826" s="726"/>
      <c r="X826" s="726"/>
      <c r="Y826" s="726"/>
      <c r="Z826" s="726"/>
      <c r="AA826" s="708"/>
      <c r="AB826" s="708"/>
      <c r="AC826" s="708"/>
      <c r="AD826" s="708"/>
      <c r="AE826" s="708"/>
      <c r="AF826" s="708" t="s">
        <v>273</v>
      </c>
      <c r="AG826" s="708" t="s">
        <v>41</v>
      </c>
    </row>
    <row r="827" customFormat="1" ht="24.95" customHeight="1" spans="1:33">
      <c r="A827" s="804"/>
      <c r="B827" s="805" t="s">
        <v>571</v>
      </c>
      <c r="C827" s="712" t="s">
        <v>52</v>
      </c>
      <c r="D827" s="713" t="s">
        <v>150</v>
      </c>
      <c r="E827" s="708"/>
      <c r="F827" s="708"/>
      <c r="G827" s="708"/>
      <c r="H827" s="708"/>
      <c r="I827" s="708"/>
      <c r="J827" s="708"/>
      <c r="K827" s="708"/>
      <c r="L827" s="708"/>
      <c r="M827" s="708"/>
      <c r="N827" s="726"/>
      <c r="O827" s="726"/>
      <c r="P827" s="726"/>
      <c r="Q827" s="726"/>
      <c r="R827" s="726"/>
      <c r="S827" s="726"/>
      <c r="T827" s="726"/>
      <c r="U827" s="726"/>
      <c r="V827" s="806"/>
      <c r="W827" s="806"/>
      <c r="X827" s="806"/>
      <c r="Y827" s="806"/>
      <c r="Z827" s="806"/>
      <c r="AA827" s="708"/>
      <c r="AB827" s="708"/>
      <c r="AC827" s="708"/>
      <c r="AD827" s="146"/>
      <c r="AE827" s="753"/>
      <c r="AF827" s="712"/>
      <c r="AG827" s="708"/>
    </row>
    <row r="828" customFormat="1" ht="24.95" customHeight="1" spans="1:33">
      <c r="A828" s="804"/>
      <c r="B828" s="150" t="s">
        <v>101</v>
      </c>
      <c r="C828" s="712" t="s">
        <v>52</v>
      </c>
      <c r="D828" s="713" t="s">
        <v>150</v>
      </c>
      <c r="E828" s="708"/>
      <c r="F828" s="150"/>
      <c r="G828" s="708"/>
      <c r="H828" s="708"/>
      <c r="I828" s="708"/>
      <c r="J828" s="708"/>
      <c r="K828" s="708"/>
      <c r="L828" s="708"/>
      <c r="M828" s="708"/>
      <c r="N828" s="726"/>
      <c r="O828" s="726"/>
      <c r="P828" s="726"/>
      <c r="Q828" s="726"/>
      <c r="R828" s="726"/>
      <c r="S828" s="726"/>
      <c r="T828" s="726"/>
      <c r="U828" s="726"/>
      <c r="V828" s="806"/>
      <c r="W828" s="806"/>
      <c r="X828" s="806"/>
      <c r="Y828" s="806"/>
      <c r="Z828" s="806"/>
      <c r="AA828" s="708"/>
      <c r="AB828" s="708"/>
      <c r="AC828" s="708"/>
      <c r="AD828" s="146"/>
      <c r="AE828" s="146"/>
      <c r="AF828" s="438"/>
      <c r="AG828" s="708"/>
    </row>
    <row r="829" customFormat="1" ht="24.95" customHeight="1" spans="1:33">
      <c r="A829" s="804"/>
      <c r="B829" s="150" t="s">
        <v>151</v>
      </c>
      <c r="C829" s="712" t="s">
        <v>52</v>
      </c>
      <c r="D829" s="713" t="s">
        <v>150</v>
      </c>
      <c r="E829" s="708"/>
      <c r="F829" s="150"/>
      <c r="G829" s="708"/>
      <c r="H829" s="708"/>
      <c r="I829" s="708"/>
      <c r="J829" s="708"/>
      <c r="K829" s="708"/>
      <c r="L829" s="708"/>
      <c r="M829" s="708"/>
      <c r="N829" s="726"/>
      <c r="O829" s="726"/>
      <c r="P829" s="726"/>
      <c r="Q829" s="726"/>
      <c r="R829" s="726"/>
      <c r="S829" s="726"/>
      <c r="T829" s="726"/>
      <c r="U829" s="726"/>
      <c r="V829" s="806"/>
      <c r="W829" s="806"/>
      <c r="X829" s="806"/>
      <c r="Y829" s="806"/>
      <c r="Z829" s="806"/>
      <c r="AA829" s="708"/>
      <c r="AB829" s="708"/>
      <c r="AC829" s="708"/>
      <c r="AD829" s="146"/>
      <c r="AE829" s="146"/>
      <c r="AF829" s="438"/>
      <c r="AG829" s="708"/>
    </row>
    <row r="830" customFormat="1" ht="24.95" customHeight="1" spans="1:33">
      <c r="A830" s="804"/>
      <c r="B830" s="150" t="s">
        <v>154</v>
      </c>
      <c r="C830" s="712" t="s">
        <v>52</v>
      </c>
      <c r="D830" s="713" t="s">
        <v>150</v>
      </c>
      <c r="E830" s="708"/>
      <c r="F830" s="150"/>
      <c r="G830" s="708"/>
      <c r="H830" s="708"/>
      <c r="I830" s="708"/>
      <c r="J830" s="708"/>
      <c r="K830" s="708"/>
      <c r="L830" s="708"/>
      <c r="M830" s="708"/>
      <c r="N830" s="726"/>
      <c r="O830" s="726"/>
      <c r="P830" s="726"/>
      <c r="Q830" s="726"/>
      <c r="R830" s="726"/>
      <c r="S830" s="726"/>
      <c r="T830" s="726"/>
      <c r="U830" s="726"/>
      <c r="V830" s="806"/>
      <c r="W830" s="806"/>
      <c r="X830" s="806"/>
      <c r="Y830" s="806"/>
      <c r="Z830" s="806"/>
      <c r="AA830" s="708"/>
      <c r="AB830" s="708"/>
      <c r="AC830" s="708"/>
      <c r="AD830" s="146"/>
      <c r="AE830" s="146"/>
      <c r="AF830" s="438"/>
      <c r="AG830" s="708"/>
    </row>
    <row r="831" customFormat="1" ht="24.95" customHeight="1" spans="1:33">
      <c r="A831" s="804"/>
      <c r="B831" s="150" t="s">
        <v>81</v>
      </c>
      <c r="C831" s="712" t="s">
        <v>52</v>
      </c>
      <c r="D831" s="713" t="s">
        <v>150</v>
      </c>
      <c r="E831" s="708"/>
      <c r="F831" s="150"/>
      <c r="G831" s="708"/>
      <c r="H831" s="708"/>
      <c r="I831" s="708"/>
      <c r="J831" s="708"/>
      <c r="K831" s="708"/>
      <c r="L831" s="708"/>
      <c r="M831" s="708"/>
      <c r="N831" s="726"/>
      <c r="O831" s="726"/>
      <c r="P831" s="726"/>
      <c r="Q831" s="726"/>
      <c r="R831" s="726"/>
      <c r="S831" s="726"/>
      <c r="T831" s="726"/>
      <c r="U831" s="726"/>
      <c r="V831" s="806"/>
      <c r="W831" s="806"/>
      <c r="X831" s="806"/>
      <c r="Y831" s="806"/>
      <c r="Z831" s="806"/>
      <c r="AA831" s="708"/>
      <c r="AB831" s="708"/>
      <c r="AC831" s="708"/>
      <c r="AD831" s="146"/>
      <c r="AE831" s="146"/>
      <c r="AF831" s="438"/>
      <c r="AG831" s="708"/>
    </row>
    <row r="832" customFormat="1" ht="24.95" customHeight="1" spans="1:33">
      <c r="A832" s="804"/>
      <c r="B832" s="150" t="s">
        <v>98</v>
      </c>
      <c r="C832" s="712" t="s">
        <v>52</v>
      </c>
      <c r="D832" s="713" t="s">
        <v>150</v>
      </c>
      <c r="E832" s="708"/>
      <c r="F832" s="150"/>
      <c r="G832" s="708"/>
      <c r="H832" s="708"/>
      <c r="I832" s="708"/>
      <c r="J832" s="708"/>
      <c r="K832" s="708"/>
      <c r="L832" s="708"/>
      <c r="M832" s="708"/>
      <c r="N832" s="726"/>
      <c r="O832" s="726"/>
      <c r="P832" s="726"/>
      <c r="Q832" s="726"/>
      <c r="R832" s="726"/>
      <c r="S832" s="726"/>
      <c r="T832" s="726"/>
      <c r="U832" s="726"/>
      <c r="V832" s="806"/>
      <c r="W832" s="806"/>
      <c r="X832" s="806"/>
      <c r="Y832" s="806"/>
      <c r="Z832" s="806"/>
      <c r="AA832" s="708"/>
      <c r="AB832" s="708"/>
      <c r="AC832" s="708"/>
      <c r="AD832" s="146"/>
      <c r="AE832" s="146"/>
      <c r="AF832" s="438"/>
      <c r="AG832" s="708"/>
    </row>
    <row r="833" customFormat="1" ht="24.95" customHeight="1" spans="1:33">
      <c r="A833" s="804"/>
      <c r="B833" s="150" t="s">
        <v>211</v>
      </c>
      <c r="C833" s="712" t="s">
        <v>52</v>
      </c>
      <c r="D833" s="713" t="s">
        <v>150</v>
      </c>
      <c r="E833" s="708"/>
      <c r="F833" s="150"/>
      <c r="G833" s="708"/>
      <c r="H833" s="708"/>
      <c r="I833" s="708"/>
      <c r="J833" s="708"/>
      <c r="K833" s="708"/>
      <c r="L833" s="708"/>
      <c r="M833" s="708"/>
      <c r="N833" s="726"/>
      <c r="O833" s="726"/>
      <c r="P833" s="726"/>
      <c r="Q833" s="726"/>
      <c r="R833" s="726"/>
      <c r="S833" s="726"/>
      <c r="T833" s="726"/>
      <c r="U833" s="726"/>
      <c r="V833" s="806"/>
      <c r="W833" s="806"/>
      <c r="X833" s="806"/>
      <c r="Y833" s="806"/>
      <c r="Z833" s="806"/>
      <c r="AA833" s="708"/>
      <c r="AB833" s="708"/>
      <c r="AC833" s="708"/>
      <c r="AD833" s="146"/>
      <c r="AE833" s="146"/>
      <c r="AF833" s="438"/>
      <c r="AG833" s="708"/>
    </row>
    <row r="834" customFormat="1" ht="24.95" customHeight="1" spans="1:33">
      <c r="A834" s="804"/>
      <c r="B834" s="150" t="s">
        <v>155</v>
      </c>
      <c r="C834" s="712" t="s">
        <v>52</v>
      </c>
      <c r="D834" s="713" t="s">
        <v>150</v>
      </c>
      <c r="E834" s="708"/>
      <c r="F834" s="150"/>
      <c r="G834" s="708"/>
      <c r="H834" s="708"/>
      <c r="I834" s="708"/>
      <c r="J834" s="708"/>
      <c r="K834" s="708"/>
      <c r="L834" s="708"/>
      <c r="M834" s="708"/>
      <c r="N834" s="726"/>
      <c r="O834" s="726"/>
      <c r="P834" s="726"/>
      <c r="Q834" s="726"/>
      <c r="R834" s="726"/>
      <c r="S834" s="726"/>
      <c r="T834" s="726"/>
      <c r="U834" s="726"/>
      <c r="V834" s="806"/>
      <c r="W834" s="806"/>
      <c r="X834" s="806"/>
      <c r="Y834" s="806"/>
      <c r="Z834" s="806"/>
      <c r="AA834" s="708"/>
      <c r="AB834" s="708"/>
      <c r="AC834" s="708"/>
      <c r="AD834" s="146"/>
      <c r="AE834" s="146"/>
      <c r="AF834" s="438"/>
      <c r="AG834" s="708"/>
    </row>
    <row r="835" customFormat="1" ht="24.95" customHeight="1" spans="1:33">
      <c r="A835" s="804"/>
      <c r="B835" s="150" t="s">
        <v>102</v>
      </c>
      <c r="C835" s="712" t="s">
        <v>52</v>
      </c>
      <c r="D835" s="713" t="s">
        <v>150</v>
      </c>
      <c r="E835" s="708"/>
      <c r="F835" s="150"/>
      <c r="G835" s="708"/>
      <c r="H835" s="708"/>
      <c r="I835" s="708"/>
      <c r="J835" s="708"/>
      <c r="K835" s="708"/>
      <c r="L835" s="708"/>
      <c r="M835" s="708"/>
      <c r="N835" s="726"/>
      <c r="O835" s="726"/>
      <c r="P835" s="726"/>
      <c r="Q835" s="726"/>
      <c r="R835" s="726"/>
      <c r="S835" s="726"/>
      <c r="T835" s="726"/>
      <c r="U835" s="726"/>
      <c r="V835" s="806"/>
      <c r="W835" s="806"/>
      <c r="X835" s="806"/>
      <c r="Y835" s="806"/>
      <c r="Z835" s="806"/>
      <c r="AA835" s="708"/>
      <c r="AB835" s="708"/>
      <c r="AC835" s="708"/>
      <c r="AD835" s="146"/>
      <c r="AE835" s="146"/>
      <c r="AF835" s="438"/>
      <c r="AG835" s="708"/>
    </row>
    <row r="836" customFormat="1" ht="24.95" customHeight="1" spans="1:33">
      <c r="A836" s="804"/>
      <c r="B836" s="150" t="s">
        <v>100</v>
      </c>
      <c r="C836" s="712" t="s">
        <v>52</v>
      </c>
      <c r="D836" s="713" t="s">
        <v>150</v>
      </c>
      <c r="E836" s="708"/>
      <c r="F836" s="150"/>
      <c r="G836" s="708"/>
      <c r="H836" s="708"/>
      <c r="I836" s="708"/>
      <c r="J836" s="708"/>
      <c r="K836" s="708"/>
      <c r="L836" s="708"/>
      <c r="M836" s="708"/>
      <c r="N836" s="726"/>
      <c r="O836" s="726"/>
      <c r="P836" s="726"/>
      <c r="Q836" s="726"/>
      <c r="R836" s="726"/>
      <c r="S836" s="726"/>
      <c r="T836" s="726"/>
      <c r="U836" s="726"/>
      <c r="V836" s="806"/>
      <c r="W836" s="806"/>
      <c r="X836" s="806"/>
      <c r="Y836" s="806"/>
      <c r="Z836" s="806"/>
      <c r="AA836" s="708"/>
      <c r="AB836" s="708"/>
      <c r="AC836" s="708"/>
      <c r="AD836" s="146"/>
      <c r="AE836" s="146"/>
      <c r="AF836" s="438"/>
      <c r="AG836" s="708"/>
    </row>
    <row r="837" customFormat="1" ht="24.95" customHeight="1" spans="1:33">
      <c r="A837" s="804"/>
      <c r="B837" s="150" t="s">
        <v>259</v>
      </c>
      <c r="C837" s="712" t="s">
        <v>52</v>
      </c>
      <c r="D837" s="713" t="s">
        <v>150</v>
      </c>
      <c r="E837" s="708"/>
      <c r="F837" s="150"/>
      <c r="G837" s="708"/>
      <c r="H837" s="708"/>
      <c r="I837" s="708"/>
      <c r="J837" s="708"/>
      <c r="K837" s="708"/>
      <c r="L837" s="708"/>
      <c r="M837" s="708"/>
      <c r="N837" s="726"/>
      <c r="O837" s="726"/>
      <c r="P837" s="726"/>
      <c r="Q837" s="726"/>
      <c r="R837" s="726"/>
      <c r="S837" s="726"/>
      <c r="T837" s="726"/>
      <c r="U837" s="726"/>
      <c r="V837" s="806"/>
      <c r="W837" s="806"/>
      <c r="X837" s="806"/>
      <c r="Y837" s="806"/>
      <c r="Z837" s="806"/>
      <c r="AA837" s="708"/>
      <c r="AB837" s="708"/>
      <c r="AC837" s="708"/>
      <c r="AD837" s="146"/>
      <c r="AE837" s="146"/>
      <c r="AF837" s="438"/>
      <c r="AG837" s="708"/>
    </row>
    <row r="838" customFormat="1" ht="24.95" customHeight="1" spans="1:33">
      <c r="A838" s="804"/>
      <c r="B838" s="150" t="s">
        <v>84</v>
      </c>
      <c r="C838" s="712" t="s">
        <v>52</v>
      </c>
      <c r="D838" s="713" t="s">
        <v>150</v>
      </c>
      <c r="E838" s="708"/>
      <c r="F838" s="150"/>
      <c r="G838" s="708"/>
      <c r="H838" s="708"/>
      <c r="I838" s="708"/>
      <c r="J838" s="708"/>
      <c r="K838" s="708"/>
      <c r="L838" s="708"/>
      <c r="M838" s="708"/>
      <c r="N838" s="726"/>
      <c r="O838" s="726"/>
      <c r="P838" s="726"/>
      <c r="Q838" s="726"/>
      <c r="R838" s="726"/>
      <c r="S838" s="726"/>
      <c r="T838" s="726"/>
      <c r="U838" s="726"/>
      <c r="V838" s="806"/>
      <c r="W838" s="806"/>
      <c r="X838" s="806"/>
      <c r="Y838" s="806"/>
      <c r="Z838" s="806"/>
      <c r="AA838" s="708"/>
      <c r="AB838" s="708"/>
      <c r="AC838" s="708"/>
      <c r="AD838" s="146"/>
      <c r="AE838" s="146"/>
      <c r="AF838" s="438"/>
      <c r="AG838" s="708"/>
    </row>
    <row r="839" s="65" customFormat="1" ht="24" customHeight="1" spans="1:33">
      <c r="A839" s="73"/>
      <c r="B839" s="150" t="s">
        <v>143</v>
      </c>
      <c r="C839" s="712" t="s">
        <v>52</v>
      </c>
      <c r="D839" s="713" t="s">
        <v>150</v>
      </c>
      <c r="E839" s="73"/>
      <c r="F839" s="150"/>
      <c r="G839" s="73"/>
      <c r="H839" s="73"/>
      <c r="I839" s="73"/>
      <c r="J839" s="73"/>
      <c r="K839" s="73"/>
      <c r="L839" s="708"/>
      <c r="M839" s="708"/>
      <c r="N839" s="73"/>
      <c r="O839" s="73"/>
      <c r="P839" s="73"/>
      <c r="Q839" s="73"/>
      <c r="R839" s="73"/>
      <c r="S839" s="73"/>
      <c r="T839" s="73"/>
      <c r="U839" s="73"/>
      <c r="V839" s="73"/>
      <c r="W839" s="73"/>
      <c r="X839" s="73"/>
      <c r="Y839" s="73"/>
      <c r="Z839" s="73"/>
      <c r="AA839" s="73"/>
      <c r="AB839" s="73"/>
      <c r="AC839" s="73"/>
      <c r="AD839" s="775"/>
      <c r="AE839" s="146"/>
      <c r="AF839" s="438"/>
      <c r="AG839" s="73"/>
    </row>
    <row r="840" s="570" customFormat="1" ht="29" customHeight="1" spans="1:33">
      <c r="A840" s="705"/>
      <c r="B840" s="808" t="s">
        <v>572</v>
      </c>
      <c r="C840" s="438" t="s">
        <v>52</v>
      </c>
      <c r="D840" s="809" t="s">
        <v>150</v>
      </c>
      <c r="E840" s="92"/>
      <c r="F840" s="92"/>
      <c r="G840" s="92"/>
      <c r="H840" s="92"/>
      <c r="I840" s="92"/>
      <c r="J840" s="92"/>
      <c r="K840" s="92"/>
      <c r="L840" s="708"/>
      <c r="M840" s="708"/>
      <c r="N840" s="724"/>
      <c r="O840" s="724"/>
      <c r="P840" s="724"/>
      <c r="Q840" s="724"/>
      <c r="R840" s="724"/>
      <c r="S840" s="724"/>
      <c r="T840" s="724"/>
      <c r="U840" s="724"/>
      <c r="V840" s="92"/>
      <c r="W840" s="92"/>
      <c r="X840" s="92"/>
      <c r="Y840" s="92"/>
      <c r="Z840" s="92"/>
      <c r="AA840" s="92"/>
      <c r="AB840" s="92"/>
      <c r="AC840" s="92"/>
      <c r="AD840" s="438"/>
      <c r="AE840" s="146"/>
      <c r="AF840" s="438"/>
      <c r="AG840" s="92"/>
    </row>
    <row r="841" s="570" customFormat="1" ht="29" customHeight="1" spans="1:33">
      <c r="A841" s="705"/>
      <c r="B841" s="146" t="s">
        <v>72</v>
      </c>
      <c r="C841" s="438" t="s">
        <v>52</v>
      </c>
      <c r="D841" s="809" t="s">
        <v>150</v>
      </c>
      <c r="E841" s="92"/>
      <c r="F841" s="146"/>
      <c r="G841" s="92"/>
      <c r="H841" s="92"/>
      <c r="I841" s="92"/>
      <c r="J841" s="92"/>
      <c r="K841" s="92"/>
      <c r="L841" s="708"/>
      <c r="M841" s="708"/>
      <c r="N841" s="724"/>
      <c r="O841" s="724"/>
      <c r="P841" s="724"/>
      <c r="Q841" s="724"/>
      <c r="R841" s="724"/>
      <c r="S841" s="724"/>
      <c r="T841" s="724"/>
      <c r="U841" s="724"/>
      <c r="V841" s="92"/>
      <c r="W841" s="92"/>
      <c r="X841" s="92"/>
      <c r="Y841" s="92"/>
      <c r="Z841" s="92"/>
      <c r="AA841" s="92"/>
      <c r="AB841" s="92"/>
      <c r="AC841" s="92"/>
      <c r="AD841" s="146"/>
      <c r="AE841" s="146"/>
      <c r="AF841" s="438"/>
      <c r="AG841" s="92"/>
    </row>
    <row r="842" s="570" customFormat="1" ht="29" customHeight="1" spans="1:33">
      <c r="A842" s="705"/>
      <c r="B842" s="146" t="s">
        <v>91</v>
      </c>
      <c r="C842" s="438" t="s">
        <v>52</v>
      </c>
      <c r="D842" s="809" t="s">
        <v>150</v>
      </c>
      <c r="E842" s="92"/>
      <c r="F842" s="146"/>
      <c r="G842" s="92"/>
      <c r="H842" s="92"/>
      <c r="I842" s="92"/>
      <c r="J842" s="92"/>
      <c r="K842" s="92"/>
      <c r="L842" s="708"/>
      <c r="M842" s="708"/>
      <c r="N842" s="724"/>
      <c r="O842" s="724"/>
      <c r="P842" s="724"/>
      <c r="Q842" s="724"/>
      <c r="R842" s="724"/>
      <c r="S842" s="724"/>
      <c r="T842" s="724"/>
      <c r="U842" s="724"/>
      <c r="V842" s="92"/>
      <c r="W842" s="92"/>
      <c r="X842" s="92"/>
      <c r="Y842" s="92"/>
      <c r="Z842" s="92"/>
      <c r="AA842" s="92"/>
      <c r="AB842" s="92"/>
      <c r="AC842" s="92"/>
      <c r="AD842" s="438"/>
      <c r="AE842" s="438"/>
      <c r="AF842" s="438"/>
      <c r="AG842" s="92"/>
    </row>
    <row r="843" s="570" customFormat="1" ht="29" customHeight="1" spans="1:33">
      <c r="A843" s="705"/>
      <c r="B843" s="146" t="s">
        <v>55</v>
      </c>
      <c r="C843" s="809" t="s">
        <v>52</v>
      </c>
      <c r="D843" s="809" t="s">
        <v>150</v>
      </c>
      <c r="E843" s="92"/>
      <c r="F843" s="146"/>
      <c r="G843" s="92"/>
      <c r="H843" s="92"/>
      <c r="I843" s="92"/>
      <c r="J843" s="92"/>
      <c r="K843" s="92"/>
      <c r="L843" s="708"/>
      <c r="M843" s="708"/>
      <c r="N843" s="724"/>
      <c r="O843" s="724"/>
      <c r="P843" s="724"/>
      <c r="Q843" s="724"/>
      <c r="R843" s="724"/>
      <c r="S843" s="724"/>
      <c r="T843" s="724"/>
      <c r="U843" s="724"/>
      <c r="V843" s="92"/>
      <c r="W843" s="92"/>
      <c r="X843" s="92"/>
      <c r="Y843" s="92"/>
      <c r="Z843" s="92"/>
      <c r="AA843" s="92"/>
      <c r="AB843" s="92"/>
      <c r="AC843" s="92"/>
      <c r="AD843" s="438"/>
      <c r="AE843" s="438"/>
      <c r="AF843" s="438"/>
      <c r="AG843" s="92"/>
    </row>
    <row r="844" s="570" customFormat="1" ht="29" customHeight="1" spans="1:33">
      <c r="A844" s="705"/>
      <c r="B844" s="146" t="s">
        <v>75</v>
      </c>
      <c r="C844" s="438" t="s">
        <v>52</v>
      </c>
      <c r="D844" s="809" t="s">
        <v>150</v>
      </c>
      <c r="E844" s="92"/>
      <c r="F844" s="146"/>
      <c r="G844" s="92"/>
      <c r="H844" s="92"/>
      <c r="I844" s="92"/>
      <c r="J844" s="92"/>
      <c r="K844" s="92"/>
      <c r="L844" s="708"/>
      <c r="M844" s="708"/>
      <c r="N844" s="724"/>
      <c r="O844" s="724"/>
      <c r="P844" s="724"/>
      <c r="Q844" s="724"/>
      <c r="R844" s="724"/>
      <c r="S844" s="724"/>
      <c r="T844" s="724"/>
      <c r="U844" s="724"/>
      <c r="V844" s="92"/>
      <c r="W844" s="92"/>
      <c r="X844" s="92"/>
      <c r="Y844" s="92"/>
      <c r="Z844" s="92"/>
      <c r="AA844" s="92"/>
      <c r="AB844" s="92"/>
      <c r="AC844" s="92"/>
      <c r="AD844" s="438"/>
      <c r="AE844" s="438"/>
      <c r="AF844" s="438"/>
      <c r="AG844" s="92"/>
    </row>
    <row r="845" s="570" customFormat="1" ht="29" customHeight="1" spans="1:33">
      <c r="A845" s="705"/>
      <c r="B845" s="146" t="s">
        <v>61</v>
      </c>
      <c r="C845" s="438" t="s">
        <v>52</v>
      </c>
      <c r="D845" s="809" t="s">
        <v>150</v>
      </c>
      <c r="E845" s="92"/>
      <c r="F845" s="146"/>
      <c r="G845" s="92"/>
      <c r="H845" s="92"/>
      <c r="I845" s="92"/>
      <c r="J845" s="92"/>
      <c r="K845" s="92"/>
      <c r="L845" s="708"/>
      <c r="M845" s="708"/>
      <c r="N845" s="724"/>
      <c r="O845" s="724"/>
      <c r="P845" s="724"/>
      <c r="Q845" s="724"/>
      <c r="R845" s="724"/>
      <c r="S845" s="724"/>
      <c r="T845" s="724"/>
      <c r="U845" s="724"/>
      <c r="V845" s="92"/>
      <c r="W845" s="92"/>
      <c r="X845" s="92"/>
      <c r="Y845" s="92"/>
      <c r="Z845" s="92"/>
      <c r="AA845" s="92"/>
      <c r="AB845" s="92"/>
      <c r="AC845" s="92"/>
      <c r="AD845" s="438"/>
      <c r="AE845" s="438"/>
      <c r="AF845" s="438"/>
      <c r="AG845" s="92"/>
    </row>
    <row r="846" s="570" customFormat="1" ht="29" customHeight="1" spans="1:33">
      <c r="A846" s="705"/>
      <c r="B846" s="146" t="s">
        <v>64</v>
      </c>
      <c r="C846" s="438" t="s">
        <v>52</v>
      </c>
      <c r="D846" s="809" t="s">
        <v>509</v>
      </c>
      <c r="E846" s="92"/>
      <c r="F846" s="146"/>
      <c r="G846" s="92"/>
      <c r="H846" s="92"/>
      <c r="I846" s="92"/>
      <c r="J846" s="92"/>
      <c r="K846" s="92"/>
      <c r="L846" s="708"/>
      <c r="M846" s="708"/>
      <c r="N846" s="724"/>
      <c r="O846" s="724"/>
      <c r="P846" s="724"/>
      <c r="Q846" s="724"/>
      <c r="R846" s="724"/>
      <c r="S846" s="724"/>
      <c r="T846" s="724"/>
      <c r="U846" s="724"/>
      <c r="V846" s="92"/>
      <c r="W846" s="92"/>
      <c r="X846" s="92"/>
      <c r="Y846" s="92"/>
      <c r="Z846" s="92"/>
      <c r="AA846" s="92"/>
      <c r="AB846" s="92"/>
      <c r="AC846" s="92"/>
      <c r="AD846" s="438"/>
      <c r="AE846" s="146"/>
      <c r="AF846" s="438"/>
      <c r="AG846" s="92"/>
    </row>
    <row r="847" s="570" customFormat="1" ht="29" customHeight="1" spans="1:33">
      <c r="A847" s="705"/>
      <c r="B847" s="810" t="s">
        <v>574</v>
      </c>
      <c r="C847" s="146" t="s">
        <v>52</v>
      </c>
      <c r="D847" s="152" t="s">
        <v>150</v>
      </c>
      <c r="E847" s="92"/>
      <c r="F847" s="92"/>
      <c r="G847" s="92"/>
      <c r="H847" s="92"/>
      <c r="I847" s="92"/>
      <c r="J847" s="92"/>
      <c r="K847" s="92"/>
      <c r="L847" s="708"/>
      <c r="M847" s="708"/>
      <c r="N847" s="724"/>
      <c r="O847" s="724"/>
      <c r="P847" s="724"/>
      <c r="Q847" s="724"/>
      <c r="R847" s="724"/>
      <c r="S847" s="724"/>
      <c r="T847" s="724"/>
      <c r="U847" s="724"/>
      <c r="V847" s="92"/>
      <c r="W847" s="92"/>
      <c r="X847" s="92"/>
      <c r="Y847" s="92"/>
      <c r="Z847" s="92"/>
      <c r="AA847" s="92"/>
      <c r="AB847" s="92"/>
      <c r="AC847" s="92"/>
      <c r="AD847" s="146"/>
      <c r="AE847" s="146"/>
      <c r="AF847" s="146"/>
      <c r="AG847" s="92"/>
    </row>
    <row r="848" s="570" customFormat="1" ht="29" customHeight="1" spans="1:33">
      <c r="A848" s="705"/>
      <c r="B848" s="146" t="s">
        <v>55</v>
      </c>
      <c r="C848" s="146" t="s">
        <v>52</v>
      </c>
      <c r="D848" s="152" t="s">
        <v>150</v>
      </c>
      <c r="E848" s="92"/>
      <c r="F848" s="146"/>
      <c r="G848" s="92"/>
      <c r="H848" s="92"/>
      <c r="I848" s="92"/>
      <c r="J848" s="92"/>
      <c r="K848" s="92"/>
      <c r="L848" s="708"/>
      <c r="M848" s="708"/>
      <c r="N848" s="724"/>
      <c r="O848" s="724"/>
      <c r="P848" s="724"/>
      <c r="Q848" s="724"/>
      <c r="R848" s="724"/>
      <c r="S848" s="724"/>
      <c r="T848" s="724"/>
      <c r="U848" s="724"/>
      <c r="V848" s="92"/>
      <c r="W848" s="92"/>
      <c r="X848" s="92"/>
      <c r="Y848" s="92"/>
      <c r="Z848" s="92"/>
      <c r="AA848" s="92"/>
      <c r="AB848" s="92"/>
      <c r="AC848" s="92"/>
      <c r="AD848" s="146"/>
      <c r="AE848" s="141"/>
      <c r="AF848" s="146"/>
      <c r="AG848" s="92"/>
    </row>
    <row r="849" s="570" customFormat="1" ht="29" customHeight="1" spans="1:33">
      <c r="A849" s="705"/>
      <c r="B849" s="811" t="s">
        <v>575</v>
      </c>
      <c r="C849" s="812" t="s">
        <v>52</v>
      </c>
      <c r="D849" s="152" t="s">
        <v>150</v>
      </c>
      <c r="E849" s="92"/>
      <c r="F849" s="92"/>
      <c r="G849" s="92"/>
      <c r="H849" s="92"/>
      <c r="I849" s="92"/>
      <c r="J849" s="92"/>
      <c r="K849" s="92"/>
      <c r="L849" s="708"/>
      <c r="M849" s="708"/>
      <c r="N849" s="724"/>
      <c r="O849" s="724"/>
      <c r="P849" s="724"/>
      <c r="Q849" s="724"/>
      <c r="R849" s="724"/>
      <c r="S849" s="724"/>
      <c r="T849" s="724"/>
      <c r="U849" s="724"/>
      <c r="V849" s="92"/>
      <c r="W849" s="92"/>
      <c r="X849" s="92"/>
      <c r="Y849" s="92"/>
      <c r="Z849" s="92"/>
      <c r="AA849" s="92"/>
      <c r="AB849" s="92"/>
      <c r="AC849" s="92"/>
      <c r="AD849" s="146"/>
      <c r="AE849" s="146"/>
      <c r="AF849" s="146"/>
      <c r="AG849" s="92"/>
    </row>
    <row r="850" s="570" customFormat="1" ht="29" customHeight="1" spans="1:33">
      <c r="A850" s="705"/>
      <c r="B850" s="146" t="s">
        <v>55</v>
      </c>
      <c r="C850" s="146" t="s">
        <v>52</v>
      </c>
      <c r="D850" s="152" t="s">
        <v>150</v>
      </c>
      <c r="E850" s="92"/>
      <c r="F850" s="146"/>
      <c r="G850" s="92"/>
      <c r="H850" s="92"/>
      <c r="I850" s="92"/>
      <c r="J850" s="92"/>
      <c r="K850" s="92"/>
      <c r="L850" s="708"/>
      <c r="M850" s="708"/>
      <c r="N850" s="724"/>
      <c r="O850" s="724"/>
      <c r="P850" s="724"/>
      <c r="Q850" s="724"/>
      <c r="R850" s="724"/>
      <c r="S850" s="724"/>
      <c r="T850" s="724"/>
      <c r="U850" s="724"/>
      <c r="V850" s="92"/>
      <c r="W850" s="92"/>
      <c r="X850" s="92"/>
      <c r="Y850" s="92"/>
      <c r="Z850" s="92"/>
      <c r="AA850" s="92"/>
      <c r="AB850" s="92"/>
      <c r="AC850" s="92"/>
      <c r="AD850" s="146"/>
      <c r="AE850" s="146"/>
      <c r="AF850" s="146"/>
      <c r="AG850" s="92"/>
    </row>
    <row r="851" s="570" customFormat="1" ht="29" customHeight="1" spans="1:33">
      <c r="A851" s="705"/>
      <c r="B851" s="146" t="s">
        <v>91</v>
      </c>
      <c r="C851" s="812" t="s">
        <v>52</v>
      </c>
      <c r="D851" s="152" t="s">
        <v>150</v>
      </c>
      <c r="E851" s="92"/>
      <c r="F851" s="146"/>
      <c r="G851" s="92"/>
      <c r="H851" s="92"/>
      <c r="I851" s="92"/>
      <c r="J851" s="92"/>
      <c r="K851" s="92"/>
      <c r="L851" s="708"/>
      <c r="M851" s="708"/>
      <c r="N851" s="724"/>
      <c r="O851" s="724"/>
      <c r="P851" s="724"/>
      <c r="Q851" s="724"/>
      <c r="R851" s="724"/>
      <c r="S851" s="724"/>
      <c r="T851" s="724"/>
      <c r="U851" s="724"/>
      <c r="V851" s="92"/>
      <c r="W851" s="92"/>
      <c r="X851" s="92"/>
      <c r="Y851" s="92"/>
      <c r="Z851" s="92"/>
      <c r="AA851" s="92"/>
      <c r="AB851" s="92"/>
      <c r="AC851" s="92"/>
      <c r="AD851" s="146"/>
      <c r="AE851" s="146"/>
      <c r="AF851" s="146"/>
      <c r="AG851" s="92"/>
    </row>
    <row r="852" s="570" customFormat="1" ht="29" customHeight="1" spans="1:33">
      <c r="A852" s="705"/>
      <c r="B852" s="813" t="s">
        <v>580</v>
      </c>
      <c r="C852" s="381" t="s">
        <v>52</v>
      </c>
      <c r="D852" s="381" t="s">
        <v>150</v>
      </c>
      <c r="E852" s="92"/>
      <c r="F852" s="92"/>
      <c r="G852" s="92"/>
      <c r="H852" s="92"/>
      <c r="I852" s="92"/>
      <c r="J852" s="92"/>
      <c r="K852" s="92"/>
      <c r="L852" s="708"/>
      <c r="M852" s="708"/>
      <c r="N852" s="724"/>
      <c r="O852" s="724"/>
      <c r="P852" s="724"/>
      <c r="Q852" s="724"/>
      <c r="R852" s="724"/>
      <c r="S852" s="724"/>
      <c r="T852" s="724"/>
      <c r="U852" s="724"/>
      <c r="V852" s="92"/>
      <c r="W852" s="92"/>
      <c r="X852" s="92"/>
      <c r="Y852" s="92"/>
      <c r="Z852" s="92"/>
      <c r="AA852" s="92"/>
      <c r="AB852" s="92"/>
      <c r="AC852" s="92"/>
      <c r="AD852" s="381"/>
      <c r="AE852" s="381"/>
      <c r="AF852" s="212"/>
      <c r="AG852" s="92"/>
    </row>
    <row r="853" s="570" customFormat="1" ht="29" customHeight="1" spans="1:33">
      <c r="A853" s="705"/>
      <c r="B853" s="814" t="s">
        <v>72</v>
      </c>
      <c r="C853" s="381" t="s">
        <v>52</v>
      </c>
      <c r="D853" s="381" t="s">
        <v>150</v>
      </c>
      <c r="E853" s="92"/>
      <c r="F853" s="814"/>
      <c r="G853" s="92"/>
      <c r="H853" s="92"/>
      <c r="I853" s="92"/>
      <c r="J853" s="92"/>
      <c r="K853" s="92"/>
      <c r="L853" s="708"/>
      <c r="M853" s="708"/>
      <c r="N853" s="724"/>
      <c r="O853" s="724"/>
      <c r="P853" s="724"/>
      <c r="Q853" s="724"/>
      <c r="R853" s="724"/>
      <c r="S853" s="724"/>
      <c r="T853" s="724"/>
      <c r="U853" s="724"/>
      <c r="V853" s="92"/>
      <c r="W853" s="92"/>
      <c r="X853" s="92"/>
      <c r="Y853" s="92"/>
      <c r="Z853" s="92"/>
      <c r="AA853" s="92"/>
      <c r="AB853" s="92"/>
      <c r="AC853" s="92"/>
      <c r="AD853" s="381"/>
      <c r="AE853" s="381"/>
      <c r="AF853" s="212"/>
      <c r="AG853" s="92"/>
    </row>
    <row r="854" s="570" customFormat="1" ht="29" customHeight="1" spans="1:33">
      <c r="A854" s="705"/>
      <c r="B854" s="814" t="s">
        <v>64</v>
      </c>
      <c r="C854" s="381" t="s">
        <v>52</v>
      </c>
      <c r="D854" s="381" t="s">
        <v>150</v>
      </c>
      <c r="E854" s="92"/>
      <c r="F854" s="814"/>
      <c r="G854" s="92"/>
      <c r="H854" s="92"/>
      <c r="I854" s="92"/>
      <c r="J854" s="92"/>
      <c r="K854" s="92"/>
      <c r="L854" s="708"/>
      <c r="M854" s="708"/>
      <c r="N854" s="724"/>
      <c r="O854" s="724"/>
      <c r="P854" s="724"/>
      <c r="Q854" s="724"/>
      <c r="R854" s="724"/>
      <c r="S854" s="724"/>
      <c r="T854" s="724"/>
      <c r="U854" s="724"/>
      <c r="V854" s="92"/>
      <c r="W854" s="92"/>
      <c r="X854" s="92"/>
      <c r="Y854" s="92"/>
      <c r="Z854" s="92"/>
      <c r="AA854" s="92"/>
      <c r="AB854" s="92"/>
      <c r="AC854" s="92"/>
      <c r="AD854" s="381"/>
      <c r="AE854" s="381"/>
      <c r="AF854" s="212"/>
      <c r="AG854" s="92"/>
    </row>
    <row r="855" s="570" customFormat="1" ht="29" customHeight="1" spans="1:33">
      <c r="A855" s="705"/>
      <c r="B855" s="150" t="s">
        <v>91</v>
      </c>
      <c r="C855" s="381" t="s">
        <v>52</v>
      </c>
      <c r="D855" s="381" t="s">
        <v>150</v>
      </c>
      <c r="E855" s="92"/>
      <c r="F855" s="150"/>
      <c r="G855" s="92"/>
      <c r="H855" s="92"/>
      <c r="I855" s="92"/>
      <c r="J855" s="92"/>
      <c r="K855" s="92"/>
      <c r="L855" s="708"/>
      <c r="M855" s="708"/>
      <c r="N855" s="724"/>
      <c r="O855" s="724"/>
      <c r="P855" s="724"/>
      <c r="Q855" s="724"/>
      <c r="R855" s="724"/>
      <c r="S855" s="724"/>
      <c r="T855" s="724"/>
      <c r="U855" s="724"/>
      <c r="V855" s="92"/>
      <c r="W855" s="92"/>
      <c r="X855" s="92"/>
      <c r="Y855" s="92"/>
      <c r="Z855" s="92"/>
      <c r="AA855" s="92"/>
      <c r="AB855" s="92"/>
      <c r="AC855" s="92"/>
      <c r="AD855" s="381"/>
      <c r="AE855" s="381"/>
      <c r="AF855" s="212"/>
      <c r="AG855" s="92"/>
    </row>
    <row r="856" s="570" customFormat="1" ht="37" customHeight="1" spans="1:33">
      <c r="A856" s="705"/>
      <c r="B856" s="813" t="s">
        <v>584</v>
      </c>
      <c r="C856" s="381" t="s">
        <v>52</v>
      </c>
      <c r="D856" s="381" t="s">
        <v>150</v>
      </c>
      <c r="E856" s="92"/>
      <c r="F856" s="92"/>
      <c r="G856" s="815"/>
      <c r="H856" s="92"/>
      <c r="I856" s="92"/>
      <c r="J856" s="92"/>
      <c r="K856" s="92"/>
      <c r="L856" s="708"/>
      <c r="M856" s="708"/>
      <c r="N856" s="724"/>
      <c r="O856" s="724"/>
      <c r="P856" s="724"/>
      <c r="Q856" s="724"/>
      <c r="R856" s="724"/>
      <c r="S856" s="724"/>
      <c r="T856" s="724"/>
      <c r="U856" s="724"/>
      <c r="V856" s="92"/>
      <c r="W856" s="92"/>
      <c r="X856" s="92"/>
      <c r="Y856" s="92"/>
      <c r="Z856" s="92"/>
      <c r="AA856" s="92"/>
      <c r="AB856" s="92"/>
      <c r="AC856" s="92"/>
      <c r="AD856" s="743"/>
      <c r="AE856" s="743"/>
      <c r="AF856" s="743"/>
      <c r="AG856" s="92"/>
    </row>
    <row r="857" ht="24.95" customHeight="1" spans="1:33">
      <c r="A857" s="705">
        <v>106</v>
      </c>
      <c r="B857" s="708" t="s">
        <v>586</v>
      </c>
      <c r="C857" s="708"/>
      <c r="D857" s="709"/>
      <c r="E857" s="708"/>
      <c r="F857" s="708"/>
      <c r="G857" s="708"/>
      <c r="H857" s="708"/>
      <c r="I857" s="708"/>
      <c r="J857" s="708"/>
      <c r="K857" s="708"/>
      <c r="L857" s="708"/>
      <c r="M857" s="708"/>
      <c r="N857" s="726"/>
      <c r="O857" s="726"/>
      <c r="P857" s="726"/>
      <c r="Q857" s="726"/>
      <c r="R857" s="726"/>
      <c r="S857" s="726"/>
      <c r="T857" s="726"/>
      <c r="U857" s="726"/>
      <c r="V857" s="806"/>
      <c r="W857" s="806"/>
      <c r="X857" s="806"/>
      <c r="Y857" s="806"/>
      <c r="Z857" s="806"/>
      <c r="AA857" s="708"/>
      <c r="AB857" s="708"/>
      <c r="AC857" s="708"/>
      <c r="AD857" s="708"/>
      <c r="AE857" s="708"/>
      <c r="AF857" s="708"/>
      <c r="AG857" s="708"/>
    </row>
    <row r="858" s="65" customFormat="1" ht="174.75" customHeight="1" spans="1:33">
      <c r="A858" s="816"/>
      <c r="B858" s="816"/>
      <c r="C858" s="816"/>
      <c r="D858" s="816"/>
      <c r="E858" s="816"/>
      <c r="F858" s="816"/>
      <c r="G858" s="816"/>
      <c r="H858" s="816"/>
      <c r="I858" s="816"/>
      <c r="J858" s="816"/>
      <c r="K858" s="816"/>
      <c r="L858" s="816"/>
      <c r="M858" s="816"/>
      <c r="N858" s="816"/>
      <c r="O858" s="816"/>
      <c r="P858" s="816"/>
      <c r="Q858" s="816"/>
      <c r="R858" s="816"/>
      <c r="S858" s="816"/>
      <c r="T858" s="816"/>
      <c r="U858" s="816"/>
      <c r="V858" s="816"/>
      <c r="W858" s="816"/>
      <c r="X858" s="816"/>
      <c r="Y858" s="816"/>
      <c r="Z858" s="816"/>
      <c r="AA858" s="816"/>
      <c r="AB858" s="816"/>
      <c r="AC858" s="816"/>
      <c r="AD858" s="816"/>
      <c r="AE858" s="816"/>
      <c r="AF858" s="816"/>
      <c r="AG858" s="816"/>
    </row>
  </sheetData>
  <mergeCells count="37">
    <mergeCell ref="A1:B1"/>
    <mergeCell ref="A2:AG2"/>
    <mergeCell ref="A3:AG3"/>
    <mergeCell ref="H4:K4"/>
    <mergeCell ref="L4:M4"/>
    <mergeCell ref="N4:Q4"/>
    <mergeCell ref="R4:V4"/>
    <mergeCell ref="Y4:Z4"/>
    <mergeCell ref="AA4:AC4"/>
    <mergeCell ref="I5:K5"/>
    <mergeCell ref="N5:Q5"/>
    <mergeCell ref="A858:AG858"/>
    <mergeCell ref="A4:A6"/>
    <mergeCell ref="B4:B6"/>
    <mergeCell ref="C4:C6"/>
    <mergeCell ref="D4:D6"/>
    <mergeCell ref="E4:E6"/>
    <mergeCell ref="F4:F6"/>
    <mergeCell ref="G4:G6"/>
    <mergeCell ref="H5:H6"/>
    <mergeCell ref="L5:L6"/>
    <mergeCell ref="M5:M6"/>
    <mergeCell ref="R5:R6"/>
    <mergeCell ref="S5:S6"/>
    <mergeCell ref="T5:T6"/>
    <mergeCell ref="U5:U6"/>
    <mergeCell ref="V5:V6"/>
    <mergeCell ref="W4:W6"/>
    <mergeCell ref="X4:X6"/>
    <mergeCell ref="Y5:Y6"/>
    <mergeCell ref="Z5:Z6"/>
    <mergeCell ref="AA5:AA6"/>
    <mergeCell ref="AB5:AB6"/>
    <mergeCell ref="AC5:AC6"/>
    <mergeCell ref="AF4:AF6"/>
    <mergeCell ref="AG4:AG6"/>
    <mergeCell ref="AD4:AE6"/>
  </mergeCells>
  <dataValidations count="2">
    <dataValidation allowBlank="1" showInputMessage="1" showErrorMessage="1" sqref="A2"/>
    <dataValidation type="textLength" operator="between" allowBlank="1" showInputMessage="1" showErrorMessage="1" sqref="AD582:AE582 AD596:AE596">
      <formula1>0</formula1>
      <formula2>120</formula2>
    </dataValidation>
  </dataValidations>
  <printOptions horizontalCentered="1"/>
  <pageMargins left="0.700694444444445" right="0.700694444444445" top="0.751388888888889" bottom="0.751388888888889" header="0.297916666666667" footer="0.393055555555556"/>
  <pageSetup paperSize="9" scale="4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428"/>
  <sheetViews>
    <sheetView view="pageBreakPreview" zoomScale="65" zoomScaleNormal="76" workbookViewId="0">
      <pane xSplit="5" ySplit="5" topLeftCell="F9" activePane="bottomRight" state="frozen"/>
      <selection/>
      <selection pane="topRight"/>
      <selection pane="bottomLeft"/>
      <selection pane="bottomRight" activeCell="O20" sqref="O20"/>
    </sheetView>
  </sheetViews>
  <sheetFormatPr defaultColWidth="9" defaultRowHeight="13.5"/>
  <cols>
    <col min="1" max="1" width="6.13333333333333" style="68" customWidth="1"/>
    <col min="2" max="2" width="17.1333333333333" style="203" customWidth="1"/>
    <col min="3" max="3" width="6.38333333333333" style="68" customWidth="1"/>
    <col min="4" max="5" width="6.75" style="67" customWidth="1"/>
    <col min="6" max="6" width="7.13333333333333" style="67" customWidth="1"/>
    <col min="7" max="7" width="10.1333333333333" style="67" customWidth="1"/>
    <col min="8" max="8" width="9.38333333333333" style="67" customWidth="1"/>
    <col min="9" max="9" width="8.75" style="67" customWidth="1"/>
    <col min="10" max="10" width="15" style="68" customWidth="1"/>
    <col min="11" max="11" width="11.75" style="68" customWidth="1"/>
    <col min="12" max="12" width="12.8833333333333" style="68" customWidth="1"/>
    <col min="13" max="13" width="11.75" style="68" customWidth="1"/>
    <col min="14" max="14" width="15.3833333333333" style="68" customWidth="1"/>
    <col min="15" max="15" width="16.75" style="68" customWidth="1"/>
    <col min="16" max="16" width="11.6333333333333" style="68" customWidth="1"/>
    <col min="17" max="17" width="9.38333333333333" style="68" customWidth="1"/>
    <col min="18" max="18" width="6.13333333333333" style="68" customWidth="1"/>
    <col min="19" max="19" width="8.63333333333333" style="68" customWidth="1"/>
    <col min="20" max="20" width="12" style="68" customWidth="1"/>
    <col min="21" max="21" width="8.38333333333333" style="68" customWidth="1"/>
    <col min="22" max="22" width="40" style="203" customWidth="1"/>
    <col min="23" max="23" width="2.63333333333333" style="68" hidden="1" customWidth="1"/>
    <col min="24" max="24" width="3.13333333333333" style="68" hidden="1" customWidth="1"/>
    <col min="25" max="25" width="5.38333333333333" style="68" hidden="1" customWidth="1"/>
    <col min="26" max="16384" width="9" style="68"/>
  </cols>
  <sheetData>
    <row r="1" ht="21.95" customHeight="1" spans="1:22">
      <c r="A1" s="621" t="s">
        <v>0</v>
      </c>
      <c r="B1" s="621"/>
      <c r="C1" s="621"/>
      <c r="D1" s="167"/>
      <c r="E1" s="167"/>
      <c r="F1" s="167"/>
      <c r="G1" s="167"/>
      <c r="H1" s="167"/>
      <c r="I1" s="167"/>
      <c r="J1" s="621"/>
      <c r="K1" s="621"/>
      <c r="L1" s="621"/>
      <c r="M1" s="621"/>
      <c r="N1" s="426"/>
      <c r="O1" s="426"/>
      <c r="P1" s="426"/>
      <c r="Q1" s="426"/>
      <c r="R1" s="426"/>
      <c r="S1" s="621"/>
      <c r="T1" s="621"/>
      <c r="U1" s="621"/>
      <c r="V1" s="621"/>
    </row>
    <row r="2" ht="42.95" customHeight="1" spans="1:22">
      <c r="A2" s="661" t="s">
        <v>733</v>
      </c>
      <c r="B2" s="662"/>
      <c r="C2" s="661"/>
      <c r="D2" s="661"/>
      <c r="E2" s="661"/>
      <c r="F2" s="661"/>
      <c r="G2" s="661"/>
      <c r="H2" s="661"/>
      <c r="I2" s="661"/>
      <c r="J2" s="661"/>
      <c r="K2" s="661"/>
      <c r="L2" s="661"/>
      <c r="M2" s="661"/>
      <c r="N2" s="668"/>
      <c r="O2" s="668"/>
      <c r="P2" s="668"/>
      <c r="Q2" s="668"/>
      <c r="R2" s="668"/>
      <c r="S2" s="661"/>
      <c r="T2" s="661"/>
      <c r="U2" s="661"/>
      <c r="V2" s="662"/>
    </row>
    <row r="3" ht="21.95" customHeight="1" spans="1:22">
      <c r="A3" s="663" t="s">
        <v>734</v>
      </c>
      <c r="B3" s="664"/>
      <c r="C3" s="664"/>
      <c r="D3" s="665"/>
      <c r="E3" s="665"/>
      <c r="F3" s="665"/>
      <c r="G3" s="665"/>
      <c r="H3" s="665"/>
      <c r="I3" s="665"/>
      <c r="J3" s="664"/>
      <c r="K3" s="664"/>
      <c r="L3" s="664"/>
      <c r="M3" s="664"/>
      <c r="N3" s="669"/>
      <c r="O3" s="669"/>
      <c r="P3" s="669"/>
      <c r="Q3" s="669"/>
      <c r="R3" s="669"/>
      <c r="S3" s="664"/>
      <c r="T3" s="664"/>
      <c r="U3" s="664"/>
      <c r="V3" s="664"/>
    </row>
    <row r="4" ht="21.95" customHeight="1" spans="1:25">
      <c r="A4" s="71" t="s">
        <v>3</v>
      </c>
      <c r="B4" s="74" t="s">
        <v>4</v>
      </c>
      <c r="C4" s="71" t="s">
        <v>735</v>
      </c>
      <c r="D4" s="71" t="s">
        <v>6</v>
      </c>
      <c r="E4" s="71" t="s">
        <v>736</v>
      </c>
      <c r="F4" s="71" t="s">
        <v>737</v>
      </c>
      <c r="G4" s="71"/>
      <c r="H4" s="71" t="s">
        <v>11</v>
      </c>
      <c r="I4" s="71"/>
      <c r="J4" s="71" t="s">
        <v>12</v>
      </c>
      <c r="K4" s="71"/>
      <c r="L4" s="71"/>
      <c r="M4" s="71"/>
      <c r="N4" s="670" t="s">
        <v>13</v>
      </c>
      <c r="O4" s="670"/>
      <c r="P4" s="670"/>
      <c r="Q4" s="670"/>
      <c r="R4" s="670"/>
      <c r="S4" s="71" t="s">
        <v>18</v>
      </c>
      <c r="T4" s="71"/>
      <c r="U4" s="671" t="s">
        <v>19</v>
      </c>
      <c r="V4" s="672" t="s">
        <v>20</v>
      </c>
      <c r="W4" s="119" t="s">
        <v>32</v>
      </c>
      <c r="X4" s="119" t="s">
        <v>33</v>
      </c>
      <c r="Y4" s="119" t="s">
        <v>34</v>
      </c>
    </row>
    <row r="5" ht="29.1" customHeight="1" spans="1:25">
      <c r="A5" s="71"/>
      <c r="B5" s="74"/>
      <c r="C5" s="71"/>
      <c r="D5" s="71"/>
      <c r="E5" s="71"/>
      <c r="F5" s="71" t="s">
        <v>384</v>
      </c>
      <c r="G5" s="71" t="s">
        <v>147</v>
      </c>
      <c r="H5" s="71" t="s">
        <v>738</v>
      </c>
      <c r="I5" s="71" t="s">
        <v>739</v>
      </c>
      <c r="J5" s="71" t="s">
        <v>38</v>
      </c>
      <c r="K5" s="71" t="s">
        <v>591</v>
      </c>
      <c r="L5" s="71" t="s">
        <v>592</v>
      </c>
      <c r="M5" s="71" t="s">
        <v>593</v>
      </c>
      <c r="N5" s="76" t="s">
        <v>25</v>
      </c>
      <c r="O5" s="76" t="s">
        <v>26</v>
      </c>
      <c r="P5" s="76" t="s">
        <v>27</v>
      </c>
      <c r="Q5" s="76" t="s">
        <v>28</v>
      </c>
      <c r="R5" s="76" t="s">
        <v>29</v>
      </c>
      <c r="S5" s="71"/>
      <c r="T5" s="71"/>
      <c r="U5" s="671"/>
      <c r="V5" s="672"/>
      <c r="W5" s="119"/>
      <c r="X5" s="119"/>
      <c r="Y5" s="119"/>
    </row>
    <row r="6" ht="21.95" customHeight="1" spans="1:25">
      <c r="A6" s="71"/>
      <c r="B6" s="74"/>
      <c r="C6" s="71"/>
      <c r="D6" s="71">
        <v>1</v>
      </c>
      <c r="E6" s="71">
        <v>2</v>
      </c>
      <c r="F6" s="71">
        <v>3</v>
      </c>
      <c r="G6" s="71">
        <v>4</v>
      </c>
      <c r="H6" s="71">
        <v>5</v>
      </c>
      <c r="I6" s="71">
        <v>6</v>
      </c>
      <c r="J6" s="71" t="s">
        <v>740</v>
      </c>
      <c r="K6" s="71">
        <v>8</v>
      </c>
      <c r="L6" s="71">
        <v>9</v>
      </c>
      <c r="M6" s="71">
        <v>10</v>
      </c>
      <c r="N6" s="76">
        <v>11</v>
      </c>
      <c r="O6" s="76">
        <v>12</v>
      </c>
      <c r="P6" s="76">
        <v>13</v>
      </c>
      <c r="Q6" s="76">
        <v>14</v>
      </c>
      <c r="R6" s="76">
        <v>15</v>
      </c>
      <c r="S6" s="71">
        <v>11</v>
      </c>
      <c r="T6" s="71">
        <v>12</v>
      </c>
      <c r="U6" s="671">
        <v>13</v>
      </c>
      <c r="V6" s="672"/>
      <c r="W6" s="119"/>
      <c r="X6" s="119"/>
      <c r="Y6" s="119"/>
    </row>
    <row r="7" s="61" customFormat="1" ht="21.95" customHeight="1" spans="1:25">
      <c r="A7" s="147">
        <v>0</v>
      </c>
      <c r="B7" s="74" t="s">
        <v>741</v>
      </c>
      <c r="C7" s="147" t="s">
        <v>320</v>
      </c>
      <c r="D7" s="147" t="s">
        <v>320</v>
      </c>
      <c r="E7" s="147"/>
      <c r="F7" s="147">
        <f>F8+F52+F93+F139+F209+F271+F289+F322+F410</f>
        <v>4675</v>
      </c>
      <c r="G7" s="147">
        <f t="shared" ref="G7:R7" si="0">G8+G52+G93+G139+G209+G271+G289+G322+G410</f>
        <v>17359</v>
      </c>
      <c r="H7" s="147">
        <v>2018</v>
      </c>
      <c r="I7" s="147">
        <v>2020</v>
      </c>
      <c r="J7" s="147">
        <f t="shared" si="0"/>
        <v>20986.980824</v>
      </c>
      <c r="K7" s="147">
        <f t="shared" si="0"/>
        <v>10896.5524</v>
      </c>
      <c r="L7" s="147">
        <f t="shared" si="0"/>
        <v>8425.127944</v>
      </c>
      <c r="M7" s="147">
        <f t="shared" si="0"/>
        <v>1665.30048</v>
      </c>
      <c r="N7" s="147">
        <f t="shared" si="0"/>
        <v>4800.660032</v>
      </c>
      <c r="O7" s="147">
        <f t="shared" si="0"/>
        <v>13013.647992</v>
      </c>
      <c r="P7" s="147">
        <f t="shared" si="0"/>
        <v>3047.6228</v>
      </c>
      <c r="Q7" s="147">
        <f t="shared" si="0"/>
        <v>125.05</v>
      </c>
      <c r="R7" s="147">
        <f t="shared" si="0"/>
        <v>0</v>
      </c>
      <c r="S7" s="147" t="s">
        <v>320</v>
      </c>
      <c r="T7" s="147" t="s">
        <v>320</v>
      </c>
      <c r="U7" s="147" t="s">
        <v>320</v>
      </c>
      <c r="V7" s="398"/>
      <c r="W7" s="91" t="str">
        <f t="shared" ref="W7:W70" si="1">IF(SUM(N7:R7)=J7,"Y","N")</f>
        <v>Y</v>
      </c>
      <c r="X7" s="91"/>
      <c r="Y7" s="91"/>
    </row>
    <row r="8" s="61" customFormat="1" ht="12.75" spans="1:25">
      <c r="A8" s="147">
        <v>1</v>
      </c>
      <c r="B8" s="74" t="s">
        <v>742</v>
      </c>
      <c r="C8" s="71" t="s">
        <v>52</v>
      </c>
      <c r="D8" s="71" t="s">
        <v>384</v>
      </c>
      <c r="E8" s="147">
        <f t="shared" ref="E8:G8" si="2">E9+E15+E43</f>
        <v>2069</v>
      </c>
      <c r="F8" s="147">
        <f t="shared" si="2"/>
        <v>990</v>
      </c>
      <c r="G8" s="147">
        <f t="shared" si="2"/>
        <v>3795</v>
      </c>
      <c r="H8" s="147">
        <v>2018</v>
      </c>
      <c r="I8" s="147">
        <v>2018</v>
      </c>
      <c r="J8" s="147">
        <f>J9+J15+J43</f>
        <v>5801.4</v>
      </c>
      <c r="K8" s="147">
        <f>K9+K15+K43</f>
        <v>3730.2</v>
      </c>
      <c r="L8" s="147">
        <f t="shared" ref="L8:R8" si="3">L9+L15+L43</f>
        <v>2071.2</v>
      </c>
      <c r="M8" s="147">
        <f t="shared" si="3"/>
        <v>0</v>
      </c>
      <c r="N8" s="147">
        <f t="shared" si="3"/>
        <v>577.5</v>
      </c>
      <c r="O8" s="147">
        <f t="shared" si="3"/>
        <v>4391.8</v>
      </c>
      <c r="P8" s="147">
        <f t="shared" si="3"/>
        <v>832.1</v>
      </c>
      <c r="Q8" s="147">
        <f t="shared" si="3"/>
        <v>0</v>
      </c>
      <c r="R8" s="147">
        <f t="shared" si="3"/>
        <v>0</v>
      </c>
      <c r="S8" s="147" t="s">
        <v>320</v>
      </c>
      <c r="T8" s="147" t="s">
        <v>320</v>
      </c>
      <c r="U8" s="147" t="s">
        <v>320</v>
      </c>
      <c r="V8" s="398"/>
      <c r="W8" s="91" t="str">
        <f t="shared" si="1"/>
        <v>Y</v>
      </c>
      <c r="X8" s="91"/>
      <c r="Y8" s="91"/>
    </row>
    <row r="9" s="61" customFormat="1" ht="37.5" spans="1:25">
      <c r="A9" s="147">
        <v>2</v>
      </c>
      <c r="B9" s="74" t="s">
        <v>380</v>
      </c>
      <c r="C9" s="71" t="s">
        <v>52</v>
      </c>
      <c r="D9" s="71" t="s">
        <v>384</v>
      </c>
      <c r="E9" s="147">
        <f t="shared" ref="E9:G9" si="4">E10+E11+E12+E13+E14</f>
        <v>27</v>
      </c>
      <c r="F9" s="147">
        <f t="shared" si="4"/>
        <v>27</v>
      </c>
      <c r="G9" s="147">
        <f t="shared" si="4"/>
        <v>100</v>
      </c>
      <c r="H9" s="147">
        <v>2018</v>
      </c>
      <c r="I9" s="147">
        <v>2018</v>
      </c>
      <c r="J9" s="123">
        <v>1186.4</v>
      </c>
      <c r="K9" s="123">
        <v>1186.4</v>
      </c>
      <c r="L9" s="123"/>
      <c r="M9" s="123"/>
      <c r="N9" s="123">
        <f>J9-P9</f>
        <v>577.5</v>
      </c>
      <c r="O9" s="123"/>
      <c r="P9" s="123">
        <v>608.9</v>
      </c>
      <c r="Q9" s="340"/>
      <c r="R9" s="340"/>
      <c r="S9" s="71" t="s">
        <v>743</v>
      </c>
      <c r="T9" s="71" t="s">
        <v>744</v>
      </c>
      <c r="U9" s="71" t="s">
        <v>201</v>
      </c>
      <c r="V9" s="74" t="s">
        <v>745</v>
      </c>
      <c r="W9" s="91" t="str">
        <f t="shared" si="1"/>
        <v>Y</v>
      </c>
      <c r="X9" s="91"/>
      <c r="Y9" s="91"/>
    </row>
    <row r="10" s="61" customFormat="1" ht="21.95" customHeight="1" spans="1:25">
      <c r="A10" s="147"/>
      <c r="B10" s="74" t="s">
        <v>746</v>
      </c>
      <c r="C10" s="74" t="s">
        <v>52</v>
      </c>
      <c r="D10" s="71" t="s">
        <v>384</v>
      </c>
      <c r="E10" s="147">
        <v>2</v>
      </c>
      <c r="F10" s="147">
        <v>2</v>
      </c>
      <c r="G10" s="147">
        <v>9</v>
      </c>
      <c r="H10" s="147">
        <v>2018</v>
      </c>
      <c r="I10" s="147">
        <v>2018</v>
      </c>
      <c r="J10" s="147">
        <f t="shared" ref="J10:J14" si="5">G10*11.864</f>
        <v>106.776</v>
      </c>
      <c r="K10" s="147">
        <f t="shared" ref="K10:K14" si="6">G10*11.864</f>
        <v>106.776</v>
      </c>
      <c r="L10" s="398"/>
      <c r="M10" s="398"/>
      <c r="N10" s="398"/>
      <c r="O10" s="398"/>
      <c r="P10" s="398"/>
      <c r="Q10" s="398"/>
      <c r="R10" s="398"/>
      <c r="S10" s="74" t="s">
        <v>747</v>
      </c>
      <c r="T10" s="74" t="s">
        <v>748</v>
      </c>
      <c r="U10" s="147"/>
      <c r="V10" s="398"/>
      <c r="W10" s="91" t="str">
        <f t="shared" si="1"/>
        <v>N</v>
      </c>
      <c r="X10" s="91"/>
      <c r="Y10" s="91"/>
    </row>
    <row r="11" s="61" customFormat="1" ht="21.95" customHeight="1" spans="1:25">
      <c r="A11" s="147"/>
      <c r="B11" s="74" t="s">
        <v>749</v>
      </c>
      <c r="C11" s="74" t="s">
        <v>52</v>
      </c>
      <c r="D11" s="71" t="s">
        <v>384</v>
      </c>
      <c r="E11" s="147">
        <v>1</v>
      </c>
      <c r="F11" s="147">
        <v>1</v>
      </c>
      <c r="G11" s="147">
        <v>1</v>
      </c>
      <c r="H11" s="147">
        <v>2018</v>
      </c>
      <c r="I11" s="147">
        <v>2018</v>
      </c>
      <c r="J11" s="147">
        <f t="shared" si="5"/>
        <v>11.864</v>
      </c>
      <c r="K11" s="147">
        <f t="shared" si="6"/>
        <v>11.864</v>
      </c>
      <c r="L11" s="398"/>
      <c r="M11" s="398"/>
      <c r="N11" s="398"/>
      <c r="O11" s="398"/>
      <c r="P11" s="398"/>
      <c r="Q11" s="398"/>
      <c r="R11" s="398"/>
      <c r="S11" s="74" t="s">
        <v>750</v>
      </c>
      <c r="T11" s="74" t="s">
        <v>751</v>
      </c>
      <c r="U11" s="147"/>
      <c r="V11" s="398"/>
      <c r="W11" s="91" t="str">
        <f t="shared" si="1"/>
        <v>N</v>
      </c>
      <c r="X11" s="91"/>
      <c r="Y11" s="91"/>
    </row>
    <row r="12" s="61" customFormat="1" ht="21.95" customHeight="1" spans="1:25">
      <c r="A12" s="147"/>
      <c r="B12" s="74" t="s">
        <v>752</v>
      </c>
      <c r="C12" s="74" t="s">
        <v>52</v>
      </c>
      <c r="D12" s="71" t="s">
        <v>384</v>
      </c>
      <c r="E12" s="147">
        <v>5</v>
      </c>
      <c r="F12" s="147">
        <v>5</v>
      </c>
      <c r="G12" s="147">
        <v>20</v>
      </c>
      <c r="H12" s="147">
        <v>2018</v>
      </c>
      <c r="I12" s="147">
        <v>2018</v>
      </c>
      <c r="J12" s="147">
        <f t="shared" si="5"/>
        <v>237.28</v>
      </c>
      <c r="K12" s="147">
        <f t="shared" si="6"/>
        <v>237.28</v>
      </c>
      <c r="L12" s="398"/>
      <c r="M12" s="398"/>
      <c r="N12" s="398"/>
      <c r="O12" s="398"/>
      <c r="P12" s="398"/>
      <c r="Q12" s="398"/>
      <c r="R12" s="398"/>
      <c r="S12" s="74" t="s">
        <v>753</v>
      </c>
      <c r="T12" s="74" t="s">
        <v>754</v>
      </c>
      <c r="U12" s="147"/>
      <c r="V12" s="398"/>
      <c r="W12" s="91" t="str">
        <f t="shared" si="1"/>
        <v>N</v>
      </c>
      <c r="X12" s="91"/>
      <c r="Y12" s="91"/>
    </row>
    <row r="13" s="61" customFormat="1" ht="21.95" customHeight="1" spans="1:25">
      <c r="A13" s="147"/>
      <c r="B13" s="74" t="s">
        <v>755</v>
      </c>
      <c r="C13" s="74" t="s">
        <v>52</v>
      </c>
      <c r="D13" s="71" t="s">
        <v>384</v>
      </c>
      <c r="E13" s="147">
        <v>7</v>
      </c>
      <c r="F13" s="147">
        <v>7</v>
      </c>
      <c r="G13" s="147">
        <v>27</v>
      </c>
      <c r="H13" s="147">
        <v>2018</v>
      </c>
      <c r="I13" s="147">
        <v>2018</v>
      </c>
      <c r="J13" s="147">
        <f t="shared" si="5"/>
        <v>320.328</v>
      </c>
      <c r="K13" s="147">
        <f t="shared" si="6"/>
        <v>320.328</v>
      </c>
      <c r="L13" s="398"/>
      <c r="M13" s="398"/>
      <c r="N13" s="398"/>
      <c r="O13" s="398"/>
      <c r="P13" s="398"/>
      <c r="Q13" s="398"/>
      <c r="R13" s="398"/>
      <c r="S13" s="74" t="s">
        <v>756</v>
      </c>
      <c r="T13" s="74" t="s">
        <v>757</v>
      </c>
      <c r="U13" s="147"/>
      <c r="V13" s="398"/>
      <c r="W13" s="91" t="str">
        <f t="shared" si="1"/>
        <v>N</v>
      </c>
      <c r="X13" s="91"/>
      <c r="Y13" s="91"/>
    </row>
    <row r="14" s="61" customFormat="1" ht="21.95" customHeight="1" spans="1:25">
      <c r="A14" s="147"/>
      <c r="B14" s="74" t="s">
        <v>758</v>
      </c>
      <c r="C14" s="74" t="s">
        <v>52</v>
      </c>
      <c r="D14" s="71" t="s">
        <v>384</v>
      </c>
      <c r="E14" s="147">
        <v>12</v>
      </c>
      <c r="F14" s="147">
        <v>12</v>
      </c>
      <c r="G14" s="147">
        <v>43</v>
      </c>
      <c r="H14" s="147">
        <v>2018</v>
      </c>
      <c r="I14" s="147">
        <v>2018</v>
      </c>
      <c r="J14" s="147">
        <f t="shared" si="5"/>
        <v>510.152</v>
      </c>
      <c r="K14" s="147">
        <f t="shared" si="6"/>
        <v>510.152</v>
      </c>
      <c r="L14" s="398"/>
      <c r="M14" s="398"/>
      <c r="N14" s="398"/>
      <c r="O14" s="398"/>
      <c r="P14" s="398"/>
      <c r="Q14" s="398"/>
      <c r="R14" s="398"/>
      <c r="S14" s="74" t="s">
        <v>759</v>
      </c>
      <c r="T14" s="74" t="s">
        <v>760</v>
      </c>
      <c r="U14" s="147"/>
      <c r="V14" s="398"/>
      <c r="W14" s="91" t="str">
        <f t="shared" si="1"/>
        <v>N</v>
      </c>
      <c r="X14" s="91"/>
      <c r="Y14" s="91"/>
    </row>
    <row r="15" s="61" customFormat="1" ht="30.95" customHeight="1" spans="1:25">
      <c r="A15" s="147">
        <v>3</v>
      </c>
      <c r="B15" s="74" t="s">
        <v>761</v>
      </c>
      <c r="C15" s="71" t="s">
        <v>52</v>
      </c>
      <c r="D15" s="71" t="s">
        <v>384</v>
      </c>
      <c r="E15" s="147">
        <f t="shared" ref="E15:G15" si="7">E16+E25+E34</f>
        <v>1918</v>
      </c>
      <c r="F15" s="147">
        <f t="shared" si="7"/>
        <v>963</v>
      </c>
      <c r="G15" s="147">
        <f t="shared" si="7"/>
        <v>3695</v>
      </c>
      <c r="H15" s="147">
        <v>2018</v>
      </c>
      <c r="I15" s="147">
        <v>2018</v>
      </c>
      <c r="J15" s="147">
        <f>J16+J25+J34</f>
        <v>4391.8</v>
      </c>
      <c r="K15" s="147">
        <f>K16+K25+K34</f>
        <v>2543.8</v>
      </c>
      <c r="L15" s="147">
        <f t="shared" ref="L15:R15" si="8">L16+L25+L34</f>
        <v>1848</v>
      </c>
      <c r="M15" s="147">
        <f t="shared" si="8"/>
        <v>0</v>
      </c>
      <c r="N15" s="147">
        <f t="shared" si="8"/>
        <v>0</v>
      </c>
      <c r="O15" s="147">
        <f t="shared" si="8"/>
        <v>4391.8</v>
      </c>
      <c r="P15" s="147">
        <f t="shared" si="8"/>
        <v>0</v>
      </c>
      <c r="Q15" s="147">
        <f t="shared" si="8"/>
        <v>0</v>
      </c>
      <c r="R15" s="147">
        <f t="shared" si="8"/>
        <v>0</v>
      </c>
      <c r="S15" s="71" t="s">
        <v>743</v>
      </c>
      <c r="T15" s="71" t="s">
        <v>744</v>
      </c>
      <c r="U15" s="147" t="s">
        <v>320</v>
      </c>
      <c r="V15" s="398"/>
      <c r="W15" s="91" t="str">
        <f t="shared" si="1"/>
        <v>Y</v>
      </c>
      <c r="X15" s="91"/>
      <c r="Y15" s="91"/>
    </row>
    <row r="16" s="61" customFormat="1" ht="21.95" customHeight="1" spans="1:25">
      <c r="A16" s="147">
        <v>4</v>
      </c>
      <c r="B16" s="398" t="s">
        <v>762</v>
      </c>
      <c r="C16" s="71" t="s">
        <v>52</v>
      </c>
      <c r="D16" s="71" t="s">
        <v>384</v>
      </c>
      <c r="E16" s="147">
        <f t="shared" ref="E16:G16" si="9">E17+E18+E19+E20+E21+E22+E23+E24</f>
        <v>616</v>
      </c>
      <c r="F16" s="147">
        <f t="shared" si="9"/>
        <v>350</v>
      </c>
      <c r="G16" s="147">
        <f t="shared" si="9"/>
        <v>1393</v>
      </c>
      <c r="H16" s="147">
        <v>2018</v>
      </c>
      <c r="I16" s="147">
        <v>2018</v>
      </c>
      <c r="J16" s="147">
        <f t="shared" ref="J16:J24" si="10">E16*3</f>
        <v>1848</v>
      </c>
      <c r="K16" s="147">
        <f>SUM(K17:K24)</f>
        <v>0</v>
      </c>
      <c r="L16" s="147">
        <f t="shared" ref="L16:R16" si="11">SUM(L17:L24)</f>
        <v>1848</v>
      </c>
      <c r="M16" s="147">
        <f t="shared" si="11"/>
        <v>0</v>
      </c>
      <c r="N16" s="147">
        <f t="shared" si="11"/>
        <v>0</v>
      </c>
      <c r="O16" s="147">
        <f>J16</f>
        <v>1848</v>
      </c>
      <c r="P16" s="147">
        <f t="shared" si="11"/>
        <v>0</v>
      </c>
      <c r="Q16" s="147">
        <f t="shared" si="11"/>
        <v>0</v>
      </c>
      <c r="R16" s="147">
        <f t="shared" si="11"/>
        <v>0</v>
      </c>
      <c r="S16" s="71" t="s">
        <v>743</v>
      </c>
      <c r="T16" s="71" t="s">
        <v>744</v>
      </c>
      <c r="U16" s="71" t="s">
        <v>273</v>
      </c>
      <c r="V16" s="74" t="s">
        <v>763</v>
      </c>
      <c r="W16" s="91" t="str">
        <f t="shared" si="1"/>
        <v>Y</v>
      </c>
      <c r="X16" s="91"/>
      <c r="Y16" s="91"/>
    </row>
    <row r="17" s="61" customFormat="1" ht="21.95" customHeight="1" spans="1:25">
      <c r="A17" s="147"/>
      <c r="B17" s="74" t="s">
        <v>746</v>
      </c>
      <c r="C17" s="71" t="s">
        <v>52</v>
      </c>
      <c r="D17" s="71" t="s">
        <v>384</v>
      </c>
      <c r="E17" s="147">
        <v>85</v>
      </c>
      <c r="F17" s="147">
        <v>60</v>
      </c>
      <c r="G17" s="147">
        <v>213</v>
      </c>
      <c r="H17" s="147">
        <v>2018</v>
      </c>
      <c r="I17" s="147">
        <v>2018</v>
      </c>
      <c r="J17" s="147">
        <f t="shared" si="10"/>
        <v>255</v>
      </c>
      <c r="K17" s="147"/>
      <c r="L17" s="147">
        <v>255</v>
      </c>
      <c r="M17" s="147"/>
      <c r="N17" s="122"/>
      <c r="O17" s="147">
        <f t="shared" ref="O17:O24" si="12">J17</f>
        <v>255</v>
      </c>
      <c r="P17" s="122"/>
      <c r="Q17" s="122"/>
      <c r="R17" s="122"/>
      <c r="S17" s="71" t="s">
        <v>747</v>
      </c>
      <c r="T17" s="71" t="s">
        <v>748</v>
      </c>
      <c r="U17" s="147"/>
      <c r="V17" s="398"/>
      <c r="W17" s="91" t="str">
        <f t="shared" si="1"/>
        <v>Y</v>
      </c>
      <c r="X17" s="91"/>
      <c r="Y17" s="91"/>
    </row>
    <row r="18" s="61" customFormat="1" ht="21.95" customHeight="1" spans="1:25">
      <c r="A18" s="147"/>
      <c r="B18" s="74" t="s">
        <v>752</v>
      </c>
      <c r="C18" s="71" t="s">
        <v>52</v>
      </c>
      <c r="D18" s="71" t="s">
        <v>384</v>
      </c>
      <c r="E18" s="147">
        <v>84</v>
      </c>
      <c r="F18" s="147">
        <v>55</v>
      </c>
      <c r="G18" s="147">
        <v>208</v>
      </c>
      <c r="H18" s="147">
        <v>2018</v>
      </c>
      <c r="I18" s="147">
        <v>2018</v>
      </c>
      <c r="J18" s="147">
        <f t="shared" si="10"/>
        <v>252</v>
      </c>
      <c r="K18" s="147"/>
      <c r="L18" s="147">
        <v>252</v>
      </c>
      <c r="M18" s="147"/>
      <c r="N18" s="122"/>
      <c r="O18" s="147">
        <f t="shared" si="12"/>
        <v>252</v>
      </c>
      <c r="P18" s="122"/>
      <c r="Q18" s="122"/>
      <c r="R18" s="122"/>
      <c r="S18" s="71" t="s">
        <v>753</v>
      </c>
      <c r="T18" s="71" t="s">
        <v>754</v>
      </c>
      <c r="U18" s="147"/>
      <c r="V18" s="398"/>
      <c r="W18" s="91" t="str">
        <f t="shared" si="1"/>
        <v>Y</v>
      </c>
      <c r="X18" s="91"/>
      <c r="Y18" s="91"/>
    </row>
    <row r="19" s="61" customFormat="1" ht="21.95" customHeight="1" spans="1:25">
      <c r="A19" s="147"/>
      <c r="B19" s="74" t="s">
        <v>764</v>
      </c>
      <c r="C19" s="71" t="s">
        <v>52</v>
      </c>
      <c r="D19" s="71" t="s">
        <v>384</v>
      </c>
      <c r="E19" s="147">
        <v>55</v>
      </c>
      <c r="F19" s="147">
        <v>21</v>
      </c>
      <c r="G19" s="147">
        <v>95</v>
      </c>
      <c r="H19" s="147">
        <v>2018</v>
      </c>
      <c r="I19" s="147">
        <v>2018</v>
      </c>
      <c r="J19" s="147">
        <f t="shared" si="10"/>
        <v>165</v>
      </c>
      <c r="K19" s="147"/>
      <c r="L19" s="147">
        <v>165</v>
      </c>
      <c r="M19" s="147"/>
      <c r="N19" s="122"/>
      <c r="O19" s="147">
        <f t="shared" si="12"/>
        <v>165</v>
      </c>
      <c r="P19" s="122"/>
      <c r="Q19" s="122"/>
      <c r="R19" s="122"/>
      <c r="S19" s="71" t="s">
        <v>765</v>
      </c>
      <c r="T19" s="71" t="s">
        <v>766</v>
      </c>
      <c r="U19" s="147"/>
      <c r="V19" s="398"/>
      <c r="W19" s="91" t="str">
        <f t="shared" si="1"/>
        <v>Y</v>
      </c>
      <c r="X19" s="91"/>
      <c r="Y19" s="91"/>
    </row>
    <row r="20" s="61" customFormat="1" ht="21.95" customHeight="1" spans="1:25">
      <c r="A20" s="147"/>
      <c r="B20" s="74" t="s">
        <v>749</v>
      </c>
      <c r="C20" s="71" t="s">
        <v>52</v>
      </c>
      <c r="D20" s="71" t="s">
        <v>384</v>
      </c>
      <c r="E20" s="147">
        <v>58</v>
      </c>
      <c r="F20" s="147">
        <v>37</v>
      </c>
      <c r="G20" s="147">
        <v>150</v>
      </c>
      <c r="H20" s="147">
        <v>2018</v>
      </c>
      <c r="I20" s="147">
        <v>2018</v>
      </c>
      <c r="J20" s="147">
        <f t="shared" si="10"/>
        <v>174</v>
      </c>
      <c r="K20" s="147"/>
      <c r="L20" s="147">
        <v>174</v>
      </c>
      <c r="M20" s="147"/>
      <c r="N20" s="122"/>
      <c r="O20" s="147">
        <f t="shared" si="12"/>
        <v>174</v>
      </c>
      <c r="P20" s="122"/>
      <c r="Q20" s="122"/>
      <c r="R20" s="122"/>
      <c r="S20" s="71" t="s">
        <v>750</v>
      </c>
      <c r="T20" s="71" t="s">
        <v>751</v>
      </c>
      <c r="U20" s="147"/>
      <c r="V20" s="398"/>
      <c r="W20" s="91" t="str">
        <f t="shared" si="1"/>
        <v>Y</v>
      </c>
      <c r="X20" s="91"/>
      <c r="Y20" s="91"/>
    </row>
    <row r="21" s="61" customFormat="1" ht="21.95" customHeight="1" spans="1:25">
      <c r="A21" s="147"/>
      <c r="B21" s="74" t="s">
        <v>755</v>
      </c>
      <c r="C21" s="71" t="s">
        <v>52</v>
      </c>
      <c r="D21" s="71" t="s">
        <v>384</v>
      </c>
      <c r="E21" s="147">
        <v>56</v>
      </c>
      <c r="F21" s="147">
        <v>28</v>
      </c>
      <c r="G21" s="147">
        <v>118</v>
      </c>
      <c r="H21" s="147">
        <v>2018</v>
      </c>
      <c r="I21" s="147">
        <v>2018</v>
      </c>
      <c r="J21" s="147">
        <f t="shared" si="10"/>
        <v>168</v>
      </c>
      <c r="K21" s="147"/>
      <c r="L21" s="147">
        <v>168</v>
      </c>
      <c r="M21" s="147"/>
      <c r="N21" s="122"/>
      <c r="O21" s="147">
        <f t="shared" si="12"/>
        <v>168</v>
      </c>
      <c r="P21" s="122"/>
      <c r="Q21" s="122"/>
      <c r="R21" s="122"/>
      <c r="S21" s="71" t="s">
        <v>756</v>
      </c>
      <c r="T21" s="71" t="s">
        <v>757</v>
      </c>
      <c r="U21" s="147"/>
      <c r="V21" s="398"/>
      <c r="W21" s="91" t="str">
        <f t="shared" si="1"/>
        <v>Y</v>
      </c>
      <c r="X21" s="91"/>
      <c r="Y21" s="91"/>
    </row>
    <row r="22" s="61" customFormat="1" ht="21.95" customHeight="1" spans="1:25">
      <c r="A22" s="147"/>
      <c r="B22" s="74" t="s">
        <v>758</v>
      </c>
      <c r="C22" s="71" t="s">
        <v>52</v>
      </c>
      <c r="D22" s="71" t="s">
        <v>384</v>
      </c>
      <c r="E22" s="147">
        <v>147</v>
      </c>
      <c r="F22" s="147">
        <v>83</v>
      </c>
      <c r="G22" s="147">
        <v>334</v>
      </c>
      <c r="H22" s="147">
        <v>2018</v>
      </c>
      <c r="I22" s="147">
        <v>2018</v>
      </c>
      <c r="J22" s="147">
        <f t="shared" si="10"/>
        <v>441</v>
      </c>
      <c r="K22" s="147"/>
      <c r="L22" s="147">
        <v>441</v>
      </c>
      <c r="M22" s="147"/>
      <c r="N22" s="122"/>
      <c r="O22" s="147">
        <f t="shared" si="12"/>
        <v>441</v>
      </c>
      <c r="P22" s="122"/>
      <c r="Q22" s="122"/>
      <c r="R22" s="122"/>
      <c r="S22" s="71" t="s">
        <v>759</v>
      </c>
      <c r="T22" s="71" t="s">
        <v>760</v>
      </c>
      <c r="U22" s="147"/>
      <c r="V22" s="398"/>
      <c r="W22" s="91" t="str">
        <f t="shared" si="1"/>
        <v>Y</v>
      </c>
      <c r="X22" s="91"/>
      <c r="Y22" s="91"/>
    </row>
    <row r="23" s="61" customFormat="1" ht="21.95" customHeight="1" spans="1:25">
      <c r="A23" s="147"/>
      <c r="B23" s="74" t="s">
        <v>767</v>
      </c>
      <c r="C23" s="71" t="s">
        <v>52</v>
      </c>
      <c r="D23" s="71" t="s">
        <v>384</v>
      </c>
      <c r="E23" s="147">
        <v>44</v>
      </c>
      <c r="F23" s="147">
        <v>21</v>
      </c>
      <c r="G23" s="147">
        <v>92</v>
      </c>
      <c r="H23" s="147">
        <v>2018</v>
      </c>
      <c r="I23" s="147">
        <v>2018</v>
      </c>
      <c r="J23" s="147">
        <f t="shared" si="10"/>
        <v>132</v>
      </c>
      <c r="K23" s="147"/>
      <c r="L23" s="147">
        <v>132</v>
      </c>
      <c r="M23" s="147"/>
      <c r="N23" s="122"/>
      <c r="O23" s="147">
        <f t="shared" si="12"/>
        <v>132</v>
      </c>
      <c r="P23" s="122"/>
      <c r="Q23" s="122"/>
      <c r="R23" s="122"/>
      <c r="S23" s="71" t="s">
        <v>768</v>
      </c>
      <c r="T23" s="71" t="s">
        <v>769</v>
      </c>
      <c r="U23" s="147"/>
      <c r="V23" s="398"/>
      <c r="W23" s="91" t="str">
        <f t="shared" si="1"/>
        <v>Y</v>
      </c>
      <c r="X23" s="91"/>
      <c r="Y23" s="91"/>
    </row>
    <row r="24" s="61" customFormat="1" ht="21.95" customHeight="1" spans="1:25">
      <c r="A24" s="147"/>
      <c r="B24" s="74" t="s">
        <v>770</v>
      </c>
      <c r="C24" s="71" t="s">
        <v>52</v>
      </c>
      <c r="D24" s="71" t="s">
        <v>384</v>
      </c>
      <c r="E24" s="147">
        <v>87</v>
      </c>
      <c r="F24" s="147">
        <v>45</v>
      </c>
      <c r="G24" s="147">
        <v>183</v>
      </c>
      <c r="H24" s="147">
        <v>2018</v>
      </c>
      <c r="I24" s="147">
        <v>2018</v>
      </c>
      <c r="J24" s="147">
        <f t="shared" si="10"/>
        <v>261</v>
      </c>
      <c r="K24" s="147"/>
      <c r="L24" s="147">
        <v>261</v>
      </c>
      <c r="M24" s="147"/>
      <c r="N24" s="122"/>
      <c r="O24" s="147">
        <f t="shared" si="12"/>
        <v>261</v>
      </c>
      <c r="P24" s="122"/>
      <c r="Q24" s="122"/>
      <c r="R24" s="122"/>
      <c r="S24" s="71" t="s">
        <v>771</v>
      </c>
      <c r="T24" s="71" t="s">
        <v>772</v>
      </c>
      <c r="U24" s="147"/>
      <c r="V24" s="398"/>
      <c r="W24" s="91" t="str">
        <f t="shared" si="1"/>
        <v>Y</v>
      </c>
      <c r="X24" s="91"/>
      <c r="Y24" s="91"/>
    </row>
    <row r="25" s="61" customFormat="1" ht="21.95" customHeight="1" spans="1:25">
      <c r="A25" s="147">
        <v>5</v>
      </c>
      <c r="B25" s="398" t="s">
        <v>773</v>
      </c>
      <c r="C25" s="71" t="s">
        <v>52</v>
      </c>
      <c r="D25" s="71" t="s">
        <v>384</v>
      </c>
      <c r="E25" s="147">
        <f t="shared" ref="E25:G25" si="13">E26+E27+E28+E29+E30+E31+E32+E33</f>
        <v>1211</v>
      </c>
      <c r="F25" s="147">
        <f t="shared" si="13"/>
        <v>541</v>
      </c>
      <c r="G25" s="147">
        <f t="shared" si="13"/>
        <v>2156</v>
      </c>
      <c r="H25" s="147">
        <v>2018</v>
      </c>
      <c r="I25" s="147">
        <v>2018</v>
      </c>
      <c r="J25" s="147">
        <f t="shared" ref="J25:J33" si="14">E25*1.8</f>
        <v>2179.8</v>
      </c>
      <c r="K25" s="147">
        <f>K26+K27+K28+K29+K30+K31+K32+K33</f>
        <v>2179.8</v>
      </c>
      <c r="L25" s="147"/>
      <c r="M25" s="147"/>
      <c r="N25" s="122"/>
      <c r="O25" s="122">
        <v>2179.8</v>
      </c>
      <c r="P25" s="122"/>
      <c r="Q25" s="122"/>
      <c r="R25" s="122"/>
      <c r="S25" s="71" t="s">
        <v>743</v>
      </c>
      <c r="T25" s="71" t="s">
        <v>744</v>
      </c>
      <c r="U25" s="71" t="s">
        <v>273</v>
      </c>
      <c r="V25" s="74" t="s">
        <v>774</v>
      </c>
      <c r="W25" s="91" t="str">
        <f t="shared" si="1"/>
        <v>Y</v>
      </c>
      <c r="X25" s="91"/>
      <c r="Y25" s="91"/>
    </row>
    <row r="26" s="61" customFormat="1" ht="21.95" customHeight="1" spans="1:25">
      <c r="A26" s="147"/>
      <c r="B26" s="74" t="s">
        <v>775</v>
      </c>
      <c r="C26" s="71" t="s">
        <v>52</v>
      </c>
      <c r="D26" s="71" t="s">
        <v>384</v>
      </c>
      <c r="E26" s="147">
        <v>245</v>
      </c>
      <c r="F26" s="147">
        <v>106</v>
      </c>
      <c r="G26" s="147">
        <v>417</v>
      </c>
      <c r="H26" s="147">
        <v>2018</v>
      </c>
      <c r="I26" s="147">
        <v>2018</v>
      </c>
      <c r="J26" s="147">
        <f t="shared" si="14"/>
        <v>441</v>
      </c>
      <c r="K26" s="147">
        <v>441</v>
      </c>
      <c r="L26" s="147"/>
      <c r="M26" s="147"/>
      <c r="N26" s="122"/>
      <c r="O26" s="122"/>
      <c r="P26" s="122"/>
      <c r="Q26" s="122"/>
      <c r="R26" s="122"/>
      <c r="S26" s="71" t="s">
        <v>747</v>
      </c>
      <c r="T26" s="71" t="s">
        <v>748</v>
      </c>
      <c r="U26" s="147"/>
      <c r="V26" s="398"/>
      <c r="W26" s="91" t="str">
        <f t="shared" si="1"/>
        <v>N</v>
      </c>
      <c r="X26" s="91"/>
      <c r="Y26" s="91"/>
    </row>
    <row r="27" s="61" customFormat="1" ht="21.95" customHeight="1" spans="1:25">
      <c r="A27" s="147"/>
      <c r="B27" s="74" t="s">
        <v>752</v>
      </c>
      <c r="C27" s="71" t="s">
        <v>52</v>
      </c>
      <c r="D27" s="71" t="s">
        <v>384</v>
      </c>
      <c r="E27" s="147">
        <v>234</v>
      </c>
      <c r="F27" s="147">
        <v>94</v>
      </c>
      <c r="G27" s="147">
        <v>363</v>
      </c>
      <c r="H27" s="147">
        <v>2018</v>
      </c>
      <c r="I27" s="147">
        <v>2018</v>
      </c>
      <c r="J27" s="147">
        <f t="shared" si="14"/>
        <v>421.2</v>
      </c>
      <c r="K27" s="147">
        <v>421.2</v>
      </c>
      <c r="L27" s="147"/>
      <c r="M27" s="147"/>
      <c r="N27" s="122"/>
      <c r="O27" s="122"/>
      <c r="P27" s="122"/>
      <c r="Q27" s="122"/>
      <c r="R27" s="122"/>
      <c r="S27" s="71" t="s">
        <v>753</v>
      </c>
      <c r="T27" s="71" t="s">
        <v>754</v>
      </c>
      <c r="U27" s="147"/>
      <c r="V27" s="398"/>
      <c r="W27" s="91" t="str">
        <f t="shared" si="1"/>
        <v>N</v>
      </c>
      <c r="X27" s="91"/>
      <c r="Y27" s="91"/>
    </row>
    <row r="28" s="61" customFormat="1" ht="21.95" customHeight="1" spans="1:25">
      <c r="A28" s="147"/>
      <c r="B28" s="74" t="s">
        <v>764</v>
      </c>
      <c r="C28" s="71" t="s">
        <v>52</v>
      </c>
      <c r="D28" s="71" t="s">
        <v>384</v>
      </c>
      <c r="E28" s="147">
        <v>129</v>
      </c>
      <c r="F28" s="147">
        <v>62</v>
      </c>
      <c r="G28" s="147">
        <v>242</v>
      </c>
      <c r="H28" s="147">
        <v>2018</v>
      </c>
      <c r="I28" s="147">
        <v>2018</v>
      </c>
      <c r="J28" s="147">
        <f t="shared" si="14"/>
        <v>232.2</v>
      </c>
      <c r="K28" s="147">
        <v>232.2</v>
      </c>
      <c r="L28" s="147"/>
      <c r="M28" s="147"/>
      <c r="N28" s="122"/>
      <c r="O28" s="122"/>
      <c r="P28" s="122"/>
      <c r="Q28" s="122"/>
      <c r="R28" s="122"/>
      <c r="S28" s="71" t="s">
        <v>765</v>
      </c>
      <c r="T28" s="71" t="s">
        <v>766</v>
      </c>
      <c r="U28" s="147"/>
      <c r="V28" s="398"/>
      <c r="W28" s="91" t="str">
        <f t="shared" si="1"/>
        <v>N</v>
      </c>
      <c r="X28" s="91"/>
      <c r="Y28" s="91"/>
    </row>
    <row r="29" s="61" customFormat="1" ht="21.95" customHeight="1" spans="1:25">
      <c r="A29" s="147"/>
      <c r="B29" s="74" t="s">
        <v>749</v>
      </c>
      <c r="C29" s="71" t="s">
        <v>52</v>
      </c>
      <c r="D29" s="71" t="s">
        <v>384</v>
      </c>
      <c r="E29" s="147">
        <v>106</v>
      </c>
      <c r="F29" s="147">
        <v>59</v>
      </c>
      <c r="G29" s="147">
        <v>236</v>
      </c>
      <c r="H29" s="147">
        <v>2018</v>
      </c>
      <c r="I29" s="147">
        <v>2018</v>
      </c>
      <c r="J29" s="147">
        <f t="shared" si="14"/>
        <v>190.8</v>
      </c>
      <c r="K29" s="147">
        <v>190.8</v>
      </c>
      <c r="L29" s="147"/>
      <c r="M29" s="147"/>
      <c r="N29" s="122"/>
      <c r="O29" s="122"/>
      <c r="P29" s="122"/>
      <c r="Q29" s="122"/>
      <c r="R29" s="122"/>
      <c r="S29" s="71" t="s">
        <v>750</v>
      </c>
      <c r="T29" s="71" t="s">
        <v>751</v>
      </c>
      <c r="U29" s="147"/>
      <c r="V29" s="398"/>
      <c r="W29" s="91" t="str">
        <f t="shared" si="1"/>
        <v>N</v>
      </c>
      <c r="X29" s="91"/>
      <c r="Y29" s="91"/>
    </row>
    <row r="30" s="61" customFormat="1" ht="21.95" customHeight="1" spans="1:25">
      <c r="A30" s="147"/>
      <c r="B30" s="74" t="s">
        <v>755</v>
      </c>
      <c r="C30" s="71" t="s">
        <v>52</v>
      </c>
      <c r="D30" s="71" t="s">
        <v>384</v>
      </c>
      <c r="E30" s="147">
        <v>164</v>
      </c>
      <c r="F30" s="147">
        <v>77</v>
      </c>
      <c r="G30" s="147">
        <v>280</v>
      </c>
      <c r="H30" s="147">
        <v>2018</v>
      </c>
      <c r="I30" s="147">
        <v>2018</v>
      </c>
      <c r="J30" s="147">
        <f t="shared" si="14"/>
        <v>295.2</v>
      </c>
      <c r="K30" s="147">
        <v>295.2</v>
      </c>
      <c r="L30" s="147"/>
      <c r="M30" s="147"/>
      <c r="N30" s="122"/>
      <c r="O30" s="122"/>
      <c r="P30" s="122"/>
      <c r="Q30" s="122"/>
      <c r="R30" s="122"/>
      <c r="S30" s="71" t="s">
        <v>756</v>
      </c>
      <c r="T30" s="71" t="s">
        <v>757</v>
      </c>
      <c r="U30" s="147"/>
      <c r="V30" s="398"/>
      <c r="W30" s="91" t="str">
        <f t="shared" si="1"/>
        <v>N</v>
      </c>
      <c r="X30" s="91"/>
      <c r="Y30" s="91"/>
    </row>
    <row r="31" s="61" customFormat="1" ht="21.95" customHeight="1" spans="1:25">
      <c r="A31" s="147"/>
      <c r="B31" s="74" t="s">
        <v>758</v>
      </c>
      <c r="C31" s="71" t="s">
        <v>52</v>
      </c>
      <c r="D31" s="71" t="s">
        <v>384</v>
      </c>
      <c r="E31" s="147">
        <v>110</v>
      </c>
      <c r="F31" s="147">
        <v>49</v>
      </c>
      <c r="G31" s="147">
        <v>230</v>
      </c>
      <c r="H31" s="147">
        <v>2018</v>
      </c>
      <c r="I31" s="147">
        <v>2018</v>
      </c>
      <c r="J31" s="147">
        <f t="shared" si="14"/>
        <v>198</v>
      </c>
      <c r="K31" s="147">
        <f>E31*1.8</f>
        <v>198</v>
      </c>
      <c r="L31" s="147"/>
      <c r="M31" s="147"/>
      <c r="N31" s="122"/>
      <c r="O31" s="122"/>
      <c r="P31" s="122"/>
      <c r="Q31" s="122"/>
      <c r="R31" s="122"/>
      <c r="S31" s="71" t="s">
        <v>759</v>
      </c>
      <c r="T31" s="71" t="s">
        <v>760</v>
      </c>
      <c r="U31" s="147"/>
      <c r="V31" s="398"/>
      <c r="W31" s="91" t="str">
        <f t="shared" si="1"/>
        <v>N</v>
      </c>
      <c r="X31" s="91"/>
      <c r="Y31" s="91"/>
    </row>
    <row r="32" s="61" customFormat="1" ht="21.95" customHeight="1" spans="1:25">
      <c r="A32" s="147"/>
      <c r="B32" s="74" t="s">
        <v>767</v>
      </c>
      <c r="C32" s="71" t="s">
        <v>52</v>
      </c>
      <c r="D32" s="71" t="s">
        <v>384</v>
      </c>
      <c r="E32" s="147">
        <v>81</v>
      </c>
      <c r="F32" s="147">
        <v>33</v>
      </c>
      <c r="G32" s="147">
        <v>134</v>
      </c>
      <c r="H32" s="147">
        <v>2018</v>
      </c>
      <c r="I32" s="147">
        <v>2018</v>
      </c>
      <c r="J32" s="147">
        <f t="shared" si="14"/>
        <v>145.8</v>
      </c>
      <c r="K32" s="147">
        <v>145.8</v>
      </c>
      <c r="L32" s="147"/>
      <c r="M32" s="147"/>
      <c r="N32" s="122"/>
      <c r="O32" s="122"/>
      <c r="P32" s="122"/>
      <c r="Q32" s="122"/>
      <c r="R32" s="122"/>
      <c r="S32" s="71" t="s">
        <v>768</v>
      </c>
      <c r="T32" s="71" t="s">
        <v>769</v>
      </c>
      <c r="U32" s="147"/>
      <c r="V32" s="398"/>
      <c r="W32" s="91" t="str">
        <f t="shared" si="1"/>
        <v>N</v>
      </c>
      <c r="X32" s="91"/>
      <c r="Y32" s="91"/>
    </row>
    <row r="33" s="61" customFormat="1" ht="21.95" customHeight="1" spans="1:25">
      <c r="A33" s="147"/>
      <c r="B33" s="74" t="s">
        <v>770</v>
      </c>
      <c r="C33" s="71" t="s">
        <v>52</v>
      </c>
      <c r="D33" s="71" t="s">
        <v>384</v>
      </c>
      <c r="E33" s="147">
        <v>142</v>
      </c>
      <c r="F33" s="147">
        <v>61</v>
      </c>
      <c r="G33" s="147">
        <v>254</v>
      </c>
      <c r="H33" s="147">
        <v>2018</v>
      </c>
      <c r="I33" s="147">
        <v>2018</v>
      </c>
      <c r="J33" s="147">
        <f t="shared" si="14"/>
        <v>255.6</v>
      </c>
      <c r="K33" s="147">
        <v>255.6</v>
      </c>
      <c r="L33" s="147"/>
      <c r="M33" s="147"/>
      <c r="N33" s="122"/>
      <c r="O33" s="122"/>
      <c r="P33" s="122"/>
      <c r="Q33" s="122"/>
      <c r="R33" s="122"/>
      <c r="S33" s="71" t="s">
        <v>771</v>
      </c>
      <c r="T33" s="71" t="s">
        <v>772</v>
      </c>
      <c r="U33" s="147"/>
      <c r="V33" s="398"/>
      <c r="W33" s="91" t="str">
        <f t="shared" si="1"/>
        <v>N</v>
      </c>
      <c r="X33" s="91"/>
      <c r="Y33" s="91"/>
    </row>
    <row r="34" s="61" customFormat="1" ht="12.75" spans="1:25">
      <c r="A34" s="147">
        <v>6</v>
      </c>
      <c r="B34" s="398" t="s">
        <v>776</v>
      </c>
      <c r="C34" s="71" t="s">
        <v>52</v>
      </c>
      <c r="D34" s="71" t="s">
        <v>384</v>
      </c>
      <c r="E34" s="147">
        <f t="shared" ref="E34:G34" si="15">E35+E36+E37+E38+E39+E40+E41+E42</f>
        <v>91</v>
      </c>
      <c r="F34" s="147">
        <f t="shared" si="15"/>
        <v>72</v>
      </c>
      <c r="G34" s="147">
        <f t="shared" si="15"/>
        <v>146</v>
      </c>
      <c r="H34" s="147">
        <v>2018</v>
      </c>
      <c r="I34" s="147">
        <v>2018</v>
      </c>
      <c r="J34" s="147">
        <f t="shared" ref="J34:J42" si="16">E34*4</f>
        <v>364</v>
      </c>
      <c r="K34" s="147">
        <f t="shared" ref="K34:K42" si="17">E34*4</f>
        <v>364</v>
      </c>
      <c r="L34" s="147"/>
      <c r="M34" s="147"/>
      <c r="N34" s="122"/>
      <c r="O34" s="122">
        <v>364</v>
      </c>
      <c r="P34" s="122"/>
      <c r="Q34" s="122"/>
      <c r="R34" s="122"/>
      <c r="S34" s="71" t="s">
        <v>743</v>
      </c>
      <c r="T34" s="71" t="s">
        <v>744</v>
      </c>
      <c r="U34" s="71" t="s">
        <v>273</v>
      </c>
      <c r="V34" s="74" t="s">
        <v>777</v>
      </c>
      <c r="W34" s="91" t="str">
        <f t="shared" si="1"/>
        <v>Y</v>
      </c>
      <c r="X34" s="91"/>
      <c r="Y34" s="91"/>
    </row>
    <row r="35" s="61" customFormat="1" ht="21.95" customHeight="1" spans="1:25">
      <c r="A35" s="147"/>
      <c r="B35" s="74" t="s">
        <v>746</v>
      </c>
      <c r="C35" s="71" t="s">
        <v>52</v>
      </c>
      <c r="D35" s="71" t="s">
        <v>384</v>
      </c>
      <c r="E35" s="147">
        <v>3</v>
      </c>
      <c r="F35" s="147">
        <v>3</v>
      </c>
      <c r="G35" s="147">
        <v>5</v>
      </c>
      <c r="H35" s="147">
        <v>2018</v>
      </c>
      <c r="I35" s="147">
        <v>2018</v>
      </c>
      <c r="J35" s="147">
        <f t="shared" si="16"/>
        <v>12</v>
      </c>
      <c r="K35" s="147">
        <f t="shared" si="17"/>
        <v>12</v>
      </c>
      <c r="L35" s="147"/>
      <c r="M35" s="147"/>
      <c r="N35" s="122"/>
      <c r="O35" s="122"/>
      <c r="P35" s="122"/>
      <c r="Q35" s="122"/>
      <c r="R35" s="122"/>
      <c r="S35" s="71" t="s">
        <v>747</v>
      </c>
      <c r="T35" s="71" t="s">
        <v>748</v>
      </c>
      <c r="U35" s="147"/>
      <c r="V35" s="398"/>
      <c r="W35" s="91" t="str">
        <f t="shared" si="1"/>
        <v>N</v>
      </c>
      <c r="X35" s="91"/>
      <c r="Y35" s="91"/>
    </row>
    <row r="36" s="61" customFormat="1" ht="21.95" customHeight="1" spans="1:25">
      <c r="A36" s="147"/>
      <c r="B36" s="74" t="s">
        <v>752</v>
      </c>
      <c r="C36" s="71" t="s">
        <v>52</v>
      </c>
      <c r="D36" s="71" t="s">
        <v>384</v>
      </c>
      <c r="E36" s="147">
        <v>9</v>
      </c>
      <c r="F36" s="147">
        <v>8</v>
      </c>
      <c r="G36" s="147">
        <v>15</v>
      </c>
      <c r="H36" s="147">
        <v>2018</v>
      </c>
      <c r="I36" s="147">
        <v>2018</v>
      </c>
      <c r="J36" s="147">
        <f t="shared" si="16"/>
        <v>36</v>
      </c>
      <c r="K36" s="147">
        <f t="shared" si="17"/>
        <v>36</v>
      </c>
      <c r="L36" s="147"/>
      <c r="M36" s="147"/>
      <c r="N36" s="122"/>
      <c r="O36" s="122"/>
      <c r="P36" s="122"/>
      <c r="Q36" s="122"/>
      <c r="R36" s="122"/>
      <c r="S36" s="71" t="s">
        <v>753</v>
      </c>
      <c r="T36" s="71" t="s">
        <v>754</v>
      </c>
      <c r="U36" s="147"/>
      <c r="V36" s="398"/>
      <c r="W36" s="91" t="str">
        <f t="shared" si="1"/>
        <v>N</v>
      </c>
      <c r="X36" s="91"/>
      <c r="Y36" s="91"/>
    </row>
    <row r="37" s="61" customFormat="1" ht="21.95" customHeight="1" spans="1:25">
      <c r="A37" s="147"/>
      <c r="B37" s="74" t="s">
        <v>764</v>
      </c>
      <c r="C37" s="71" t="s">
        <v>52</v>
      </c>
      <c r="D37" s="71" t="s">
        <v>384</v>
      </c>
      <c r="E37" s="147">
        <v>5</v>
      </c>
      <c r="F37" s="147">
        <v>2</v>
      </c>
      <c r="G37" s="147">
        <v>3</v>
      </c>
      <c r="H37" s="147">
        <v>2018</v>
      </c>
      <c r="I37" s="147">
        <v>2018</v>
      </c>
      <c r="J37" s="147">
        <f t="shared" si="16"/>
        <v>20</v>
      </c>
      <c r="K37" s="147">
        <f t="shared" si="17"/>
        <v>20</v>
      </c>
      <c r="L37" s="147"/>
      <c r="M37" s="147"/>
      <c r="N37" s="122"/>
      <c r="O37" s="122"/>
      <c r="P37" s="122"/>
      <c r="Q37" s="122"/>
      <c r="R37" s="122"/>
      <c r="S37" s="71" t="s">
        <v>765</v>
      </c>
      <c r="T37" s="71" t="s">
        <v>766</v>
      </c>
      <c r="U37" s="147"/>
      <c r="V37" s="398"/>
      <c r="W37" s="91" t="str">
        <f t="shared" si="1"/>
        <v>N</v>
      </c>
      <c r="X37" s="91"/>
      <c r="Y37" s="91"/>
    </row>
    <row r="38" s="61" customFormat="1" ht="21.95" customHeight="1" spans="1:25">
      <c r="A38" s="147"/>
      <c r="B38" s="74" t="s">
        <v>749</v>
      </c>
      <c r="C38" s="71" t="s">
        <v>52</v>
      </c>
      <c r="D38" s="71" t="s">
        <v>384</v>
      </c>
      <c r="E38" s="147">
        <v>49</v>
      </c>
      <c r="F38" s="147">
        <v>41</v>
      </c>
      <c r="G38" s="147">
        <v>84</v>
      </c>
      <c r="H38" s="147">
        <v>2018</v>
      </c>
      <c r="I38" s="147">
        <v>2018</v>
      </c>
      <c r="J38" s="147">
        <f t="shared" si="16"/>
        <v>196</v>
      </c>
      <c r="K38" s="147">
        <f t="shared" si="17"/>
        <v>196</v>
      </c>
      <c r="L38" s="147"/>
      <c r="M38" s="147"/>
      <c r="N38" s="122"/>
      <c r="O38" s="122"/>
      <c r="P38" s="122"/>
      <c r="Q38" s="122"/>
      <c r="R38" s="122"/>
      <c r="S38" s="71" t="s">
        <v>750</v>
      </c>
      <c r="T38" s="71" t="s">
        <v>751</v>
      </c>
      <c r="U38" s="147"/>
      <c r="V38" s="398"/>
      <c r="W38" s="91" t="str">
        <f t="shared" si="1"/>
        <v>N</v>
      </c>
      <c r="X38" s="91"/>
      <c r="Y38" s="91"/>
    </row>
    <row r="39" s="61" customFormat="1" ht="21.95" customHeight="1" spans="1:25">
      <c r="A39" s="147"/>
      <c r="B39" s="74" t="s">
        <v>755</v>
      </c>
      <c r="C39" s="71" t="s">
        <v>52</v>
      </c>
      <c r="D39" s="71" t="s">
        <v>384</v>
      </c>
      <c r="E39" s="147">
        <v>5</v>
      </c>
      <c r="F39" s="147">
        <v>2</v>
      </c>
      <c r="G39" s="147">
        <v>2</v>
      </c>
      <c r="H39" s="147">
        <v>2018</v>
      </c>
      <c r="I39" s="147">
        <v>2018</v>
      </c>
      <c r="J39" s="147">
        <f t="shared" si="16"/>
        <v>20</v>
      </c>
      <c r="K39" s="147">
        <f t="shared" si="17"/>
        <v>20</v>
      </c>
      <c r="L39" s="147"/>
      <c r="M39" s="147"/>
      <c r="N39" s="122"/>
      <c r="O39" s="122"/>
      <c r="P39" s="122"/>
      <c r="Q39" s="122"/>
      <c r="R39" s="122"/>
      <c r="S39" s="71" t="s">
        <v>756</v>
      </c>
      <c r="T39" s="71" t="s">
        <v>757</v>
      </c>
      <c r="U39" s="147"/>
      <c r="V39" s="398"/>
      <c r="W39" s="91" t="str">
        <f t="shared" si="1"/>
        <v>N</v>
      </c>
      <c r="X39" s="91"/>
      <c r="Y39" s="91"/>
    </row>
    <row r="40" s="61" customFormat="1" ht="21.95" customHeight="1" spans="1:25">
      <c r="A40" s="147"/>
      <c r="B40" s="74" t="s">
        <v>758</v>
      </c>
      <c r="C40" s="71" t="s">
        <v>52</v>
      </c>
      <c r="D40" s="71" t="s">
        <v>384</v>
      </c>
      <c r="E40" s="147">
        <v>6</v>
      </c>
      <c r="F40" s="147">
        <v>6</v>
      </c>
      <c r="G40" s="147">
        <v>10</v>
      </c>
      <c r="H40" s="147">
        <v>2018</v>
      </c>
      <c r="I40" s="147">
        <v>2018</v>
      </c>
      <c r="J40" s="147">
        <f t="shared" si="16"/>
        <v>24</v>
      </c>
      <c r="K40" s="147">
        <f t="shared" si="17"/>
        <v>24</v>
      </c>
      <c r="L40" s="147"/>
      <c r="M40" s="147"/>
      <c r="N40" s="122"/>
      <c r="O40" s="122"/>
      <c r="P40" s="122"/>
      <c r="Q40" s="122"/>
      <c r="R40" s="122"/>
      <c r="S40" s="71" t="s">
        <v>759</v>
      </c>
      <c r="T40" s="71" t="s">
        <v>760</v>
      </c>
      <c r="U40" s="147"/>
      <c r="V40" s="398"/>
      <c r="W40" s="91" t="str">
        <f t="shared" si="1"/>
        <v>N</v>
      </c>
      <c r="X40" s="91"/>
      <c r="Y40" s="91"/>
    </row>
    <row r="41" s="61" customFormat="1" ht="21.95" customHeight="1" spans="1:25">
      <c r="A41" s="147"/>
      <c r="B41" s="74" t="s">
        <v>767</v>
      </c>
      <c r="C41" s="71" t="s">
        <v>52</v>
      </c>
      <c r="D41" s="71" t="s">
        <v>384</v>
      </c>
      <c r="E41" s="147">
        <v>4</v>
      </c>
      <c r="F41" s="147">
        <v>3</v>
      </c>
      <c r="G41" s="147">
        <v>7</v>
      </c>
      <c r="H41" s="147">
        <v>2018</v>
      </c>
      <c r="I41" s="147">
        <v>2018</v>
      </c>
      <c r="J41" s="147">
        <f t="shared" si="16"/>
        <v>16</v>
      </c>
      <c r="K41" s="147">
        <f t="shared" si="17"/>
        <v>16</v>
      </c>
      <c r="L41" s="147"/>
      <c r="M41" s="147"/>
      <c r="N41" s="122"/>
      <c r="O41" s="122"/>
      <c r="P41" s="122"/>
      <c r="Q41" s="122"/>
      <c r="R41" s="122"/>
      <c r="S41" s="71" t="s">
        <v>768</v>
      </c>
      <c r="T41" s="71" t="s">
        <v>769</v>
      </c>
      <c r="U41" s="147"/>
      <c r="V41" s="398"/>
      <c r="W41" s="91" t="str">
        <f t="shared" si="1"/>
        <v>N</v>
      </c>
      <c r="X41" s="91"/>
      <c r="Y41" s="91"/>
    </row>
    <row r="42" s="61" customFormat="1" ht="21.95" customHeight="1" spans="1:25">
      <c r="A42" s="147"/>
      <c r="B42" s="74" t="s">
        <v>770</v>
      </c>
      <c r="C42" s="71" t="s">
        <v>52</v>
      </c>
      <c r="D42" s="71" t="s">
        <v>384</v>
      </c>
      <c r="E42" s="147">
        <v>10</v>
      </c>
      <c r="F42" s="147">
        <v>7</v>
      </c>
      <c r="G42" s="147">
        <v>20</v>
      </c>
      <c r="H42" s="147">
        <v>2018</v>
      </c>
      <c r="I42" s="147">
        <v>2018</v>
      </c>
      <c r="J42" s="147">
        <f t="shared" si="16"/>
        <v>40</v>
      </c>
      <c r="K42" s="147">
        <f t="shared" si="17"/>
        <v>40</v>
      </c>
      <c r="L42" s="147"/>
      <c r="M42" s="147"/>
      <c r="N42" s="122"/>
      <c r="O42" s="122"/>
      <c r="P42" s="122"/>
      <c r="Q42" s="122"/>
      <c r="R42" s="122"/>
      <c r="S42" s="71" t="s">
        <v>771</v>
      </c>
      <c r="T42" s="71" t="s">
        <v>772</v>
      </c>
      <c r="U42" s="147"/>
      <c r="V42" s="398"/>
      <c r="W42" s="91" t="str">
        <f t="shared" si="1"/>
        <v>N</v>
      </c>
      <c r="X42" s="91"/>
      <c r="Y42" s="91"/>
    </row>
    <row r="43" s="61" customFormat="1" ht="24.75" spans="1:25">
      <c r="A43" s="147">
        <v>7</v>
      </c>
      <c r="B43" s="74" t="s">
        <v>778</v>
      </c>
      <c r="C43" s="71" t="s">
        <v>52</v>
      </c>
      <c r="D43" s="71" t="s">
        <v>384</v>
      </c>
      <c r="E43" s="147">
        <f>E44+E45+E46+E47+E48+E49+E50+E51</f>
        <v>124</v>
      </c>
      <c r="F43" s="147">
        <v>0</v>
      </c>
      <c r="G43" s="147">
        <v>0</v>
      </c>
      <c r="H43" s="147">
        <v>2018</v>
      </c>
      <c r="I43" s="147">
        <v>2018</v>
      </c>
      <c r="J43" s="147">
        <f>SUM(J44:J51)</f>
        <v>223.2</v>
      </c>
      <c r="K43" s="147">
        <f t="shared" ref="K43:R43" si="18">SUM(K44:K51)</f>
        <v>0</v>
      </c>
      <c r="L43" s="147">
        <f t="shared" si="18"/>
        <v>223.2</v>
      </c>
      <c r="M43" s="147">
        <f t="shared" si="18"/>
        <v>0</v>
      </c>
      <c r="N43" s="147">
        <f t="shared" si="18"/>
        <v>0</v>
      </c>
      <c r="O43" s="147">
        <f t="shared" si="18"/>
        <v>0</v>
      </c>
      <c r="P43" s="147">
        <f t="shared" si="18"/>
        <v>223.2</v>
      </c>
      <c r="Q43" s="147">
        <f t="shared" si="18"/>
        <v>0</v>
      </c>
      <c r="R43" s="147">
        <f t="shared" si="18"/>
        <v>0</v>
      </c>
      <c r="S43" s="71" t="s">
        <v>743</v>
      </c>
      <c r="T43" s="71" t="s">
        <v>744</v>
      </c>
      <c r="U43" s="71" t="s">
        <v>273</v>
      </c>
      <c r="V43" s="74" t="s">
        <v>774</v>
      </c>
      <c r="W43" s="91" t="str">
        <f t="shared" si="1"/>
        <v>Y</v>
      </c>
      <c r="X43" s="91"/>
      <c r="Y43" s="91"/>
    </row>
    <row r="44" s="61" customFormat="1" ht="21.95" customHeight="1" spans="1:25">
      <c r="A44" s="147"/>
      <c r="B44" s="666" t="s">
        <v>746</v>
      </c>
      <c r="C44" s="667" t="s">
        <v>52</v>
      </c>
      <c r="D44" s="667" t="s">
        <v>384</v>
      </c>
      <c r="E44" s="147">
        <v>34</v>
      </c>
      <c r="F44" s="147" t="s">
        <v>320</v>
      </c>
      <c r="G44" s="147" t="s">
        <v>320</v>
      </c>
      <c r="H44" s="147">
        <v>2018</v>
      </c>
      <c r="I44" s="147">
        <v>2018</v>
      </c>
      <c r="J44" s="147">
        <f t="shared" ref="J44:J51" si="19">E44*1.8</f>
        <v>61.2</v>
      </c>
      <c r="K44" s="91"/>
      <c r="L44" s="147">
        <f>E44*1.8</f>
        <v>61.2</v>
      </c>
      <c r="M44" s="147"/>
      <c r="N44" s="122"/>
      <c r="O44" s="122"/>
      <c r="P44" s="122">
        <f>J44</f>
        <v>61.2</v>
      </c>
      <c r="Q44" s="122"/>
      <c r="R44" s="122"/>
      <c r="S44" s="71" t="s">
        <v>747</v>
      </c>
      <c r="T44" s="71" t="s">
        <v>748</v>
      </c>
      <c r="U44" s="147"/>
      <c r="V44" s="398"/>
      <c r="W44" s="91" t="str">
        <f t="shared" si="1"/>
        <v>Y</v>
      </c>
      <c r="X44" s="91"/>
      <c r="Y44" s="91"/>
    </row>
    <row r="45" s="61" customFormat="1" ht="21.95" customHeight="1" spans="1:25">
      <c r="A45" s="147"/>
      <c r="B45" s="666" t="s">
        <v>752</v>
      </c>
      <c r="C45" s="667" t="s">
        <v>52</v>
      </c>
      <c r="D45" s="667" t="s">
        <v>384</v>
      </c>
      <c r="E45" s="147">
        <v>30</v>
      </c>
      <c r="F45" s="147" t="s">
        <v>320</v>
      </c>
      <c r="G45" s="147" t="s">
        <v>320</v>
      </c>
      <c r="H45" s="147">
        <v>2018</v>
      </c>
      <c r="I45" s="147">
        <v>2018</v>
      </c>
      <c r="J45" s="147">
        <f t="shared" si="19"/>
        <v>54</v>
      </c>
      <c r="K45" s="91"/>
      <c r="L45" s="147">
        <f t="shared" ref="L45:L51" si="20">E45*1.8</f>
        <v>54</v>
      </c>
      <c r="M45" s="147"/>
      <c r="N45" s="122"/>
      <c r="O45" s="122"/>
      <c r="P45" s="122">
        <f t="shared" ref="P45:P51" si="21">J45</f>
        <v>54</v>
      </c>
      <c r="Q45" s="122"/>
      <c r="R45" s="122"/>
      <c r="S45" s="71" t="s">
        <v>753</v>
      </c>
      <c r="T45" s="71" t="s">
        <v>754</v>
      </c>
      <c r="U45" s="147"/>
      <c r="V45" s="398"/>
      <c r="W45" s="91" t="str">
        <f t="shared" si="1"/>
        <v>Y</v>
      </c>
      <c r="X45" s="91"/>
      <c r="Y45" s="91"/>
    </row>
    <row r="46" s="61" customFormat="1" ht="21.95" customHeight="1" spans="1:25">
      <c r="A46" s="147"/>
      <c r="B46" s="666" t="s">
        <v>764</v>
      </c>
      <c r="C46" s="667" t="s">
        <v>52</v>
      </c>
      <c r="D46" s="667" t="s">
        <v>384</v>
      </c>
      <c r="E46" s="147">
        <v>1</v>
      </c>
      <c r="F46" s="147" t="s">
        <v>320</v>
      </c>
      <c r="G46" s="147" t="s">
        <v>320</v>
      </c>
      <c r="H46" s="147">
        <v>2018</v>
      </c>
      <c r="I46" s="147">
        <v>2018</v>
      </c>
      <c r="J46" s="147">
        <f t="shared" si="19"/>
        <v>1.8</v>
      </c>
      <c r="K46" s="91"/>
      <c r="L46" s="147">
        <f t="shared" si="20"/>
        <v>1.8</v>
      </c>
      <c r="M46" s="147"/>
      <c r="N46" s="122"/>
      <c r="O46" s="122"/>
      <c r="P46" s="122">
        <f t="shared" si="21"/>
        <v>1.8</v>
      </c>
      <c r="Q46" s="122"/>
      <c r="R46" s="122"/>
      <c r="S46" s="71" t="s">
        <v>765</v>
      </c>
      <c r="T46" s="71" t="s">
        <v>766</v>
      </c>
      <c r="U46" s="147"/>
      <c r="V46" s="398"/>
      <c r="W46" s="91" t="str">
        <f t="shared" si="1"/>
        <v>Y</v>
      </c>
      <c r="X46" s="91"/>
      <c r="Y46" s="91"/>
    </row>
    <row r="47" s="61" customFormat="1" ht="21.95" customHeight="1" spans="1:25">
      <c r="A47" s="147"/>
      <c r="B47" s="666" t="s">
        <v>749</v>
      </c>
      <c r="C47" s="667" t="s">
        <v>52</v>
      </c>
      <c r="D47" s="667" t="s">
        <v>384</v>
      </c>
      <c r="E47" s="147">
        <v>5</v>
      </c>
      <c r="F47" s="147" t="s">
        <v>320</v>
      </c>
      <c r="G47" s="147" t="s">
        <v>320</v>
      </c>
      <c r="H47" s="147">
        <v>2018</v>
      </c>
      <c r="I47" s="147">
        <v>2018</v>
      </c>
      <c r="J47" s="147">
        <f t="shared" si="19"/>
        <v>9</v>
      </c>
      <c r="K47" s="91"/>
      <c r="L47" s="147">
        <f t="shared" si="20"/>
        <v>9</v>
      </c>
      <c r="M47" s="147"/>
      <c r="N47" s="122"/>
      <c r="O47" s="122"/>
      <c r="P47" s="122">
        <f t="shared" si="21"/>
        <v>9</v>
      </c>
      <c r="Q47" s="122"/>
      <c r="R47" s="122"/>
      <c r="S47" s="71" t="s">
        <v>750</v>
      </c>
      <c r="T47" s="71" t="s">
        <v>751</v>
      </c>
      <c r="U47" s="147"/>
      <c r="V47" s="398"/>
      <c r="W47" s="91" t="str">
        <f t="shared" si="1"/>
        <v>Y</v>
      </c>
      <c r="X47" s="91"/>
      <c r="Y47" s="91"/>
    </row>
    <row r="48" s="61" customFormat="1" ht="21.95" customHeight="1" spans="1:25">
      <c r="A48" s="147"/>
      <c r="B48" s="666" t="s">
        <v>755</v>
      </c>
      <c r="C48" s="667" t="s">
        <v>52</v>
      </c>
      <c r="D48" s="667" t="s">
        <v>384</v>
      </c>
      <c r="E48" s="147">
        <v>25</v>
      </c>
      <c r="F48" s="147" t="s">
        <v>320</v>
      </c>
      <c r="G48" s="147" t="s">
        <v>320</v>
      </c>
      <c r="H48" s="147">
        <v>2018</v>
      </c>
      <c r="I48" s="147">
        <v>2018</v>
      </c>
      <c r="J48" s="147">
        <f t="shared" si="19"/>
        <v>45</v>
      </c>
      <c r="K48" s="91"/>
      <c r="L48" s="147">
        <f t="shared" si="20"/>
        <v>45</v>
      </c>
      <c r="M48" s="147"/>
      <c r="N48" s="122"/>
      <c r="O48" s="122"/>
      <c r="P48" s="122">
        <f t="shared" si="21"/>
        <v>45</v>
      </c>
      <c r="Q48" s="122"/>
      <c r="R48" s="122"/>
      <c r="S48" s="71" t="s">
        <v>756</v>
      </c>
      <c r="T48" s="71" t="s">
        <v>757</v>
      </c>
      <c r="U48" s="147"/>
      <c r="V48" s="398"/>
      <c r="W48" s="91" t="str">
        <f t="shared" si="1"/>
        <v>Y</v>
      </c>
      <c r="X48" s="91"/>
      <c r="Y48" s="91"/>
    </row>
    <row r="49" s="61" customFormat="1" ht="21.95" customHeight="1" spans="1:25">
      <c r="A49" s="147"/>
      <c r="B49" s="666" t="s">
        <v>758</v>
      </c>
      <c r="C49" s="667" t="s">
        <v>52</v>
      </c>
      <c r="D49" s="667" t="s">
        <v>384</v>
      </c>
      <c r="E49" s="147">
        <v>13</v>
      </c>
      <c r="F49" s="147" t="s">
        <v>320</v>
      </c>
      <c r="G49" s="147" t="s">
        <v>320</v>
      </c>
      <c r="H49" s="147">
        <v>2018</v>
      </c>
      <c r="I49" s="147">
        <v>2018</v>
      </c>
      <c r="J49" s="147">
        <f t="shared" si="19"/>
        <v>23.4</v>
      </c>
      <c r="K49" s="91"/>
      <c r="L49" s="147">
        <f t="shared" si="20"/>
        <v>23.4</v>
      </c>
      <c r="M49" s="147"/>
      <c r="N49" s="122"/>
      <c r="O49" s="122"/>
      <c r="P49" s="122">
        <f t="shared" si="21"/>
        <v>23.4</v>
      </c>
      <c r="Q49" s="122"/>
      <c r="R49" s="122"/>
      <c r="S49" s="71" t="s">
        <v>759</v>
      </c>
      <c r="T49" s="71" t="s">
        <v>760</v>
      </c>
      <c r="U49" s="147"/>
      <c r="V49" s="398"/>
      <c r="W49" s="91" t="str">
        <f t="shared" si="1"/>
        <v>Y</v>
      </c>
      <c r="X49" s="91"/>
      <c r="Y49" s="91"/>
    </row>
    <row r="50" s="61" customFormat="1" ht="21.95" customHeight="1" spans="1:25">
      <c r="A50" s="147"/>
      <c r="B50" s="666" t="s">
        <v>767</v>
      </c>
      <c r="C50" s="667" t="s">
        <v>52</v>
      </c>
      <c r="D50" s="667" t="s">
        <v>384</v>
      </c>
      <c r="E50" s="147">
        <v>4</v>
      </c>
      <c r="F50" s="147" t="s">
        <v>320</v>
      </c>
      <c r="G50" s="147" t="s">
        <v>320</v>
      </c>
      <c r="H50" s="147">
        <v>2018</v>
      </c>
      <c r="I50" s="147">
        <v>2018</v>
      </c>
      <c r="J50" s="147">
        <f t="shared" si="19"/>
        <v>7.2</v>
      </c>
      <c r="K50" s="91"/>
      <c r="L50" s="147">
        <f t="shared" si="20"/>
        <v>7.2</v>
      </c>
      <c r="M50" s="147"/>
      <c r="N50" s="122"/>
      <c r="O50" s="122"/>
      <c r="P50" s="122">
        <f t="shared" si="21"/>
        <v>7.2</v>
      </c>
      <c r="Q50" s="122"/>
      <c r="R50" s="122"/>
      <c r="S50" s="71" t="s">
        <v>768</v>
      </c>
      <c r="T50" s="71" t="s">
        <v>769</v>
      </c>
      <c r="U50" s="147"/>
      <c r="V50" s="398"/>
      <c r="W50" s="91" t="str">
        <f t="shared" si="1"/>
        <v>Y</v>
      </c>
      <c r="X50" s="91"/>
      <c r="Y50" s="91"/>
    </row>
    <row r="51" s="61" customFormat="1" ht="21.95" customHeight="1" spans="1:25">
      <c r="A51" s="147"/>
      <c r="B51" s="666" t="s">
        <v>770</v>
      </c>
      <c r="C51" s="667" t="s">
        <v>52</v>
      </c>
      <c r="D51" s="667" t="s">
        <v>384</v>
      </c>
      <c r="E51" s="147">
        <v>12</v>
      </c>
      <c r="F51" s="147" t="s">
        <v>320</v>
      </c>
      <c r="G51" s="147" t="s">
        <v>320</v>
      </c>
      <c r="H51" s="147">
        <v>2018</v>
      </c>
      <c r="I51" s="147">
        <v>2018</v>
      </c>
      <c r="J51" s="147">
        <f t="shared" si="19"/>
        <v>21.6</v>
      </c>
      <c r="K51" s="91"/>
      <c r="L51" s="147">
        <f t="shared" si="20"/>
        <v>21.6</v>
      </c>
      <c r="M51" s="147"/>
      <c r="N51" s="147"/>
      <c r="O51" s="147"/>
      <c r="P51" s="122">
        <f t="shared" si="21"/>
        <v>21.6</v>
      </c>
      <c r="Q51" s="398"/>
      <c r="R51" s="91"/>
      <c r="S51" s="71" t="s">
        <v>771</v>
      </c>
      <c r="T51" s="71" t="s">
        <v>772</v>
      </c>
      <c r="U51" s="147"/>
      <c r="V51" s="398"/>
      <c r="W51" s="91" t="str">
        <f t="shared" si="1"/>
        <v>Y</v>
      </c>
      <c r="X51" s="91"/>
      <c r="Y51" s="91"/>
    </row>
    <row r="52" s="61" customFormat="1" ht="21.95" customHeight="1" spans="1:25">
      <c r="A52" s="147">
        <v>8</v>
      </c>
      <c r="B52" s="74" t="s">
        <v>779</v>
      </c>
      <c r="C52" s="147" t="s">
        <v>320</v>
      </c>
      <c r="D52" s="147" t="s">
        <v>320</v>
      </c>
      <c r="E52" s="147">
        <f t="shared" ref="E52:G52" si="22">E56+E65+E74+E83</f>
        <v>247</v>
      </c>
      <c r="F52" s="147">
        <f t="shared" si="22"/>
        <v>228</v>
      </c>
      <c r="G52" s="147">
        <f t="shared" si="22"/>
        <v>236</v>
      </c>
      <c r="H52" s="147">
        <v>2018</v>
      </c>
      <c r="I52" s="147">
        <v>2020</v>
      </c>
      <c r="J52" s="147">
        <f t="shared" ref="J52:Q52" si="23">J56+J65+J74+J83</f>
        <v>316.425</v>
      </c>
      <c r="K52" s="147">
        <f t="shared" si="23"/>
        <v>105.475</v>
      </c>
      <c r="L52" s="147">
        <f t="shared" si="23"/>
        <v>105.475</v>
      </c>
      <c r="M52" s="147">
        <f t="shared" si="23"/>
        <v>105.475</v>
      </c>
      <c r="N52" s="147">
        <f t="shared" si="23"/>
        <v>136.875</v>
      </c>
      <c r="O52" s="147">
        <f t="shared" si="23"/>
        <v>97.2</v>
      </c>
      <c r="P52" s="147">
        <f t="shared" si="23"/>
        <v>82.35</v>
      </c>
      <c r="Q52" s="147">
        <f t="shared" si="23"/>
        <v>0</v>
      </c>
      <c r="R52" s="91"/>
      <c r="S52" s="147"/>
      <c r="T52" s="147"/>
      <c r="U52" s="147" t="s">
        <v>320</v>
      </c>
      <c r="V52" s="74" t="s">
        <v>41</v>
      </c>
      <c r="W52" s="91" t="str">
        <f t="shared" si="1"/>
        <v>Y</v>
      </c>
      <c r="X52" s="91"/>
      <c r="Y52" s="91"/>
    </row>
    <row r="53" s="61" customFormat="1" ht="21.95" customHeight="1" spans="1:25">
      <c r="A53" s="147">
        <v>9</v>
      </c>
      <c r="B53" s="74" t="s">
        <v>780</v>
      </c>
      <c r="C53" s="147" t="s">
        <v>320</v>
      </c>
      <c r="D53" s="71" t="s">
        <v>147</v>
      </c>
      <c r="E53" s="147">
        <v>0</v>
      </c>
      <c r="F53" s="147">
        <v>0</v>
      </c>
      <c r="G53" s="147">
        <v>0</v>
      </c>
      <c r="H53" s="147"/>
      <c r="I53" s="147"/>
      <c r="J53" s="147" t="s">
        <v>320</v>
      </c>
      <c r="K53" s="147" t="s">
        <v>320</v>
      </c>
      <c r="L53" s="147" t="s">
        <v>320</v>
      </c>
      <c r="M53" s="147" t="s">
        <v>320</v>
      </c>
      <c r="N53" s="122"/>
      <c r="O53" s="122"/>
      <c r="P53" s="122"/>
      <c r="Q53" s="122"/>
      <c r="R53" s="122"/>
      <c r="S53" s="71" t="s">
        <v>781</v>
      </c>
      <c r="T53" s="71" t="s">
        <v>782</v>
      </c>
      <c r="U53" s="71" t="s">
        <v>294</v>
      </c>
      <c r="V53" s="74" t="s">
        <v>41</v>
      </c>
      <c r="W53" s="91" t="str">
        <f t="shared" si="1"/>
        <v>N</v>
      </c>
      <c r="X53" s="91"/>
      <c r="Y53" s="91"/>
    </row>
    <row r="54" s="61" customFormat="1" ht="21.95" customHeight="1" spans="1:25">
      <c r="A54" s="147"/>
      <c r="B54" s="74" t="s">
        <v>783</v>
      </c>
      <c r="C54" s="147" t="s">
        <v>320</v>
      </c>
      <c r="D54" s="71" t="s">
        <v>147</v>
      </c>
      <c r="E54" s="147">
        <v>0</v>
      </c>
      <c r="F54" s="147">
        <v>0</v>
      </c>
      <c r="G54" s="147">
        <v>0</v>
      </c>
      <c r="H54" s="147"/>
      <c r="I54" s="147"/>
      <c r="J54" s="147" t="s">
        <v>320</v>
      </c>
      <c r="K54" s="147" t="s">
        <v>320</v>
      </c>
      <c r="L54" s="147" t="s">
        <v>320</v>
      </c>
      <c r="M54" s="147" t="s">
        <v>320</v>
      </c>
      <c r="N54" s="122"/>
      <c r="O54" s="122"/>
      <c r="P54" s="122"/>
      <c r="Q54" s="122"/>
      <c r="R54" s="122"/>
      <c r="S54" s="147" t="s">
        <v>320</v>
      </c>
      <c r="T54" s="147" t="s">
        <v>320</v>
      </c>
      <c r="U54" s="147"/>
      <c r="V54" s="74" t="s">
        <v>41</v>
      </c>
      <c r="W54" s="91" t="str">
        <f t="shared" si="1"/>
        <v>N</v>
      </c>
      <c r="X54" s="91"/>
      <c r="Y54" s="91"/>
    </row>
    <row r="55" s="61" customFormat="1" ht="21.95" customHeight="1" spans="1:25">
      <c r="A55" s="147"/>
      <c r="B55" s="74" t="s">
        <v>784</v>
      </c>
      <c r="C55" s="147" t="s">
        <v>320</v>
      </c>
      <c r="D55" s="71" t="s">
        <v>147</v>
      </c>
      <c r="E55" s="147">
        <v>0</v>
      </c>
      <c r="F55" s="147">
        <v>0</v>
      </c>
      <c r="G55" s="147">
        <v>0</v>
      </c>
      <c r="H55" s="147"/>
      <c r="I55" s="147"/>
      <c r="J55" s="147" t="s">
        <v>320</v>
      </c>
      <c r="K55" s="147" t="s">
        <v>320</v>
      </c>
      <c r="L55" s="147" t="s">
        <v>320</v>
      </c>
      <c r="M55" s="147" t="s">
        <v>320</v>
      </c>
      <c r="N55" s="122"/>
      <c r="O55" s="122"/>
      <c r="P55" s="122"/>
      <c r="Q55" s="122"/>
      <c r="R55" s="122"/>
      <c r="S55" s="147" t="s">
        <v>320</v>
      </c>
      <c r="T55" s="147" t="s">
        <v>320</v>
      </c>
      <c r="U55" s="147"/>
      <c r="V55" s="74" t="s">
        <v>41</v>
      </c>
      <c r="W55" s="91" t="str">
        <f t="shared" si="1"/>
        <v>N</v>
      </c>
      <c r="X55" s="91"/>
      <c r="Y55" s="91"/>
    </row>
    <row r="56" s="61" customFormat="1" ht="24.75" spans="1:25">
      <c r="A56" s="147">
        <v>10</v>
      </c>
      <c r="B56" s="74" t="s">
        <v>319</v>
      </c>
      <c r="C56" s="147" t="s">
        <v>320</v>
      </c>
      <c r="D56" s="71" t="s">
        <v>147</v>
      </c>
      <c r="E56" s="147">
        <f t="shared" ref="E56:G56" si="24">E57+E58+E59+E60+E61+E62+E63+E64</f>
        <v>57</v>
      </c>
      <c r="F56" s="147">
        <f t="shared" si="24"/>
        <v>41</v>
      </c>
      <c r="G56" s="147">
        <f t="shared" si="24"/>
        <v>46</v>
      </c>
      <c r="H56" s="147">
        <v>2018</v>
      </c>
      <c r="I56" s="147">
        <v>2020</v>
      </c>
      <c r="J56" s="147">
        <f t="shared" ref="J56:M56" si="25">J57+J58+J59+J60+J61+J62+J63+J64</f>
        <v>21.375</v>
      </c>
      <c r="K56" s="147">
        <f t="shared" si="25"/>
        <v>7.125</v>
      </c>
      <c r="L56" s="147">
        <f t="shared" si="25"/>
        <v>7.125</v>
      </c>
      <c r="M56" s="147">
        <f t="shared" si="25"/>
        <v>7.125</v>
      </c>
      <c r="N56" s="122"/>
      <c r="O56" s="122"/>
      <c r="P56" s="122">
        <v>21.375</v>
      </c>
      <c r="Q56" s="122"/>
      <c r="R56" s="122"/>
      <c r="S56" s="71" t="s">
        <v>781</v>
      </c>
      <c r="T56" s="71" t="s">
        <v>782</v>
      </c>
      <c r="U56" s="71" t="s">
        <v>294</v>
      </c>
      <c r="V56" s="74" t="s">
        <v>785</v>
      </c>
      <c r="W56" s="91" t="str">
        <f t="shared" si="1"/>
        <v>Y</v>
      </c>
      <c r="X56" s="91"/>
      <c r="Y56" s="91"/>
    </row>
    <row r="57" s="61" customFormat="1" ht="21.95" customHeight="1" spans="1:25">
      <c r="A57" s="147"/>
      <c r="B57" s="74" t="s">
        <v>746</v>
      </c>
      <c r="C57" s="147"/>
      <c r="D57" s="147"/>
      <c r="E57" s="147">
        <v>6</v>
      </c>
      <c r="F57" s="147">
        <v>1</v>
      </c>
      <c r="G57" s="147">
        <v>1</v>
      </c>
      <c r="H57" s="147">
        <v>2018</v>
      </c>
      <c r="I57" s="147">
        <v>2020</v>
      </c>
      <c r="J57" s="147">
        <f t="shared" ref="J57:J64" si="26">K57+L57+M57</f>
        <v>2.25</v>
      </c>
      <c r="K57" s="147">
        <v>0.75</v>
      </c>
      <c r="L57" s="147">
        <v>0.75</v>
      </c>
      <c r="M57" s="147">
        <v>0.75</v>
      </c>
      <c r="N57" s="147"/>
      <c r="O57" s="147"/>
      <c r="P57" s="147"/>
      <c r="Q57" s="398"/>
      <c r="R57" s="91"/>
      <c r="S57" s="71" t="s">
        <v>747</v>
      </c>
      <c r="T57" s="71" t="s">
        <v>786</v>
      </c>
      <c r="U57" s="147"/>
      <c r="V57" s="398"/>
      <c r="W57" s="91" t="str">
        <f t="shared" si="1"/>
        <v>N</v>
      </c>
      <c r="X57" s="91"/>
      <c r="Y57" s="91"/>
    </row>
    <row r="58" s="61" customFormat="1" ht="21.95" customHeight="1" spans="1:25">
      <c r="A58" s="147"/>
      <c r="B58" s="74" t="s">
        <v>752</v>
      </c>
      <c r="C58" s="147"/>
      <c r="D58" s="147"/>
      <c r="E58" s="147">
        <v>11</v>
      </c>
      <c r="F58" s="147">
        <v>6</v>
      </c>
      <c r="G58" s="147">
        <v>11</v>
      </c>
      <c r="H58" s="147">
        <v>2018</v>
      </c>
      <c r="I58" s="147">
        <v>2020</v>
      </c>
      <c r="J58" s="147">
        <f t="shared" si="26"/>
        <v>4.125</v>
      </c>
      <c r="K58" s="147">
        <v>1.375</v>
      </c>
      <c r="L58" s="147">
        <v>1.375</v>
      </c>
      <c r="M58" s="147">
        <v>1.375</v>
      </c>
      <c r="N58" s="147"/>
      <c r="O58" s="147"/>
      <c r="P58" s="147"/>
      <c r="Q58" s="398"/>
      <c r="R58" s="91"/>
      <c r="S58" s="71" t="s">
        <v>753</v>
      </c>
      <c r="T58" s="71" t="s">
        <v>754</v>
      </c>
      <c r="U58" s="147"/>
      <c r="V58" s="398"/>
      <c r="W58" s="91" t="str">
        <f t="shared" si="1"/>
        <v>N</v>
      </c>
      <c r="X58" s="91"/>
      <c r="Y58" s="91"/>
    </row>
    <row r="59" s="61" customFormat="1" ht="21.95" customHeight="1" spans="1:25">
      <c r="A59" s="147"/>
      <c r="B59" s="74" t="s">
        <v>764</v>
      </c>
      <c r="C59" s="147"/>
      <c r="D59" s="147"/>
      <c r="E59" s="147">
        <v>4</v>
      </c>
      <c r="F59" s="147">
        <v>4</v>
      </c>
      <c r="G59" s="147">
        <v>4</v>
      </c>
      <c r="H59" s="147">
        <v>2018</v>
      </c>
      <c r="I59" s="147">
        <v>2020</v>
      </c>
      <c r="J59" s="147">
        <f t="shared" si="26"/>
        <v>1.5</v>
      </c>
      <c r="K59" s="147">
        <v>0.5</v>
      </c>
      <c r="L59" s="147">
        <v>0.5</v>
      </c>
      <c r="M59" s="147">
        <v>0.5</v>
      </c>
      <c r="N59" s="147"/>
      <c r="O59" s="147"/>
      <c r="P59" s="147"/>
      <c r="Q59" s="398"/>
      <c r="R59" s="91"/>
      <c r="S59" s="71" t="s">
        <v>765</v>
      </c>
      <c r="T59" s="71" t="s">
        <v>766</v>
      </c>
      <c r="U59" s="147"/>
      <c r="V59" s="398"/>
      <c r="W59" s="91" t="str">
        <f t="shared" si="1"/>
        <v>N</v>
      </c>
      <c r="X59" s="91"/>
      <c r="Y59" s="91"/>
    </row>
    <row r="60" s="61" customFormat="1" ht="21.95" customHeight="1" spans="1:25">
      <c r="A60" s="147"/>
      <c r="B60" s="74" t="s">
        <v>749</v>
      </c>
      <c r="C60" s="147"/>
      <c r="D60" s="147"/>
      <c r="E60" s="147">
        <v>7</v>
      </c>
      <c r="F60" s="147">
        <v>7</v>
      </c>
      <c r="G60" s="147">
        <v>7</v>
      </c>
      <c r="H60" s="147">
        <v>2018</v>
      </c>
      <c r="I60" s="147">
        <v>2020</v>
      </c>
      <c r="J60" s="147">
        <f t="shared" si="26"/>
        <v>2.625</v>
      </c>
      <c r="K60" s="147">
        <v>0.875</v>
      </c>
      <c r="L60" s="147">
        <v>0.875</v>
      </c>
      <c r="M60" s="147">
        <v>0.875</v>
      </c>
      <c r="N60" s="122"/>
      <c r="O60" s="122"/>
      <c r="P60" s="122"/>
      <c r="Q60" s="122"/>
      <c r="R60" s="122"/>
      <c r="S60" s="71" t="s">
        <v>750</v>
      </c>
      <c r="T60" s="71" t="s">
        <v>751</v>
      </c>
      <c r="U60" s="147"/>
      <c r="V60" s="398"/>
      <c r="W60" s="91" t="str">
        <f t="shared" si="1"/>
        <v>N</v>
      </c>
      <c r="X60" s="91"/>
      <c r="Y60" s="91"/>
    </row>
    <row r="61" s="61" customFormat="1" ht="21.95" customHeight="1" spans="1:25">
      <c r="A61" s="147"/>
      <c r="B61" s="74" t="s">
        <v>755</v>
      </c>
      <c r="C61" s="147"/>
      <c r="D61" s="147"/>
      <c r="E61" s="147">
        <v>11</v>
      </c>
      <c r="F61" s="147">
        <v>11</v>
      </c>
      <c r="G61" s="147">
        <v>11</v>
      </c>
      <c r="H61" s="147">
        <v>2018</v>
      </c>
      <c r="I61" s="147">
        <v>2020</v>
      </c>
      <c r="J61" s="147">
        <f t="shared" si="26"/>
        <v>4.125</v>
      </c>
      <c r="K61" s="147">
        <v>1.375</v>
      </c>
      <c r="L61" s="147">
        <v>1.375</v>
      </c>
      <c r="M61" s="147">
        <v>1.375</v>
      </c>
      <c r="N61" s="122"/>
      <c r="O61" s="122"/>
      <c r="P61" s="122"/>
      <c r="Q61" s="122"/>
      <c r="R61" s="122"/>
      <c r="S61" s="71" t="s">
        <v>756</v>
      </c>
      <c r="T61" s="71" t="s">
        <v>757</v>
      </c>
      <c r="U61" s="147"/>
      <c r="V61" s="398"/>
      <c r="W61" s="91" t="str">
        <f t="shared" si="1"/>
        <v>N</v>
      </c>
      <c r="X61" s="91"/>
      <c r="Y61" s="91"/>
    </row>
    <row r="62" s="61" customFormat="1" ht="21.95" customHeight="1" spans="1:25">
      <c r="A62" s="147"/>
      <c r="B62" s="74" t="s">
        <v>758</v>
      </c>
      <c r="C62" s="147"/>
      <c r="D62" s="147"/>
      <c r="E62" s="147">
        <v>7</v>
      </c>
      <c r="F62" s="147">
        <v>1</v>
      </c>
      <c r="G62" s="147">
        <v>1</v>
      </c>
      <c r="H62" s="147">
        <v>2018</v>
      </c>
      <c r="I62" s="147">
        <v>2020</v>
      </c>
      <c r="J62" s="147">
        <f t="shared" si="26"/>
        <v>2.625</v>
      </c>
      <c r="K62" s="147">
        <v>0.875</v>
      </c>
      <c r="L62" s="147">
        <v>0.875</v>
      </c>
      <c r="M62" s="147">
        <v>0.875</v>
      </c>
      <c r="N62" s="122"/>
      <c r="O62" s="122"/>
      <c r="P62" s="122"/>
      <c r="Q62" s="122"/>
      <c r="R62" s="122"/>
      <c r="S62" s="71" t="s">
        <v>759</v>
      </c>
      <c r="T62" s="71" t="s">
        <v>760</v>
      </c>
      <c r="U62" s="147"/>
      <c r="V62" s="398"/>
      <c r="W62" s="91" t="str">
        <f t="shared" si="1"/>
        <v>N</v>
      </c>
      <c r="X62" s="91"/>
      <c r="Y62" s="91"/>
    </row>
    <row r="63" s="61" customFormat="1" ht="21.95" customHeight="1" spans="1:25">
      <c r="A63" s="147"/>
      <c r="B63" s="74" t="s">
        <v>767</v>
      </c>
      <c r="C63" s="147"/>
      <c r="D63" s="147"/>
      <c r="E63" s="147">
        <v>8</v>
      </c>
      <c r="F63" s="147">
        <v>8</v>
      </c>
      <c r="G63" s="147">
        <v>8</v>
      </c>
      <c r="H63" s="147">
        <v>2018</v>
      </c>
      <c r="I63" s="147">
        <v>2020</v>
      </c>
      <c r="J63" s="147">
        <f t="shared" si="26"/>
        <v>3</v>
      </c>
      <c r="K63" s="147">
        <v>1</v>
      </c>
      <c r="L63" s="147">
        <v>1</v>
      </c>
      <c r="M63" s="147">
        <v>1</v>
      </c>
      <c r="N63" s="122"/>
      <c r="O63" s="122"/>
      <c r="P63" s="122"/>
      <c r="Q63" s="122"/>
      <c r="R63" s="122"/>
      <c r="S63" s="71" t="s">
        <v>768</v>
      </c>
      <c r="T63" s="71" t="s">
        <v>769</v>
      </c>
      <c r="U63" s="147"/>
      <c r="V63" s="398"/>
      <c r="W63" s="91" t="str">
        <f t="shared" si="1"/>
        <v>N</v>
      </c>
      <c r="X63" s="91"/>
      <c r="Y63" s="91"/>
    </row>
    <row r="64" s="61" customFormat="1" ht="21.95" customHeight="1" spans="1:25">
      <c r="A64" s="147"/>
      <c r="B64" s="74" t="s">
        <v>770</v>
      </c>
      <c r="C64" s="147"/>
      <c r="D64" s="147"/>
      <c r="E64" s="147">
        <v>3</v>
      </c>
      <c r="F64" s="147">
        <v>3</v>
      </c>
      <c r="G64" s="147">
        <v>3</v>
      </c>
      <c r="H64" s="147">
        <v>2018</v>
      </c>
      <c r="I64" s="147">
        <v>2020</v>
      </c>
      <c r="J64" s="147">
        <f t="shared" si="26"/>
        <v>1.125</v>
      </c>
      <c r="K64" s="147">
        <v>0.375</v>
      </c>
      <c r="L64" s="147">
        <v>0.375</v>
      </c>
      <c r="M64" s="147">
        <v>0.375</v>
      </c>
      <c r="N64" s="122"/>
      <c r="O64" s="122"/>
      <c r="P64" s="122"/>
      <c r="Q64" s="122"/>
      <c r="R64" s="122"/>
      <c r="S64" s="71" t="s">
        <v>771</v>
      </c>
      <c r="T64" s="71" t="s">
        <v>772</v>
      </c>
      <c r="U64" s="147"/>
      <c r="V64" s="398"/>
      <c r="W64" s="91" t="str">
        <f t="shared" si="1"/>
        <v>N</v>
      </c>
      <c r="X64" s="91"/>
      <c r="Y64" s="91"/>
    </row>
    <row r="65" s="61" customFormat="1" ht="37.5" spans="1:25">
      <c r="A65" s="147" t="s">
        <v>787</v>
      </c>
      <c r="B65" s="74" t="s">
        <v>321</v>
      </c>
      <c r="C65" s="147" t="s">
        <v>320</v>
      </c>
      <c r="D65" s="71" t="s">
        <v>147</v>
      </c>
      <c r="E65" s="147">
        <f t="shared" ref="E65:G65" si="27">E66+E67+E68+E69+E70+E71+E72+E73</f>
        <v>55</v>
      </c>
      <c r="F65" s="147">
        <f t="shared" si="27"/>
        <v>54</v>
      </c>
      <c r="G65" s="147">
        <f t="shared" si="27"/>
        <v>55</v>
      </c>
      <c r="H65" s="147">
        <v>2018</v>
      </c>
      <c r="I65" s="147">
        <v>2020</v>
      </c>
      <c r="J65" s="147">
        <f t="shared" ref="J65:M65" si="28">J66+J67+J68+J69+J70+J71+J72+J73</f>
        <v>90.75</v>
      </c>
      <c r="K65" s="147">
        <f t="shared" si="28"/>
        <v>30.25</v>
      </c>
      <c r="L65" s="147">
        <f t="shared" si="28"/>
        <v>30.25</v>
      </c>
      <c r="M65" s="147">
        <f t="shared" si="28"/>
        <v>30.25</v>
      </c>
      <c r="N65" s="122">
        <v>70.125</v>
      </c>
      <c r="O65" s="122"/>
      <c r="P65" s="122">
        <v>20.625</v>
      </c>
      <c r="Q65" s="122"/>
      <c r="R65" s="122"/>
      <c r="S65" s="71" t="s">
        <v>781</v>
      </c>
      <c r="T65" s="71" t="s">
        <v>782</v>
      </c>
      <c r="U65" s="71" t="s">
        <v>294</v>
      </c>
      <c r="V65" s="74" t="s">
        <v>788</v>
      </c>
      <c r="W65" s="91" t="str">
        <f t="shared" si="1"/>
        <v>Y</v>
      </c>
      <c r="X65" s="91"/>
      <c r="Y65" s="91"/>
    </row>
    <row r="66" s="61" customFormat="1" ht="21.95" customHeight="1" spans="1:25">
      <c r="A66" s="147"/>
      <c r="B66" s="74" t="s">
        <v>746</v>
      </c>
      <c r="C66" s="147"/>
      <c r="D66" s="147"/>
      <c r="E66" s="147">
        <v>11</v>
      </c>
      <c r="F66" s="147">
        <v>11</v>
      </c>
      <c r="G66" s="147">
        <v>11</v>
      </c>
      <c r="H66" s="147">
        <v>2018</v>
      </c>
      <c r="I66" s="147">
        <v>2020</v>
      </c>
      <c r="J66" s="147">
        <f t="shared" ref="J66:J73" si="29">SUM(K66+L66+M66)</f>
        <v>18.15</v>
      </c>
      <c r="K66" s="147">
        <f t="shared" ref="K66:K73" si="30">SUM(G66*0.55)</f>
        <v>6.05</v>
      </c>
      <c r="L66" s="147">
        <v>6.05</v>
      </c>
      <c r="M66" s="147">
        <v>6.05</v>
      </c>
      <c r="N66" s="122"/>
      <c r="O66" s="122"/>
      <c r="P66" s="122"/>
      <c r="Q66" s="122"/>
      <c r="R66" s="122"/>
      <c r="S66" s="71" t="s">
        <v>747</v>
      </c>
      <c r="T66" s="71" t="s">
        <v>748</v>
      </c>
      <c r="U66" s="147"/>
      <c r="V66" s="398"/>
      <c r="W66" s="91" t="str">
        <f t="shared" si="1"/>
        <v>N</v>
      </c>
      <c r="X66" s="91"/>
      <c r="Y66" s="91"/>
    </row>
    <row r="67" s="61" customFormat="1" ht="21.95" customHeight="1" spans="1:25">
      <c r="A67" s="147" t="s">
        <v>787</v>
      </c>
      <c r="B67" s="74" t="s">
        <v>752</v>
      </c>
      <c r="C67" s="147"/>
      <c r="D67" s="147"/>
      <c r="E67" s="147">
        <v>8</v>
      </c>
      <c r="F67" s="147">
        <v>8</v>
      </c>
      <c r="G67" s="147">
        <v>8</v>
      </c>
      <c r="H67" s="147">
        <v>2018</v>
      </c>
      <c r="I67" s="147">
        <v>2020</v>
      </c>
      <c r="J67" s="147">
        <f t="shared" si="29"/>
        <v>13.2</v>
      </c>
      <c r="K67" s="147">
        <f t="shared" si="30"/>
        <v>4.4</v>
      </c>
      <c r="L67" s="147">
        <v>4.4</v>
      </c>
      <c r="M67" s="147">
        <v>4.4</v>
      </c>
      <c r="N67" s="122"/>
      <c r="O67" s="122"/>
      <c r="P67" s="122"/>
      <c r="Q67" s="122"/>
      <c r="R67" s="122"/>
      <c r="S67" s="71" t="s">
        <v>753</v>
      </c>
      <c r="T67" s="71" t="s">
        <v>754</v>
      </c>
      <c r="U67" s="147"/>
      <c r="V67" s="398" t="s">
        <v>789</v>
      </c>
      <c r="W67" s="91" t="str">
        <f t="shared" si="1"/>
        <v>N</v>
      </c>
      <c r="X67" s="91"/>
      <c r="Y67" s="91"/>
    </row>
    <row r="68" s="61" customFormat="1" ht="21.95" customHeight="1" spans="1:25">
      <c r="A68" s="147"/>
      <c r="B68" s="74" t="s">
        <v>764</v>
      </c>
      <c r="C68" s="147"/>
      <c r="D68" s="147"/>
      <c r="E68" s="147">
        <v>5</v>
      </c>
      <c r="F68" s="147">
        <v>5</v>
      </c>
      <c r="G68" s="147">
        <v>5</v>
      </c>
      <c r="H68" s="147">
        <v>2018</v>
      </c>
      <c r="I68" s="147">
        <v>2020</v>
      </c>
      <c r="J68" s="147">
        <f t="shared" si="29"/>
        <v>8.25</v>
      </c>
      <c r="K68" s="147">
        <f t="shared" si="30"/>
        <v>2.75</v>
      </c>
      <c r="L68" s="147">
        <v>2.75</v>
      </c>
      <c r="M68" s="147">
        <v>2.75</v>
      </c>
      <c r="N68" s="122"/>
      <c r="O68" s="122"/>
      <c r="P68" s="122"/>
      <c r="Q68" s="122"/>
      <c r="R68" s="122"/>
      <c r="S68" s="71" t="s">
        <v>765</v>
      </c>
      <c r="T68" s="71" t="s">
        <v>766</v>
      </c>
      <c r="U68" s="147"/>
      <c r="V68" s="398"/>
      <c r="W68" s="91" t="str">
        <f t="shared" si="1"/>
        <v>N</v>
      </c>
      <c r="X68" s="91"/>
      <c r="Y68" s="91"/>
    </row>
    <row r="69" s="61" customFormat="1" ht="21.95" customHeight="1" spans="1:25">
      <c r="A69" s="147"/>
      <c r="B69" s="74" t="s">
        <v>749</v>
      </c>
      <c r="C69" s="147"/>
      <c r="D69" s="147"/>
      <c r="E69" s="147">
        <v>7</v>
      </c>
      <c r="F69" s="147">
        <v>6</v>
      </c>
      <c r="G69" s="147">
        <v>7</v>
      </c>
      <c r="H69" s="147">
        <v>2018</v>
      </c>
      <c r="I69" s="147">
        <v>2020</v>
      </c>
      <c r="J69" s="147">
        <f t="shared" si="29"/>
        <v>11.55</v>
      </c>
      <c r="K69" s="147">
        <f t="shared" si="30"/>
        <v>3.85</v>
      </c>
      <c r="L69" s="147">
        <v>3.85</v>
      </c>
      <c r="M69" s="147">
        <v>3.85</v>
      </c>
      <c r="N69" s="122"/>
      <c r="O69" s="122"/>
      <c r="P69" s="122"/>
      <c r="Q69" s="122"/>
      <c r="R69" s="122"/>
      <c r="S69" s="71" t="s">
        <v>750</v>
      </c>
      <c r="T69" s="71" t="s">
        <v>751</v>
      </c>
      <c r="U69" s="147"/>
      <c r="V69" s="398" t="s">
        <v>790</v>
      </c>
      <c r="W69" s="91" t="str">
        <f t="shared" si="1"/>
        <v>N</v>
      </c>
      <c r="X69" s="91"/>
      <c r="Y69" s="91"/>
    </row>
    <row r="70" s="61" customFormat="1" ht="21.95" customHeight="1" spans="1:25">
      <c r="A70" s="147"/>
      <c r="B70" s="74" t="s">
        <v>755</v>
      </c>
      <c r="C70" s="147"/>
      <c r="D70" s="147"/>
      <c r="E70" s="147">
        <v>10</v>
      </c>
      <c r="F70" s="147">
        <v>10</v>
      </c>
      <c r="G70" s="147">
        <v>10</v>
      </c>
      <c r="H70" s="147">
        <v>2018</v>
      </c>
      <c r="I70" s="147">
        <v>2020</v>
      </c>
      <c r="J70" s="147">
        <f t="shared" si="29"/>
        <v>16.5</v>
      </c>
      <c r="K70" s="147">
        <f t="shared" si="30"/>
        <v>5.5</v>
      </c>
      <c r="L70" s="147">
        <v>5.5</v>
      </c>
      <c r="M70" s="147">
        <v>5.5</v>
      </c>
      <c r="N70" s="122"/>
      <c r="O70" s="122"/>
      <c r="P70" s="122"/>
      <c r="Q70" s="122"/>
      <c r="R70" s="122"/>
      <c r="S70" s="71" t="s">
        <v>756</v>
      </c>
      <c r="T70" s="71" t="s">
        <v>757</v>
      </c>
      <c r="U70" s="147"/>
      <c r="V70" s="398"/>
      <c r="W70" s="91" t="str">
        <f t="shared" si="1"/>
        <v>N</v>
      </c>
      <c r="X70" s="91"/>
      <c r="Y70" s="91"/>
    </row>
    <row r="71" s="61" customFormat="1" ht="21.95" customHeight="1" spans="1:25">
      <c r="A71" s="147"/>
      <c r="B71" s="74" t="s">
        <v>758</v>
      </c>
      <c r="C71" s="147"/>
      <c r="D71" s="147"/>
      <c r="E71" s="147">
        <v>5</v>
      </c>
      <c r="F71" s="147">
        <v>5</v>
      </c>
      <c r="G71" s="147">
        <v>5</v>
      </c>
      <c r="H71" s="147">
        <v>2018</v>
      </c>
      <c r="I71" s="147">
        <v>2020</v>
      </c>
      <c r="J71" s="147">
        <f t="shared" si="29"/>
        <v>8.25</v>
      </c>
      <c r="K71" s="147">
        <f t="shared" si="30"/>
        <v>2.75</v>
      </c>
      <c r="L71" s="147">
        <v>2.75</v>
      </c>
      <c r="M71" s="147">
        <v>2.75</v>
      </c>
      <c r="N71" s="122"/>
      <c r="O71" s="122"/>
      <c r="P71" s="122"/>
      <c r="Q71" s="122"/>
      <c r="R71" s="122"/>
      <c r="S71" s="71" t="s">
        <v>759</v>
      </c>
      <c r="T71" s="71" t="s">
        <v>760</v>
      </c>
      <c r="U71" s="147"/>
      <c r="V71" s="398" t="s">
        <v>790</v>
      </c>
      <c r="W71" s="91" t="str">
        <f t="shared" ref="W71:W112" si="31">IF(SUM(N71:R71)=J71,"Y","N")</f>
        <v>N</v>
      </c>
      <c r="X71" s="91"/>
      <c r="Y71" s="91"/>
    </row>
    <row r="72" s="61" customFormat="1" ht="21.95" customHeight="1" spans="1:25">
      <c r="A72" s="147"/>
      <c r="B72" s="74" t="s">
        <v>767</v>
      </c>
      <c r="C72" s="147"/>
      <c r="D72" s="147"/>
      <c r="E72" s="147">
        <v>5</v>
      </c>
      <c r="F72" s="147">
        <v>5</v>
      </c>
      <c r="G72" s="147">
        <v>5</v>
      </c>
      <c r="H72" s="147">
        <v>2018</v>
      </c>
      <c r="I72" s="147">
        <v>2020</v>
      </c>
      <c r="J72" s="147">
        <f t="shared" si="29"/>
        <v>8.25</v>
      </c>
      <c r="K72" s="147">
        <f t="shared" si="30"/>
        <v>2.75</v>
      </c>
      <c r="L72" s="147">
        <v>2.75</v>
      </c>
      <c r="M72" s="147">
        <v>2.75</v>
      </c>
      <c r="N72" s="122"/>
      <c r="O72" s="122"/>
      <c r="P72" s="122"/>
      <c r="Q72" s="122"/>
      <c r="R72" s="122"/>
      <c r="S72" s="71" t="s">
        <v>768</v>
      </c>
      <c r="T72" s="71" t="s">
        <v>769</v>
      </c>
      <c r="U72" s="147"/>
      <c r="V72" s="398"/>
      <c r="W72" s="91" t="str">
        <f t="shared" si="31"/>
        <v>N</v>
      </c>
      <c r="X72" s="91"/>
      <c r="Y72" s="91"/>
    </row>
    <row r="73" s="61" customFormat="1" ht="21.95" customHeight="1" spans="1:25">
      <c r="A73" s="147"/>
      <c r="B73" s="74" t="s">
        <v>770</v>
      </c>
      <c r="C73" s="147"/>
      <c r="D73" s="147"/>
      <c r="E73" s="147">
        <v>4</v>
      </c>
      <c r="F73" s="147">
        <v>4</v>
      </c>
      <c r="G73" s="147">
        <v>4</v>
      </c>
      <c r="H73" s="147">
        <v>2018</v>
      </c>
      <c r="I73" s="147">
        <v>2020</v>
      </c>
      <c r="J73" s="147">
        <f t="shared" si="29"/>
        <v>6.6</v>
      </c>
      <c r="K73" s="147">
        <f t="shared" si="30"/>
        <v>2.2</v>
      </c>
      <c r="L73" s="147">
        <v>2.2</v>
      </c>
      <c r="M73" s="147">
        <v>2.2</v>
      </c>
      <c r="N73" s="122"/>
      <c r="O73" s="122"/>
      <c r="P73" s="122"/>
      <c r="Q73" s="122"/>
      <c r="R73" s="122"/>
      <c r="S73" s="71" t="s">
        <v>791</v>
      </c>
      <c r="T73" s="71" t="s">
        <v>772</v>
      </c>
      <c r="U73" s="147"/>
      <c r="V73" s="398"/>
      <c r="W73" s="91" t="str">
        <f t="shared" si="31"/>
        <v>N</v>
      </c>
      <c r="X73" s="91"/>
      <c r="Y73" s="91"/>
    </row>
    <row r="74" s="61" customFormat="1" ht="50.25" spans="1:25">
      <c r="A74" s="147">
        <v>12</v>
      </c>
      <c r="B74" s="74" t="s">
        <v>322</v>
      </c>
      <c r="C74" s="147" t="s">
        <v>320</v>
      </c>
      <c r="D74" s="71" t="s">
        <v>147</v>
      </c>
      <c r="E74" s="147">
        <f t="shared" ref="E74:G74" si="32">E75+E76+E77+E78+E79+E80+E81+E82</f>
        <v>68</v>
      </c>
      <c r="F74" s="147">
        <f t="shared" si="32"/>
        <v>67</v>
      </c>
      <c r="G74" s="147">
        <f t="shared" si="32"/>
        <v>68</v>
      </c>
      <c r="H74" s="147">
        <v>2018</v>
      </c>
      <c r="I74" s="147">
        <v>2020</v>
      </c>
      <c r="J74" s="147">
        <f t="shared" ref="J74:M74" si="33">J75+J76+J77+J78+J79+J80+J81+J82</f>
        <v>112.2</v>
      </c>
      <c r="K74" s="147">
        <f t="shared" si="33"/>
        <v>37.4</v>
      </c>
      <c r="L74" s="147">
        <f t="shared" si="33"/>
        <v>37.4</v>
      </c>
      <c r="M74" s="147">
        <f t="shared" si="33"/>
        <v>37.4</v>
      </c>
      <c r="N74" s="122">
        <f>E74*0.2*3</f>
        <v>40.8</v>
      </c>
      <c r="O74" s="122">
        <f>E74*0.3*3</f>
        <v>61.2</v>
      </c>
      <c r="P74" s="122">
        <f>E74*0.05*3</f>
        <v>10.2</v>
      </c>
      <c r="Q74" s="122"/>
      <c r="R74" s="122"/>
      <c r="S74" s="71" t="s">
        <v>781</v>
      </c>
      <c r="T74" s="71" t="s">
        <v>782</v>
      </c>
      <c r="U74" s="71" t="s">
        <v>294</v>
      </c>
      <c r="V74" s="74" t="s">
        <v>792</v>
      </c>
      <c r="W74" s="91" t="str">
        <f t="shared" si="31"/>
        <v>Y</v>
      </c>
      <c r="X74" s="91"/>
      <c r="Y74" s="91"/>
    </row>
    <row r="75" s="61" customFormat="1" ht="21.95" customHeight="1" spans="1:25">
      <c r="A75" s="147"/>
      <c r="B75" s="74" t="s">
        <v>746</v>
      </c>
      <c r="C75" s="147"/>
      <c r="D75" s="147"/>
      <c r="E75" s="147">
        <v>12</v>
      </c>
      <c r="F75" s="147">
        <v>12</v>
      </c>
      <c r="G75" s="147">
        <v>12</v>
      </c>
      <c r="H75" s="147">
        <v>2018</v>
      </c>
      <c r="I75" s="147">
        <v>2020</v>
      </c>
      <c r="J75" s="147">
        <f t="shared" ref="J75:J77" si="34">SUM(K75+L75+M75)</f>
        <v>19.8</v>
      </c>
      <c r="K75" s="147">
        <f t="shared" ref="K75:K82" si="35">E75*0.55</f>
        <v>6.6</v>
      </c>
      <c r="L75" s="147">
        <v>6.6</v>
      </c>
      <c r="M75" s="147">
        <v>6.6</v>
      </c>
      <c r="N75" s="122"/>
      <c r="O75" s="122"/>
      <c r="P75" s="122"/>
      <c r="Q75" s="122"/>
      <c r="R75" s="122"/>
      <c r="S75" s="71" t="s">
        <v>747</v>
      </c>
      <c r="T75" s="71" t="s">
        <v>748</v>
      </c>
      <c r="U75" s="147"/>
      <c r="V75" s="398"/>
      <c r="W75" s="91" t="str">
        <f t="shared" si="31"/>
        <v>N</v>
      </c>
      <c r="X75" s="91"/>
      <c r="Y75" s="91"/>
    </row>
    <row r="76" s="61" customFormat="1" ht="21.95" customHeight="1" spans="1:25">
      <c r="A76" s="147"/>
      <c r="B76" s="74" t="s">
        <v>752</v>
      </c>
      <c r="C76" s="147"/>
      <c r="D76" s="147"/>
      <c r="E76" s="147">
        <v>10</v>
      </c>
      <c r="F76" s="147">
        <v>10</v>
      </c>
      <c r="G76" s="147">
        <v>10</v>
      </c>
      <c r="H76" s="147">
        <v>2018</v>
      </c>
      <c r="I76" s="147">
        <v>2020</v>
      </c>
      <c r="J76" s="147">
        <f t="shared" si="34"/>
        <v>16.5</v>
      </c>
      <c r="K76" s="147">
        <f t="shared" ref="K76:M76" si="36">E76*0.55</f>
        <v>5.5</v>
      </c>
      <c r="L76" s="147">
        <f t="shared" si="36"/>
        <v>5.5</v>
      </c>
      <c r="M76" s="147">
        <f t="shared" si="36"/>
        <v>5.5</v>
      </c>
      <c r="N76" s="122"/>
      <c r="O76" s="122"/>
      <c r="P76" s="122"/>
      <c r="Q76" s="122"/>
      <c r="R76" s="122"/>
      <c r="S76" s="71" t="s">
        <v>753</v>
      </c>
      <c r="T76" s="71" t="s">
        <v>754</v>
      </c>
      <c r="U76" s="147"/>
      <c r="V76" s="398"/>
      <c r="W76" s="91" t="str">
        <f t="shared" si="31"/>
        <v>N</v>
      </c>
      <c r="X76" s="91"/>
      <c r="Y76" s="91"/>
    </row>
    <row r="77" s="61" customFormat="1" ht="21.95" customHeight="1" spans="1:25">
      <c r="A77" s="147"/>
      <c r="B77" s="74" t="s">
        <v>764</v>
      </c>
      <c r="C77" s="147"/>
      <c r="D77" s="147"/>
      <c r="E77" s="147">
        <v>6</v>
      </c>
      <c r="F77" s="147">
        <v>6</v>
      </c>
      <c r="G77" s="147">
        <v>6</v>
      </c>
      <c r="H77" s="147">
        <v>2018</v>
      </c>
      <c r="I77" s="147">
        <v>2020</v>
      </c>
      <c r="J77" s="147">
        <f t="shared" si="34"/>
        <v>9.9</v>
      </c>
      <c r="K77" s="147">
        <f t="shared" si="35"/>
        <v>3.3</v>
      </c>
      <c r="L77" s="147">
        <v>3.3</v>
      </c>
      <c r="M77" s="147">
        <v>3.3</v>
      </c>
      <c r="N77" s="122"/>
      <c r="O77" s="122"/>
      <c r="P77" s="122"/>
      <c r="Q77" s="122"/>
      <c r="R77" s="122"/>
      <c r="S77" s="71" t="s">
        <v>765</v>
      </c>
      <c r="T77" s="71" t="s">
        <v>766</v>
      </c>
      <c r="U77" s="147"/>
      <c r="V77" s="398"/>
      <c r="W77" s="91" t="str">
        <f t="shared" si="31"/>
        <v>N</v>
      </c>
      <c r="X77" s="91"/>
      <c r="Y77" s="91"/>
    </row>
    <row r="78" s="61" customFormat="1" ht="21.95" customHeight="1" spans="1:25">
      <c r="A78" s="147"/>
      <c r="B78" s="74" t="s">
        <v>749</v>
      </c>
      <c r="C78" s="147"/>
      <c r="D78" s="147"/>
      <c r="E78" s="147">
        <v>8</v>
      </c>
      <c r="F78" s="147">
        <v>7</v>
      </c>
      <c r="G78" s="147">
        <v>8</v>
      </c>
      <c r="H78" s="147">
        <v>2018</v>
      </c>
      <c r="I78" s="147">
        <v>2020</v>
      </c>
      <c r="J78" s="147">
        <v>13.2</v>
      </c>
      <c r="K78" s="147">
        <f t="shared" si="35"/>
        <v>4.4</v>
      </c>
      <c r="L78" s="147">
        <v>4.4</v>
      </c>
      <c r="M78" s="147">
        <f>G78*0.55</f>
        <v>4.4</v>
      </c>
      <c r="N78" s="122"/>
      <c r="O78" s="122"/>
      <c r="P78" s="122"/>
      <c r="Q78" s="122"/>
      <c r="R78" s="122"/>
      <c r="S78" s="71" t="s">
        <v>750</v>
      </c>
      <c r="T78" s="71" t="s">
        <v>751</v>
      </c>
      <c r="U78" s="147"/>
      <c r="V78" s="398"/>
      <c r="W78" s="91" t="str">
        <f t="shared" si="31"/>
        <v>N</v>
      </c>
      <c r="X78" s="91"/>
      <c r="Y78" s="91"/>
    </row>
    <row r="79" s="61" customFormat="1" ht="21.95" customHeight="1" spans="1:25">
      <c r="A79" s="147"/>
      <c r="B79" s="74" t="s">
        <v>755</v>
      </c>
      <c r="C79" s="147"/>
      <c r="D79" s="147"/>
      <c r="E79" s="147">
        <v>8</v>
      </c>
      <c r="F79" s="147">
        <v>8</v>
      </c>
      <c r="G79" s="147">
        <v>8</v>
      </c>
      <c r="H79" s="147">
        <v>2018</v>
      </c>
      <c r="I79" s="147">
        <v>2020</v>
      </c>
      <c r="J79" s="147">
        <f t="shared" ref="J79:J82" si="37">SUM(K79+L79+M79)</f>
        <v>13.2</v>
      </c>
      <c r="K79" s="147">
        <f t="shared" si="35"/>
        <v>4.4</v>
      </c>
      <c r="L79" s="147">
        <v>4.4</v>
      </c>
      <c r="M79" s="147">
        <v>4.4</v>
      </c>
      <c r="N79" s="122"/>
      <c r="O79" s="122"/>
      <c r="P79" s="122"/>
      <c r="Q79" s="122"/>
      <c r="R79" s="122"/>
      <c r="S79" s="71" t="s">
        <v>756</v>
      </c>
      <c r="T79" s="71" t="s">
        <v>757</v>
      </c>
      <c r="U79" s="147"/>
      <c r="V79" s="398"/>
      <c r="W79" s="91" t="str">
        <f t="shared" si="31"/>
        <v>N</v>
      </c>
      <c r="X79" s="91"/>
      <c r="Y79" s="91"/>
    </row>
    <row r="80" s="61" customFormat="1" ht="21.95" customHeight="1" spans="1:25">
      <c r="A80" s="147"/>
      <c r="B80" s="74" t="s">
        <v>758</v>
      </c>
      <c r="C80" s="147"/>
      <c r="D80" s="147"/>
      <c r="E80" s="147">
        <v>12</v>
      </c>
      <c r="F80" s="147">
        <v>12</v>
      </c>
      <c r="G80" s="147">
        <v>12</v>
      </c>
      <c r="H80" s="147">
        <v>2018</v>
      </c>
      <c r="I80" s="147">
        <v>2020</v>
      </c>
      <c r="J80" s="147">
        <f t="shared" si="37"/>
        <v>19.8</v>
      </c>
      <c r="K80" s="147">
        <f t="shared" si="35"/>
        <v>6.6</v>
      </c>
      <c r="L80" s="147">
        <v>6.6</v>
      </c>
      <c r="M80" s="147">
        <v>6.6</v>
      </c>
      <c r="N80" s="122"/>
      <c r="O80" s="122"/>
      <c r="P80" s="122"/>
      <c r="Q80" s="122"/>
      <c r="R80" s="122"/>
      <c r="S80" s="71" t="s">
        <v>759</v>
      </c>
      <c r="T80" s="71" t="s">
        <v>760</v>
      </c>
      <c r="U80" s="147"/>
      <c r="V80" s="398"/>
      <c r="W80" s="91" t="str">
        <f t="shared" si="31"/>
        <v>N</v>
      </c>
      <c r="X80" s="91"/>
      <c r="Y80" s="91"/>
    </row>
    <row r="81" s="61" customFormat="1" ht="21.95" customHeight="1" spans="1:25">
      <c r="A81" s="147"/>
      <c r="B81" s="74" t="s">
        <v>767</v>
      </c>
      <c r="C81" s="147"/>
      <c r="D81" s="147"/>
      <c r="E81" s="147">
        <v>8</v>
      </c>
      <c r="F81" s="147">
        <v>8</v>
      </c>
      <c r="G81" s="147">
        <v>8</v>
      </c>
      <c r="H81" s="147">
        <v>2018</v>
      </c>
      <c r="I81" s="147">
        <v>2020</v>
      </c>
      <c r="J81" s="147">
        <f t="shared" si="37"/>
        <v>13.2</v>
      </c>
      <c r="K81" s="147">
        <f t="shared" si="35"/>
        <v>4.4</v>
      </c>
      <c r="L81" s="147">
        <v>4.4</v>
      </c>
      <c r="M81" s="147">
        <v>4.4</v>
      </c>
      <c r="N81" s="122"/>
      <c r="O81" s="122"/>
      <c r="P81" s="122"/>
      <c r="Q81" s="122"/>
      <c r="R81" s="122"/>
      <c r="S81" s="71" t="s">
        <v>768</v>
      </c>
      <c r="T81" s="71" t="s">
        <v>769</v>
      </c>
      <c r="U81" s="147"/>
      <c r="V81" s="398"/>
      <c r="W81" s="91" t="str">
        <f t="shared" si="31"/>
        <v>N</v>
      </c>
      <c r="X81" s="91"/>
      <c r="Y81" s="91"/>
    </row>
    <row r="82" s="61" customFormat="1" ht="21.95" customHeight="1" spans="1:25">
      <c r="A82" s="147"/>
      <c r="B82" s="74" t="s">
        <v>770</v>
      </c>
      <c r="C82" s="147"/>
      <c r="D82" s="147"/>
      <c r="E82" s="147">
        <v>4</v>
      </c>
      <c r="F82" s="147">
        <v>4</v>
      </c>
      <c r="G82" s="147">
        <v>4</v>
      </c>
      <c r="H82" s="147">
        <v>2018</v>
      </c>
      <c r="I82" s="147">
        <v>2020</v>
      </c>
      <c r="J82" s="147">
        <f t="shared" si="37"/>
        <v>6.6</v>
      </c>
      <c r="K82" s="147">
        <f t="shared" si="35"/>
        <v>2.2</v>
      </c>
      <c r="L82" s="147">
        <v>2.2</v>
      </c>
      <c r="M82" s="147">
        <v>2.2</v>
      </c>
      <c r="N82" s="122"/>
      <c r="O82" s="122"/>
      <c r="P82" s="122"/>
      <c r="Q82" s="122"/>
      <c r="R82" s="122"/>
      <c r="S82" s="71" t="s">
        <v>771</v>
      </c>
      <c r="T82" s="71" t="s">
        <v>772</v>
      </c>
      <c r="U82" s="147"/>
      <c r="V82" s="398"/>
      <c r="W82" s="91" t="str">
        <f t="shared" si="31"/>
        <v>N</v>
      </c>
      <c r="X82" s="91"/>
      <c r="Y82" s="91"/>
    </row>
    <row r="83" s="61" customFormat="1" ht="258.95" customHeight="1" spans="1:25">
      <c r="A83" s="147">
        <v>13</v>
      </c>
      <c r="B83" s="74" t="s">
        <v>323</v>
      </c>
      <c r="C83" s="147" t="s">
        <v>320</v>
      </c>
      <c r="D83" s="71" t="s">
        <v>147</v>
      </c>
      <c r="E83" s="147">
        <f t="shared" ref="E83:G83" si="38">E84+E85+E86+E87+E88+E89+E90+E91</f>
        <v>67</v>
      </c>
      <c r="F83" s="147">
        <f t="shared" si="38"/>
        <v>66</v>
      </c>
      <c r="G83" s="147">
        <f t="shared" si="38"/>
        <v>67</v>
      </c>
      <c r="H83" s="147">
        <v>2018</v>
      </c>
      <c r="I83" s="147">
        <v>2020</v>
      </c>
      <c r="J83" s="147">
        <f t="shared" ref="J83:P83" si="39">J84+J85+J86+J87+J88+J89+J90+J91</f>
        <v>92.1</v>
      </c>
      <c r="K83" s="147">
        <f t="shared" si="39"/>
        <v>30.7</v>
      </c>
      <c r="L83" s="147">
        <f t="shared" si="39"/>
        <v>30.7</v>
      </c>
      <c r="M83" s="147">
        <f t="shared" si="39"/>
        <v>30.7</v>
      </c>
      <c r="N83" s="147">
        <f t="shared" si="39"/>
        <v>25.95</v>
      </c>
      <c r="O83" s="147">
        <f t="shared" si="39"/>
        <v>36</v>
      </c>
      <c r="P83" s="147">
        <f t="shared" si="39"/>
        <v>30.15</v>
      </c>
      <c r="Q83" s="122"/>
      <c r="R83" s="122"/>
      <c r="S83" s="71" t="s">
        <v>781</v>
      </c>
      <c r="T83" s="71" t="s">
        <v>782</v>
      </c>
      <c r="U83" s="71" t="s">
        <v>294</v>
      </c>
      <c r="V83" s="74" t="s">
        <v>793</v>
      </c>
      <c r="W83" s="91" t="str">
        <f t="shared" si="31"/>
        <v>Y</v>
      </c>
      <c r="X83" s="91"/>
      <c r="Y83" s="91"/>
    </row>
    <row r="84" s="61" customFormat="1" ht="21.95" customHeight="1" spans="1:25">
      <c r="A84" s="147"/>
      <c r="B84" s="74" t="s">
        <v>746</v>
      </c>
      <c r="C84" s="147"/>
      <c r="D84" s="147"/>
      <c r="E84" s="122">
        <v>10</v>
      </c>
      <c r="F84" s="147">
        <v>10</v>
      </c>
      <c r="G84" s="147">
        <v>10</v>
      </c>
      <c r="H84" s="147">
        <v>2018</v>
      </c>
      <c r="I84" s="147">
        <v>2018</v>
      </c>
      <c r="J84" s="147">
        <v>13.05</v>
      </c>
      <c r="K84" s="147">
        <v>4.35</v>
      </c>
      <c r="L84" s="147">
        <v>4.35</v>
      </c>
      <c r="M84" s="147">
        <v>4.35</v>
      </c>
      <c r="N84" s="122">
        <v>4.05</v>
      </c>
      <c r="O84" s="122">
        <v>4.5</v>
      </c>
      <c r="P84" s="122">
        <v>4.5</v>
      </c>
      <c r="Q84" s="122"/>
      <c r="R84" s="122"/>
      <c r="S84" s="71" t="s">
        <v>747</v>
      </c>
      <c r="T84" s="71" t="s">
        <v>748</v>
      </c>
      <c r="U84" s="147"/>
      <c r="V84" s="666" t="s">
        <v>794</v>
      </c>
      <c r="W84" s="91" t="str">
        <f t="shared" si="31"/>
        <v>Y</v>
      </c>
      <c r="X84" s="91"/>
      <c r="Y84" s="91"/>
    </row>
    <row r="85" s="61" customFormat="1" ht="21.95" customHeight="1" spans="1:25">
      <c r="A85" s="147"/>
      <c r="B85" s="74" t="s">
        <v>752</v>
      </c>
      <c r="C85" s="147"/>
      <c r="D85" s="147"/>
      <c r="E85" s="122">
        <v>12</v>
      </c>
      <c r="F85" s="147">
        <v>12</v>
      </c>
      <c r="G85" s="147">
        <v>12</v>
      </c>
      <c r="H85" s="147">
        <v>2018</v>
      </c>
      <c r="I85" s="147">
        <v>2020</v>
      </c>
      <c r="J85" s="147">
        <v>16.95</v>
      </c>
      <c r="K85" s="147">
        <v>5.65</v>
      </c>
      <c r="L85" s="147">
        <v>5.65</v>
      </c>
      <c r="M85" s="147">
        <v>5.65</v>
      </c>
      <c r="N85" s="122">
        <v>5.25</v>
      </c>
      <c r="O85" s="122">
        <v>6.3</v>
      </c>
      <c r="P85" s="122">
        <v>5.4</v>
      </c>
      <c r="Q85" s="122"/>
      <c r="R85" s="122"/>
      <c r="S85" s="71" t="s">
        <v>753</v>
      </c>
      <c r="T85" s="71" t="s">
        <v>754</v>
      </c>
      <c r="U85" s="147"/>
      <c r="V85" s="666" t="s">
        <v>795</v>
      </c>
      <c r="W85" s="91" t="str">
        <f t="shared" si="31"/>
        <v>Y</v>
      </c>
      <c r="X85" s="91"/>
      <c r="Y85" s="91"/>
    </row>
    <row r="86" s="61" customFormat="1" ht="21.95" customHeight="1" spans="1:25">
      <c r="A86" s="147"/>
      <c r="B86" s="74" t="s">
        <v>764</v>
      </c>
      <c r="C86" s="147"/>
      <c r="D86" s="147"/>
      <c r="E86" s="122">
        <v>2</v>
      </c>
      <c r="F86" s="147">
        <v>2</v>
      </c>
      <c r="G86" s="147">
        <v>2</v>
      </c>
      <c r="H86" s="147">
        <v>2018</v>
      </c>
      <c r="I86" s="147">
        <v>2020</v>
      </c>
      <c r="J86" s="147">
        <f>K86+L86+M86</f>
        <v>1.8</v>
      </c>
      <c r="K86" s="147">
        <v>0.6</v>
      </c>
      <c r="L86" s="147">
        <v>0.6</v>
      </c>
      <c r="M86" s="147">
        <v>0.6</v>
      </c>
      <c r="N86" s="122">
        <v>0.9</v>
      </c>
      <c r="O86" s="122">
        <v>0</v>
      </c>
      <c r="P86" s="122">
        <v>0.9</v>
      </c>
      <c r="Q86" s="122"/>
      <c r="R86" s="122"/>
      <c r="S86" s="71" t="s">
        <v>765</v>
      </c>
      <c r="T86" s="71" t="s">
        <v>766</v>
      </c>
      <c r="U86" s="147"/>
      <c r="V86" s="666" t="s">
        <v>796</v>
      </c>
      <c r="W86" s="91" t="str">
        <f t="shared" si="31"/>
        <v>Y</v>
      </c>
      <c r="X86" s="91"/>
      <c r="Y86" s="91"/>
    </row>
    <row r="87" s="61" customFormat="1" ht="21.95" customHeight="1" spans="1:25">
      <c r="A87" s="147"/>
      <c r="B87" s="74" t="s">
        <v>749</v>
      </c>
      <c r="C87" s="147"/>
      <c r="D87" s="147"/>
      <c r="E87" s="122">
        <v>10</v>
      </c>
      <c r="F87" s="147">
        <v>10</v>
      </c>
      <c r="G87" s="147">
        <v>10</v>
      </c>
      <c r="H87" s="147">
        <v>2018</v>
      </c>
      <c r="I87" s="147">
        <v>2020</v>
      </c>
      <c r="J87" s="147">
        <v>13.8</v>
      </c>
      <c r="K87" s="147">
        <v>4.6</v>
      </c>
      <c r="L87" s="147">
        <v>4.6</v>
      </c>
      <c r="M87" s="147">
        <v>4.6</v>
      </c>
      <c r="N87" s="122">
        <v>3.9</v>
      </c>
      <c r="O87" s="122">
        <v>5.4</v>
      </c>
      <c r="P87" s="122">
        <v>4.5</v>
      </c>
      <c r="Q87" s="122"/>
      <c r="R87" s="122"/>
      <c r="S87" s="71" t="s">
        <v>750</v>
      </c>
      <c r="T87" s="71" t="s">
        <v>751</v>
      </c>
      <c r="U87" s="147"/>
      <c r="V87" s="666" t="s">
        <v>797</v>
      </c>
      <c r="W87" s="91" t="str">
        <f t="shared" si="31"/>
        <v>Y</v>
      </c>
      <c r="X87" s="91"/>
      <c r="Y87" s="91"/>
    </row>
    <row r="88" s="61" customFormat="1" ht="21.95" customHeight="1" spans="1:25">
      <c r="A88" s="147"/>
      <c r="B88" s="74" t="s">
        <v>755</v>
      </c>
      <c r="C88" s="147"/>
      <c r="D88" s="147"/>
      <c r="E88" s="122">
        <v>12</v>
      </c>
      <c r="F88" s="147">
        <v>11</v>
      </c>
      <c r="G88" s="147">
        <v>12</v>
      </c>
      <c r="H88" s="147">
        <v>2018</v>
      </c>
      <c r="I88" s="147">
        <v>2020</v>
      </c>
      <c r="J88" s="147">
        <v>17.85</v>
      </c>
      <c r="K88" s="147">
        <v>5.95</v>
      </c>
      <c r="L88" s="147">
        <v>5.95</v>
      </c>
      <c r="M88" s="147">
        <v>5.95</v>
      </c>
      <c r="N88" s="122">
        <v>4.35</v>
      </c>
      <c r="O88" s="122">
        <v>8.1</v>
      </c>
      <c r="P88" s="122">
        <v>5.4</v>
      </c>
      <c r="Q88" s="122"/>
      <c r="R88" s="122"/>
      <c r="S88" s="71" t="s">
        <v>756</v>
      </c>
      <c r="T88" s="71" t="s">
        <v>757</v>
      </c>
      <c r="U88" s="147"/>
      <c r="V88" s="666" t="s">
        <v>798</v>
      </c>
      <c r="W88" s="91" t="str">
        <f t="shared" si="31"/>
        <v>Y</v>
      </c>
      <c r="X88" s="91"/>
      <c r="Y88" s="91"/>
    </row>
    <row r="89" s="61" customFormat="1" ht="21.95" customHeight="1" spans="1:25">
      <c r="A89" s="147"/>
      <c r="B89" s="74" t="s">
        <v>758</v>
      </c>
      <c r="C89" s="147"/>
      <c r="D89" s="147"/>
      <c r="E89" s="122">
        <v>6</v>
      </c>
      <c r="F89" s="147">
        <v>6</v>
      </c>
      <c r="G89" s="147">
        <v>6</v>
      </c>
      <c r="H89" s="147">
        <v>2018</v>
      </c>
      <c r="I89" s="147">
        <v>2020</v>
      </c>
      <c r="J89" s="147">
        <v>10.05</v>
      </c>
      <c r="K89" s="147">
        <v>3.35</v>
      </c>
      <c r="L89" s="147">
        <v>3.35</v>
      </c>
      <c r="M89" s="147">
        <v>3.35</v>
      </c>
      <c r="N89" s="122">
        <v>1.95</v>
      </c>
      <c r="O89" s="122">
        <v>5.4</v>
      </c>
      <c r="P89" s="122">
        <v>2.7</v>
      </c>
      <c r="Q89" s="122"/>
      <c r="R89" s="122"/>
      <c r="S89" s="71" t="s">
        <v>759</v>
      </c>
      <c r="T89" s="71" t="s">
        <v>760</v>
      </c>
      <c r="U89" s="147"/>
      <c r="V89" s="666" t="s">
        <v>799</v>
      </c>
      <c r="W89" s="91" t="str">
        <f t="shared" si="31"/>
        <v>Y</v>
      </c>
      <c r="X89" s="91"/>
      <c r="Y89" s="91"/>
    </row>
    <row r="90" s="61" customFormat="1" ht="21.95" customHeight="1" spans="1:25">
      <c r="A90" s="147"/>
      <c r="B90" s="74" t="s">
        <v>767</v>
      </c>
      <c r="C90" s="147"/>
      <c r="D90" s="147"/>
      <c r="E90" s="122">
        <v>4</v>
      </c>
      <c r="F90" s="147">
        <v>4</v>
      </c>
      <c r="G90" s="147">
        <v>4</v>
      </c>
      <c r="H90" s="147">
        <v>2018</v>
      </c>
      <c r="I90" s="147">
        <v>2020</v>
      </c>
      <c r="J90" s="147">
        <v>5.7</v>
      </c>
      <c r="K90" s="147">
        <v>1.9</v>
      </c>
      <c r="L90" s="147">
        <v>1.9</v>
      </c>
      <c r="M90" s="147">
        <v>1.9</v>
      </c>
      <c r="N90" s="122">
        <v>1.2</v>
      </c>
      <c r="O90" s="122">
        <v>2.7</v>
      </c>
      <c r="P90" s="122">
        <v>1.8</v>
      </c>
      <c r="Q90" s="122"/>
      <c r="R90" s="122"/>
      <c r="S90" s="71" t="s">
        <v>768</v>
      </c>
      <c r="T90" s="71" t="s">
        <v>769</v>
      </c>
      <c r="U90" s="147"/>
      <c r="V90" s="666" t="s">
        <v>800</v>
      </c>
      <c r="W90" s="91" t="str">
        <f t="shared" si="31"/>
        <v>Y</v>
      </c>
      <c r="X90" s="91"/>
      <c r="Y90" s="91"/>
    </row>
    <row r="91" s="61" customFormat="1" ht="21.95" customHeight="1" spans="1:25">
      <c r="A91" s="147"/>
      <c r="B91" s="74" t="s">
        <v>770</v>
      </c>
      <c r="C91" s="147"/>
      <c r="D91" s="147"/>
      <c r="E91" s="122">
        <v>11</v>
      </c>
      <c r="F91" s="147">
        <v>11</v>
      </c>
      <c r="G91" s="147">
        <v>11</v>
      </c>
      <c r="H91" s="147">
        <v>2018</v>
      </c>
      <c r="I91" s="147">
        <v>2020</v>
      </c>
      <c r="J91" s="147">
        <v>12.9</v>
      </c>
      <c r="K91" s="147">
        <v>4.3</v>
      </c>
      <c r="L91" s="147">
        <v>4.3</v>
      </c>
      <c r="M91" s="147">
        <v>4.3</v>
      </c>
      <c r="N91" s="122">
        <v>4.35</v>
      </c>
      <c r="O91" s="122">
        <v>3.6</v>
      </c>
      <c r="P91" s="122">
        <v>4.95</v>
      </c>
      <c r="Q91" s="122"/>
      <c r="R91" s="122"/>
      <c r="S91" s="71" t="s">
        <v>771</v>
      </c>
      <c r="T91" s="71" t="s">
        <v>772</v>
      </c>
      <c r="U91" s="147"/>
      <c r="V91" s="666" t="s">
        <v>801</v>
      </c>
      <c r="W91" s="91" t="str">
        <f t="shared" si="31"/>
        <v>Y</v>
      </c>
      <c r="X91" s="91"/>
      <c r="Y91" s="91"/>
    </row>
    <row r="92" s="61" customFormat="1" ht="24" spans="1:25">
      <c r="A92" s="147">
        <v>14</v>
      </c>
      <c r="B92" s="74" t="s">
        <v>324</v>
      </c>
      <c r="C92" s="147" t="s">
        <v>320</v>
      </c>
      <c r="D92" s="71" t="s">
        <v>147</v>
      </c>
      <c r="E92" s="147" t="s">
        <v>320</v>
      </c>
      <c r="F92" s="147" t="s">
        <v>320</v>
      </c>
      <c r="G92" s="147" t="s">
        <v>320</v>
      </c>
      <c r="H92" s="147" t="s">
        <v>320</v>
      </c>
      <c r="I92" s="147" t="s">
        <v>320</v>
      </c>
      <c r="J92" s="147" t="s">
        <v>320</v>
      </c>
      <c r="K92" s="147" t="s">
        <v>320</v>
      </c>
      <c r="L92" s="147" t="s">
        <v>320</v>
      </c>
      <c r="M92" s="147" t="s">
        <v>320</v>
      </c>
      <c r="N92" s="122"/>
      <c r="O92" s="122"/>
      <c r="P92" s="122"/>
      <c r="Q92" s="122"/>
      <c r="R92" s="122"/>
      <c r="S92" s="147" t="s">
        <v>320</v>
      </c>
      <c r="T92" s="147" t="s">
        <v>320</v>
      </c>
      <c r="U92" s="147"/>
      <c r="V92" s="74" t="s">
        <v>41</v>
      </c>
      <c r="W92" s="91" t="str">
        <f t="shared" si="31"/>
        <v>N</v>
      </c>
      <c r="X92" s="91"/>
      <c r="Y92" s="91"/>
    </row>
    <row r="93" s="61" customFormat="1" ht="12.75" spans="1:25">
      <c r="A93" s="147">
        <v>15</v>
      </c>
      <c r="B93" s="74" t="s">
        <v>802</v>
      </c>
      <c r="C93" s="147" t="s">
        <v>320</v>
      </c>
      <c r="D93" s="147" t="s">
        <v>320</v>
      </c>
      <c r="E93" s="147">
        <v>6528</v>
      </c>
      <c r="F93" s="147">
        <v>1637</v>
      </c>
      <c r="G93" s="147">
        <v>6528</v>
      </c>
      <c r="H93" s="147">
        <v>2018</v>
      </c>
      <c r="I93" s="147">
        <v>2020</v>
      </c>
      <c r="J93" s="147">
        <f t="shared" ref="J93:N93" si="40">J94+J112+J130</f>
        <v>481.188</v>
      </c>
      <c r="K93" s="147">
        <f t="shared" si="40"/>
        <v>155.43</v>
      </c>
      <c r="L93" s="147">
        <f t="shared" si="40"/>
        <v>160.564</v>
      </c>
      <c r="M93" s="147">
        <f t="shared" si="40"/>
        <v>165.194</v>
      </c>
      <c r="N93" s="122">
        <f t="shared" si="40"/>
        <v>335.9262</v>
      </c>
      <c r="O93" s="122"/>
      <c r="P93" s="122">
        <v>145.2618</v>
      </c>
      <c r="Q93" s="122"/>
      <c r="R93" s="122"/>
      <c r="S93" s="147"/>
      <c r="T93" s="147"/>
      <c r="U93" s="147" t="s">
        <v>320</v>
      </c>
      <c r="V93" s="74" t="s">
        <v>41</v>
      </c>
      <c r="W93" s="91" t="str">
        <f t="shared" si="31"/>
        <v>Y</v>
      </c>
      <c r="X93" s="91"/>
      <c r="Y93" s="91"/>
    </row>
    <row r="94" s="61" customFormat="1" ht="189.95" customHeight="1" spans="1:25">
      <c r="A94" s="147">
        <v>16</v>
      </c>
      <c r="B94" s="74" t="s">
        <v>327</v>
      </c>
      <c r="C94" s="147" t="s">
        <v>320</v>
      </c>
      <c r="D94" s="71" t="s">
        <v>147</v>
      </c>
      <c r="E94" s="147">
        <f t="shared" ref="E94:G94" si="41">E95+E96+E97+E98+E99+E100+E101+E102</f>
        <v>6528</v>
      </c>
      <c r="F94" s="147">
        <f t="shared" si="41"/>
        <v>1637</v>
      </c>
      <c r="G94" s="147">
        <f t="shared" si="41"/>
        <v>6528</v>
      </c>
      <c r="H94" s="147">
        <v>2018</v>
      </c>
      <c r="I94" s="147">
        <v>2020</v>
      </c>
      <c r="J94" s="147">
        <f t="shared" ref="J94:J102" si="42">K94+L94+M94</f>
        <v>351.018</v>
      </c>
      <c r="K94" s="147">
        <v>116.01</v>
      </c>
      <c r="L94" s="147">
        <v>117.504</v>
      </c>
      <c r="M94" s="147">
        <v>117.504</v>
      </c>
      <c r="N94" s="122">
        <f>N95+N96+N97+N98+N99+N100+N101+N102</f>
        <v>205.7562</v>
      </c>
      <c r="O94" s="122"/>
      <c r="P94" s="122">
        <f>P95+P96+P97+P98+P99+P100+P101+P102</f>
        <v>145.2618</v>
      </c>
      <c r="Q94" s="122"/>
      <c r="R94" s="122"/>
      <c r="S94" s="71" t="s">
        <v>781</v>
      </c>
      <c r="T94" s="71" t="s">
        <v>803</v>
      </c>
      <c r="U94" s="71" t="s">
        <v>358</v>
      </c>
      <c r="V94" s="74" t="s">
        <v>804</v>
      </c>
      <c r="W94" s="91" t="str">
        <f t="shared" si="31"/>
        <v>Y</v>
      </c>
      <c r="X94" s="91"/>
      <c r="Y94" s="91"/>
    </row>
    <row r="95" s="61" customFormat="1" ht="68.1" customHeight="1" spans="1:25">
      <c r="A95" s="147"/>
      <c r="B95" s="74" t="s">
        <v>746</v>
      </c>
      <c r="C95" s="147"/>
      <c r="D95" s="147"/>
      <c r="E95" s="147">
        <v>933</v>
      </c>
      <c r="F95" s="147">
        <v>232</v>
      </c>
      <c r="G95" s="147">
        <v>933</v>
      </c>
      <c r="H95" s="147">
        <v>2018</v>
      </c>
      <c r="I95" s="147">
        <v>2020</v>
      </c>
      <c r="J95" s="147">
        <f t="shared" si="42"/>
        <v>50.346</v>
      </c>
      <c r="K95" s="147">
        <v>16.758</v>
      </c>
      <c r="L95" s="122">
        <v>16.794</v>
      </c>
      <c r="M95" s="122">
        <v>16.794</v>
      </c>
      <c r="N95" s="122">
        <v>29.8926</v>
      </c>
      <c r="O95" s="122"/>
      <c r="P95" s="122">
        <v>20.4534</v>
      </c>
      <c r="Q95" s="122"/>
      <c r="R95" s="122"/>
      <c r="S95" s="71" t="s">
        <v>747</v>
      </c>
      <c r="T95" s="71" t="s">
        <v>786</v>
      </c>
      <c r="U95" s="147"/>
      <c r="V95" s="666" t="s">
        <v>805</v>
      </c>
      <c r="W95" s="91" t="str">
        <f t="shared" si="31"/>
        <v>Y</v>
      </c>
      <c r="X95" s="91"/>
      <c r="Y95" s="91"/>
    </row>
    <row r="96" s="61" customFormat="1" ht="75" customHeight="1" spans="1:25">
      <c r="A96" s="147"/>
      <c r="B96" s="74" t="s">
        <v>752</v>
      </c>
      <c r="C96" s="147"/>
      <c r="D96" s="147"/>
      <c r="E96" s="147">
        <v>1011</v>
      </c>
      <c r="F96" s="147">
        <v>254</v>
      </c>
      <c r="G96" s="147">
        <v>1011</v>
      </c>
      <c r="H96" s="147">
        <v>2018</v>
      </c>
      <c r="I96" s="147">
        <v>2020</v>
      </c>
      <c r="J96" s="147">
        <f t="shared" si="42"/>
        <v>54.324</v>
      </c>
      <c r="K96" s="147">
        <v>17.928</v>
      </c>
      <c r="L96" s="122">
        <v>18.198</v>
      </c>
      <c r="M96" s="122">
        <v>18.198</v>
      </c>
      <c r="N96" s="122">
        <v>32.9688</v>
      </c>
      <c r="O96" s="122"/>
      <c r="P96" s="122">
        <v>21.3552</v>
      </c>
      <c r="Q96" s="122"/>
      <c r="R96" s="122"/>
      <c r="S96" s="71" t="s">
        <v>753</v>
      </c>
      <c r="T96" s="71" t="s">
        <v>754</v>
      </c>
      <c r="U96" s="147"/>
      <c r="V96" s="666" t="s">
        <v>806</v>
      </c>
      <c r="W96" s="91" t="str">
        <f t="shared" si="31"/>
        <v>Y</v>
      </c>
      <c r="X96" s="91"/>
      <c r="Y96" s="91"/>
    </row>
    <row r="97" s="61" customFormat="1" ht="69" customHeight="1" spans="1:25">
      <c r="A97" s="147"/>
      <c r="B97" s="74" t="s">
        <v>764</v>
      </c>
      <c r="C97" s="147"/>
      <c r="D97" s="147"/>
      <c r="E97" s="147">
        <v>478</v>
      </c>
      <c r="F97" s="147">
        <v>127</v>
      </c>
      <c r="G97" s="147">
        <v>478</v>
      </c>
      <c r="H97" s="147">
        <v>2018</v>
      </c>
      <c r="I97" s="147">
        <v>2020</v>
      </c>
      <c r="J97" s="147">
        <f t="shared" si="42"/>
        <v>25.578</v>
      </c>
      <c r="K97" s="147">
        <v>8.37</v>
      </c>
      <c r="L97" s="122">
        <v>8.604</v>
      </c>
      <c r="M97" s="122">
        <v>8.604</v>
      </c>
      <c r="N97" s="122">
        <v>15.8166</v>
      </c>
      <c r="O97" s="122"/>
      <c r="P97" s="122">
        <v>9.7614</v>
      </c>
      <c r="Q97" s="122"/>
      <c r="R97" s="122"/>
      <c r="S97" s="71" t="s">
        <v>765</v>
      </c>
      <c r="T97" s="71" t="s">
        <v>766</v>
      </c>
      <c r="U97" s="147"/>
      <c r="V97" s="666" t="s">
        <v>807</v>
      </c>
      <c r="W97" s="91" t="str">
        <f t="shared" si="31"/>
        <v>Y</v>
      </c>
      <c r="X97" s="91"/>
      <c r="Y97" s="91"/>
    </row>
    <row r="98" s="61" customFormat="1" ht="72.95" customHeight="1" spans="1:25">
      <c r="A98" s="147"/>
      <c r="B98" s="74" t="s">
        <v>749</v>
      </c>
      <c r="C98" s="147"/>
      <c r="D98" s="147"/>
      <c r="E98" s="147">
        <v>968</v>
      </c>
      <c r="F98" s="147">
        <v>264</v>
      </c>
      <c r="G98" s="147">
        <v>968</v>
      </c>
      <c r="H98" s="147">
        <v>2018</v>
      </c>
      <c r="I98" s="147">
        <v>2020</v>
      </c>
      <c r="J98" s="147">
        <f t="shared" si="42"/>
        <v>52.578</v>
      </c>
      <c r="K98" s="147">
        <v>17.73</v>
      </c>
      <c r="L98" s="122">
        <v>17.424</v>
      </c>
      <c r="M98" s="122">
        <v>17.424</v>
      </c>
      <c r="N98" s="122">
        <v>30.3102</v>
      </c>
      <c r="O98" s="122"/>
      <c r="P98" s="122">
        <v>22.2678</v>
      </c>
      <c r="Q98" s="122"/>
      <c r="R98" s="122"/>
      <c r="S98" s="71" t="s">
        <v>750</v>
      </c>
      <c r="T98" s="71" t="s">
        <v>751</v>
      </c>
      <c r="U98" s="147"/>
      <c r="V98" s="666" t="s">
        <v>808</v>
      </c>
      <c r="W98" s="91" t="str">
        <f t="shared" si="31"/>
        <v>Y</v>
      </c>
      <c r="X98" s="91"/>
      <c r="Y98" s="91"/>
    </row>
    <row r="99" s="61" customFormat="1" ht="66" customHeight="1" spans="1:25">
      <c r="A99" s="147"/>
      <c r="B99" s="74" t="s">
        <v>755</v>
      </c>
      <c r="C99" s="147"/>
      <c r="D99" s="147"/>
      <c r="E99" s="147">
        <v>715</v>
      </c>
      <c r="F99" s="147">
        <v>180</v>
      </c>
      <c r="G99" s="147">
        <v>715</v>
      </c>
      <c r="H99" s="147">
        <v>2018</v>
      </c>
      <c r="I99" s="147">
        <v>2020</v>
      </c>
      <c r="J99" s="147">
        <f t="shared" si="42"/>
        <v>38.556</v>
      </c>
      <c r="K99" s="147">
        <v>12.816</v>
      </c>
      <c r="L99" s="122">
        <v>12.87</v>
      </c>
      <c r="M99" s="122">
        <v>12.87</v>
      </c>
      <c r="N99" s="122">
        <v>22.0104</v>
      </c>
      <c r="O99" s="122"/>
      <c r="P99" s="122">
        <v>16.5456</v>
      </c>
      <c r="Q99" s="122"/>
      <c r="R99" s="122"/>
      <c r="S99" s="71" t="s">
        <v>756</v>
      </c>
      <c r="T99" s="71" t="s">
        <v>757</v>
      </c>
      <c r="U99" s="147"/>
      <c r="V99" s="666" t="s">
        <v>809</v>
      </c>
      <c r="W99" s="91" t="str">
        <f t="shared" si="31"/>
        <v>Y</v>
      </c>
      <c r="X99" s="91"/>
      <c r="Y99" s="91"/>
    </row>
    <row r="100" s="61" customFormat="1" ht="75" customHeight="1" spans="1:25">
      <c r="A100" s="147"/>
      <c r="B100" s="74" t="s">
        <v>758</v>
      </c>
      <c r="C100" s="147"/>
      <c r="D100" s="147"/>
      <c r="E100" s="147">
        <v>973</v>
      </c>
      <c r="F100" s="147">
        <v>231</v>
      </c>
      <c r="G100" s="147">
        <v>973</v>
      </c>
      <c r="H100" s="147">
        <v>2018</v>
      </c>
      <c r="I100" s="147">
        <v>2020</v>
      </c>
      <c r="J100" s="147">
        <f t="shared" si="42"/>
        <v>51.948</v>
      </c>
      <c r="K100" s="147">
        <v>16.92</v>
      </c>
      <c r="L100" s="122">
        <v>17.514</v>
      </c>
      <c r="M100" s="122">
        <v>17.514</v>
      </c>
      <c r="N100" s="122">
        <v>31.4352</v>
      </c>
      <c r="O100" s="122"/>
      <c r="P100" s="122">
        <v>20.5128</v>
      </c>
      <c r="Q100" s="122"/>
      <c r="R100" s="122"/>
      <c r="S100" s="71" t="s">
        <v>759</v>
      </c>
      <c r="T100" s="71" t="s">
        <v>760</v>
      </c>
      <c r="U100" s="147"/>
      <c r="V100" s="666" t="s">
        <v>810</v>
      </c>
      <c r="W100" s="91" t="str">
        <f t="shared" si="31"/>
        <v>Y</v>
      </c>
      <c r="X100" s="91"/>
      <c r="Y100" s="91"/>
    </row>
    <row r="101" s="61" customFormat="1" ht="75" customHeight="1" spans="1:25">
      <c r="A101" s="147"/>
      <c r="B101" s="74" t="s">
        <v>767</v>
      </c>
      <c r="C101" s="147"/>
      <c r="D101" s="147"/>
      <c r="E101" s="147">
        <v>565</v>
      </c>
      <c r="F101" s="147">
        <v>132</v>
      </c>
      <c r="G101" s="147">
        <v>565</v>
      </c>
      <c r="H101" s="147">
        <v>2018</v>
      </c>
      <c r="I101" s="147">
        <v>2020</v>
      </c>
      <c r="J101" s="147">
        <f t="shared" si="42"/>
        <v>30.06</v>
      </c>
      <c r="K101" s="147">
        <v>9.72</v>
      </c>
      <c r="L101" s="122">
        <v>10.17</v>
      </c>
      <c r="M101" s="122">
        <v>10.17</v>
      </c>
      <c r="N101" s="122">
        <v>16.0668</v>
      </c>
      <c r="O101" s="122"/>
      <c r="P101" s="122">
        <v>13.9932</v>
      </c>
      <c r="Q101" s="122"/>
      <c r="R101" s="122"/>
      <c r="S101" s="71" t="s">
        <v>768</v>
      </c>
      <c r="T101" s="71" t="s">
        <v>769</v>
      </c>
      <c r="U101" s="147"/>
      <c r="V101" s="666" t="s">
        <v>811</v>
      </c>
      <c r="W101" s="91" t="str">
        <f t="shared" si="31"/>
        <v>Y</v>
      </c>
      <c r="X101" s="91"/>
      <c r="Y101" s="91"/>
    </row>
    <row r="102" s="61" customFormat="1" ht="87.95" customHeight="1" spans="1:25">
      <c r="A102" s="147"/>
      <c r="B102" s="74" t="s">
        <v>770</v>
      </c>
      <c r="C102" s="147"/>
      <c r="D102" s="147"/>
      <c r="E102" s="147">
        <v>885</v>
      </c>
      <c r="F102" s="147">
        <v>217</v>
      </c>
      <c r="G102" s="147">
        <v>885</v>
      </c>
      <c r="H102" s="147">
        <v>2018</v>
      </c>
      <c r="I102" s="147">
        <v>2020</v>
      </c>
      <c r="J102" s="147">
        <f t="shared" si="42"/>
        <v>47.628</v>
      </c>
      <c r="K102" s="147">
        <v>15.768</v>
      </c>
      <c r="L102" s="122">
        <v>15.93</v>
      </c>
      <c r="M102" s="122">
        <v>15.93</v>
      </c>
      <c r="N102" s="122">
        <v>27.2556</v>
      </c>
      <c r="O102" s="122"/>
      <c r="P102" s="122">
        <v>20.3724</v>
      </c>
      <c r="Q102" s="122"/>
      <c r="R102" s="122"/>
      <c r="S102" s="71" t="s">
        <v>771</v>
      </c>
      <c r="T102" s="71" t="s">
        <v>772</v>
      </c>
      <c r="U102" s="147"/>
      <c r="V102" s="666" t="s">
        <v>812</v>
      </c>
      <c r="W102" s="91" t="str">
        <f t="shared" si="31"/>
        <v>Y</v>
      </c>
      <c r="X102" s="91"/>
      <c r="Y102" s="91"/>
    </row>
    <row r="103" s="61" customFormat="1" ht="24.95" customHeight="1" spans="1:25">
      <c r="A103" s="147">
        <v>17</v>
      </c>
      <c r="B103" s="74" t="s">
        <v>332</v>
      </c>
      <c r="C103" s="147" t="s">
        <v>320</v>
      </c>
      <c r="D103" s="71" t="s">
        <v>147</v>
      </c>
      <c r="E103" s="147">
        <f t="shared" ref="E103:G103" si="43">E104+E105+E106+E107+E108+E109+E110+E111</f>
        <v>6528</v>
      </c>
      <c r="F103" s="147">
        <f t="shared" si="43"/>
        <v>1637</v>
      </c>
      <c r="G103" s="147">
        <f t="shared" si="43"/>
        <v>6528</v>
      </c>
      <c r="H103" s="147">
        <v>2018</v>
      </c>
      <c r="I103" s="147">
        <v>2020</v>
      </c>
      <c r="J103" s="147" t="s">
        <v>320</v>
      </c>
      <c r="K103" s="147" t="s">
        <v>320</v>
      </c>
      <c r="L103" s="147" t="s">
        <v>320</v>
      </c>
      <c r="M103" s="147" t="s">
        <v>320</v>
      </c>
      <c r="N103" s="122"/>
      <c r="O103" s="122"/>
      <c r="P103" s="122"/>
      <c r="Q103" s="122"/>
      <c r="R103" s="122"/>
      <c r="S103" s="71" t="s">
        <v>781</v>
      </c>
      <c r="T103" s="71" t="s">
        <v>803</v>
      </c>
      <c r="U103" s="71" t="s">
        <v>358</v>
      </c>
      <c r="V103" s="74" t="s">
        <v>813</v>
      </c>
      <c r="W103" s="91" t="str">
        <f t="shared" si="31"/>
        <v>N</v>
      </c>
      <c r="X103" s="91"/>
      <c r="Y103" s="91"/>
    </row>
    <row r="104" s="61" customFormat="1" ht="21.95" customHeight="1" spans="1:25">
      <c r="A104" s="147"/>
      <c r="B104" s="74" t="s">
        <v>746</v>
      </c>
      <c r="C104" s="147"/>
      <c r="D104" s="147"/>
      <c r="E104" s="147">
        <v>933</v>
      </c>
      <c r="F104" s="147">
        <v>232</v>
      </c>
      <c r="G104" s="147">
        <v>933</v>
      </c>
      <c r="H104" s="147">
        <v>2018</v>
      </c>
      <c r="I104" s="147">
        <v>2020</v>
      </c>
      <c r="J104" s="147" t="s">
        <v>320</v>
      </c>
      <c r="K104" s="147" t="s">
        <v>320</v>
      </c>
      <c r="L104" s="147" t="s">
        <v>320</v>
      </c>
      <c r="M104" s="147" t="s">
        <v>320</v>
      </c>
      <c r="N104" s="122"/>
      <c r="O104" s="122"/>
      <c r="P104" s="122"/>
      <c r="Q104" s="122"/>
      <c r="R104" s="122"/>
      <c r="S104" s="71" t="s">
        <v>814</v>
      </c>
      <c r="T104" s="71" t="s">
        <v>748</v>
      </c>
      <c r="U104" s="147"/>
      <c r="V104" s="398"/>
      <c r="W104" s="91" t="str">
        <f t="shared" si="31"/>
        <v>N</v>
      </c>
      <c r="X104" s="91"/>
      <c r="Y104" s="91"/>
    </row>
    <row r="105" s="61" customFormat="1" ht="21.95" customHeight="1" spans="1:25">
      <c r="A105" s="147"/>
      <c r="B105" s="74" t="s">
        <v>752</v>
      </c>
      <c r="C105" s="147"/>
      <c r="D105" s="147"/>
      <c r="E105" s="147">
        <v>1011</v>
      </c>
      <c r="F105" s="147">
        <v>254</v>
      </c>
      <c r="G105" s="147">
        <v>1011</v>
      </c>
      <c r="H105" s="147">
        <v>2018</v>
      </c>
      <c r="I105" s="147">
        <v>2020</v>
      </c>
      <c r="J105" s="147" t="s">
        <v>320</v>
      </c>
      <c r="K105" s="147" t="s">
        <v>320</v>
      </c>
      <c r="L105" s="147" t="s">
        <v>320</v>
      </c>
      <c r="M105" s="147" t="s">
        <v>320</v>
      </c>
      <c r="N105" s="122"/>
      <c r="O105" s="122"/>
      <c r="P105" s="122"/>
      <c r="Q105" s="122"/>
      <c r="R105" s="122"/>
      <c r="S105" s="71" t="s">
        <v>753</v>
      </c>
      <c r="T105" s="71" t="s">
        <v>754</v>
      </c>
      <c r="U105" s="147"/>
      <c r="V105" s="398"/>
      <c r="W105" s="91" t="str">
        <f t="shared" si="31"/>
        <v>N</v>
      </c>
      <c r="X105" s="91"/>
      <c r="Y105" s="91"/>
    </row>
    <row r="106" s="61" customFormat="1" ht="21.95" customHeight="1" spans="1:25">
      <c r="A106" s="147"/>
      <c r="B106" s="74" t="s">
        <v>764</v>
      </c>
      <c r="C106" s="147"/>
      <c r="D106" s="147"/>
      <c r="E106" s="147">
        <v>478</v>
      </c>
      <c r="F106" s="147">
        <v>127</v>
      </c>
      <c r="G106" s="147">
        <v>478</v>
      </c>
      <c r="H106" s="147">
        <v>2018</v>
      </c>
      <c r="I106" s="147">
        <v>2020</v>
      </c>
      <c r="J106" s="147" t="s">
        <v>320</v>
      </c>
      <c r="K106" s="147" t="s">
        <v>320</v>
      </c>
      <c r="L106" s="147" t="s">
        <v>320</v>
      </c>
      <c r="M106" s="147" t="s">
        <v>320</v>
      </c>
      <c r="N106" s="122"/>
      <c r="O106" s="122"/>
      <c r="P106" s="122"/>
      <c r="Q106" s="122"/>
      <c r="R106" s="122"/>
      <c r="S106" s="71" t="s">
        <v>765</v>
      </c>
      <c r="T106" s="71" t="s">
        <v>766</v>
      </c>
      <c r="U106" s="147"/>
      <c r="V106" s="398"/>
      <c r="W106" s="91" t="str">
        <f t="shared" si="31"/>
        <v>N</v>
      </c>
      <c r="X106" s="91"/>
      <c r="Y106" s="91"/>
    </row>
    <row r="107" s="61" customFormat="1" ht="21.95" customHeight="1" spans="1:25">
      <c r="A107" s="147"/>
      <c r="B107" s="74" t="s">
        <v>749</v>
      </c>
      <c r="C107" s="147"/>
      <c r="D107" s="147"/>
      <c r="E107" s="147">
        <v>968</v>
      </c>
      <c r="F107" s="147">
        <v>264</v>
      </c>
      <c r="G107" s="147">
        <v>968</v>
      </c>
      <c r="H107" s="147">
        <v>2018</v>
      </c>
      <c r="I107" s="147">
        <v>2020</v>
      </c>
      <c r="J107" s="147" t="s">
        <v>320</v>
      </c>
      <c r="K107" s="147" t="s">
        <v>320</v>
      </c>
      <c r="L107" s="147" t="s">
        <v>320</v>
      </c>
      <c r="M107" s="147" t="s">
        <v>320</v>
      </c>
      <c r="N107" s="122"/>
      <c r="O107" s="122"/>
      <c r="P107" s="122"/>
      <c r="Q107" s="122"/>
      <c r="R107" s="122"/>
      <c r="S107" s="71" t="s">
        <v>750</v>
      </c>
      <c r="T107" s="71" t="s">
        <v>751</v>
      </c>
      <c r="U107" s="147"/>
      <c r="V107" s="398"/>
      <c r="W107" s="91" t="str">
        <f t="shared" si="31"/>
        <v>N</v>
      </c>
      <c r="X107" s="91"/>
      <c r="Y107" s="91"/>
    </row>
    <row r="108" s="61" customFormat="1" ht="21.95" customHeight="1" spans="1:25">
      <c r="A108" s="147"/>
      <c r="B108" s="74" t="s">
        <v>755</v>
      </c>
      <c r="C108" s="147"/>
      <c r="D108" s="147"/>
      <c r="E108" s="147">
        <v>715</v>
      </c>
      <c r="F108" s="147">
        <v>180</v>
      </c>
      <c r="G108" s="147">
        <v>715</v>
      </c>
      <c r="H108" s="147">
        <v>2018</v>
      </c>
      <c r="I108" s="147">
        <v>2020</v>
      </c>
      <c r="J108" s="147" t="s">
        <v>320</v>
      </c>
      <c r="K108" s="147" t="s">
        <v>320</v>
      </c>
      <c r="L108" s="147" t="s">
        <v>320</v>
      </c>
      <c r="M108" s="147" t="s">
        <v>320</v>
      </c>
      <c r="N108" s="122"/>
      <c r="O108" s="122"/>
      <c r="P108" s="122"/>
      <c r="Q108" s="122"/>
      <c r="R108" s="122"/>
      <c r="S108" s="71" t="s">
        <v>756</v>
      </c>
      <c r="T108" s="71" t="s">
        <v>757</v>
      </c>
      <c r="U108" s="147"/>
      <c r="V108" s="398"/>
      <c r="W108" s="91" t="str">
        <f t="shared" si="31"/>
        <v>N</v>
      </c>
      <c r="X108" s="91"/>
      <c r="Y108" s="91"/>
    </row>
    <row r="109" s="61" customFormat="1" ht="21.95" customHeight="1" spans="1:25">
      <c r="A109" s="147"/>
      <c r="B109" s="74" t="s">
        <v>758</v>
      </c>
      <c r="C109" s="147"/>
      <c r="D109" s="147"/>
      <c r="E109" s="147">
        <v>973</v>
      </c>
      <c r="F109" s="147">
        <v>231</v>
      </c>
      <c r="G109" s="147">
        <v>973</v>
      </c>
      <c r="H109" s="147">
        <v>2018</v>
      </c>
      <c r="I109" s="147">
        <v>2020</v>
      </c>
      <c r="J109" s="147" t="s">
        <v>320</v>
      </c>
      <c r="K109" s="147" t="s">
        <v>320</v>
      </c>
      <c r="L109" s="147" t="s">
        <v>320</v>
      </c>
      <c r="M109" s="147" t="s">
        <v>320</v>
      </c>
      <c r="N109" s="673"/>
      <c r="O109" s="673"/>
      <c r="P109" s="673"/>
      <c r="Q109" s="673"/>
      <c r="R109" s="673"/>
      <c r="S109" s="71" t="s">
        <v>759</v>
      </c>
      <c r="T109" s="71" t="s">
        <v>760</v>
      </c>
      <c r="U109" s="147"/>
      <c r="V109" s="398"/>
      <c r="W109" s="91" t="str">
        <f t="shared" si="31"/>
        <v>N</v>
      </c>
      <c r="X109" s="91"/>
      <c r="Y109" s="91"/>
    </row>
    <row r="110" s="61" customFormat="1" ht="21.95" customHeight="1" spans="1:25">
      <c r="A110" s="147"/>
      <c r="B110" s="74" t="s">
        <v>767</v>
      </c>
      <c r="C110" s="147"/>
      <c r="D110" s="147"/>
      <c r="E110" s="147">
        <v>565</v>
      </c>
      <c r="F110" s="147">
        <v>132</v>
      </c>
      <c r="G110" s="147">
        <v>565</v>
      </c>
      <c r="H110" s="147">
        <v>2018</v>
      </c>
      <c r="I110" s="147">
        <v>2020</v>
      </c>
      <c r="J110" s="147" t="s">
        <v>320</v>
      </c>
      <c r="K110" s="147" t="s">
        <v>320</v>
      </c>
      <c r="L110" s="147" t="s">
        <v>320</v>
      </c>
      <c r="M110" s="147" t="s">
        <v>320</v>
      </c>
      <c r="N110" s="122"/>
      <c r="O110" s="122"/>
      <c r="P110" s="122"/>
      <c r="Q110" s="122"/>
      <c r="R110" s="122"/>
      <c r="S110" s="71" t="s">
        <v>768</v>
      </c>
      <c r="T110" s="71" t="s">
        <v>769</v>
      </c>
      <c r="U110" s="147"/>
      <c r="V110" s="398"/>
      <c r="W110" s="91" t="str">
        <f t="shared" si="31"/>
        <v>N</v>
      </c>
      <c r="X110" s="91"/>
      <c r="Y110" s="91"/>
    </row>
    <row r="111" s="61" customFormat="1" ht="21.95" customHeight="1" spans="1:25">
      <c r="A111" s="147"/>
      <c r="B111" s="74" t="s">
        <v>770</v>
      </c>
      <c r="C111" s="147"/>
      <c r="D111" s="147"/>
      <c r="E111" s="147">
        <v>885</v>
      </c>
      <c r="F111" s="147">
        <v>217</v>
      </c>
      <c r="G111" s="147">
        <v>885</v>
      </c>
      <c r="H111" s="147">
        <v>2018</v>
      </c>
      <c r="I111" s="147">
        <v>2020</v>
      </c>
      <c r="J111" s="147" t="s">
        <v>320</v>
      </c>
      <c r="K111" s="147" t="s">
        <v>320</v>
      </c>
      <c r="L111" s="147" t="s">
        <v>320</v>
      </c>
      <c r="M111" s="147" t="s">
        <v>320</v>
      </c>
      <c r="N111" s="674"/>
      <c r="O111" s="674"/>
      <c r="P111" s="674"/>
      <c r="Q111" s="674"/>
      <c r="R111" s="674"/>
      <c r="S111" s="71" t="s">
        <v>771</v>
      </c>
      <c r="T111" s="71" t="s">
        <v>772</v>
      </c>
      <c r="U111" s="147"/>
      <c r="V111" s="398"/>
      <c r="W111" s="91" t="str">
        <f t="shared" si="31"/>
        <v>N</v>
      </c>
      <c r="X111" s="91"/>
      <c r="Y111" s="91"/>
    </row>
    <row r="112" s="61" customFormat="1" ht="38.25" spans="1:25">
      <c r="A112" s="147">
        <v>18</v>
      </c>
      <c r="B112" s="74" t="s">
        <v>335</v>
      </c>
      <c r="C112" s="147" t="s">
        <v>320</v>
      </c>
      <c r="D112" s="71" t="s">
        <v>194</v>
      </c>
      <c r="E112" s="147">
        <v>1914</v>
      </c>
      <c r="F112" s="147">
        <v>1531</v>
      </c>
      <c r="G112" s="147">
        <v>1914</v>
      </c>
      <c r="H112" s="147">
        <v>2018</v>
      </c>
      <c r="I112" s="147">
        <v>2020</v>
      </c>
      <c r="J112" s="147">
        <v>90.03</v>
      </c>
      <c r="K112" s="147">
        <v>27.2</v>
      </c>
      <c r="L112" s="147">
        <v>29.92</v>
      </c>
      <c r="M112" s="147">
        <v>32.91</v>
      </c>
      <c r="N112" s="674">
        <v>90.03</v>
      </c>
      <c r="O112" s="674"/>
      <c r="P112" s="674"/>
      <c r="Q112" s="674"/>
      <c r="R112" s="674"/>
      <c r="S112" s="71" t="s">
        <v>781</v>
      </c>
      <c r="T112" s="71" t="s">
        <v>815</v>
      </c>
      <c r="U112" s="71" t="s">
        <v>358</v>
      </c>
      <c r="V112" s="74" t="s">
        <v>816</v>
      </c>
      <c r="W112" s="91" t="str">
        <f t="shared" si="31"/>
        <v>Y</v>
      </c>
      <c r="X112" s="91"/>
      <c r="Y112" s="91"/>
    </row>
    <row r="113" s="61" customFormat="1" ht="12.75" spans="1:25">
      <c r="A113" s="147"/>
      <c r="B113" s="74" t="s">
        <v>746</v>
      </c>
      <c r="C113" s="147"/>
      <c r="D113" s="71"/>
      <c r="E113" s="147">
        <v>301</v>
      </c>
      <c r="F113" s="147"/>
      <c r="G113" s="147">
        <v>301</v>
      </c>
      <c r="H113" s="147">
        <v>2018</v>
      </c>
      <c r="I113" s="147">
        <v>2020</v>
      </c>
      <c r="J113" s="147">
        <v>15.22</v>
      </c>
      <c r="K113" s="147">
        <v>4.6</v>
      </c>
      <c r="L113" s="147">
        <v>5.06</v>
      </c>
      <c r="M113" s="674">
        <v>5.56</v>
      </c>
      <c r="N113" s="147">
        <v>15.22</v>
      </c>
      <c r="O113" s="674"/>
      <c r="P113" s="674"/>
      <c r="Q113" s="674"/>
      <c r="R113" s="674"/>
      <c r="S113" s="147"/>
      <c r="T113" s="147"/>
      <c r="U113" s="147"/>
      <c r="V113" s="74"/>
      <c r="W113" s="91"/>
      <c r="X113" s="91"/>
      <c r="Y113" s="91"/>
    </row>
    <row r="114" s="61" customFormat="1" ht="12.75" spans="1:25">
      <c r="A114" s="147"/>
      <c r="B114" s="74" t="s">
        <v>752</v>
      </c>
      <c r="C114" s="147"/>
      <c r="D114" s="71"/>
      <c r="E114" s="147">
        <v>334</v>
      </c>
      <c r="F114" s="147"/>
      <c r="G114" s="147">
        <v>334</v>
      </c>
      <c r="H114" s="147">
        <v>2018</v>
      </c>
      <c r="I114" s="147">
        <v>2020</v>
      </c>
      <c r="J114" s="147">
        <v>15.56</v>
      </c>
      <c r="K114" s="147">
        <v>4.7</v>
      </c>
      <c r="L114" s="147">
        <v>5.17</v>
      </c>
      <c r="M114" s="674">
        <v>5.69</v>
      </c>
      <c r="N114" s="147">
        <v>15.56</v>
      </c>
      <c r="O114" s="674"/>
      <c r="P114" s="674"/>
      <c r="Q114" s="674"/>
      <c r="R114" s="674"/>
      <c r="S114" s="147"/>
      <c r="T114" s="147"/>
      <c r="U114" s="147"/>
      <c r="V114" s="74"/>
      <c r="W114" s="91"/>
      <c r="X114" s="91"/>
      <c r="Y114" s="91"/>
    </row>
    <row r="115" s="61" customFormat="1" ht="12.75" spans="1:25">
      <c r="A115" s="147"/>
      <c r="B115" s="74" t="s">
        <v>764</v>
      </c>
      <c r="C115" s="147"/>
      <c r="D115" s="71"/>
      <c r="E115" s="147">
        <v>98</v>
      </c>
      <c r="F115" s="147"/>
      <c r="G115" s="147">
        <v>98</v>
      </c>
      <c r="H115" s="147">
        <v>2018</v>
      </c>
      <c r="I115" s="147">
        <v>2020</v>
      </c>
      <c r="J115" s="147">
        <v>5.63</v>
      </c>
      <c r="K115" s="147">
        <v>1.7</v>
      </c>
      <c r="L115" s="147">
        <v>1.87</v>
      </c>
      <c r="M115" s="674">
        <v>2.06</v>
      </c>
      <c r="N115" s="147">
        <v>5.63</v>
      </c>
      <c r="O115" s="674"/>
      <c r="P115" s="674"/>
      <c r="Q115" s="674"/>
      <c r="R115" s="674"/>
      <c r="S115" s="147"/>
      <c r="T115" s="147"/>
      <c r="U115" s="147"/>
      <c r="V115" s="74"/>
      <c r="W115" s="91"/>
      <c r="X115" s="91"/>
      <c r="Y115" s="91"/>
    </row>
    <row r="116" s="61" customFormat="1" ht="12.75" spans="1:25">
      <c r="A116" s="147"/>
      <c r="B116" s="74" t="s">
        <v>749</v>
      </c>
      <c r="C116" s="147"/>
      <c r="D116" s="71"/>
      <c r="E116" s="147">
        <v>222</v>
      </c>
      <c r="F116" s="147"/>
      <c r="G116" s="147">
        <v>222</v>
      </c>
      <c r="H116" s="147">
        <v>2018</v>
      </c>
      <c r="I116" s="147">
        <v>2020</v>
      </c>
      <c r="J116" s="147">
        <v>8.94</v>
      </c>
      <c r="K116" s="147">
        <v>2.7</v>
      </c>
      <c r="L116" s="147">
        <v>2.97</v>
      </c>
      <c r="M116" s="674">
        <v>3.27</v>
      </c>
      <c r="N116" s="147">
        <v>8.94</v>
      </c>
      <c r="O116" s="674"/>
      <c r="P116" s="674"/>
      <c r="Q116" s="674"/>
      <c r="R116" s="674"/>
      <c r="S116" s="147"/>
      <c r="T116" s="147"/>
      <c r="U116" s="147"/>
      <c r="V116" s="74"/>
      <c r="W116" s="91"/>
      <c r="X116" s="91"/>
      <c r="Y116" s="91"/>
    </row>
    <row r="117" s="61" customFormat="1" ht="12.75" spans="1:25">
      <c r="A117" s="147"/>
      <c r="B117" s="74" t="s">
        <v>755</v>
      </c>
      <c r="C117" s="147"/>
      <c r="D117" s="71"/>
      <c r="E117" s="147">
        <v>252</v>
      </c>
      <c r="F117" s="147"/>
      <c r="G117" s="147">
        <v>252</v>
      </c>
      <c r="H117" s="147">
        <v>2018</v>
      </c>
      <c r="I117" s="147">
        <v>2020</v>
      </c>
      <c r="J117" s="147">
        <v>11.92</v>
      </c>
      <c r="K117" s="147">
        <v>3.6</v>
      </c>
      <c r="L117" s="147">
        <v>3.96</v>
      </c>
      <c r="M117" s="674">
        <v>4.36</v>
      </c>
      <c r="N117" s="147">
        <v>11.92</v>
      </c>
      <c r="O117" s="674"/>
      <c r="P117" s="674"/>
      <c r="Q117" s="674"/>
      <c r="R117" s="674"/>
      <c r="S117" s="147"/>
      <c r="T117" s="147"/>
      <c r="U117" s="147"/>
      <c r="V117" s="74"/>
      <c r="W117" s="91"/>
      <c r="X117" s="91"/>
      <c r="Y117" s="91"/>
    </row>
    <row r="118" s="61" customFormat="1" ht="12.75" spans="1:25">
      <c r="A118" s="147"/>
      <c r="B118" s="74" t="s">
        <v>758</v>
      </c>
      <c r="C118" s="147"/>
      <c r="D118" s="71"/>
      <c r="E118" s="147">
        <v>330</v>
      </c>
      <c r="F118" s="147"/>
      <c r="G118" s="147">
        <v>330</v>
      </c>
      <c r="H118" s="147">
        <v>2018</v>
      </c>
      <c r="I118" s="147">
        <v>2020</v>
      </c>
      <c r="J118" s="147">
        <v>15.56</v>
      </c>
      <c r="K118" s="147">
        <v>4.7</v>
      </c>
      <c r="L118" s="147">
        <v>5.17</v>
      </c>
      <c r="M118" s="674">
        <v>5.69</v>
      </c>
      <c r="N118" s="147">
        <v>15.56</v>
      </c>
      <c r="O118" s="674"/>
      <c r="P118" s="674"/>
      <c r="Q118" s="674"/>
      <c r="R118" s="674"/>
      <c r="S118" s="147"/>
      <c r="T118" s="147"/>
      <c r="U118" s="147"/>
      <c r="V118" s="74"/>
      <c r="W118" s="91"/>
      <c r="X118" s="91"/>
      <c r="Y118" s="91"/>
    </row>
    <row r="119" s="61" customFormat="1" ht="12.75" spans="1:25">
      <c r="A119" s="147"/>
      <c r="B119" s="74" t="s">
        <v>767</v>
      </c>
      <c r="C119" s="147"/>
      <c r="D119" s="71"/>
      <c r="E119" s="147">
        <v>164</v>
      </c>
      <c r="F119" s="147"/>
      <c r="G119" s="147">
        <v>164</v>
      </c>
      <c r="H119" s="147">
        <v>2018</v>
      </c>
      <c r="I119" s="147">
        <v>2020</v>
      </c>
      <c r="J119" s="147">
        <v>7.61</v>
      </c>
      <c r="K119" s="147">
        <v>2.3</v>
      </c>
      <c r="L119" s="147">
        <v>2.53</v>
      </c>
      <c r="M119" s="674">
        <v>2.78</v>
      </c>
      <c r="N119" s="147">
        <v>7.61</v>
      </c>
      <c r="O119" s="674"/>
      <c r="P119" s="674"/>
      <c r="Q119" s="674"/>
      <c r="R119" s="674"/>
      <c r="S119" s="147"/>
      <c r="T119" s="147"/>
      <c r="U119" s="147"/>
      <c r="V119" s="74"/>
      <c r="W119" s="91"/>
      <c r="X119" s="91"/>
      <c r="Y119" s="91"/>
    </row>
    <row r="120" s="61" customFormat="1" ht="12.75" spans="1:25">
      <c r="A120" s="147"/>
      <c r="B120" s="74" t="s">
        <v>770</v>
      </c>
      <c r="C120" s="147"/>
      <c r="D120" s="71"/>
      <c r="E120" s="147">
        <v>213</v>
      </c>
      <c r="F120" s="147"/>
      <c r="G120" s="147">
        <v>213</v>
      </c>
      <c r="H120" s="147">
        <v>2018</v>
      </c>
      <c r="I120" s="147">
        <v>2020</v>
      </c>
      <c r="J120" s="147">
        <v>9.59</v>
      </c>
      <c r="K120" s="147">
        <v>2.9</v>
      </c>
      <c r="L120" s="147">
        <v>3.19</v>
      </c>
      <c r="M120" s="147">
        <v>3.5</v>
      </c>
      <c r="N120" s="147">
        <v>9.59</v>
      </c>
      <c r="O120" s="674"/>
      <c r="P120" s="674"/>
      <c r="Q120" s="674"/>
      <c r="R120" s="674"/>
      <c r="S120" s="147"/>
      <c r="T120" s="147"/>
      <c r="U120" s="147"/>
      <c r="V120" s="74"/>
      <c r="W120" s="91"/>
      <c r="X120" s="91"/>
      <c r="Y120" s="91"/>
    </row>
    <row r="121" s="61" customFormat="1" ht="12.75" spans="1:25">
      <c r="A121" s="147">
        <v>19</v>
      </c>
      <c r="B121" s="74" t="s">
        <v>355</v>
      </c>
      <c r="C121" s="147" t="s">
        <v>320</v>
      </c>
      <c r="D121" s="71" t="s">
        <v>147</v>
      </c>
      <c r="E121" s="147">
        <v>10</v>
      </c>
      <c r="F121" s="147">
        <v>10</v>
      </c>
      <c r="G121" s="147">
        <v>10</v>
      </c>
      <c r="H121" s="147">
        <v>2018</v>
      </c>
      <c r="I121" s="147">
        <v>2020</v>
      </c>
      <c r="J121" s="147" t="s">
        <v>320</v>
      </c>
      <c r="K121" s="147" t="s">
        <v>320</v>
      </c>
      <c r="L121" s="147" t="s">
        <v>320</v>
      </c>
      <c r="M121" s="147" t="s">
        <v>320</v>
      </c>
      <c r="N121" s="674"/>
      <c r="O121" s="674"/>
      <c r="P121" s="674"/>
      <c r="Q121" s="674"/>
      <c r="R121" s="674"/>
      <c r="S121" s="71" t="s">
        <v>781</v>
      </c>
      <c r="T121" s="71" t="s">
        <v>815</v>
      </c>
      <c r="U121" s="71" t="s">
        <v>358</v>
      </c>
      <c r="V121" s="74" t="s">
        <v>817</v>
      </c>
      <c r="W121" s="91" t="str">
        <f t="shared" ref="W121:W130" si="44">IF(SUM(N121:R121)=J121,"Y","N")</f>
        <v>N</v>
      </c>
      <c r="X121" s="91"/>
      <c r="Y121" s="91"/>
    </row>
    <row r="122" s="61" customFormat="1" ht="21.95" customHeight="1" spans="1:25">
      <c r="A122" s="147"/>
      <c r="B122" s="74" t="s">
        <v>746</v>
      </c>
      <c r="C122" s="147"/>
      <c r="D122" s="147"/>
      <c r="E122" s="147">
        <v>3</v>
      </c>
      <c r="F122" s="147">
        <v>3</v>
      </c>
      <c r="G122" s="147">
        <v>3</v>
      </c>
      <c r="H122" s="147">
        <v>2018</v>
      </c>
      <c r="I122" s="147">
        <v>2020</v>
      </c>
      <c r="J122" s="147" t="s">
        <v>320</v>
      </c>
      <c r="K122" s="147" t="s">
        <v>320</v>
      </c>
      <c r="L122" s="147" t="s">
        <v>320</v>
      </c>
      <c r="M122" s="147" t="s">
        <v>320</v>
      </c>
      <c r="N122" s="674"/>
      <c r="O122" s="674"/>
      <c r="P122" s="674"/>
      <c r="Q122" s="674"/>
      <c r="R122" s="674"/>
      <c r="S122" s="71" t="s">
        <v>747</v>
      </c>
      <c r="T122" s="71" t="s">
        <v>748</v>
      </c>
      <c r="U122" s="147"/>
      <c r="V122" s="398"/>
      <c r="W122" s="91" t="str">
        <f t="shared" si="44"/>
        <v>N</v>
      </c>
      <c r="X122" s="91"/>
      <c r="Y122" s="91"/>
    </row>
    <row r="123" s="61" customFormat="1" ht="21.95" customHeight="1" spans="1:25">
      <c r="A123" s="147"/>
      <c r="B123" s="74" t="s">
        <v>752</v>
      </c>
      <c r="C123" s="147"/>
      <c r="D123" s="147"/>
      <c r="E123" s="147">
        <v>0</v>
      </c>
      <c r="F123" s="147">
        <v>0</v>
      </c>
      <c r="G123" s="147">
        <v>0</v>
      </c>
      <c r="H123" s="147">
        <v>2018</v>
      </c>
      <c r="I123" s="147">
        <v>2020</v>
      </c>
      <c r="J123" s="147" t="s">
        <v>320</v>
      </c>
      <c r="K123" s="147" t="s">
        <v>320</v>
      </c>
      <c r="L123" s="147" t="s">
        <v>320</v>
      </c>
      <c r="M123" s="147" t="s">
        <v>320</v>
      </c>
      <c r="N123" s="674"/>
      <c r="O123" s="674"/>
      <c r="P123" s="674"/>
      <c r="Q123" s="674"/>
      <c r="R123" s="674"/>
      <c r="S123" s="71" t="s">
        <v>753</v>
      </c>
      <c r="T123" s="71" t="s">
        <v>754</v>
      </c>
      <c r="U123" s="147"/>
      <c r="V123" s="398"/>
      <c r="W123" s="91" t="str">
        <f t="shared" si="44"/>
        <v>N</v>
      </c>
      <c r="X123" s="91"/>
      <c r="Y123" s="91"/>
    </row>
    <row r="124" s="61" customFormat="1" ht="21.95" customHeight="1" spans="1:25">
      <c r="A124" s="147"/>
      <c r="B124" s="74" t="s">
        <v>764</v>
      </c>
      <c r="C124" s="147"/>
      <c r="D124" s="147"/>
      <c r="E124" s="147">
        <v>1</v>
      </c>
      <c r="F124" s="147">
        <v>1</v>
      </c>
      <c r="G124" s="147">
        <v>1</v>
      </c>
      <c r="H124" s="147">
        <v>2018</v>
      </c>
      <c r="I124" s="147">
        <v>2020</v>
      </c>
      <c r="J124" s="147" t="s">
        <v>320</v>
      </c>
      <c r="K124" s="147" t="s">
        <v>320</v>
      </c>
      <c r="L124" s="147" t="s">
        <v>320</v>
      </c>
      <c r="M124" s="147" t="s">
        <v>320</v>
      </c>
      <c r="N124" s="674"/>
      <c r="O124" s="674"/>
      <c r="P124" s="674"/>
      <c r="Q124" s="674"/>
      <c r="R124" s="674"/>
      <c r="S124" s="71" t="s">
        <v>765</v>
      </c>
      <c r="T124" s="71" t="s">
        <v>766</v>
      </c>
      <c r="U124" s="147"/>
      <c r="V124" s="398"/>
      <c r="W124" s="91" t="str">
        <f t="shared" si="44"/>
        <v>N</v>
      </c>
      <c r="X124" s="91"/>
      <c r="Y124" s="91"/>
    </row>
    <row r="125" s="61" customFormat="1" ht="21.95" customHeight="1" spans="1:25">
      <c r="A125" s="147"/>
      <c r="B125" s="74" t="s">
        <v>749</v>
      </c>
      <c r="C125" s="147"/>
      <c r="D125" s="147"/>
      <c r="E125" s="147">
        <v>2</v>
      </c>
      <c r="F125" s="147">
        <v>2</v>
      </c>
      <c r="G125" s="147">
        <v>2</v>
      </c>
      <c r="H125" s="147">
        <v>2018</v>
      </c>
      <c r="I125" s="147">
        <v>2020</v>
      </c>
      <c r="J125" s="147" t="s">
        <v>320</v>
      </c>
      <c r="K125" s="147" t="s">
        <v>320</v>
      </c>
      <c r="L125" s="147" t="s">
        <v>320</v>
      </c>
      <c r="M125" s="147" t="s">
        <v>320</v>
      </c>
      <c r="N125" s="674"/>
      <c r="O125" s="674"/>
      <c r="P125" s="674"/>
      <c r="Q125" s="674"/>
      <c r="R125" s="674"/>
      <c r="S125" s="71" t="s">
        <v>750</v>
      </c>
      <c r="T125" s="71" t="s">
        <v>751</v>
      </c>
      <c r="U125" s="147"/>
      <c r="V125" s="398"/>
      <c r="W125" s="91" t="str">
        <f t="shared" si="44"/>
        <v>N</v>
      </c>
      <c r="X125" s="91"/>
      <c r="Y125" s="91"/>
    </row>
    <row r="126" s="61" customFormat="1" ht="21.95" customHeight="1" spans="1:25">
      <c r="A126" s="147"/>
      <c r="B126" s="74" t="s">
        <v>755</v>
      </c>
      <c r="C126" s="147"/>
      <c r="D126" s="147"/>
      <c r="E126" s="147">
        <v>4</v>
      </c>
      <c r="F126" s="147">
        <v>4</v>
      </c>
      <c r="G126" s="147">
        <v>4</v>
      </c>
      <c r="H126" s="147">
        <v>2018</v>
      </c>
      <c r="I126" s="147">
        <v>2020</v>
      </c>
      <c r="J126" s="147" t="s">
        <v>320</v>
      </c>
      <c r="K126" s="147" t="s">
        <v>320</v>
      </c>
      <c r="L126" s="147" t="s">
        <v>320</v>
      </c>
      <c r="M126" s="147" t="s">
        <v>320</v>
      </c>
      <c r="N126" s="674"/>
      <c r="O126" s="674"/>
      <c r="P126" s="674"/>
      <c r="Q126" s="674"/>
      <c r="R126" s="674"/>
      <c r="S126" s="71" t="s">
        <v>756</v>
      </c>
      <c r="T126" s="71" t="s">
        <v>757</v>
      </c>
      <c r="U126" s="147"/>
      <c r="V126" s="398"/>
      <c r="W126" s="91" t="str">
        <f t="shared" si="44"/>
        <v>N</v>
      </c>
      <c r="X126" s="91"/>
      <c r="Y126" s="91"/>
    </row>
    <row r="127" s="61" customFormat="1" ht="21.95" customHeight="1" spans="1:25">
      <c r="A127" s="147"/>
      <c r="B127" s="74" t="s">
        <v>758</v>
      </c>
      <c r="C127" s="147"/>
      <c r="D127" s="147"/>
      <c r="E127" s="147">
        <v>0</v>
      </c>
      <c r="F127" s="147">
        <v>0</v>
      </c>
      <c r="G127" s="147">
        <v>0</v>
      </c>
      <c r="H127" s="147">
        <v>2018</v>
      </c>
      <c r="I127" s="147">
        <v>2020</v>
      </c>
      <c r="J127" s="147" t="s">
        <v>320</v>
      </c>
      <c r="K127" s="147" t="s">
        <v>320</v>
      </c>
      <c r="L127" s="147" t="s">
        <v>320</v>
      </c>
      <c r="M127" s="147" t="s">
        <v>320</v>
      </c>
      <c r="N127" s="674"/>
      <c r="O127" s="674"/>
      <c r="P127" s="674"/>
      <c r="Q127" s="674"/>
      <c r="R127" s="674"/>
      <c r="S127" s="71" t="s">
        <v>759</v>
      </c>
      <c r="T127" s="71" t="s">
        <v>760</v>
      </c>
      <c r="U127" s="147"/>
      <c r="V127" s="398"/>
      <c r="W127" s="91" t="str">
        <f t="shared" si="44"/>
        <v>N</v>
      </c>
      <c r="X127" s="91"/>
      <c r="Y127" s="91"/>
    </row>
    <row r="128" s="61" customFormat="1" ht="21.95" customHeight="1" spans="1:25">
      <c r="A128" s="147"/>
      <c r="B128" s="74" t="s">
        <v>767</v>
      </c>
      <c r="C128" s="147"/>
      <c r="D128" s="147"/>
      <c r="E128" s="147">
        <v>0</v>
      </c>
      <c r="F128" s="147">
        <v>0</v>
      </c>
      <c r="G128" s="147">
        <v>0</v>
      </c>
      <c r="H128" s="147">
        <v>2018</v>
      </c>
      <c r="I128" s="147">
        <v>2020</v>
      </c>
      <c r="J128" s="147" t="s">
        <v>320</v>
      </c>
      <c r="K128" s="147" t="s">
        <v>320</v>
      </c>
      <c r="L128" s="147" t="s">
        <v>320</v>
      </c>
      <c r="M128" s="147" t="s">
        <v>320</v>
      </c>
      <c r="N128" s="674"/>
      <c r="O128" s="674"/>
      <c r="P128" s="674"/>
      <c r="Q128" s="674"/>
      <c r="R128" s="674"/>
      <c r="S128" s="71" t="s">
        <v>768</v>
      </c>
      <c r="T128" s="71" t="s">
        <v>769</v>
      </c>
      <c r="U128" s="147"/>
      <c r="V128" s="398"/>
      <c r="W128" s="91" t="str">
        <f t="shared" si="44"/>
        <v>N</v>
      </c>
      <c r="X128" s="91"/>
      <c r="Y128" s="91"/>
    </row>
    <row r="129" s="61" customFormat="1" ht="21.95" customHeight="1" spans="1:25">
      <c r="A129" s="147"/>
      <c r="B129" s="74" t="s">
        <v>770</v>
      </c>
      <c r="C129" s="147"/>
      <c r="D129" s="147"/>
      <c r="E129" s="147">
        <v>0</v>
      </c>
      <c r="F129" s="147">
        <v>0</v>
      </c>
      <c r="G129" s="147">
        <v>0</v>
      </c>
      <c r="H129" s="147">
        <v>2018</v>
      </c>
      <c r="I129" s="147">
        <v>2020</v>
      </c>
      <c r="J129" s="147" t="s">
        <v>320</v>
      </c>
      <c r="K129" s="147" t="s">
        <v>320</v>
      </c>
      <c r="L129" s="147" t="s">
        <v>320</v>
      </c>
      <c r="M129" s="147" t="s">
        <v>320</v>
      </c>
      <c r="N129" s="674"/>
      <c r="O129" s="674"/>
      <c r="P129" s="674"/>
      <c r="Q129" s="674"/>
      <c r="R129" s="674"/>
      <c r="S129" s="71" t="s">
        <v>771</v>
      </c>
      <c r="T129" s="71" t="s">
        <v>772</v>
      </c>
      <c r="U129" s="147"/>
      <c r="V129" s="398"/>
      <c r="W129" s="91" t="str">
        <f t="shared" si="44"/>
        <v>N</v>
      </c>
      <c r="X129" s="91"/>
      <c r="Y129" s="91"/>
    </row>
    <row r="130" s="61" customFormat="1" ht="38.25" spans="1:25">
      <c r="A130" s="147">
        <v>20</v>
      </c>
      <c r="B130" s="74" t="s">
        <v>370</v>
      </c>
      <c r="C130" s="147" t="s">
        <v>320</v>
      </c>
      <c r="D130" s="71" t="s">
        <v>194</v>
      </c>
      <c r="E130" s="147">
        <v>1770</v>
      </c>
      <c r="F130" s="147">
        <f>G130*0.8</f>
        <v>1416</v>
      </c>
      <c r="G130" s="147">
        <v>1770</v>
      </c>
      <c r="H130" s="147">
        <v>2018</v>
      </c>
      <c r="I130" s="147">
        <v>2020</v>
      </c>
      <c r="J130" s="147">
        <v>40.14</v>
      </c>
      <c r="K130" s="147">
        <v>12.22</v>
      </c>
      <c r="L130" s="147">
        <v>13.14</v>
      </c>
      <c r="M130" s="147">
        <v>14.78</v>
      </c>
      <c r="N130" s="674">
        <v>40.14</v>
      </c>
      <c r="O130" s="674"/>
      <c r="P130" s="674"/>
      <c r="Q130" s="674"/>
      <c r="R130" s="674"/>
      <c r="S130" s="71" t="s">
        <v>781</v>
      </c>
      <c r="T130" s="71" t="s">
        <v>815</v>
      </c>
      <c r="U130" s="71" t="s">
        <v>358</v>
      </c>
      <c r="V130" s="74" t="s">
        <v>818</v>
      </c>
      <c r="W130" s="91" t="str">
        <f t="shared" si="44"/>
        <v>Y</v>
      </c>
      <c r="X130" s="91"/>
      <c r="Y130" s="91"/>
    </row>
    <row r="131" s="61" customFormat="1" ht="12.75" spans="1:25">
      <c r="A131" s="147"/>
      <c r="B131" s="74" t="s">
        <v>746</v>
      </c>
      <c r="C131" s="147"/>
      <c r="D131" s="147"/>
      <c r="E131" s="147">
        <v>275</v>
      </c>
      <c r="F131" s="147"/>
      <c r="G131" s="147">
        <v>275</v>
      </c>
      <c r="H131" s="147">
        <v>2018</v>
      </c>
      <c r="I131" s="147">
        <v>2020</v>
      </c>
      <c r="J131" s="147">
        <v>6.74</v>
      </c>
      <c r="K131" s="147">
        <v>2.04</v>
      </c>
      <c r="L131" s="147">
        <v>2.24</v>
      </c>
      <c r="M131" s="147">
        <v>2.46</v>
      </c>
      <c r="N131" s="147">
        <v>6.74</v>
      </c>
      <c r="O131" s="674"/>
      <c r="P131" s="674"/>
      <c r="Q131" s="674"/>
      <c r="R131" s="674"/>
      <c r="S131" s="147"/>
      <c r="T131" s="147"/>
      <c r="U131" s="147"/>
      <c r="V131" s="74"/>
      <c r="W131" s="91"/>
      <c r="X131" s="91"/>
      <c r="Y131" s="91"/>
    </row>
    <row r="132" s="61" customFormat="1" ht="12.75" spans="1:25">
      <c r="A132" s="147"/>
      <c r="B132" s="74" t="s">
        <v>752</v>
      </c>
      <c r="C132" s="147"/>
      <c r="D132" s="147"/>
      <c r="E132" s="147">
        <v>288</v>
      </c>
      <c r="F132" s="147"/>
      <c r="G132" s="147">
        <v>288</v>
      </c>
      <c r="H132" s="147">
        <v>2018</v>
      </c>
      <c r="I132" s="147">
        <v>2020</v>
      </c>
      <c r="J132" s="147">
        <v>4.81</v>
      </c>
      <c r="K132" s="147">
        <v>1.45</v>
      </c>
      <c r="L132" s="147">
        <v>1.6</v>
      </c>
      <c r="M132" s="147">
        <v>1.76</v>
      </c>
      <c r="N132" s="147">
        <v>4.81</v>
      </c>
      <c r="O132" s="674"/>
      <c r="P132" s="674"/>
      <c r="Q132" s="674"/>
      <c r="R132" s="674"/>
      <c r="S132" s="147"/>
      <c r="T132" s="147"/>
      <c r="U132" s="147"/>
      <c r="V132" s="74"/>
      <c r="W132" s="91"/>
      <c r="X132" s="91"/>
      <c r="Y132" s="91"/>
    </row>
    <row r="133" s="61" customFormat="1" ht="12.75" spans="1:25">
      <c r="A133" s="147"/>
      <c r="B133" s="74" t="s">
        <v>764</v>
      </c>
      <c r="C133" s="147"/>
      <c r="D133" s="147"/>
      <c r="E133" s="147">
        <v>88</v>
      </c>
      <c r="F133" s="147"/>
      <c r="G133" s="147">
        <v>88</v>
      </c>
      <c r="H133" s="147">
        <v>2018</v>
      </c>
      <c r="I133" s="147">
        <v>2020</v>
      </c>
      <c r="J133" s="147">
        <v>4.9</v>
      </c>
      <c r="K133" s="147">
        <v>1.48</v>
      </c>
      <c r="L133" s="147">
        <v>1.63</v>
      </c>
      <c r="M133" s="147">
        <v>1.79</v>
      </c>
      <c r="N133" s="147">
        <v>4.9</v>
      </c>
      <c r="O133" s="674"/>
      <c r="P133" s="674"/>
      <c r="Q133" s="674"/>
      <c r="R133" s="674"/>
      <c r="S133" s="147"/>
      <c r="T133" s="147"/>
      <c r="U133" s="147"/>
      <c r="V133" s="74"/>
      <c r="W133" s="91"/>
      <c r="X133" s="91"/>
      <c r="Y133" s="91"/>
    </row>
    <row r="134" s="61" customFormat="1" ht="12.75" spans="1:25">
      <c r="A134" s="147"/>
      <c r="B134" s="74" t="s">
        <v>749</v>
      </c>
      <c r="C134" s="147"/>
      <c r="D134" s="147"/>
      <c r="E134" s="147">
        <v>219</v>
      </c>
      <c r="F134" s="147"/>
      <c r="G134" s="147">
        <v>219</v>
      </c>
      <c r="H134" s="147">
        <v>2018</v>
      </c>
      <c r="I134" s="147">
        <v>2020</v>
      </c>
      <c r="J134" s="147">
        <v>3.7</v>
      </c>
      <c r="K134" s="147">
        <v>1.12</v>
      </c>
      <c r="L134" s="147">
        <v>1.23</v>
      </c>
      <c r="M134" s="147">
        <v>1.35</v>
      </c>
      <c r="N134" s="147">
        <v>3.7</v>
      </c>
      <c r="O134" s="674"/>
      <c r="P134" s="674"/>
      <c r="Q134" s="674"/>
      <c r="R134" s="674"/>
      <c r="S134" s="147"/>
      <c r="T134" s="147"/>
      <c r="U134" s="147"/>
      <c r="V134" s="74"/>
      <c r="W134" s="91"/>
      <c r="X134" s="91"/>
      <c r="Y134" s="91"/>
    </row>
    <row r="135" s="61" customFormat="1" ht="12.75" spans="1:25">
      <c r="A135" s="147"/>
      <c r="B135" s="74" t="s">
        <v>755</v>
      </c>
      <c r="C135" s="147"/>
      <c r="D135" s="147"/>
      <c r="E135" s="147">
        <v>259</v>
      </c>
      <c r="F135" s="147"/>
      <c r="G135" s="147">
        <v>259</v>
      </c>
      <c r="H135" s="147">
        <v>2018</v>
      </c>
      <c r="I135" s="147">
        <v>2020</v>
      </c>
      <c r="J135" s="147">
        <v>5.69</v>
      </c>
      <c r="K135" s="147">
        <v>1.72</v>
      </c>
      <c r="L135" s="147">
        <v>1.89</v>
      </c>
      <c r="M135" s="147">
        <v>2.08</v>
      </c>
      <c r="N135" s="147">
        <v>5.69</v>
      </c>
      <c r="O135" s="674"/>
      <c r="P135" s="674"/>
      <c r="Q135" s="674"/>
      <c r="R135" s="674"/>
      <c r="S135" s="147"/>
      <c r="T135" s="147"/>
      <c r="U135" s="147"/>
      <c r="V135" s="74"/>
      <c r="W135" s="91"/>
      <c r="X135" s="91"/>
      <c r="Y135" s="91"/>
    </row>
    <row r="136" s="61" customFormat="1" ht="12.75" spans="1:25">
      <c r="A136" s="147"/>
      <c r="B136" s="74" t="s">
        <v>758</v>
      </c>
      <c r="C136" s="147"/>
      <c r="D136" s="147"/>
      <c r="E136" s="147">
        <v>285</v>
      </c>
      <c r="F136" s="147"/>
      <c r="G136" s="147">
        <v>285</v>
      </c>
      <c r="H136" s="147">
        <v>2018</v>
      </c>
      <c r="I136" s="147">
        <v>2020</v>
      </c>
      <c r="J136" s="147">
        <v>10.5</v>
      </c>
      <c r="K136" s="147">
        <v>3.17</v>
      </c>
      <c r="L136" s="147">
        <v>3.49</v>
      </c>
      <c r="M136" s="147">
        <v>3.84</v>
      </c>
      <c r="N136" s="147">
        <v>10.5</v>
      </c>
      <c r="O136" s="674"/>
      <c r="P136" s="674"/>
      <c r="Q136" s="674"/>
      <c r="R136" s="674"/>
      <c r="S136" s="147"/>
      <c r="T136" s="147"/>
      <c r="U136" s="147"/>
      <c r="V136" s="74"/>
      <c r="W136" s="91"/>
      <c r="X136" s="91"/>
      <c r="Y136" s="91"/>
    </row>
    <row r="137" s="61" customFormat="1" ht="12.75" spans="1:25">
      <c r="A137" s="147"/>
      <c r="B137" s="74" t="s">
        <v>767</v>
      </c>
      <c r="C137" s="147"/>
      <c r="D137" s="147"/>
      <c r="E137" s="147">
        <v>160</v>
      </c>
      <c r="F137" s="147"/>
      <c r="G137" s="147">
        <v>160</v>
      </c>
      <c r="H137" s="147">
        <v>2018</v>
      </c>
      <c r="I137" s="147">
        <v>2020</v>
      </c>
      <c r="J137" s="147">
        <v>1.59</v>
      </c>
      <c r="K137" s="147">
        <v>0.48</v>
      </c>
      <c r="L137" s="147">
        <v>0.53</v>
      </c>
      <c r="M137" s="147">
        <v>0.58</v>
      </c>
      <c r="N137" s="147">
        <v>1.59</v>
      </c>
      <c r="O137" s="674"/>
      <c r="P137" s="674"/>
      <c r="Q137" s="674"/>
      <c r="R137" s="674"/>
      <c r="S137" s="147"/>
      <c r="T137" s="147"/>
      <c r="U137" s="147"/>
      <c r="V137" s="74"/>
      <c r="W137" s="91"/>
      <c r="X137" s="91"/>
      <c r="Y137" s="91"/>
    </row>
    <row r="138" s="61" customFormat="1" ht="12.75" spans="1:25">
      <c r="A138" s="147"/>
      <c r="B138" s="74" t="s">
        <v>770</v>
      </c>
      <c r="C138" s="147"/>
      <c r="D138" s="147"/>
      <c r="E138" s="147">
        <v>196</v>
      </c>
      <c r="F138" s="147"/>
      <c r="G138" s="147">
        <v>196</v>
      </c>
      <c r="H138" s="147">
        <v>2018</v>
      </c>
      <c r="I138" s="147">
        <v>2020</v>
      </c>
      <c r="J138" s="147">
        <v>2.51</v>
      </c>
      <c r="K138" s="147">
        <v>0.76</v>
      </c>
      <c r="L138" s="147">
        <v>0.83</v>
      </c>
      <c r="M138" s="147">
        <v>0.92</v>
      </c>
      <c r="N138" s="147">
        <v>2.51</v>
      </c>
      <c r="O138" s="674"/>
      <c r="P138" s="674"/>
      <c r="Q138" s="674"/>
      <c r="R138" s="674"/>
      <c r="S138" s="147"/>
      <c r="T138" s="147"/>
      <c r="U138" s="147"/>
      <c r="V138" s="74"/>
      <c r="W138" s="91"/>
      <c r="X138" s="91"/>
      <c r="Y138" s="91"/>
    </row>
    <row r="139" s="61" customFormat="1" ht="21.95" customHeight="1" spans="1:25">
      <c r="A139" s="147">
        <v>21</v>
      </c>
      <c r="B139" s="74" t="s">
        <v>819</v>
      </c>
      <c r="C139" s="147" t="s">
        <v>320</v>
      </c>
      <c r="D139" s="147"/>
      <c r="E139" s="147"/>
      <c r="F139" s="147"/>
      <c r="G139" s="147"/>
      <c r="H139" s="147">
        <v>2018</v>
      </c>
      <c r="I139" s="147">
        <v>2020</v>
      </c>
      <c r="J139" s="147">
        <f t="shared" ref="J139:Q139" si="45">J169+J178</f>
        <v>190.591</v>
      </c>
      <c r="K139" s="147">
        <f t="shared" si="45"/>
        <v>15.7902</v>
      </c>
      <c r="L139" s="147">
        <f t="shared" si="45"/>
        <v>87.4004</v>
      </c>
      <c r="M139" s="147">
        <f t="shared" si="45"/>
        <v>87.4004</v>
      </c>
      <c r="N139" s="147">
        <f t="shared" si="45"/>
        <v>18</v>
      </c>
      <c r="O139" s="147">
        <f t="shared" si="45"/>
        <v>0</v>
      </c>
      <c r="P139" s="147">
        <f t="shared" si="45"/>
        <v>87.541</v>
      </c>
      <c r="Q139" s="147">
        <f t="shared" si="45"/>
        <v>85.05</v>
      </c>
      <c r="R139" s="147"/>
      <c r="S139" s="147"/>
      <c r="T139" s="147"/>
      <c r="U139" s="147" t="s">
        <v>320</v>
      </c>
      <c r="V139" s="74" t="s">
        <v>41</v>
      </c>
      <c r="W139" s="91" t="str">
        <f t="shared" ref="W139:W202" si="46">IF(SUM(N139:R139)=J139,"Y","N")</f>
        <v>Y</v>
      </c>
      <c r="X139" s="91"/>
      <c r="Y139" s="91"/>
    </row>
    <row r="140" s="61" customFormat="1" ht="21.95" customHeight="1" spans="1:25">
      <c r="A140" s="147">
        <v>22</v>
      </c>
      <c r="B140" s="74" t="s">
        <v>239</v>
      </c>
      <c r="C140" s="147" t="s">
        <v>320</v>
      </c>
      <c r="D140" s="71" t="s">
        <v>147</v>
      </c>
      <c r="E140" s="147">
        <f t="shared" ref="E140:G140" si="47">E141+E150+E159</f>
        <v>5387</v>
      </c>
      <c r="F140" s="147">
        <f t="shared" si="47"/>
        <v>1218</v>
      </c>
      <c r="G140" s="147">
        <f t="shared" si="47"/>
        <v>2046</v>
      </c>
      <c r="H140" s="147">
        <v>2018</v>
      </c>
      <c r="I140" s="147">
        <v>2020</v>
      </c>
      <c r="J140" s="147" t="s">
        <v>320</v>
      </c>
      <c r="K140" s="147" t="s">
        <v>320</v>
      </c>
      <c r="L140" s="147" t="s">
        <v>320</v>
      </c>
      <c r="M140" s="147" t="s">
        <v>320</v>
      </c>
      <c r="N140" s="674"/>
      <c r="O140" s="674"/>
      <c r="P140" s="674"/>
      <c r="Q140" s="674"/>
      <c r="R140" s="674"/>
      <c r="S140" s="147"/>
      <c r="T140" s="147"/>
      <c r="U140" s="147" t="s">
        <v>320</v>
      </c>
      <c r="V140" s="677" t="s">
        <v>41</v>
      </c>
      <c r="W140" s="91" t="str">
        <f t="shared" si="46"/>
        <v>N</v>
      </c>
      <c r="X140" s="91"/>
      <c r="Y140" s="91"/>
    </row>
    <row r="141" s="61" customFormat="1" ht="36.95" customHeight="1" spans="1:25">
      <c r="A141" s="147">
        <v>23</v>
      </c>
      <c r="B141" s="398" t="s">
        <v>820</v>
      </c>
      <c r="C141" s="147" t="s">
        <v>320</v>
      </c>
      <c r="D141" s="71" t="s">
        <v>147</v>
      </c>
      <c r="E141" s="147">
        <f t="shared" ref="E141:G141" si="48">E142+E143+E144+E145+E146+E147+E148+E149</f>
        <v>914</v>
      </c>
      <c r="F141" s="147">
        <f t="shared" si="48"/>
        <v>332</v>
      </c>
      <c r="G141" s="147">
        <f t="shared" si="48"/>
        <v>467</v>
      </c>
      <c r="H141" s="147">
        <v>2018</v>
      </c>
      <c r="I141" s="147">
        <v>2020</v>
      </c>
      <c r="J141" s="147" t="s">
        <v>320</v>
      </c>
      <c r="K141" s="147" t="s">
        <v>320</v>
      </c>
      <c r="L141" s="147" t="s">
        <v>320</v>
      </c>
      <c r="M141" s="147" t="s">
        <v>320</v>
      </c>
      <c r="N141" s="674"/>
      <c r="O141" s="674"/>
      <c r="P141" s="674"/>
      <c r="Q141" s="674"/>
      <c r="R141" s="674"/>
      <c r="S141" s="71" t="s">
        <v>781</v>
      </c>
      <c r="T141" s="71" t="s">
        <v>803</v>
      </c>
      <c r="U141" s="71" t="s">
        <v>195</v>
      </c>
      <c r="V141" s="74" t="s">
        <v>821</v>
      </c>
      <c r="W141" s="91" t="str">
        <f t="shared" si="46"/>
        <v>N</v>
      </c>
      <c r="X141" s="91"/>
      <c r="Y141" s="91"/>
    </row>
    <row r="142" s="61" customFormat="1" ht="21.95" customHeight="1" spans="1:25">
      <c r="A142" s="147"/>
      <c r="B142" s="74" t="s">
        <v>746</v>
      </c>
      <c r="C142" s="147"/>
      <c r="D142" s="147"/>
      <c r="E142" s="147">
        <v>92</v>
      </c>
      <c r="F142" s="147">
        <v>55</v>
      </c>
      <c r="G142" s="147">
        <v>67</v>
      </c>
      <c r="H142" s="147">
        <v>2018</v>
      </c>
      <c r="I142" s="147">
        <v>2020</v>
      </c>
      <c r="J142" s="147" t="s">
        <v>320</v>
      </c>
      <c r="K142" s="147" t="s">
        <v>320</v>
      </c>
      <c r="L142" s="147" t="s">
        <v>320</v>
      </c>
      <c r="M142" s="147" t="s">
        <v>320</v>
      </c>
      <c r="N142" s="674"/>
      <c r="O142" s="674"/>
      <c r="P142" s="674"/>
      <c r="Q142" s="674"/>
      <c r="R142" s="674"/>
      <c r="S142" s="71" t="s">
        <v>747</v>
      </c>
      <c r="T142" s="71" t="s">
        <v>786</v>
      </c>
      <c r="U142" s="147"/>
      <c r="V142" s="398"/>
      <c r="W142" s="91" t="str">
        <f t="shared" si="46"/>
        <v>N</v>
      </c>
      <c r="X142" s="91"/>
      <c r="Y142" s="91"/>
    </row>
    <row r="143" s="61" customFormat="1" ht="21.95" customHeight="1" spans="1:25">
      <c r="A143" s="147"/>
      <c r="B143" s="74" t="s">
        <v>752</v>
      </c>
      <c r="C143" s="147"/>
      <c r="D143" s="147"/>
      <c r="E143" s="147">
        <v>179</v>
      </c>
      <c r="F143" s="147">
        <v>77</v>
      </c>
      <c r="G143" s="674">
        <v>96</v>
      </c>
      <c r="H143" s="147">
        <v>2018</v>
      </c>
      <c r="I143" s="147">
        <v>2020</v>
      </c>
      <c r="J143" s="147" t="s">
        <v>320</v>
      </c>
      <c r="K143" s="147" t="s">
        <v>320</v>
      </c>
      <c r="L143" s="147" t="s">
        <v>320</v>
      </c>
      <c r="M143" s="147" t="s">
        <v>320</v>
      </c>
      <c r="N143" s="674"/>
      <c r="O143" s="674"/>
      <c r="P143" s="674"/>
      <c r="Q143" s="674"/>
      <c r="R143" s="674"/>
      <c r="S143" s="71" t="s">
        <v>753</v>
      </c>
      <c r="T143" s="71" t="s">
        <v>754</v>
      </c>
      <c r="U143" s="147"/>
      <c r="V143" s="398"/>
      <c r="W143" s="91" t="str">
        <f t="shared" si="46"/>
        <v>N</v>
      </c>
      <c r="X143" s="91"/>
      <c r="Y143" s="91"/>
    </row>
    <row r="144" s="61" customFormat="1" ht="21.95" customHeight="1" spans="1:25">
      <c r="A144" s="147"/>
      <c r="B144" s="74" t="s">
        <v>764</v>
      </c>
      <c r="C144" s="147"/>
      <c r="D144" s="147"/>
      <c r="E144" s="147">
        <v>62</v>
      </c>
      <c r="F144" s="147">
        <v>16</v>
      </c>
      <c r="G144" s="147">
        <v>26</v>
      </c>
      <c r="H144" s="147">
        <v>2018</v>
      </c>
      <c r="I144" s="147">
        <v>2020</v>
      </c>
      <c r="J144" s="147" t="s">
        <v>320</v>
      </c>
      <c r="K144" s="147" t="s">
        <v>320</v>
      </c>
      <c r="L144" s="147" t="s">
        <v>320</v>
      </c>
      <c r="M144" s="147" t="s">
        <v>320</v>
      </c>
      <c r="N144" s="674"/>
      <c r="O144" s="674"/>
      <c r="P144" s="674"/>
      <c r="Q144" s="674"/>
      <c r="R144" s="674"/>
      <c r="S144" s="71" t="s">
        <v>765</v>
      </c>
      <c r="T144" s="71" t="s">
        <v>766</v>
      </c>
      <c r="U144" s="147"/>
      <c r="V144" s="398"/>
      <c r="W144" s="91" t="str">
        <f t="shared" si="46"/>
        <v>N</v>
      </c>
      <c r="X144" s="91"/>
      <c r="Y144" s="91"/>
    </row>
    <row r="145" s="61" customFormat="1" ht="21.95" customHeight="1" spans="1:25">
      <c r="A145" s="147"/>
      <c r="B145" s="74" t="s">
        <v>749</v>
      </c>
      <c r="C145" s="147"/>
      <c r="D145" s="147"/>
      <c r="E145" s="147">
        <v>69</v>
      </c>
      <c r="F145" s="147">
        <v>51</v>
      </c>
      <c r="G145" s="147">
        <v>67</v>
      </c>
      <c r="H145" s="147">
        <v>2018</v>
      </c>
      <c r="I145" s="147">
        <v>2020</v>
      </c>
      <c r="J145" s="147" t="s">
        <v>320</v>
      </c>
      <c r="K145" s="147" t="s">
        <v>320</v>
      </c>
      <c r="L145" s="147" t="s">
        <v>320</v>
      </c>
      <c r="M145" s="147" t="s">
        <v>320</v>
      </c>
      <c r="N145" s="674"/>
      <c r="O145" s="674"/>
      <c r="P145" s="674"/>
      <c r="Q145" s="674"/>
      <c r="R145" s="674"/>
      <c r="S145" s="71" t="s">
        <v>750</v>
      </c>
      <c r="T145" s="71" t="s">
        <v>751</v>
      </c>
      <c r="U145" s="147"/>
      <c r="V145" s="398"/>
      <c r="W145" s="91" t="str">
        <f t="shared" si="46"/>
        <v>N</v>
      </c>
      <c r="X145" s="91"/>
      <c r="Y145" s="91"/>
    </row>
    <row r="146" s="61" customFormat="1" ht="21.95" customHeight="1" spans="1:25">
      <c r="A146" s="147"/>
      <c r="B146" s="74" t="s">
        <v>755</v>
      </c>
      <c r="C146" s="147"/>
      <c r="D146" s="147"/>
      <c r="E146" s="147">
        <v>154</v>
      </c>
      <c r="F146" s="147">
        <v>20</v>
      </c>
      <c r="G146" s="147">
        <v>43</v>
      </c>
      <c r="H146" s="147">
        <v>2018</v>
      </c>
      <c r="I146" s="147">
        <v>2020</v>
      </c>
      <c r="J146" s="147" t="s">
        <v>320</v>
      </c>
      <c r="K146" s="147" t="s">
        <v>320</v>
      </c>
      <c r="L146" s="147" t="s">
        <v>320</v>
      </c>
      <c r="M146" s="147" t="s">
        <v>320</v>
      </c>
      <c r="N146" s="674"/>
      <c r="O146" s="674"/>
      <c r="P146" s="674"/>
      <c r="Q146" s="674"/>
      <c r="R146" s="674"/>
      <c r="S146" s="71" t="s">
        <v>756</v>
      </c>
      <c r="T146" s="71" t="s">
        <v>822</v>
      </c>
      <c r="U146" s="147"/>
      <c r="V146" s="398"/>
      <c r="W146" s="91" t="str">
        <f t="shared" si="46"/>
        <v>N</v>
      </c>
      <c r="X146" s="91"/>
      <c r="Y146" s="91"/>
    </row>
    <row r="147" s="61" customFormat="1" ht="21.95" customHeight="1" spans="1:25">
      <c r="A147" s="147"/>
      <c r="B147" s="74" t="s">
        <v>758</v>
      </c>
      <c r="C147" s="147"/>
      <c r="D147" s="147"/>
      <c r="E147" s="147">
        <v>159</v>
      </c>
      <c r="F147" s="147">
        <v>67</v>
      </c>
      <c r="G147" s="147">
        <v>87</v>
      </c>
      <c r="H147" s="147">
        <v>2018</v>
      </c>
      <c r="I147" s="147">
        <v>2020</v>
      </c>
      <c r="J147" s="147" t="s">
        <v>320</v>
      </c>
      <c r="K147" s="147" t="s">
        <v>320</v>
      </c>
      <c r="L147" s="147" t="s">
        <v>320</v>
      </c>
      <c r="M147" s="147" t="s">
        <v>320</v>
      </c>
      <c r="N147" s="674"/>
      <c r="O147" s="674"/>
      <c r="P147" s="674"/>
      <c r="Q147" s="674"/>
      <c r="R147" s="674"/>
      <c r="S147" s="71" t="s">
        <v>759</v>
      </c>
      <c r="T147" s="71" t="s">
        <v>760</v>
      </c>
      <c r="U147" s="147"/>
      <c r="V147" s="398"/>
      <c r="W147" s="91" t="str">
        <f t="shared" si="46"/>
        <v>N</v>
      </c>
      <c r="X147" s="91"/>
      <c r="Y147" s="91"/>
    </row>
    <row r="148" s="61" customFormat="1" ht="21.95" customHeight="1" spans="1:25">
      <c r="A148" s="147"/>
      <c r="B148" s="74" t="s">
        <v>767</v>
      </c>
      <c r="C148" s="147"/>
      <c r="D148" s="147"/>
      <c r="E148" s="147">
        <v>61</v>
      </c>
      <c r="F148" s="147">
        <v>36</v>
      </c>
      <c r="G148" s="147">
        <v>61</v>
      </c>
      <c r="H148" s="147">
        <v>2018</v>
      </c>
      <c r="I148" s="147">
        <v>2020</v>
      </c>
      <c r="J148" s="147" t="s">
        <v>320</v>
      </c>
      <c r="K148" s="147" t="s">
        <v>320</v>
      </c>
      <c r="L148" s="147" t="s">
        <v>320</v>
      </c>
      <c r="M148" s="147" t="s">
        <v>320</v>
      </c>
      <c r="N148" s="674"/>
      <c r="O148" s="674"/>
      <c r="P148" s="674"/>
      <c r="Q148" s="674"/>
      <c r="R148" s="674"/>
      <c r="S148" s="71" t="s">
        <v>768</v>
      </c>
      <c r="T148" s="71" t="s">
        <v>769</v>
      </c>
      <c r="U148" s="147"/>
      <c r="V148" s="398"/>
      <c r="W148" s="91" t="str">
        <f t="shared" si="46"/>
        <v>N</v>
      </c>
      <c r="X148" s="91"/>
      <c r="Y148" s="91"/>
    </row>
    <row r="149" s="61" customFormat="1" ht="21.95" customHeight="1" spans="1:25">
      <c r="A149" s="147"/>
      <c r="B149" s="74" t="s">
        <v>770</v>
      </c>
      <c r="C149" s="147"/>
      <c r="D149" s="147"/>
      <c r="E149" s="147">
        <v>138</v>
      </c>
      <c r="F149" s="147">
        <v>10</v>
      </c>
      <c r="G149" s="147">
        <v>20</v>
      </c>
      <c r="H149" s="147">
        <v>2018</v>
      </c>
      <c r="I149" s="147">
        <v>2020</v>
      </c>
      <c r="J149" s="147" t="s">
        <v>320</v>
      </c>
      <c r="K149" s="147" t="s">
        <v>320</v>
      </c>
      <c r="L149" s="147" t="s">
        <v>320</v>
      </c>
      <c r="M149" s="147" t="s">
        <v>320</v>
      </c>
      <c r="N149" s="674"/>
      <c r="O149" s="674"/>
      <c r="P149" s="674"/>
      <c r="Q149" s="674"/>
      <c r="R149" s="674"/>
      <c r="S149" s="71" t="s">
        <v>771</v>
      </c>
      <c r="T149" s="71" t="s">
        <v>772</v>
      </c>
      <c r="U149" s="147"/>
      <c r="V149" s="398"/>
      <c r="W149" s="91" t="str">
        <f t="shared" si="46"/>
        <v>N</v>
      </c>
      <c r="X149" s="91"/>
      <c r="Y149" s="91"/>
    </row>
    <row r="150" s="61" customFormat="1" ht="12.75" spans="1:25">
      <c r="A150" s="147">
        <v>24</v>
      </c>
      <c r="B150" s="398" t="s">
        <v>823</v>
      </c>
      <c r="C150" s="147" t="s">
        <v>320</v>
      </c>
      <c r="D150" s="71" t="s">
        <v>147</v>
      </c>
      <c r="E150" s="147">
        <f t="shared" ref="E150:G150" si="49">E151+E152+E153+E154+E155+E156+E157+E158</f>
        <v>851</v>
      </c>
      <c r="F150" s="147">
        <f t="shared" si="49"/>
        <v>193</v>
      </c>
      <c r="G150" s="147">
        <f t="shared" si="49"/>
        <v>282</v>
      </c>
      <c r="H150" s="147">
        <v>2018</v>
      </c>
      <c r="I150" s="147">
        <v>2020</v>
      </c>
      <c r="J150" s="147" t="s">
        <v>320</v>
      </c>
      <c r="K150" s="147" t="s">
        <v>320</v>
      </c>
      <c r="L150" s="147" t="s">
        <v>320</v>
      </c>
      <c r="M150" s="147" t="s">
        <v>320</v>
      </c>
      <c r="N150" s="674"/>
      <c r="O150" s="674"/>
      <c r="P150" s="674"/>
      <c r="Q150" s="674"/>
      <c r="R150" s="674"/>
      <c r="S150" s="71" t="s">
        <v>781</v>
      </c>
      <c r="T150" s="71" t="s">
        <v>803</v>
      </c>
      <c r="U150" s="71" t="s">
        <v>195</v>
      </c>
      <c r="V150" s="74" t="s">
        <v>824</v>
      </c>
      <c r="W150" s="91" t="str">
        <f t="shared" si="46"/>
        <v>N</v>
      </c>
      <c r="X150" s="91"/>
      <c r="Y150" s="91"/>
    </row>
    <row r="151" s="61" customFormat="1" ht="21.95" customHeight="1" spans="1:25">
      <c r="A151" s="147"/>
      <c r="B151" s="74" t="s">
        <v>746</v>
      </c>
      <c r="C151" s="147"/>
      <c r="D151" s="147"/>
      <c r="E151" s="147">
        <v>158</v>
      </c>
      <c r="F151" s="147">
        <v>32</v>
      </c>
      <c r="G151" s="147">
        <v>47</v>
      </c>
      <c r="H151" s="147">
        <v>2018</v>
      </c>
      <c r="I151" s="147">
        <v>2020</v>
      </c>
      <c r="J151" s="147" t="s">
        <v>320</v>
      </c>
      <c r="K151" s="147" t="s">
        <v>320</v>
      </c>
      <c r="L151" s="147" t="s">
        <v>320</v>
      </c>
      <c r="M151" s="147" t="s">
        <v>320</v>
      </c>
      <c r="N151" s="674"/>
      <c r="O151" s="674"/>
      <c r="P151" s="674"/>
      <c r="Q151" s="674"/>
      <c r="R151" s="674"/>
      <c r="S151" s="71" t="s">
        <v>747</v>
      </c>
      <c r="T151" s="71" t="s">
        <v>748</v>
      </c>
      <c r="U151" s="147"/>
      <c r="V151" s="398"/>
      <c r="W151" s="91" t="str">
        <f t="shared" si="46"/>
        <v>N</v>
      </c>
      <c r="X151" s="91"/>
      <c r="Y151" s="91"/>
    </row>
    <row r="152" s="61" customFormat="1" ht="21.95" customHeight="1" spans="1:25">
      <c r="A152" s="147"/>
      <c r="B152" s="74" t="s">
        <v>752</v>
      </c>
      <c r="C152" s="147"/>
      <c r="D152" s="147"/>
      <c r="E152" s="147">
        <v>91</v>
      </c>
      <c r="F152" s="147">
        <v>34</v>
      </c>
      <c r="G152" s="147">
        <v>46</v>
      </c>
      <c r="H152" s="147">
        <v>2018</v>
      </c>
      <c r="I152" s="147">
        <v>2020</v>
      </c>
      <c r="J152" s="147" t="s">
        <v>320</v>
      </c>
      <c r="K152" s="147" t="s">
        <v>320</v>
      </c>
      <c r="L152" s="147" t="s">
        <v>320</v>
      </c>
      <c r="M152" s="147" t="s">
        <v>320</v>
      </c>
      <c r="N152" s="674"/>
      <c r="O152" s="674"/>
      <c r="P152" s="674"/>
      <c r="Q152" s="674"/>
      <c r="R152" s="674"/>
      <c r="S152" s="71" t="s">
        <v>753</v>
      </c>
      <c r="T152" s="71" t="s">
        <v>754</v>
      </c>
      <c r="U152" s="147"/>
      <c r="V152" s="398"/>
      <c r="W152" s="91" t="str">
        <f t="shared" si="46"/>
        <v>N</v>
      </c>
      <c r="X152" s="91"/>
      <c r="Y152" s="91"/>
    </row>
    <row r="153" s="61" customFormat="1" ht="21.95" customHeight="1" spans="1:25">
      <c r="A153" s="147"/>
      <c r="B153" s="74" t="s">
        <v>764</v>
      </c>
      <c r="C153" s="147"/>
      <c r="D153" s="147"/>
      <c r="E153" s="147">
        <v>25</v>
      </c>
      <c r="F153" s="147">
        <v>1</v>
      </c>
      <c r="G153" s="147">
        <v>2</v>
      </c>
      <c r="H153" s="147">
        <v>2018</v>
      </c>
      <c r="I153" s="147">
        <v>2020</v>
      </c>
      <c r="J153" s="147" t="s">
        <v>320</v>
      </c>
      <c r="K153" s="147" t="s">
        <v>320</v>
      </c>
      <c r="L153" s="147" t="s">
        <v>320</v>
      </c>
      <c r="M153" s="147" t="s">
        <v>320</v>
      </c>
      <c r="N153" s="674"/>
      <c r="O153" s="674"/>
      <c r="P153" s="674"/>
      <c r="Q153" s="674"/>
      <c r="R153" s="674"/>
      <c r="S153" s="71" t="s">
        <v>765</v>
      </c>
      <c r="T153" s="71" t="s">
        <v>766</v>
      </c>
      <c r="U153" s="147"/>
      <c r="V153" s="398"/>
      <c r="W153" s="91" t="str">
        <f t="shared" si="46"/>
        <v>N</v>
      </c>
      <c r="X153" s="91"/>
      <c r="Y153" s="91"/>
    </row>
    <row r="154" s="61" customFormat="1" ht="21.95" customHeight="1" spans="1:25">
      <c r="A154" s="147"/>
      <c r="B154" s="74" t="s">
        <v>749</v>
      </c>
      <c r="C154" s="147"/>
      <c r="D154" s="147"/>
      <c r="E154" s="147">
        <v>179</v>
      </c>
      <c r="F154" s="147">
        <v>41</v>
      </c>
      <c r="G154" s="147">
        <v>61</v>
      </c>
      <c r="H154" s="147">
        <v>2018</v>
      </c>
      <c r="I154" s="147">
        <v>2020</v>
      </c>
      <c r="J154" s="147" t="s">
        <v>320</v>
      </c>
      <c r="K154" s="147" t="s">
        <v>320</v>
      </c>
      <c r="L154" s="147" t="s">
        <v>320</v>
      </c>
      <c r="M154" s="147" t="s">
        <v>320</v>
      </c>
      <c r="N154" s="674"/>
      <c r="O154" s="674"/>
      <c r="P154" s="674"/>
      <c r="Q154" s="674"/>
      <c r="R154" s="674"/>
      <c r="S154" s="71" t="s">
        <v>750</v>
      </c>
      <c r="T154" s="71" t="s">
        <v>751</v>
      </c>
      <c r="U154" s="147"/>
      <c r="V154" s="398"/>
      <c r="W154" s="91" t="str">
        <f t="shared" si="46"/>
        <v>N</v>
      </c>
      <c r="X154" s="91"/>
      <c r="Y154" s="91"/>
    </row>
    <row r="155" s="61" customFormat="1" ht="21.95" customHeight="1" spans="1:25">
      <c r="A155" s="147"/>
      <c r="B155" s="74" t="s">
        <v>755</v>
      </c>
      <c r="C155" s="147"/>
      <c r="D155" s="147"/>
      <c r="E155" s="147">
        <v>215</v>
      </c>
      <c r="F155" s="147">
        <v>32</v>
      </c>
      <c r="G155" s="147">
        <v>57</v>
      </c>
      <c r="H155" s="147">
        <v>2018</v>
      </c>
      <c r="I155" s="147">
        <v>2020</v>
      </c>
      <c r="J155" s="147" t="s">
        <v>320</v>
      </c>
      <c r="K155" s="147" t="s">
        <v>320</v>
      </c>
      <c r="L155" s="147" t="s">
        <v>320</v>
      </c>
      <c r="M155" s="147" t="s">
        <v>320</v>
      </c>
      <c r="N155" s="674"/>
      <c r="O155" s="674"/>
      <c r="P155" s="674"/>
      <c r="Q155" s="674"/>
      <c r="R155" s="674"/>
      <c r="S155" s="71" t="s">
        <v>756</v>
      </c>
      <c r="T155" s="71" t="s">
        <v>757</v>
      </c>
      <c r="U155" s="147"/>
      <c r="V155" s="398"/>
      <c r="W155" s="91" t="str">
        <f t="shared" si="46"/>
        <v>N</v>
      </c>
      <c r="X155" s="91"/>
      <c r="Y155" s="91"/>
    </row>
    <row r="156" s="61" customFormat="1" ht="21.95" customHeight="1" spans="1:25">
      <c r="A156" s="147"/>
      <c r="B156" s="74" t="s">
        <v>758</v>
      </c>
      <c r="C156" s="147"/>
      <c r="D156" s="147"/>
      <c r="E156" s="147">
        <v>115</v>
      </c>
      <c r="F156" s="147">
        <v>25</v>
      </c>
      <c r="G156" s="147">
        <v>31</v>
      </c>
      <c r="H156" s="147">
        <v>2018</v>
      </c>
      <c r="I156" s="147">
        <v>2020</v>
      </c>
      <c r="J156" s="147" t="s">
        <v>320</v>
      </c>
      <c r="K156" s="147" t="s">
        <v>320</v>
      </c>
      <c r="L156" s="147" t="s">
        <v>320</v>
      </c>
      <c r="M156" s="147" t="s">
        <v>320</v>
      </c>
      <c r="N156" s="674"/>
      <c r="O156" s="674"/>
      <c r="P156" s="674"/>
      <c r="Q156" s="674"/>
      <c r="R156" s="674"/>
      <c r="S156" s="71" t="s">
        <v>759</v>
      </c>
      <c r="T156" s="71" t="s">
        <v>760</v>
      </c>
      <c r="U156" s="147"/>
      <c r="V156" s="398"/>
      <c r="W156" s="91" t="str">
        <f t="shared" si="46"/>
        <v>N</v>
      </c>
      <c r="X156" s="91"/>
      <c r="Y156" s="91"/>
    </row>
    <row r="157" s="61" customFormat="1" ht="21.95" customHeight="1" spans="1:25">
      <c r="A157" s="147"/>
      <c r="B157" s="74" t="s">
        <v>767</v>
      </c>
      <c r="C157" s="147"/>
      <c r="D157" s="147"/>
      <c r="E157" s="147">
        <v>25</v>
      </c>
      <c r="F157" s="147">
        <v>21</v>
      </c>
      <c r="G157" s="147">
        <v>25</v>
      </c>
      <c r="H157" s="147">
        <v>2018</v>
      </c>
      <c r="I157" s="147">
        <v>2020</v>
      </c>
      <c r="J157" s="147" t="s">
        <v>320</v>
      </c>
      <c r="K157" s="147" t="s">
        <v>320</v>
      </c>
      <c r="L157" s="147" t="s">
        <v>320</v>
      </c>
      <c r="M157" s="147" t="s">
        <v>320</v>
      </c>
      <c r="N157" s="674"/>
      <c r="O157" s="674"/>
      <c r="P157" s="674"/>
      <c r="Q157" s="674"/>
      <c r="R157" s="674"/>
      <c r="S157" s="71" t="s">
        <v>768</v>
      </c>
      <c r="T157" s="71" t="s">
        <v>769</v>
      </c>
      <c r="U157" s="147"/>
      <c r="V157" s="398"/>
      <c r="W157" s="91" t="str">
        <f t="shared" si="46"/>
        <v>N</v>
      </c>
      <c r="X157" s="91"/>
      <c r="Y157" s="91"/>
    </row>
    <row r="158" s="61" customFormat="1" ht="21.95" customHeight="1" spans="1:25">
      <c r="A158" s="147"/>
      <c r="B158" s="74" t="s">
        <v>770</v>
      </c>
      <c r="C158" s="147"/>
      <c r="D158" s="147"/>
      <c r="E158" s="147">
        <v>43</v>
      </c>
      <c r="F158" s="147">
        <v>7</v>
      </c>
      <c r="G158" s="147">
        <v>13</v>
      </c>
      <c r="H158" s="147">
        <v>2018</v>
      </c>
      <c r="I158" s="147">
        <v>2020</v>
      </c>
      <c r="J158" s="147" t="s">
        <v>320</v>
      </c>
      <c r="K158" s="147" t="s">
        <v>320</v>
      </c>
      <c r="L158" s="147" t="s">
        <v>320</v>
      </c>
      <c r="M158" s="147" t="s">
        <v>320</v>
      </c>
      <c r="N158" s="674"/>
      <c r="O158" s="674"/>
      <c r="P158" s="674"/>
      <c r="Q158" s="674"/>
      <c r="R158" s="674"/>
      <c r="S158" s="71" t="s">
        <v>771</v>
      </c>
      <c r="T158" s="71" t="s">
        <v>772</v>
      </c>
      <c r="U158" s="147"/>
      <c r="V158" s="398"/>
      <c r="W158" s="91" t="str">
        <f t="shared" si="46"/>
        <v>N</v>
      </c>
      <c r="X158" s="91"/>
      <c r="Y158" s="91"/>
    </row>
    <row r="159" s="61" customFormat="1" ht="21.95" customHeight="1" spans="1:25">
      <c r="A159" s="147">
        <v>25</v>
      </c>
      <c r="B159" s="398" t="s">
        <v>825</v>
      </c>
      <c r="C159" s="147" t="s">
        <v>320</v>
      </c>
      <c r="D159" s="71" t="s">
        <v>147</v>
      </c>
      <c r="E159" s="147">
        <f t="shared" ref="E159:G159" si="50">E160+E161+E162+E163+E164+E165+E166+E167</f>
        <v>3622</v>
      </c>
      <c r="F159" s="147">
        <f t="shared" si="50"/>
        <v>693</v>
      </c>
      <c r="G159" s="147">
        <f t="shared" si="50"/>
        <v>1297</v>
      </c>
      <c r="H159" s="147">
        <v>2018</v>
      </c>
      <c r="I159" s="147">
        <v>2020</v>
      </c>
      <c r="J159" s="147" t="s">
        <v>320</v>
      </c>
      <c r="K159" s="147" t="s">
        <v>320</v>
      </c>
      <c r="L159" s="147" t="s">
        <v>320</v>
      </c>
      <c r="M159" s="147" t="s">
        <v>320</v>
      </c>
      <c r="N159" s="674"/>
      <c r="O159" s="674"/>
      <c r="P159" s="674"/>
      <c r="Q159" s="674"/>
      <c r="R159" s="674"/>
      <c r="S159" s="71" t="s">
        <v>781</v>
      </c>
      <c r="T159" s="71" t="s">
        <v>803</v>
      </c>
      <c r="U159" s="71" t="s">
        <v>195</v>
      </c>
      <c r="V159" s="74" t="s">
        <v>824</v>
      </c>
      <c r="W159" s="91" t="str">
        <f t="shared" si="46"/>
        <v>N</v>
      </c>
      <c r="X159" s="91"/>
      <c r="Y159" s="91"/>
    </row>
    <row r="160" s="61" customFormat="1" ht="21.95" customHeight="1" spans="1:25">
      <c r="A160" s="147"/>
      <c r="B160" s="74" t="s">
        <v>746</v>
      </c>
      <c r="C160" s="147"/>
      <c r="D160" s="147"/>
      <c r="E160" s="147">
        <v>573</v>
      </c>
      <c r="F160" s="147">
        <v>57</v>
      </c>
      <c r="G160" s="147">
        <v>199</v>
      </c>
      <c r="H160" s="147">
        <v>2018</v>
      </c>
      <c r="I160" s="147">
        <v>2020</v>
      </c>
      <c r="J160" s="147" t="s">
        <v>320</v>
      </c>
      <c r="K160" s="147" t="s">
        <v>320</v>
      </c>
      <c r="L160" s="147" t="s">
        <v>320</v>
      </c>
      <c r="M160" s="147" t="s">
        <v>320</v>
      </c>
      <c r="N160" s="674"/>
      <c r="O160" s="674"/>
      <c r="P160" s="674"/>
      <c r="Q160" s="674"/>
      <c r="R160" s="674"/>
      <c r="S160" s="71" t="s">
        <v>747</v>
      </c>
      <c r="T160" s="71" t="s">
        <v>748</v>
      </c>
      <c r="U160" s="147"/>
      <c r="V160" s="398"/>
      <c r="W160" s="91" t="str">
        <f t="shared" si="46"/>
        <v>N</v>
      </c>
      <c r="X160" s="91"/>
      <c r="Y160" s="91"/>
    </row>
    <row r="161" s="61" customFormat="1" ht="21.95" customHeight="1" spans="1:25">
      <c r="A161" s="147"/>
      <c r="B161" s="74" t="s">
        <v>752</v>
      </c>
      <c r="C161" s="147"/>
      <c r="D161" s="147"/>
      <c r="E161" s="147">
        <v>399</v>
      </c>
      <c r="F161" s="147">
        <v>133</v>
      </c>
      <c r="G161" s="674">
        <v>189</v>
      </c>
      <c r="H161" s="147">
        <v>2018</v>
      </c>
      <c r="I161" s="147">
        <v>2020</v>
      </c>
      <c r="J161" s="147" t="s">
        <v>320</v>
      </c>
      <c r="K161" s="147" t="s">
        <v>320</v>
      </c>
      <c r="L161" s="147" t="s">
        <v>320</v>
      </c>
      <c r="M161" s="147" t="s">
        <v>320</v>
      </c>
      <c r="N161" s="674"/>
      <c r="O161" s="674"/>
      <c r="P161" s="674"/>
      <c r="Q161" s="674"/>
      <c r="R161" s="674"/>
      <c r="S161" s="71" t="s">
        <v>753</v>
      </c>
      <c r="T161" s="71" t="s">
        <v>754</v>
      </c>
      <c r="U161" s="147"/>
      <c r="V161" s="398"/>
      <c r="W161" s="91" t="str">
        <f t="shared" si="46"/>
        <v>N</v>
      </c>
      <c r="X161" s="91"/>
      <c r="Y161" s="91"/>
    </row>
    <row r="162" s="61" customFormat="1" ht="21.95" customHeight="1" spans="1:25">
      <c r="A162" s="147"/>
      <c r="B162" s="74" t="s">
        <v>764</v>
      </c>
      <c r="C162" s="147"/>
      <c r="D162" s="147"/>
      <c r="E162" s="147">
        <v>229</v>
      </c>
      <c r="F162" s="147">
        <v>17</v>
      </c>
      <c r="G162" s="147">
        <v>57</v>
      </c>
      <c r="H162" s="147">
        <v>2018</v>
      </c>
      <c r="I162" s="147">
        <v>2020</v>
      </c>
      <c r="J162" s="147" t="s">
        <v>320</v>
      </c>
      <c r="K162" s="147" t="s">
        <v>320</v>
      </c>
      <c r="L162" s="147" t="s">
        <v>320</v>
      </c>
      <c r="M162" s="147" t="s">
        <v>320</v>
      </c>
      <c r="N162" s="674"/>
      <c r="O162" s="674"/>
      <c r="P162" s="674"/>
      <c r="Q162" s="674"/>
      <c r="R162" s="674"/>
      <c r="S162" s="71" t="s">
        <v>765</v>
      </c>
      <c r="T162" s="71" t="s">
        <v>766</v>
      </c>
      <c r="U162" s="147"/>
      <c r="V162" s="398"/>
      <c r="W162" s="91" t="str">
        <f t="shared" si="46"/>
        <v>N</v>
      </c>
      <c r="X162" s="91"/>
      <c r="Y162" s="91"/>
    </row>
    <row r="163" s="61" customFormat="1" ht="21.95" customHeight="1" spans="1:25">
      <c r="A163" s="147"/>
      <c r="B163" s="74" t="s">
        <v>749</v>
      </c>
      <c r="C163" s="147"/>
      <c r="D163" s="147"/>
      <c r="E163" s="147">
        <v>525</v>
      </c>
      <c r="F163" s="147">
        <v>124</v>
      </c>
      <c r="G163" s="147">
        <v>204</v>
      </c>
      <c r="H163" s="147">
        <v>2018</v>
      </c>
      <c r="I163" s="147">
        <v>2020</v>
      </c>
      <c r="J163" s="147" t="s">
        <v>320</v>
      </c>
      <c r="K163" s="147" t="s">
        <v>320</v>
      </c>
      <c r="L163" s="147" t="s">
        <v>320</v>
      </c>
      <c r="M163" s="147" t="s">
        <v>320</v>
      </c>
      <c r="N163" s="674"/>
      <c r="O163" s="674"/>
      <c r="P163" s="674"/>
      <c r="Q163" s="674"/>
      <c r="R163" s="674"/>
      <c r="S163" s="71" t="s">
        <v>750</v>
      </c>
      <c r="T163" s="71" t="s">
        <v>751</v>
      </c>
      <c r="U163" s="147"/>
      <c r="V163" s="398"/>
      <c r="W163" s="91" t="str">
        <f t="shared" si="46"/>
        <v>N</v>
      </c>
      <c r="X163" s="91"/>
      <c r="Y163" s="91"/>
    </row>
    <row r="164" s="61" customFormat="1" ht="21.95" customHeight="1" spans="1:25">
      <c r="A164" s="147"/>
      <c r="B164" s="74" t="s">
        <v>755</v>
      </c>
      <c r="C164" s="147"/>
      <c r="D164" s="147"/>
      <c r="E164" s="147">
        <v>491</v>
      </c>
      <c r="F164" s="147">
        <v>61</v>
      </c>
      <c r="G164" s="147">
        <v>119</v>
      </c>
      <c r="H164" s="147">
        <v>2018</v>
      </c>
      <c r="I164" s="147">
        <v>2020</v>
      </c>
      <c r="J164" s="147" t="s">
        <v>320</v>
      </c>
      <c r="K164" s="147" t="s">
        <v>320</v>
      </c>
      <c r="L164" s="147" t="s">
        <v>320</v>
      </c>
      <c r="M164" s="147" t="s">
        <v>320</v>
      </c>
      <c r="N164" s="674"/>
      <c r="O164" s="674"/>
      <c r="P164" s="674"/>
      <c r="Q164" s="674"/>
      <c r="R164" s="674"/>
      <c r="S164" s="71" t="s">
        <v>756</v>
      </c>
      <c r="T164" s="71" t="s">
        <v>822</v>
      </c>
      <c r="U164" s="147"/>
      <c r="V164" s="398"/>
      <c r="W164" s="91" t="str">
        <f t="shared" si="46"/>
        <v>N</v>
      </c>
      <c r="X164" s="91"/>
      <c r="Y164" s="91"/>
    </row>
    <row r="165" s="61" customFormat="1" ht="21.95" customHeight="1" spans="1:25">
      <c r="A165" s="147"/>
      <c r="B165" s="74" t="s">
        <v>758</v>
      </c>
      <c r="C165" s="147"/>
      <c r="D165" s="147"/>
      <c r="E165" s="147">
        <v>624</v>
      </c>
      <c r="F165" s="147">
        <v>125</v>
      </c>
      <c r="G165" s="147">
        <v>212</v>
      </c>
      <c r="H165" s="147">
        <v>2018</v>
      </c>
      <c r="I165" s="147">
        <v>2020</v>
      </c>
      <c r="J165" s="147" t="s">
        <v>320</v>
      </c>
      <c r="K165" s="147" t="s">
        <v>320</v>
      </c>
      <c r="L165" s="147" t="s">
        <v>320</v>
      </c>
      <c r="M165" s="147" t="s">
        <v>320</v>
      </c>
      <c r="N165" s="674"/>
      <c r="O165" s="674"/>
      <c r="P165" s="674"/>
      <c r="Q165" s="674"/>
      <c r="R165" s="674"/>
      <c r="S165" s="71" t="s">
        <v>759</v>
      </c>
      <c r="T165" s="71" t="s">
        <v>760</v>
      </c>
      <c r="U165" s="147"/>
      <c r="V165" s="398"/>
      <c r="W165" s="91" t="str">
        <f t="shared" si="46"/>
        <v>N</v>
      </c>
      <c r="X165" s="91"/>
      <c r="Y165" s="91"/>
    </row>
    <row r="166" s="61" customFormat="1" ht="21.95" customHeight="1" spans="1:25">
      <c r="A166" s="147"/>
      <c r="B166" s="74" t="s">
        <v>767</v>
      </c>
      <c r="C166" s="147"/>
      <c r="D166" s="147"/>
      <c r="E166" s="147">
        <v>126</v>
      </c>
      <c r="F166" s="147">
        <v>80</v>
      </c>
      <c r="G166" s="147">
        <v>126</v>
      </c>
      <c r="H166" s="147">
        <v>2018</v>
      </c>
      <c r="I166" s="147">
        <v>2020</v>
      </c>
      <c r="J166" s="147" t="s">
        <v>320</v>
      </c>
      <c r="K166" s="147" t="s">
        <v>320</v>
      </c>
      <c r="L166" s="147" t="s">
        <v>320</v>
      </c>
      <c r="M166" s="147" t="s">
        <v>320</v>
      </c>
      <c r="N166" s="674"/>
      <c r="O166" s="674"/>
      <c r="P166" s="674"/>
      <c r="Q166" s="674"/>
      <c r="R166" s="674"/>
      <c r="S166" s="71" t="s">
        <v>768</v>
      </c>
      <c r="T166" s="71" t="s">
        <v>769</v>
      </c>
      <c r="U166" s="147"/>
      <c r="V166" s="398"/>
      <c r="W166" s="91" t="str">
        <f t="shared" si="46"/>
        <v>N</v>
      </c>
      <c r="X166" s="91"/>
      <c r="Y166" s="91"/>
    </row>
    <row r="167" s="61" customFormat="1" ht="21.95" customHeight="1" spans="1:25">
      <c r="A167" s="147"/>
      <c r="B167" s="74" t="s">
        <v>770</v>
      </c>
      <c r="C167" s="147"/>
      <c r="D167" s="147"/>
      <c r="E167" s="147">
        <v>655</v>
      </c>
      <c r="F167" s="147">
        <v>96</v>
      </c>
      <c r="G167" s="147">
        <v>191</v>
      </c>
      <c r="H167" s="147">
        <v>2018</v>
      </c>
      <c r="I167" s="147">
        <v>2020</v>
      </c>
      <c r="J167" s="147" t="s">
        <v>320</v>
      </c>
      <c r="K167" s="147" t="s">
        <v>320</v>
      </c>
      <c r="L167" s="147" t="s">
        <v>320</v>
      </c>
      <c r="M167" s="147" t="s">
        <v>320</v>
      </c>
      <c r="N167" s="674"/>
      <c r="O167" s="674"/>
      <c r="P167" s="674"/>
      <c r="Q167" s="674"/>
      <c r="R167" s="674"/>
      <c r="S167" s="71" t="s">
        <v>771</v>
      </c>
      <c r="T167" s="71" t="s">
        <v>772</v>
      </c>
      <c r="U167" s="147"/>
      <c r="V167" s="398"/>
      <c r="W167" s="91" t="str">
        <f t="shared" si="46"/>
        <v>N</v>
      </c>
      <c r="X167" s="91"/>
      <c r="Y167" s="91"/>
    </row>
    <row r="168" s="61" customFormat="1" ht="21.95" customHeight="1" spans="1:25">
      <c r="A168" s="147">
        <v>26</v>
      </c>
      <c r="B168" s="398" t="s">
        <v>826</v>
      </c>
      <c r="C168" s="147" t="s">
        <v>320</v>
      </c>
      <c r="D168" s="71" t="s">
        <v>147</v>
      </c>
      <c r="E168" s="147" t="s">
        <v>320</v>
      </c>
      <c r="F168" s="147" t="s">
        <v>320</v>
      </c>
      <c r="G168" s="147" t="s">
        <v>320</v>
      </c>
      <c r="H168" s="147" t="s">
        <v>320</v>
      </c>
      <c r="I168" s="147" t="s">
        <v>320</v>
      </c>
      <c r="J168" s="147" t="s">
        <v>320</v>
      </c>
      <c r="K168" s="147" t="s">
        <v>320</v>
      </c>
      <c r="L168" s="147" t="s">
        <v>320</v>
      </c>
      <c r="M168" s="147" t="s">
        <v>320</v>
      </c>
      <c r="N168" s="674"/>
      <c r="O168" s="674"/>
      <c r="P168" s="674"/>
      <c r="Q168" s="674"/>
      <c r="R168" s="674"/>
      <c r="S168" s="147"/>
      <c r="T168" s="147"/>
      <c r="U168" s="71" t="s">
        <v>195</v>
      </c>
      <c r="V168" s="74" t="s">
        <v>41</v>
      </c>
      <c r="W168" s="91" t="str">
        <f t="shared" si="46"/>
        <v>N</v>
      </c>
      <c r="X168" s="91"/>
      <c r="Y168" s="91"/>
    </row>
    <row r="169" s="61" customFormat="1" ht="24.75" spans="1:25">
      <c r="A169" s="147">
        <v>27</v>
      </c>
      <c r="B169" s="74" t="s">
        <v>267</v>
      </c>
      <c r="C169" s="71" t="s">
        <v>52</v>
      </c>
      <c r="D169" s="71" t="s">
        <v>194</v>
      </c>
      <c r="E169" s="147">
        <v>4050</v>
      </c>
      <c r="F169" s="147">
        <f>SUM(F170:F177)</f>
        <v>1191</v>
      </c>
      <c r="G169" s="147">
        <v>2382</v>
      </c>
      <c r="H169" s="147">
        <v>2018</v>
      </c>
      <c r="I169" s="147">
        <v>2020</v>
      </c>
      <c r="J169" s="123"/>
      <c r="K169" s="123"/>
      <c r="L169" s="123"/>
      <c r="M169" s="123"/>
      <c r="N169" s="123"/>
      <c r="O169" s="123"/>
      <c r="P169" s="123"/>
      <c r="Q169" s="123"/>
      <c r="R169" s="340"/>
      <c r="S169" s="71" t="s">
        <v>827</v>
      </c>
      <c r="T169" s="71" t="s">
        <v>803</v>
      </c>
      <c r="U169" s="71" t="s">
        <v>195</v>
      </c>
      <c r="V169" s="74" t="s">
        <v>828</v>
      </c>
      <c r="W169" s="91" t="str">
        <f t="shared" si="46"/>
        <v>Y</v>
      </c>
      <c r="X169" s="91"/>
      <c r="Y169" s="91"/>
    </row>
    <row r="170" s="61" customFormat="1" ht="21.95" customHeight="1" spans="1:25">
      <c r="A170" s="147"/>
      <c r="B170" s="74" t="s">
        <v>746</v>
      </c>
      <c r="C170" s="147"/>
      <c r="D170" s="413"/>
      <c r="E170" s="147">
        <v>500</v>
      </c>
      <c r="F170" s="147">
        <v>147</v>
      </c>
      <c r="G170" s="147">
        <v>294</v>
      </c>
      <c r="H170" s="147">
        <v>2018</v>
      </c>
      <c r="I170" s="147">
        <v>2020</v>
      </c>
      <c r="J170" s="123"/>
      <c r="K170" s="123"/>
      <c r="L170" s="123"/>
      <c r="M170" s="123"/>
      <c r="N170" s="123"/>
      <c r="O170" s="123"/>
      <c r="P170" s="123"/>
      <c r="Q170" s="123"/>
      <c r="R170" s="340"/>
      <c r="S170" s="71" t="s">
        <v>829</v>
      </c>
      <c r="T170" s="71" t="s">
        <v>748</v>
      </c>
      <c r="U170" s="147"/>
      <c r="V170" s="398"/>
      <c r="W170" s="91" t="str">
        <f t="shared" si="46"/>
        <v>Y</v>
      </c>
      <c r="X170" s="91"/>
      <c r="Y170" s="91"/>
    </row>
    <row r="171" s="61" customFormat="1" ht="21.95" customHeight="1" spans="1:25">
      <c r="A171" s="147"/>
      <c r="B171" s="74" t="s">
        <v>752</v>
      </c>
      <c r="C171" s="147"/>
      <c r="D171" s="147"/>
      <c r="E171" s="147">
        <v>500</v>
      </c>
      <c r="F171" s="147">
        <v>147</v>
      </c>
      <c r="G171" s="147">
        <v>294</v>
      </c>
      <c r="H171" s="147">
        <v>2018</v>
      </c>
      <c r="I171" s="147">
        <v>2020</v>
      </c>
      <c r="J171" s="123"/>
      <c r="K171" s="123"/>
      <c r="L171" s="123"/>
      <c r="M171" s="123"/>
      <c r="N171" s="123"/>
      <c r="O171" s="123"/>
      <c r="P171" s="123"/>
      <c r="Q171" s="123"/>
      <c r="R171" s="340"/>
      <c r="S171" s="71" t="s">
        <v>753</v>
      </c>
      <c r="T171" s="71" t="s">
        <v>754</v>
      </c>
      <c r="U171" s="147"/>
      <c r="V171" s="398"/>
      <c r="W171" s="91" t="str">
        <f t="shared" si="46"/>
        <v>Y</v>
      </c>
      <c r="X171" s="91"/>
      <c r="Y171" s="91"/>
    </row>
    <row r="172" s="61" customFormat="1" ht="21.95" customHeight="1" spans="1:25">
      <c r="A172" s="147"/>
      <c r="B172" s="74" t="s">
        <v>764</v>
      </c>
      <c r="C172" s="147"/>
      <c r="D172" s="147"/>
      <c r="E172" s="147">
        <v>550</v>
      </c>
      <c r="F172" s="147">
        <v>162</v>
      </c>
      <c r="G172" s="147">
        <v>324</v>
      </c>
      <c r="H172" s="147">
        <v>2018</v>
      </c>
      <c r="I172" s="147">
        <v>2020</v>
      </c>
      <c r="J172" s="123"/>
      <c r="K172" s="123"/>
      <c r="L172" s="123"/>
      <c r="M172" s="123"/>
      <c r="N172" s="123"/>
      <c r="O172" s="123"/>
      <c r="P172" s="123"/>
      <c r="Q172" s="123"/>
      <c r="R172" s="340"/>
      <c r="S172" s="71" t="s">
        <v>765</v>
      </c>
      <c r="T172" s="71" t="s">
        <v>766</v>
      </c>
      <c r="U172" s="147"/>
      <c r="V172" s="398"/>
      <c r="W172" s="91" t="str">
        <f t="shared" si="46"/>
        <v>Y</v>
      </c>
      <c r="X172" s="91"/>
      <c r="Y172" s="91"/>
    </row>
    <row r="173" s="61" customFormat="1" ht="21.95" customHeight="1" spans="1:25">
      <c r="A173" s="147"/>
      <c r="B173" s="74" t="s">
        <v>749</v>
      </c>
      <c r="C173" s="147"/>
      <c r="D173" s="147"/>
      <c r="E173" s="147">
        <v>500</v>
      </c>
      <c r="F173" s="147">
        <v>147</v>
      </c>
      <c r="G173" s="147">
        <v>294</v>
      </c>
      <c r="H173" s="147">
        <v>2018</v>
      </c>
      <c r="I173" s="147">
        <v>2020</v>
      </c>
      <c r="J173" s="123"/>
      <c r="K173" s="123"/>
      <c r="L173" s="123"/>
      <c r="M173" s="123"/>
      <c r="N173" s="123"/>
      <c r="O173" s="123"/>
      <c r="P173" s="123"/>
      <c r="Q173" s="123"/>
      <c r="R173" s="340"/>
      <c r="S173" s="71" t="s">
        <v>750</v>
      </c>
      <c r="T173" s="71" t="s">
        <v>751</v>
      </c>
      <c r="U173" s="147"/>
      <c r="V173" s="398"/>
      <c r="W173" s="91" t="str">
        <f t="shared" si="46"/>
        <v>Y</v>
      </c>
      <c r="X173" s="91"/>
      <c r="Y173" s="91"/>
    </row>
    <row r="174" s="61" customFormat="1" ht="21.95" customHeight="1" spans="1:25">
      <c r="A174" s="147"/>
      <c r="B174" s="74" t="s">
        <v>755</v>
      </c>
      <c r="C174" s="147"/>
      <c r="D174" s="147"/>
      <c r="E174" s="147">
        <v>500</v>
      </c>
      <c r="F174" s="147">
        <v>147</v>
      </c>
      <c r="G174" s="147">
        <v>294</v>
      </c>
      <c r="H174" s="147">
        <v>2018</v>
      </c>
      <c r="I174" s="147">
        <v>2020</v>
      </c>
      <c r="J174" s="123"/>
      <c r="K174" s="123"/>
      <c r="L174" s="123"/>
      <c r="M174" s="123"/>
      <c r="N174" s="123"/>
      <c r="O174" s="123"/>
      <c r="P174" s="123"/>
      <c r="Q174" s="123"/>
      <c r="R174" s="340"/>
      <c r="S174" s="71" t="s">
        <v>756</v>
      </c>
      <c r="T174" s="71" t="s">
        <v>830</v>
      </c>
      <c r="U174" s="147"/>
      <c r="V174" s="398"/>
      <c r="W174" s="91" t="str">
        <f t="shared" si="46"/>
        <v>Y</v>
      </c>
      <c r="X174" s="91"/>
      <c r="Y174" s="91"/>
    </row>
    <row r="175" s="61" customFormat="1" ht="21.95" customHeight="1" spans="1:25">
      <c r="A175" s="147"/>
      <c r="B175" s="74" t="s">
        <v>758</v>
      </c>
      <c r="C175" s="147"/>
      <c r="D175" s="147"/>
      <c r="E175" s="147">
        <v>500</v>
      </c>
      <c r="F175" s="147">
        <v>147</v>
      </c>
      <c r="G175" s="147">
        <v>294</v>
      </c>
      <c r="H175" s="147">
        <v>2018</v>
      </c>
      <c r="I175" s="147">
        <v>2020</v>
      </c>
      <c r="J175" s="123"/>
      <c r="K175" s="123"/>
      <c r="L175" s="123"/>
      <c r="M175" s="123"/>
      <c r="N175" s="123"/>
      <c r="O175" s="123"/>
      <c r="P175" s="123"/>
      <c r="Q175" s="123"/>
      <c r="R175" s="340"/>
      <c r="S175" s="71" t="s">
        <v>759</v>
      </c>
      <c r="T175" s="71" t="s">
        <v>760</v>
      </c>
      <c r="U175" s="147"/>
      <c r="V175" s="398"/>
      <c r="W175" s="91" t="str">
        <f t="shared" si="46"/>
        <v>Y</v>
      </c>
      <c r="X175" s="91"/>
      <c r="Y175" s="91"/>
    </row>
    <row r="176" s="61" customFormat="1" ht="21.95" customHeight="1" spans="1:25">
      <c r="A176" s="147"/>
      <c r="B176" s="74" t="s">
        <v>767</v>
      </c>
      <c r="C176" s="147"/>
      <c r="D176" s="147"/>
      <c r="E176" s="147">
        <v>500</v>
      </c>
      <c r="F176" s="147">
        <v>147</v>
      </c>
      <c r="G176" s="147">
        <v>294</v>
      </c>
      <c r="H176" s="147">
        <v>2018</v>
      </c>
      <c r="I176" s="147">
        <v>2020</v>
      </c>
      <c r="J176" s="123"/>
      <c r="K176" s="123"/>
      <c r="L176" s="123"/>
      <c r="M176" s="123"/>
      <c r="N176" s="123"/>
      <c r="O176" s="123"/>
      <c r="P176" s="123"/>
      <c r="Q176" s="123"/>
      <c r="R176" s="340"/>
      <c r="S176" s="71" t="s">
        <v>768</v>
      </c>
      <c r="T176" s="71" t="s">
        <v>769</v>
      </c>
      <c r="U176" s="147"/>
      <c r="V176" s="398"/>
      <c r="W176" s="91" t="str">
        <f t="shared" si="46"/>
        <v>Y</v>
      </c>
      <c r="X176" s="91"/>
      <c r="Y176" s="91"/>
    </row>
    <row r="177" s="61" customFormat="1" ht="21.95" customHeight="1" spans="1:25">
      <c r="A177" s="147"/>
      <c r="B177" s="74" t="s">
        <v>770</v>
      </c>
      <c r="C177" s="147"/>
      <c r="D177" s="147"/>
      <c r="E177" s="147">
        <v>500</v>
      </c>
      <c r="F177" s="147">
        <v>147</v>
      </c>
      <c r="G177" s="147">
        <v>294</v>
      </c>
      <c r="H177" s="147">
        <v>2018</v>
      </c>
      <c r="I177" s="147">
        <v>2020</v>
      </c>
      <c r="J177" s="123"/>
      <c r="K177" s="123"/>
      <c r="L177" s="123"/>
      <c r="M177" s="123"/>
      <c r="N177" s="123"/>
      <c r="O177" s="123"/>
      <c r="P177" s="123"/>
      <c r="Q177" s="123"/>
      <c r="R177" s="340"/>
      <c r="S177" s="71" t="s">
        <v>831</v>
      </c>
      <c r="T177" s="71" t="s">
        <v>832</v>
      </c>
      <c r="U177" s="147"/>
      <c r="V177" s="398"/>
      <c r="W177" s="91" t="str">
        <f t="shared" si="46"/>
        <v>Y</v>
      </c>
      <c r="X177" s="91"/>
      <c r="Y177" s="91"/>
    </row>
    <row r="178" s="61" customFormat="1" ht="21.95" customHeight="1" spans="1:25">
      <c r="A178" s="147">
        <v>28</v>
      </c>
      <c r="B178" s="74" t="s">
        <v>268</v>
      </c>
      <c r="C178" s="147" t="s">
        <v>320</v>
      </c>
      <c r="D178" s="71" t="s">
        <v>147</v>
      </c>
      <c r="E178" s="147">
        <f t="shared" ref="E178:G178" si="51">E179+E182+E190+E191+E200+E207</f>
        <v>255</v>
      </c>
      <c r="F178" s="147">
        <f t="shared" si="51"/>
        <v>255</v>
      </c>
      <c r="G178" s="147">
        <f t="shared" si="51"/>
        <v>255</v>
      </c>
      <c r="H178" s="147">
        <v>2018</v>
      </c>
      <c r="I178" s="147">
        <v>2020</v>
      </c>
      <c r="J178" s="147">
        <f t="shared" ref="J178:R178" si="52">J179+J182+J190+J191+J200+J207</f>
        <v>190.591</v>
      </c>
      <c r="K178" s="147">
        <f t="shared" si="52"/>
        <v>15.7902</v>
      </c>
      <c r="L178" s="147">
        <f t="shared" si="52"/>
        <v>87.4004</v>
      </c>
      <c r="M178" s="147">
        <f t="shared" si="52"/>
        <v>87.4004</v>
      </c>
      <c r="N178" s="147">
        <f t="shared" si="52"/>
        <v>18</v>
      </c>
      <c r="O178" s="147">
        <f t="shared" si="52"/>
        <v>0</v>
      </c>
      <c r="P178" s="147">
        <f t="shared" si="52"/>
        <v>87.541</v>
      </c>
      <c r="Q178" s="147">
        <f t="shared" si="52"/>
        <v>85.05</v>
      </c>
      <c r="R178" s="147">
        <f t="shared" si="52"/>
        <v>0</v>
      </c>
      <c r="S178" s="147"/>
      <c r="T178" s="147"/>
      <c r="U178" s="147" t="s">
        <v>320</v>
      </c>
      <c r="V178" s="398"/>
      <c r="W178" s="91" t="str">
        <f t="shared" si="46"/>
        <v>Y</v>
      </c>
      <c r="X178" s="91"/>
      <c r="Y178" s="91"/>
    </row>
    <row r="179" s="61" customFormat="1" ht="12.75" spans="1:25">
      <c r="A179" s="147">
        <v>29</v>
      </c>
      <c r="B179" s="398" t="s">
        <v>833</v>
      </c>
      <c r="C179" s="147" t="s">
        <v>320</v>
      </c>
      <c r="D179" s="71" t="s">
        <v>147</v>
      </c>
      <c r="E179" s="147">
        <v>8</v>
      </c>
      <c r="F179" s="147">
        <v>8</v>
      </c>
      <c r="G179" s="147">
        <v>8</v>
      </c>
      <c r="H179" s="147">
        <v>2018</v>
      </c>
      <c r="I179" s="147">
        <v>2020</v>
      </c>
      <c r="J179" s="676">
        <f>J180+J181</f>
        <v>14.4</v>
      </c>
      <c r="K179" s="676">
        <v>4.8</v>
      </c>
      <c r="L179" s="676">
        <v>4.8</v>
      </c>
      <c r="M179" s="676">
        <v>4.8</v>
      </c>
      <c r="N179" s="122">
        <v>14.4</v>
      </c>
      <c r="O179" s="676"/>
      <c r="P179" s="676"/>
      <c r="Q179" s="340"/>
      <c r="R179" s="340"/>
      <c r="S179" s="71" t="s">
        <v>827</v>
      </c>
      <c r="T179" s="71" t="s">
        <v>834</v>
      </c>
      <c r="U179" s="71" t="s">
        <v>201</v>
      </c>
      <c r="V179" s="74" t="s">
        <v>835</v>
      </c>
      <c r="W179" s="91" t="str">
        <f t="shared" si="46"/>
        <v>Y</v>
      </c>
      <c r="X179" s="91"/>
      <c r="Y179" s="91"/>
    </row>
    <row r="180" s="61" customFormat="1" ht="21.95" customHeight="1" spans="1:25">
      <c r="A180" s="147"/>
      <c r="B180" s="74" t="s">
        <v>764</v>
      </c>
      <c r="C180" s="147"/>
      <c r="D180" s="71" t="s">
        <v>147</v>
      </c>
      <c r="E180" s="147">
        <v>4</v>
      </c>
      <c r="F180" s="147">
        <v>4</v>
      </c>
      <c r="G180" s="147">
        <v>4</v>
      </c>
      <c r="H180" s="147">
        <v>2018</v>
      </c>
      <c r="I180" s="676">
        <v>2020</v>
      </c>
      <c r="J180" s="123">
        <v>7.2</v>
      </c>
      <c r="K180" s="123">
        <v>2.4</v>
      </c>
      <c r="L180" s="123">
        <v>2.4</v>
      </c>
      <c r="M180" s="123">
        <v>2.4</v>
      </c>
      <c r="N180" s="340"/>
      <c r="O180" s="340"/>
      <c r="P180" s="340"/>
      <c r="Q180" s="340"/>
      <c r="R180" s="340"/>
      <c r="S180" s="71" t="s">
        <v>765</v>
      </c>
      <c r="T180" s="71" t="s">
        <v>766</v>
      </c>
      <c r="U180" s="147"/>
      <c r="V180" s="398"/>
      <c r="W180" s="91" t="str">
        <f t="shared" si="46"/>
        <v>N</v>
      </c>
      <c r="X180" s="91"/>
      <c r="Y180" s="91"/>
    </row>
    <row r="181" s="61" customFormat="1" ht="21.95" customHeight="1" spans="1:25">
      <c r="A181" s="147"/>
      <c r="B181" s="74" t="s">
        <v>770</v>
      </c>
      <c r="C181" s="147"/>
      <c r="D181" s="71" t="s">
        <v>147</v>
      </c>
      <c r="E181" s="147">
        <v>4</v>
      </c>
      <c r="F181" s="147">
        <v>4</v>
      </c>
      <c r="G181" s="147">
        <v>4</v>
      </c>
      <c r="H181" s="147">
        <v>2018</v>
      </c>
      <c r="I181" s="676">
        <v>2020</v>
      </c>
      <c r="J181" s="123">
        <v>7.2</v>
      </c>
      <c r="K181" s="123">
        <v>2.4</v>
      </c>
      <c r="L181" s="123">
        <v>2.4</v>
      </c>
      <c r="M181" s="123">
        <v>2.4</v>
      </c>
      <c r="N181" s="340"/>
      <c r="O181" s="340"/>
      <c r="P181" s="340"/>
      <c r="Q181" s="340"/>
      <c r="R181" s="340"/>
      <c r="S181" s="71" t="s">
        <v>771</v>
      </c>
      <c r="T181" s="71" t="s">
        <v>832</v>
      </c>
      <c r="U181" s="147"/>
      <c r="V181" s="398"/>
      <c r="W181" s="91" t="str">
        <f t="shared" si="46"/>
        <v>N</v>
      </c>
      <c r="X181" s="91"/>
      <c r="Y181" s="91"/>
    </row>
    <row r="182" s="61" customFormat="1" ht="141.95" customHeight="1" spans="1:25">
      <c r="A182" s="147">
        <v>30</v>
      </c>
      <c r="B182" s="398" t="s">
        <v>836</v>
      </c>
      <c r="C182" s="147" t="s">
        <v>320</v>
      </c>
      <c r="D182" s="71" t="s">
        <v>147</v>
      </c>
      <c r="E182" s="147">
        <v>14</v>
      </c>
      <c r="F182" s="147">
        <v>14</v>
      </c>
      <c r="G182" s="147">
        <v>14</v>
      </c>
      <c r="H182" s="147">
        <v>2018</v>
      </c>
      <c r="I182" s="147">
        <v>2020</v>
      </c>
      <c r="J182" s="147">
        <f>K182+L182+M182</f>
        <v>19.5804</v>
      </c>
      <c r="K182" s="147">
        <v>2.1756</v>
      </c>
      <c r="L182" s="147">
        <v>8.7024</v>
      </c>
      <c r="M182" s="147">
        <v>8.7024</v>
      </c>
      <c r="N182" s="147"/>
      <c r="O182" s="147"/>
      <c r="P182" s="147">
        <v>0.6804</v>
      </c>
      <c r="Q182" s="147">
        <v>18.9</v>
      </c>
      <c r="R182" s="147"/>
      <c r="S182" s="71" t="s">
        <v>837</v>
      </c>
      <c r="T182" s="71" t="s">
        <v>838</v>
      </c>
      <c r="U182" s="71" t="s">
        <v>271</v>
      </c>
      <c r="V182" s="74" t="s">
        <v>839</v>
      </c>
      <c r="W182" s="91" t="str">
        <f t="shared" si="46"/>
        <v>Y</v>
      </c>
      <c r="X182" s="91"/>
      <c r="Y182" s="91"/>
    </row>
    <row r="183" s="61" customFormat="1" ht="21.95" customHeight="1" spans="1:25">
      <c r="A183" s="147"/>
      <c r="B183" s="74" t="s">
        <v>767</v>
      </c>
      <c r="C183" s="147"/>
      <c r="D183" s="147"/>
      <c r="E183" s="147">
        <v>1</v>
      </c>
      <c r="F183" s="147">
        <v>1</v>
      </c>
      <c r="G183" s="147">
        <v>1</v>
      </c>
      <c r="H183" s="147">
        <v>2018</v>
      </c>
      <c r="I183" s="147">
        <v>2020</v>
      </c>
      <c r="J183" s="147"/>
      <c r="K183" s="147"/>
      <c r="L183" s="147"/>
      <c r="M183" s="147"/>
      <c r="N183" s="147"/>
      <c r="O183" s="147"/>
      <c r="P183" s="147"/>
      <c r="Q183" s="147"/>
      <c r="R183" s="147"/>
      <c r="S183" s="147"/>
      <c r="T183" s="147"/>
      <c r="U183" s="147"/>
      <c r="V183" s="666"/>
      <c r="W183" s="91" t="str">
        <f t="shared" si="46"/>
        <v>Y</v>
      </c>
      <c r="X183" s="91"/>
      <c r="Y183" s="91"/>
    </row>
    <row r="184" s="61" customFormat="1" ht="21.95" customHeight="1" spans="1:25">
      <c r="A184" s="147"/>
      <c r="B184" s="74" t="s">
        <v>764</v>
      </c>
      <c r="C184" s="147"/>
      <c r="D184" s="147"/>
      <c r="E184" s="147">
        <v>3</v>
      </c>
      <c r="F184" s="147">
        <v>3</v>
      </c>
      <c r="G184" s="147">
        <v>3</v>
      </c>
      <c r="H184" s="147">
        <v>2018</v>
      </c>
      <c r="I184" s="147">
        <v>2020</v>
      </c>
      <c r="J184" s="147"/>
      <c r="K184" s="147"/>
      <c r="L184" s="147"/>
      <c r="M184" s="147"/>
      <c r="N184" s="147"/>
      <c r="O184" s="147"/>
      <c r="P184" s="147"/>
      <c r="Q184" s="147"/>
      <c r="R184" s="147"/>
      <c r="S184" s="147"/>
      <c r="T184" s="147"/>
      <c r="U184" s="147"/>
      <c r="V184" s="666"/>
      <c r="W184" s="91" t="str">
        <f t="shared" si="46"/>
        <v>Y</v>
      </c>
      <c r="X184" s="91"/>
      <c r="Y184" s="91"/>
    </row>
    <row r="185" s="61" customFormat="1" ht="21.95" customHeight="1" spans="1:25">
      <c r="A185" s="147"/>
      <c r="B185" s="74" t="s">
        <v>752</v>
      </c>
      <c r="C185" s="147"/>
      <c r="D185" s="147"/>
      <c r="E185" s="147">
        <v>4</v>
      </c>
      <c r="F185" s="147">
        <v>4</v>
      </c>
      <c r="G185" s="147">
        <v>4</v>
      </c>
      <c r="H185" s="147">
        <v>2018</v>
      </c>
      <c r="I185" s="147">
        <v>2020</v>
      </c>
      <c r="J185" s="147"/>
      <c r="K185" s="147"/>
      <c r="L185" s="147"/>
      <c r="M185" s="147"/>
      <c r="N185" s="147"/>
      <c r="O185" s="147"/>
      <c r="P185" s="147"/>
      <c r="Q185" s="147"/>
      <c r="R185" s="147"/>
      <c r="S185" s="147"/>
      <c r="T185" s="147"/>
      <c r="U185" s="147"/>
      <c r="V185" s="666"/>
      <c r="W185" s="91" t="str">
        <f t="shared" si="46"/>
        <v>Y</v>
      </c>
      <c r="X185" s="91"/>
      <c r="Y185" s="91"/>
    </row>
    <row r="186" s="61" customFormat="1" ht="21.95" customHeight="1" spans="1:25">
      <c r="A186" s="147"/>
      <c r="B186" s="74" t="s">
        <v>755</v>
      </c>
      <c r="C186" s="147"/>
      <c r="D186" s="147"/>
      <c r="E186" s="147">
        <v>2</v>
      </c>
      <c r="F186" s="147">
        <v>2</v>
      </c>
      <c r="G186" s="147">
        <v>2</v>
      </c>
      <c r="H186" s="147">
        <v>2018</v>
      </c>
      <c r="I186" s="147">
        <v>2020</v>
      </c>
      <c r="J186" s="147"/>
      <c r="K186" s="147"/>
      <c r="L186" s="147"/>
      <c r="M186" s="147"/>
      <c r="N186" s="147"/>
      <c r="O186" s="147"/>
      <c r="P186" s="147"/>
      <c r="Q186" s="147"/>
      <c r="R186" s="147"/>
      <c r="S186" s="147"/>
      <c r="T186" s="147"/>
      <c r="U186" s="147"/>
      <c r="V186" s="666"/>
      <c r="W186" s="91" t="str">
        <f t="shared" si="46"/>
        <v>Y</v>
      </c>
      <c r="X186" s="91"/>
      <c r="Y186" s="91"/>
    </row>
    <row r="187" s="61" customFormat="1" ht="21.95" customHeight="1" spans="1:25">
      <c r="A187" s="147"/>
      <c r="B187" s="74" t="s">
        <v>758</v>
      </c>
      <c r="C187" s="147"/>
      <c r="D187" s="147"/>
      <c r="E187" s="147">
        <v>1</v>
      </c>
      <c r="F187" s="147">
        <v>1</v>
      </c>
      <c r="G187" s="147">
        <v>1</v>
      </c>
      <c r="H187" s="147">
        <v>2018</v>
      </c>
      <c r="I187" s="147">
        <v>2020</v>
      </c>
      <c r="J187" s="147"/>
      <c r="K187" s="147"/>
      <c r="L187" s="147"/>
      <c r="M187" s="147"/>
      <c r="N187" s="147"/>
      <c r="O187" s="147"/>
      <c r="P187" s="147"/>
      <c r="Q187" s="147"/>
      <c r="R187" s="147"/>
      <c r="S187" s="147"/>
      <c r="T187" s="147"/>
      <c r="U187" s="147"/>
      <c r="V187" s="398"/>
      <c r="W187" s="91" t="str">
        <f t="shared" si="46"/>
        <v>Y</v>
      </c>
      <c r="X187" s="91"/>
      <c r="Y187" s="91"/>
    </row>
    <row r="188" s="61" customFormat="1" ht="21.95" customHeight="1" spans="1:25">
      <c r="A188" s="147"/>
      <c r="B188" s="74" t="s">
        <v>770</v>
      </c>
      <c r="C188" s="147"/>
      <c r="D188" s="147"/>
      <c r="E188" s="147">
        <v>1</v>
      </c>
      <c r="F188" s="147">
        <v>1</v>
      </c>
      <c r="G188" s="147">
        <v>1</v>
      </c>
      <c r="H188" s="147">
        <v>2018</v>
      </c>
      <c r="I188" s="147">
        <v>2020</v>
      </c>
      <c r="J188" s="147"/>
      <c r="K188" s="147"/>
      <c r="L188" s="147"/>
      <c r="M188" s="147"/>
      <c r="N188" s="147"/>
      <c r="O188" s="147"/>
      <c r="P188" s="147"/>
      <c r="Q188" s="147"/>
      <c r="R188" s="147"/>
      <c r="S188" s="147"/>
      <c r="T188" s="147"/>
      <c r="U188" s="147"/>
      <c r="V188" s="666"/>
      <c r="W188" s="91" t="str">
        <f t="shared" si="46"/>
        <v>Y</v>
      </c>
      <c r="X188" s="91"/>
      <c r="Y188" s="91"/>
    </row>
    <row r="189" s="61" customFormat="1" ht="21.95" customHeight="1" spans="1:25">
      <c r="A189" s="147"/>
      <c r="B189" s="74" t="s">
        <v>746</v>
      </c>
      <c r="C189" s="147"/>
      <c r="D189" s="147"/>
      <c r="E189" s="147">
        <v>2</v>
      </c>
      <c r="F189" s="147">
        <v>2</v>
      </c>
      <c r="G189" s="147">
        <v>2</v>
      </c>
      <c r="H189" s="147">
        <v>2018</v>
      </c>
      <c r="I189" s="147">
        <v>2020</v>
      </c>
      <c r="J189" s="147"/>
      <c r="K189" s="147"/>
      <c r="L189" s="147"/>
      <c r="M189" s="147"/>
      <c r="N189" s="147"/>
      <c r="O189" s="147"/>
      <c r="P189" s="147"/>
      <c r="Q189" s="147"/>
      <c r="R189" s="147"/>
      <c r="S189" s="147"/>
      <c r="T189" s="147"/>
      <c r="U189" s="147"/>
      <c r="V189" s="666"/>
      <c r="W189" s="91" t="str">
        <f t="shared" si="46"/>
        <v>Y</v>
      </c>
      <c r="X189" s="91"/>
      <c r="Y189" s="91"/>
    </row>
    <row r="190" s="61" customFormat="1" ht="215.1" customHeight="1" spans="1:25">
      <c r="A190" s="147">
        <v>31</v>
      </c>
      <c r="B190" s="398" t="s">
        <v>840</v>
      </c>
      <c r="C190" s="147"/>
      <c r="D190" s="71" t="s">
        <v>147</v>
      </c>
      <c r="E190" s="147">
        <v>176</v>
      </c>
      <c r="F190" s="147">
        <v>176</v>
      </c>
      <c r="G190" s="147">
        <v>176</v>
      </c>
      <c r="H190" s="147">
        <v>2019</v>
      </c>
      <c r="I190" s="147">
        <v>2020</v>
      </c>
      <c r="J190" s="147">
        <v>84.48</v>
      </c>
      <c r="K190" s="147"/>
      <c r="L190" s="147">
        <v>42.24</v>
      </c>
      <c r="M190" s="147">
        <v>42.24</v>
      </c>
      <c r="N190" s="147"/>
      <c r="O190" s="147"/>
      <c r="P190" s="147">
        <v>84.48</v>
      </c>
      <c r="Q190" s="147"/>
      <c r="R190" s="147"/>
      <c r="S190" s="147"/>
      <c r="T190" s="147"/>
      <c r="U190" s="147"/>
      <c r="V190" s="74" t="s">
        <v>841</v>
      </c>
      <c r="W190" s="91" t="str">
        <f t="shared" si="46"/>
        <v>Y</v>
      </c>
      <c r="X190" s="91"/>
      <c r="Y190" s="91"/>
    </row>
    <row r="191" s="61" customFormat="1" ht="44.1" customHeight="1" spans="1:25">
      <c r="A191" s="147"/>
      <c r="B191" s="398" t="s">
        <v>842</v>
      </c>
      <c r="C191" s="675"/>
      <c r="D191" s="73" t="s">
        <v>147</v>
      </c>
      <c r="E191" s="147">
        <v>34</v>
      </c>
      <c r="F191" s="147">
        <v>34</v>
      </c>
      <c r="G191" s="147">
        <v>34</v>
      </c>
      <c r="H191" s="147">
        <v>2018</v>
      </c>
      <c r="I191" s="147">
        <v>2020</v>
      </c>
      <c r="J191" s="147">
        <v>47.5516</v>
      </c>
      <c r="K191" s="147">
        <v>5.2836</v>
      </c>
      <c r="L191" s="147">
        <v>21.134</v>
      </c>
      <c r="M191" s="147">
        <v>21.134</v>
      </c>
      <c r="N191" s="147"/>
      <c r="O191" s="147"/>
      <c r="P191" s="147">
        <v>1.6516</v>
      </c>
      <c r="Q191" s="147">
        <v>45.9</v>
      </c>
      <c r="R191" s="147"/>
      <c r="S191" s="147"/>
      <c r="T191" s="147"/>
      <c r="U191" s="147"/>
      <c r="V191" s="678" t="s">
        <v>843</v>
      </c>
      <c r="W191" s="91" t="str">
        <f t="shared" si="46"/>
        <v>Y</v>
      </c>
      <c r="X191" s="91"/>
      <c r="Y191" s="91"/>
    </row>
    <row r="192" s="61" customFormat="1" ht="48" customHeight="1" spans="1:25">
      <c r="A192" s="147"/>
      <c r="B192" s="74" t="s">
        <v>746</v>
      </c>
      <c r="C192" s="147"/>
      <c r="D192" s="71" t="s">
        <v>147</v>
      </c>
      <c r="E192" s="147">
        <v>27</v>
      </c>
      <c r="F192" s="147">
        <v>27</v>
      </c>
      <c r="G192" s="147">
        <v>27</v>
      </c>
      <c r="H192" s="147">
        <v>2018</v>
      </c>
      <c r="I192" s="147">
        <v>2020</v>
      </c>
      <c r="J192" s="340"/>
      <c r="K192" s="340"/>
      <c r="L192" s="340"/>
      <c r="M192" s="340"/>
      <c r="N192" s="340"/>
      <c r="O192" s="340"/>
      <c r="P192" s="340"/>
      <c r="Q192" s="340"/>
      <c r="R192" s="340"/>
      <c r="S192" s="71" t="s">
        <v>747</v>
      </c>
      <c r="T192" s="71" t="s">
        <v>748</v>
      </c>
      <c r="U192" s="147"/>
      <c r="V192" s="666" t="s">
        <v>844</v>
      </c>
      <c r="W192" s="91" t="str">
        <f t="shared" si="46"/>
        <v>Y</v>
      </c>
      <c r="X192" s="91"/>
      <c r="Y192" s="91"/>
    </row>
    <row r="193" s="61" customFormat="1" ht="39.95" customHeight="1" spans="1:25">
      <c r="A193" s="147"/>
      <c r="B193" s="74" t="s">
        <v>752</v>
      </c>
      <c r="C193" s="147"/>
      <c r="D193" s="71" t="s">
        <v>147</v>
      </c>
      <c r="E193" s="147">
        <v>35</v>
      </c>
      <c r="F193" s="147">
        <v>35</v>
      </c>
      <c r="G193" s="147">
        <v>35</v>
      </c>
      <c r="H193" s="147">
        <v>2018</v>
      </c>
      <c r="I193" s="147">
        <v>2020</v>
      </c>
      <c r="J193" s="340"/>
      <c r="K193" s="340"/>
      <c r="L193" s="340"/>
      <c r="M193" s="340"/>
      <c r="N193" s="340"/>
      <c r="O193" s="340"/>
      <c r="P193" s="340"/>
      <c r="Q193" s="340"/>
      <c r="R193" s="340"/>
      <c r="S193" s="71" t="s">
        <v>753</v>
      </c>
      <c r="T193" s="71" t="s">
        <v>754</v>
      </c>
      <c r="U193" s="147"/>
      <c r="V193" s="666" t="s">
        <v>845</v>
      </c>
      <c r="W193" s="91" t="str">
        <f t="shared" si="46"/>
        <v>Y</v>
      </c>
      <c r="X193" s="91"/>
      <c r="Y193" s="91"/>
    </row>
    <row r="194" s="61" customFormat="1" ht="36.95" customHeight="1" spans="1:25">
      <c r="A194" s="147"/>
      <c r="B194" s="74" t="s">
        <v>764</v>
      </c>
      <c r="C194" s="147"/>
      <c r="D194" s="71" t="s">
        <v>147</v>
      </c>
      <c r="E194" s="147">
        <v>16</v>
      </c>
      <c r="F194" s="147">
        <v>16</v>
      </c>
      <c r="G194" s="147">
        <v>16</v>
      </c>
      <c r="H194" s="147">
        <v>2018</v>
      </c>
      <c r="I194" s="147">
        <v>2020</v>
      </c>
      <c r="J194" s="340"/>
      <c r="K194" s="340"/>
      <c r="L194" s="340"/>
      <c r="M194" s="340"/>
      <c r="N194" s="340"/>
      <c r="O194" s="340"/>
      <c r="P194" s="340"/>
      <c r="Q194" s="340"/>
      <c r="R194" s="340"/>
      <c r="S194" s="71" t="s">
        <v>765</v>
      </c>
      <c r="T194" s="71" t="s">
        <v>766</v>
      </c>
      <c r="U194" s="147"/>
      <c r="V194" s="666" t="s">
        <v>846</v>
      </c>
      <c r="W194" s="91" t="str">
        <f t="shared" si="46"/>
        <v>Y</v>
      </c>
      <c r="X194" s="91"/>
      <c r="Y194" s="91"/>
    </row>
    <row r="195" s="61" customFormat="1" ht="42.95" customHeight="1" spans="1:25">
      <c r="A195" s="147"/>
      <c r="B195" s="74" t="s">
        <v>749</v>
      </c>
      <c r="C195" s="147"/>
      <c r="D195" s="71" t="s">
        <v>147</v>
      </c>
      <c r="E195" s="147">
        <v>29</v>
      </c>
      <c r="F195" s="147">
        <v>29</v>
      </c>
      <c r="G195" s="147">
        <v>29</v>
      </c>
      <c r="H195" s="147">
        <v>2018</v>
      </c>
      <c r="I195" s="147">
        <v>2020</v>
      </c>
      <c r="J195" s="340"/>
      <c r="K195" s="340"/>
      <c r="L195" s="340"/>
      <c r="M195" s="340"/>
      <c r="N195" s="340"/>
      <c r="O195" s="340"/>
      <c r="P195" s="340"/>
      <c r="Q195" s="340"/>
      <c r="R195" s="340"/>
      <c r="S195" s="71" t="s">
        <v>750</v>
      </c>
      <c r="T195" s="71" t="s">
        <v>751</v>
      </c>
      <c r="U195" s="147"/>
      <c r="V195" s="666" t="s">
        <v>847</v>
      </c>
      <c r="W195" s="91" t="str">
        <f t="shared" si="46"/>
        <v>Y</v>
      </c>
      <c r="X195" s="91"/>
      <c r="Y195" s="91"/>
    </row>
    <row r="196" s="61" customFormat="1" ht="45" customHeight="1" spans="1:25">
      <c r="A196" s="147"/>
      <c r="B196" s="74" t="s">
        <v>755</v>
      </c>
      <c r="C196" s="147"/>
      <c r="D196" s="71" t="s">
        <v>147</v>
      </c>
      <c r="E196" s="147">
        <v>26</v>
      </c>
      <c r="F196" s="147">
        <v>26</v>
      </c>
      <c r="G196" s="147">
        <v>26</v>
      </c>
      <c r="H196" s="147">
        <v>2018</v>
      </c>
      <c r="I196" s="147">
        <v>2020</v>
      </c>
      <c r="J196" s="340"/>
      <c r="K196" s="340"/>
      <c r="L196" s="340"/>
      <c r="M196" s="340"/>
      <c r="N196" s="340"/>
      <c r="O196" s="340"/>
      <c r="P196" s="340"/>
      <c r="Q196" s="340"/>
      <c r="R196" s="340"/>
      <c r="S196" s="71" t="s">
        <v>756</v>
      </c>
      <c r="T196" s="71" t="s">
        <v>757</v>
      </c>
      <c r="U196" s="147"/>
      <c r="V196" s="666" t="s">
        <v>848</v>
      </c>
      <c r="W196" s="91" t="str">
        <f t="shared" si="46"/>
        <v>Y</v>
      </c>
      <c r="X196" s="91"/>
      <c r="Y196" s="91"/>
    </row>
    <row r="197" s="61" customFormat="1" ht="36.95" customHeight="1" spans="1:25">
      <c r="A197" s="147"/>
      <c r="B197" s="74" t="s">
        <v>758</v>
      </c>
      <c r="C197" s="147"/>
      <c r="D197" s="71" t="s">
        <v>147</v>
      </c>
      <c r="E197" s="147">
        <v>29</v>
      </c>
      <c r="F197" s="147">
        <v>29</v>
      </c>
      <c r="G197" s="147">
        <v>29</v>
      </c>
      <c r="H197" s="147">
        <v>2018</v>
      </c>
      <c r="I197" s="147">
        <v>2020</v>
      </c>
      <c r="J197" s="340"/>
      <c r="K197" s="340"/>
      <c r="L197" s="340"/>
      <c r="M197" s="340"/>
      <c r="N197" s="340"/>
      <c r="O197" s="340"/>
      <c r="P197" s="340"/>
      <c r="Q197" s="340"/>
      <c r="R197" s="340"/>
      <c r="S197" s="71" t="s">
        <v>759</v>
      </c>
      <c r="T197" s="71" t="s">
        <v>760</v>
      </c>
      <c r="U197" s="147"/>
      <c r="V197" s="666" t="s">
        <v>846</v>
      </c>
      <c r="W197" s="91" t="str">
        <f t="shared" si="46"/>
        <v>Y</v>
      </c>
      <c r="X197" s="91"/>
      <c r="Y197" s="91"/>
    </row>
    <row r="198" s="61" customFormat="1" ht="30" customHeight="1" spans="1:25">
      <c r="A198" s="147"/>
      <c r="B198" s="74" t="s">
        <v>767</v>
      </c>
      <c r="C198" s="147"/>
      <c r="D198" s="71" t="s">
        <v>147</v>
      </c>
      <c r="E198" s="147">
        <v>19</v>
      </c>
      <c r="F198" s="147">
        <v>19</v>
      </c>
      <c r="G198" s="147">
        <v>19</v>
      </c>
      <c r="H198" s="147">
        <v>2018</v>
      </c>
      <c r="I198" s="147">
        <v>2020</v>
      </c>
      <c r="J198" s="340"/>
      <c r="K198" s="340"/>
      <c r="L198" s="340"/>
      <c r="M198" s="340"/>
      <c r="N198" s="340"/>
      <c r="O198" s="340"/>
      <c r="P198" s="340"/>
      <c r="Q198" s="340"/>
      <c r="R198" s="340"/>
      <c r="S198" s="71" t="s">
        <v>768</v>
      </c>
      <c r="T198" s="71" t="s">
        <v>769</v>
      </c>
      <c r="U198" s="147"/>
      <c r="V198" s="666" t="s">
        <v>849</v>
      </c>
      <c r="W198" s="91" t="str">
        <f t="shared" si="46"/>
        <v>Y</v>
      </c>
      <c r="X198" s="91"/>
      <c r="Y198" s="91"/>
    </row>
    <row r="199" s="61" customFormat="1" ht="33.95" customHeight="1" spans="1:25">
      <c r="A199" s="147"/>
      <c r="B199" s="74" t="s">
        <v>770</v>
      </c>
      <c r="C199" s="147"/>
      <c r="D199" s="71" t="s">
        <v>147</v>
      </c>
      <c r="E199" s="147">
        <v>29</v>
      </c>
      <c r="F199" s="147">
        <v>29</v>
      </c>
      <c r="G199" s="147">
        <v>29</v>
      </c>
      <c r="H199" s="147">
        <v>2018</v>
      </c>
      <c r="I199" s="147">
        <v>2020</v>
      </c>
      <c r="J199" s="340"/>
      <c r="K199" s="340"/>
      <c r="L199" s="340"/>
      <c r="M199" s="340"/>
      <c r="N199" s="340"/>
      <c r="O199" s="340"/>
      <c r="P199" s="340"/>
      <c r="Q199" s="340"/>
      <c r="R199" s="340"/>
      <c r="S199" s="71" t="s">
        <v>771</v>
      </c>
      <c r="T199" s="71" t="s">
        <v>832</v>
      </c>
      <c r="U199" s="147"/>
      <c r="V199" s="666" t="s">
        <v>846</v>
      </c>
      <c r="W199" s="91" t="str">
        <f t="shared" si="46"/>
        <v>Y</v>
      </c>
      <c r="X199" s="91"/>
      <c r="Y199" s="91"/>
    </row>
    <row r="200" s="61" customFormat="1" ht="201" customHeight="1" spans="1:25">
      <c r="A200" s="147">
        <v>32</v>
      </c>
      <c r="B200" s="398" t="s">
        <v>850</v>
      </c>
      <c r="C200" s="147" t="s">
        <v>320</v>
      </c>
      <c r="D200" s="71" t="s">
        <v>147</v>
      </c>
      <c r="E200" s="147">
        <v>15</v>
      </c>
      <c r="F200" s="147">
        <v>15</v>
      </c>
      <c r="G200" s="147">
        <v>15</v>
      </c>
      <c r="H200" s="147">
        <v>2018</v>
      </c>
      <c r="I200" s="147">
        <v>2020</v>
      </c>
      <c r="J200" s="147">
        <f>K200+L200+M200</f>
        <v>20.979</v>
      </c>
      <c r="K200" s="147">
        <v>2.331</v>
      </c>
      <c r="L200" s="147">
        <v>9.324</v>
      </c>
      <c r="M200" s="147">
        <v>9.324</v>
      </c>
      <c r="N200" s="122"/>
      <c r="O200" s="122"/>
      <c r="P200" s="122">
        <v>0.729</v>
      </c>
      <c r="Q200" s="122">
        <v>20.25</v>
      </c>
      <c r="R200" s="122"/>
      <c r="S200" s="71" t="s">
        <v>851</v>
      </c>
      <c r="T200" s="71" t="s">
        <v>852</v>
      </c>
      <c r="U200" s="71" t="s">
        <v>275</v>
      </c>
      <c r="V200" s="74" t="s">
        <v>853</v>
      </c>
      <c r="W200" s="91" t="str">
        <f t="shared" si="46"/>
        <v>Y</v>
      </c>
      <c r="X200" s="91"/>
      <c r="Y200" s="91"/>
    </row>
    <row r="201" s="61" customFormat="1" ht="21.95" customHeight="1" spans="1:25">
      <c r="A201" s="147"/>
      <c r="B201" s="74" t="s">
        <v>746</v>
      </c>
      <c r="C201" s="147"/>
      <c r="D201" s="71" t="s">
        <v>147</v>
      </c>
      <c r="E201" s="147">
        <v>3</v>
      </c>
      <c r="F201" s="147">
        <v>3</v>
      </c>
      <c r="G201" s="147">
        <v>3</v>
      </c>
      <c r="H201" s="147">
        <v>2018</v>
      </c>
      <c r="I201" s="147">
        <v>2020</v>
      </c>
      <c r="J201" s="147"/>
      <c r="K201" s="147"/>
      <c r="L201" s="147"/>
      <c r="M201" s="147"/>
      <c r="N201" s="122"/>
      <c r="O201" s="122"/>
      <c r="P201" s="122"/>
      <c r="Q201" s="122"/>
      <c r="R201" s="122"/>
      <c r="S201" s="71" t="s">
        <v>747</v>
      </c>
      <c r="T201" s="71" t="s">
        <v>748</v>
      </c>
      <c r="U201" s="375"/>
      <c r="V201" s="398"/>
      <c r="W201" s="91" t="str">
        <f t="shared" si="46"/>
        <v>Y</v>
      </c>
      <c r="X201" s="91"/>
      <c r="Y201" s="91"/>
    </row>
    <row r="202" s="61" customFormat="1" ht="21.95" customHeight="1" spans="1:25">
      <c r="A202" s="147"/>
      <c r="B202" s="74" t="s">
        <v>752</v>
      </c>
      <c r="C202" s="147"/>
      <c r="D202" s="71" t="s">
        <v>147</v>
      </c>
      <c r="E202" s="147">
        <v>2</v>
      </c>
      <c r="F202" s="147">
        <v>2</v>
      </c>
      <c r="G202" s="147">
        <v>2</v>
      </c>
      <c r="H202" s="147">
        <v>2018</v>
      </c>
      <c r="I202" s="147">
        <v>2020</v>
      </c>
      <c r="J202" s="147"/>
      <c r="K202" s="147"/>
      <c r="L202" s="147"/>
      <c r="M202" s="147"/>
      <c r="N202" s="122"/>
      <c r="O202" s="122"/>
      <c r="P202" s="122"/>
      <c r="Q202" s="122"/>
      <c r="R202" s="122"/>
      <c r="S202" s="71" t="s">
        <v>753</v>
      </c>
      <c r="T202" s="71" t="s">
        <v>754</v>
      </c>
      <c r="U202" s="375"/>
      <c r="V202" s="398"/>
      <c r="W202" s="91" t="str">
        <f t="shared" si="46"/>
        <v>Y</v>
      </c>
      <c r="X202" s="91"/>
      <c r="Y202" s="91"/>
    </row>
    <row r="203" s="61" customFormat="1" ht="21.95" customHeight="1" spans="1:25">
      <c r="A203" s="147"/>
      <c r="B203" s="74" t="s">
        <v>764</v>
      </c>
      <c r="C203" s="147"/>
      <c r="D203" s="71" t="s">
        <v>147</v>
      </c>
      <c r="E203" s="147">
        <v>1</v>
      </c>
      <c r="F203" s="147">
        <v>1</v>
      </c>
      <c r="G203" s="147">
        <v>1</v>
      </c>
      <c r="H203" s="147">
        <v>2018</v>
      </c>
      <c r="I203" s="147">
        <v>2020</v>
      </c>
      <c r="J203" s="147"/>
      <c r="K203" s="147"/>
      <c r="L203" s="147"/>
      <c r="M203" s="147"/>
      <c r="N203" s="122"/>
      <c r="O203" s="122"/>
      <c r="P203" s="122"/>
      <c r="Q203" s="122"/>
      <c r="R203" s="122"/>
      <c r="S203" s="71" t="s">
        <v>765</v>
      </c>
      <c r="T203" s="71" t="s">
        <v>766</v>
      </c>
      <c r="U203" s="375"/>
      <c r="V203" s="398"/>
      <c r="W203" s="91" t="str">
        <f t="shared" ref="W203:W236" si="53">IF(SUM(N203:R203)=J203,"Y","N")</f>
        <v>Y</v>
      </c>
      <c r="X203" s="91"/>
      <c r="Y203" s="91"/>
    </row>
    <row r="204" s="61" customFormat="1" ht="21.95" customHeight="1" spans="1:25">
      <c r="A204" s="147"/>
      <c r="B204" s="74" t="s">
        <v>749</v>
      </c>
      <c r="C204" s="147"/>
      <c r="D204" s="71" t="s">
        <v>147</v>
      </c>
      <c r="E204" s="147">
        <v>2</v>
      </c>
      <c r="F204" s="147">
        <v>2</v>
      </c>
      <c r="G204" s="147">
        <v>2</v>
      </c>
      <c r="H204" s="147">
        <v>2018</v>
      </c>
      <c r="I204" s="147">
        <v>2020</v>
      </c>
      <c r="J204" s="147"/>
      <c r="K204" s="147"/>
      <c r="L204" s="147"/>
      <c r="M204" s="147"/>
      <c r="N204" s="122"/>
      <c r="O204" s="122"/>
      <c r="P204" s="122"/>
      <c r="Q204" s="122"/>
      <c r="R204" s="122"/>
      <c r="S204" s="71" t="s">
        <v>750</v>
      </c>
      <c r="T204" s="71" t="s">
        <v>751</v>
      </c>
      <c r="U204" s="375"/>
      <c r="V204" s="398"/>
      <c r="W204" s="91" t="str">
        <f t="shared" si="53"/>
        <v>Y</v>
      </c>
      <c r="X204" s="91"/>
      <c r="Y204" s="91"/>
    </row>
    <row r="205" s="61" customFormat="1" ht="21.95" customHeight="1" spans="1:25">
      <c r="A205" s="147"/>
      <c r="B205" s="74" t="s">
        <v>758</v>
      </c>
      <c r="C205" s="147"/>
      <c r="D205" s="71" t="s">
        <v>147</v>
      </c>
      <c r="E205" s="147">
        <v>3</v>
      </c>
      <c r="F205" s="147">
        <v>3</v>
      </c>
      <c r="G205" s="147">
        <v>3</v>
      </c>
      <c r="H205" s="147">
        <v>2018</v>
      </c>
      <c r="I205" s="147">
        <v>2020</v>
      </c>
      <c r="J205" s="147"/>
      <c r="K205" s="147"/>
      <c r="L205" s="147"/>
      <c r="M205" s="147"/>
      <c r="N205" s="122"/>
      <c r="O205" s="122"/>
      <c r="P205" s="122"/>
      <c r="Q205" s="122"/>
      <c r="R205" s="122"/>
      <c r="S205" s="71" t="s">
        <v>759</v>
      </c>
      <c r="T205" s="71" t="s">
        <v>760</v>
      </c>
      <c r="U205" s="375"/>
      <c r="V205" s="398"/>
      <c r="W205" s="91" t="str">
        <f t="shared" si="53"/>
        <v>Y</v>
      </c>
      <c r="X205" s="91"/>
      <c r="Y205" s="91"/>
    </row>
    <row r="206" s="61" customFormat="1" ht="21.95" customHeight="1" spans="1:25">
      <c r="A206" s="147"/>
      <c r="B206" s="74" t="s">
        <v>767</v>
      </c>
      <c r="C206" s="147"/>
      <c r="D206" s="71" t="s">
        <v>147</v>
      </c>
      <c r="E206" s="147">
        <v>4</v>
      </c>
      <c r="F206" s="147">
        <v>4</v>
      </c>
      <c r="G206" s="147">
        <v>4</v>
      </c>
      <c r="H206" s="147">
        <v>2018</v>
      </c>
      <c r="I206" s="147">
        <v>2020</v>
      </c>
      <c r="J206" s="147"/>
      <c r="K206" s="147"/>
      <c r="L206" s="147"/>
      <c r="M206" s="147"/>
      <c r="N206" s="122"/>
      <c r="O206" s="122"/>
      <c r="P206" s="122"/>
      <c r="Q206" s="122"/>
      <c r="R206" s="122"/>
      <c r="S206" s="71" t="s">
        <v>768</v>
      </c>
      <c r="T206" s="71" t="s">
        <v>769</v>
      </c>
      <c r="U206" s="375"/>
      <c r="V206" s="398"/>
      <c r="W206" s="91" t="str">
        <f t="shared" si="53"/>
        <v>Y</v>
      </c>
      <c r="X206" s="91"/>
      <c r="Y206" s="91"/>
    </row>
    <row r="207" s="61" customFormat="1" ht="81.95" customHeight="1" spans="1:25">
      <c r="A207" s="147">
        <v>33</v>
      </c>
      <c r="B207" s="398" t="s">
        <v>854</v>
      </c>
      <c r="C207" s="147" t="s">
        <v>320</v>
      </c>
      <c r="D207" s="71" t="s">
        <v>147</v>
      </c>
      <c r="E207" s="147">
        <v>8</v>
      </c>
      <c r="F207" s="147">
        <v>8</v>
      </c>
      <c r="G207" s="147">
        <v>8</v>
      </c>
      <c r="H207" s="147">
        <v>2018</v>
      </c>
      <c r="I207" s="147">
        <v>2020</v>
      </c>
      <c r="J207" s="123">
        <v>3.6</v>
      </c>
      <c r="K207" s="123">
        <v>1.2</v>
      </c>
      <c r="L207" s="123">
        <v>1.2</v>
      </c>
      <c r="M207" s="123">
        <v>1.2</v>
      </c>
      <c r="N207" s="123">
        <v>3.6</v>
      </c>
      <c r="O207" s="123"/>
      <c r="P207" s="123"/>
      <c r="Q207" s="123"/>
      <c r="R207" s="340"/>
      <c r="S207" s="71" t="s">
        <v>837</v>
      </c>
      <c r="T207" s="71" t="s">
        <v>855</v>
      </c>
      <c r="U207" s="71" t="s">
        <v>277</v>
      </c>
      <c r="V207" s="74" t="s">
        <v>856</v>
      </c>
      <c r="W207" s="91" t="str">
        <f t="shared" si="53"/>
        <v>Y</v>
      </c>
      <c r="X207" s="91"/>
      <c r="Y207" s="91"/>
    </row>
    <row r="208" s="61" customFormat="1" ht="21.95" customHeight="1" spans="1:25">
      <c r="A208" s="147"/>
      <c r="B208" s="74" t="s">
        <v>770</v>
      </c>
      <c r="C208" s="147"/>
      <c r="D208" s="71" t="s">
        <v>147</v>
      </c>
      <c r="E208" s="147">
        <v>8</v>
      </c>
      <c r="F208" s="147">
        <v>8</v>
      </c>
      <c r="G208" s="147">
        <v>8</v>
      </c>
      <c r="H208" s="147">
        <v>2018</v>
      </c>
      <c r="I208" s="147">
        <v>2020</v>
      </c>
      <c r="J208" s="123">
        <v>3.6</v>
      </c>
      <c r="K208" s="123">
        <v>1.2</v>
      </c>
      <c r="L208" s="123">
        <v>1.2</v>
      </c>
      <c r="M208" s="123">
        <v>1.2</v>
      </c>
      <c r="N208" s="123"/>
      <c r="O208" s="123"/>
      <c r="P208" s="123"/>
      <c r="Q208" s="123"/>
      <c r="R208" s="340"/>
      <c r="S208" s="71" t="s">
        <v>771</v>
      </c>
      <c r="T208" s="71" t="s">
        <v>832</v>
      </c>
      <c r="U208" s="147"/>
      <c r="V208" s="398"/>
      <c r="W208" s="91" t="str">
        <f t="shared" si="53"/>
        <v>N</v>
      </c>
      <c r="X208" s="91"/>
      <c r="Y208" s="91"/>
    </row>
    <row r="209" s="61" customFormat="1" ht="21.95" customHeight="1" spans="1:25">
      <c r="A209" s="147">
        <v>34</v>
      </c>
      <c r="B209" s="74" t="s">
        <v>857</v>
      </c>
      <c r="C209" s="147" t="s">
        <v>320</v>
      </c>
      <c r="D209" s="147" t="s">
        <v>320</v>
      </c>
      <c r="E209" s="147"/>
      <c r="F209" s="147"/>
      <c r="G209" s="147"/>
      <c r="H209" s="147"/>
      <c r="I209" s="147"/>
      <c r="J209" s="147">
        <f>SUM(K209:M209)</f>
        <v>3847.647992</v>
      </c>
      <c r="K209" s="147">
        <f t="shared" ref="K209:R209" si="54">SUM(K210,K225,K231,K251,K252,K261)</f>
        <v>798.17</v>
      </c>
      <c r="L209" s="147">
        <f t="shared" si="54"/>
        <v>3009.172064</v>
      </c>
      <c r="M209" s="147">
        <f t="shared" si="54"/>
        <v>40.305928</v>
      </c>
      <c r="N209" s="147">
        <f t="shared" si="54"/>
        <v>0</v>
      </c>
      <c r="O209" s="147">
        <f t="shared" si="54"/>
        <v>3847.647992</v>
      </c>
      <c r="P209" s="147">
        <f t="shared" si="54"/>
        <v>0</v>
      </c>
      <c r="Q209" s="147">
        <f t="shared" si="54"/>
        <v>0</v>
      </c>
      <c r="R209" s="147">
        <f t="shared" si="54"/>
        <v>0</v>
      </c>
      <c r="S209" s="147"/>
      <c r="T209" s="147"/>
      <c r="U209" s="147" t="s">
        <v>320</v>
      </c>
      <c r="V209" s="74" t="s">
        <v>41</v>
      </c>
      <c r="W209" s="91" t="str">
        <f t="shared" si="53"/>
        <v>Y</v>
      </c>
      <c r="X209" s="91"/>
      <c r="Y209" s="91"/>
    </row>
    <row r="210" s="61" customFormat="1" ht="21.95" customHeight="1" spans="1:25">
      <c r="A210" s="147">
        <v>35</v>
      </c>
      <c r="B210" s="74" t="s">
        <v>42</v>
      </c>
      <c r="C210" s="147"/>
      <c r="D210" s="147"/>
      <c r="E210" s="147">
        <f t="shared" ref="E210:G210" si="55">E211+E223</f>
        <v>6502.62</v>
      </c>
      <c r="F210" s="147">
        <f t="shared" si="55"/>
        <v>3380</v>
      </c>
      <c r="G210" s="147">
        <f t="shared" si="55"/>
        <v>12476</v>
      </c>
      <c r="H210" s="147">
        <v>2018</v>
      </c>
      <c r="I210" s="147">
        <v>2020</v>
      </c>
      <c r="J210" s="147"/>
      <c r="K210" s="147"/>
      <c r="L210" s="147"/>
      <c r="M210" s="147"/>
      <c r="N210" s="674"/>
      <c r="O210" s="674"/>
      <c r="P210" s="674"/>
      <c r="Q210" s="674"/>
      <c r="R210" s="674"/>
      <c r="S210" s="71" t="s">
        <v>851</v>
      </c>
      <c r="T210" s="71" t="s">
        <v>858</v>
      </c>
      <c r="U210" s="71" t="s">
        <v>435</v>
      </c>
      <c r="V210" s="398"/>
      <c r="W210" s="91" t="str">
        <f t="shared" si="53"/>
        <v>Y</v>
      </c>
      <c r="X210" s="91"/>
      <c r="Y210" s="91"/>
    </row>
    <row r="211" s="61" customFormat="1" ht="36" customHeight="1" spans="1:25">
      <c r="A211" s="147">
        <v>36</v>
      </c>
      <c r="B211" s="398" t="s">
        <v>859</v>
      </c>
      <c r="C211" s="71" t="s">
        <v>52</v>
      </c>
      <c r="D211" s="71" t="s">
        <v>45</v>
      </c>
      <c r="E211" s="147">
        <f t="shared" ref="E211:G211" si="56">SUM(E212:E222)</f>
        <v>6402.62</v>
      </c>
      <c r="F211" s="147">
        <f t="shared" si="56"/>
        <v>3147</v>
      </c>
      <c r="G211" s="147">
        <f t="shared" si="56"/>
        <v>11543</v>
      </c>
      <c r="H211" s="147">
        <v>2018</v>
      </c>
      <c r="I211" s="147">
        <v>2020</v>
      </c>
      <c r="J211" s="147"/>
      <c r="K211" s="147"/>
      <c r="L211" s="147"/>
      <c r="M211" s="147"/>
      <c r="N211" s="674"/>
      <c r="O211" s="674"/>
      <c r="P211" s="674"/>
      <c r="Q211" s="674"/>
      <c r="R211" s="674"/>
      <c r="S211" s="147"/>
      <c r="T211" s="147"/>
      <c r="U211" s="147"/>
      <c r="V211" s="398"/>
      <c r="W211" s="91" t="str">
        <f t="shared" si="53"/>
        <v>Y</v>
      </c>
      <c r="X211" s="91"/>
      <c r="Y211" s="91"/>
    </row>
    <row r="212" s="61" customFormat="1" ht="21.95" customHeight="1" spans="1:25">
      <c r="A212" s="147"/>
      <c r="B212" s="74" t="s">
        <v>860</v>
      </c>
      <c r="C212" s="147"/>
      <c r="D212" s="71" t="s">
        <v>45</v>
      </c>
      <c r="E212" s="147">
        <v>1148.5</v>
      </c>
      <c r="F212" s="147">
        <v>1153</v>
      </c>
      <c r="G212" s="147">
        <v>4391</v>
      </c>
      <c r="H212" s="147">
        <v>2018</v>
      </c>
      <c r="I212" s="147">
        <v>2020</v>
      </c>
      <c r="J212" s="147"/>
      <c r="K212" s="147"/>
      <c r="L212" s="147"/>
      <c r="M212" s="147"/>
      <c r="N212" s="674"/>
      <c r="O212" s="674"/>
      <c r="P212" s="674"/>
      <c r="Q212" s="674"/>
      <c r="R212" s="674"/>
      <c r="S212" s="147"/>
      <c r="T212" s="147"/>
      <c r="U212" s="147"/>
      <c r="V212" s="398"/>
      <c r="W212" s="91" t="str">
        <f t="shared" si="53"/>
        <v>Y</v>
      </c>
      <c r="X212" s="91"/>
      <c r="Y212" s="91"/>
    </row>
    <row r="213" s="61" customFormat="1" ht="21.95" customHeight="1" spans="1:25">
      <c r="A213" s="147"/>
      <c r="B213" s="74" t="s">
        <v>861</v>
      </c>
      <c r="C213" s="147"/>
      <c r="D213" s="71" t="s">
        <v>45</v>
      </c>
      <c r="E213" s="147">
        <v>2710.32</v>
      </c>
      <c r="F213" s="147">
        <v>1648</v>
      </c>
      <c r="G213" s="147">
        <v>5836</v>
      </c>
      <c r="H213" s="147">
        <v>2018</v>
      </c>
      <c r="I213" s="147">
        <v>2020</v>
      </c>
      <c r="J213" s="147"/>
      <c r="K213" s="147"/>
      <c r="L213" s="147"/>
      <c r="M213" s="147"/>
      <c r="N213" s="674"/>
      <c r="O213" s="674"/>
      <c r="P213" s="674"/>
      <c r="Q213" s="674"/>
      <c r="R213" s="674"/>
      <c r="S213" s="147"/>
      <c r="T213" s="147"/>
      <c r="U213" s="147"/>
      <c r="V213" s="398"/>
      <c r="W213" s="91" t="str">
        <f t="shared" si="53"/>
        <v>Y</v>
      </c>
      <c r="X213" s="91"/>
      <c r="Y213" s="91"/>
    </row>
    <row r="214" s="61" customFormat="1" ht="21.95" customHeight="1" spans="1:25">
      <c r="A214" s="147"/>
      <c r="B214" s="74" t="s">
        <v>862</v>
      </c>
      <c r="C214" s="147"/>
      <c r="D214" s="71" t="s">
        <v>45</v>
      </c>
      <c r="E214" s="147">
        <v>943.5</v>
      </c>
      <c r="F214" s="147">
        <v>38</v>
      </c>
      <c r="G214" s="147">
        <v>124</v>
      </c>
      <c r="H214" s="147">
        <v>2018</v>
      </c>
      <c r="I214" s="147">
        <v>2020</v>
      </c>
      <c r="J214" s="147"/>
      <c r="K214" s="147"/>
      <c r="L214" s="147"/>
      <c r="M214" s="147"/>
      <c r="N214" s="674"/>
      <c r="O214" s="674"/>
      <c r="P214" s="674"/>
      <c r="Q214" s="674"/>
      <c r="R214" s="674"/>
      <c r="S214" s="147"/>
      <c r="T214" s="147"/>
      <c r="U214" s="147"/>
      <c r="V214" s="398"/>
      <c r="W214" s="91" t="str">
        <f t="shared" si="53"/>
        <v>Y</v>
      </c>
      <c r="X214" s="91"/>
      <c r="Y214" s="91"/>
    </row>
    <row r="215" s="61" customFormat="1" ht="21.95" customHeight="1" spans="1:25">
      <c r="A215" s="147"/>
      <c r="B215" s="74" t="s">
        <v>863</v>
      </c>
      <c r="C215" s="147"/>
      <c r="D215" s="71" t="s">
        <v>45</v>
      </c>
      <c r="E215" s="147">
        <v>173</v>
      </c>
      <c r="F215" s="147">
        <v>60</v>
      </c>
      <c r="G215" s="147">
        <v>230</v>
      </c>
      <c r="H215" s="147">
        <v>2018</v>
      </c>
      <c r="I215" s="147">
        <v>2020</v>
      </c>
      <c r="J215" s="147"/>
      <c r="K215" s="147"/>
      <c r="L215" s="147"/>
      <c r="M215" s="147"/>
      <c r="N215" s="674"/>
      <c r="O215" s="674"/>
      <c r="P215" s="674"/>
      <c r="Q215" s="674"/>
      <c r="R215" s="674"/>
      <c r="S215" s="147"/>
      <c r="T215" s="147"/>
      <c r="U215" s="147"/>
      <c r="V215" s="398"/>
      <c r="W215" s="91" t="str">
        <f t="shared" si="53"/>
        <v>Y</v>
      </c>
      <c r="X215" s="91"/>
      <c r="Y215" s="91"/>
    </row>
    <row r="216" s="61" customFormat="1" ht="21.95" customHeight="1" spans="1:25">
      <c r="A216" s="147"/>
      <c r="B216" s="74" t="s">
        <v>864</v>
      </c>
      <c r="C216" s="147"/>
      <c r="D216" s="71" t="s">
        <v>45</v>
      </c>
      <c r="E216" s="147">
        <v>21</v>
      </c>
      <c r="F216" s="147">
        <v>3</v>
      </c>
      <c r="G216" s="147">
        <v>11</v>
      </c>
      <c r="H216" s="147">
        <v>2018</v>
      </c>
      <c r="I216" s="147">
        <v>2020</v>
      </c>
      <c r="J216" s="147"/>
      <c r="K216" s="147"/>
      <c r="L216" s="147"/>
      <c r="M216" s="147"/>
      <c r="N216" s="674"/>
      <c r="O216" s="674"/>
      <c r="P216" s="674"/>
      <c r="Q216" s="674"/>
      <c r="R216" s="674"/>
      <c r="S216" s="147"/>
      <c r="T216" s="147"/>
      <c r="U216" s="147"/>
      <c r="V216" s="398"/>
      <c r="W216" s="91" t="str">
        <f t="shared" si="53"/>
        <v>Y</v>
      </c>
      <c r="X216" s="91"/>
      <c r="Y216" s="91"/>
    </row>
    <row r="217" s="61" customFormat="1" ht="21.95" customHeight="1" spans="1:25">
      <c r="A217" s="147"/>
      <c r="B217" s="74" t="s">
        <v>865</v>
      </c>
      <c r="C217" s="147"/>
      <c r="D217" s="71" t="s">
        <v>45</v>
      </c>
      <c r="E217" s="147">
        <v>283.8</v>
      </c>
      <c r="F217" s="147">
        <v>56</v>
      </c>
      <c r="G217" s="147">
        <v>223</v>
      </c>
      <c r="H217" s="147">
        <v>2018</v>
      </c>
      <c r="I217" s="147">
        <v>2020</v>
      </c>
      <c r="J217" s="147"/>
      <c r="K217" s="147"/>
      <c r="L217" s="147"/>
      <c r="M217" s="147"/>
      <c r="N217" s="674"/>
      <c r="O217" s="674"/>
      <c r="P217" s="674"/>
      <c r="Q217" s="674"/>
      <c r="R217" s="674"/>
      <c r="S217" s="147"/>
      <c r="T217" s="147"/>
      <c r="U217" s="147"/>
      <c r="V217" s="398"/>
      <c r="W217" s="91" t="str">
        <f t="shared" si="53"/>
        <v>Y</v>
      </c>
      <c r="X217" s="91"/>
      <c r="Y217" s="91"/>
    </row>
    <row r="218" s="61" customFormat="1" ht="21.95" customHeight="1" spans="1:25">
      <c r="A218" s="147"/>
      <c r="B218" s="74" t="s">
        <v>866</v>
      </c>
      <c r="C218" s="147"/>
      <c r="D218" s="71" t="s">
        <v>45</v>
      </c>
      <c r="E218" s="147">
        <v>149</v>
      </c>
      <c r="F218" s="147">
        <v>137</v>
      </c>
      <c r="G218" s="147">
        <v>487</v>
      </c>
      <c r="H218" s="147">
        <v>2018</v>
      </c>
      <c r="I218" s="147">
        <v>2020</v>
      </c>
      <c r="J218" s="147"/>
      <c r="K218" s="147"/>
      <c r="L218" s="147"/>
      <c r="M218" s="147"/>
      <c r="N218" s="674"/>
      <c r="O218" s="674"/>
      <c r="P218" s="674"/>
      <c r="Q218" s="674"/>
      <c r="R218" s="674"/>
      <c r="S218" s="147"/>
      <c r="T218" s="147"/>
      <c r="U218" s="147"/>
      <c r="V218" s="398"/>
      <c r="W218" s="91" t="str">
        <f t="shared" si="53"/>
        <v>Y</v>
      </c>
      <c r="X218" s="91"/>
      <c r="Y218" s="91"/>
    </row>
    <row r="219" s="61" customFormat="1" ht="21.95" customHeight="1" spans="1:25">
      <c r="A219" s="147"/>
      <c r="B219" s="74" t="s">
        <v>867</v>
      </c>
      <c r="C219" s="147"/>
      <c r="D219" s="71" t="s">
        <v>45</v>
      </c>
      <c r="E219" s="147">
        <v>864</v>
      </c>
      <c r="F219" s="147">
        <v>30</v>
      </c>
      <c r="G219" s="147">
        <v>156</v>
      </c>
      <c r="H219" s="147">
        <v>2018</v>
      </c>
      <c r="I219" s="147">
        <v>2020</v>
      </c>
      <c r="J219" s="147"/>
      <c r="K219" s="147"/>
      <c r="L219" s="147"/>
      <c r="M219" s="147"/>
      <c r="N219" s="674"/>
      <c r="O219" s="674"/>
      <c r="P219" s="674"/>
      <c r="Q219" s="674"/>
      <c r="R219" s="674"/>
      <c r="S219" s="147"/>
      <c r="T219" s="147"/>
      <c r="U219" s="147"/>
      <c r="V219" s="398"/>
      <c r="W219" s="91" t="str">
        <f t="shared" si="53"/>
        <v>Y</v>
      </c>
      <c r="X219" s="91"/>
      <c r="Y219" s="91"/>
    </row>
    <row r="220" s="61" customFormat="1" ht="21.95" customHeight="1" spans="1:25">
      <c r="A220" s="147"/>
      <c r="B220" s="74" t="s">
        <v>868</v>
      </c>
      <c r="C220" s="147"/>
      <c r="D220" s="71" t="s">
        <v>45</v>
      </c>
      <c r="E220" s="147">
        <v>48</v>
      </c>
      <c r="F220" s="147">
        <v>7</v>
      </c>
      <c r="G220" s="147">
        <v>23</v>
      </c>
      <c r="H220" s="147">
        <v>2018</v>
      </c>
      <c r="I220" s="147">
        <v>2020</v>
      </c>
      <c r="J220" s="147"/>
      <c r="K220" s="147"/>
      <c r="L220" s="147"/>
      <c r="M220" s="147"/>
      <c r="N220" s="674"/>
      <c r="O220" s="674"/>
      <c r="P220" s="674"/>
      <c r="Q220" s="674"/>
      <c r="R220" s="674"/>
      <c r="S220" s="147"/>
      <c r="T220" s="147"/>
      <c r="U220" s="147"/>
      <c r="V220" s="398"/>
      <c r="W220" s="91" t="str">
        <f t="shared" si="53"/>
        <v>Y</v>
      </c>
      <c r="X220" s="91"/>
      <c r="Y220" s="91"/>
    </row>
    <row r="221" s="61" customFormat="1" ht="21.95" customHeight="1" spans="1:25">
      <c r="A221" s="147"/>
      <c r="B221" s="74" t="s">
        <v>869</v>
      </c>
      <c r="C221" s="147"/>
      <c r="D221" s="71" t="s">
        <v>45</v>
      </c>
      <c r="E221" s="147">
        <v>17.5</v>
      </c>
      <c r="F221" s="147">
        <v>3</v>
      </c>
      <c r="G221" s="147">
        <v>10</v>
      </c>
      <c r="H221" s="147">
        <v>2018</v>
      </c>
      <c r="I221" s="147">
        <v>2020</v>
      </c>
      <c r="J221" s="147"/>
      <c r="K221" s="147"/>
      <c r="L221" s="147"/>
      <c r="M221" s="147"/>
      <c r="N221" s="674"/>
      <c r="O221" s="674"/>
      <c r="P221" s="674"/>
      <c r="Q221" s="674"/>
      <c r="R221" s="674"/>
      <c r="S221" s="147"/>
      <c r="T221" s="147"/>
      <c r="U221" s="147"/>
      <c r="V221" s="398"/>
      <c r="W221" s="91" t="str">
        <f t="shared" si="53"/>
        <v>Y</v>
      </c>
      <c r="X221" s="91"/>
      <c r="Y221" s="91"/>
    </row>
    <row r="222" s="61" customFormat="1" ht="21.95" customHeight="1" spans="1:25">
      <c r="A222" s="147"/>
      <c r="B222" s="74" t="s">
        <v>870</v>
      </c>
      <c r="C222" s="147"/>
      <c r="D222" s="71" t="s">
        <v>45</v>
      </c>
      <c r="E222" s="147">
        <v>44</v>
      </c>
      <c r="F222" s="147">
        <v>12</v>
      </c>
      <c r="G222" s="147">
        <v>52</v>
      </c>
      <c r="H222" s="147">
        <v>2018</v>
      </c>
      <c r="I222" s="147">
        <v>2020</v>
      </c>
      <c r="J222" s="147"/>
      <c r="K222" s="147"/>
      <c r="L222" s="147"/>
      <c r="M222" s="147"/>
      <c r="N222" s="674"/>
      <c r="O222" s="674"/>
      <c r="P222" s="674"/>
      <c r="Q222" s="674"/>
      <c r="R222" s="674"/>
      <c r="S222" s="147"/>
      <c r="T222" s="147"/>
      <c r="U222" s="147"/>
      <c r="V222" s="398"/>
      <c r="W222" s="91" t="str">
        <f t="shared" si="53"/>
        <v>Y</v>
      </c>
      <c r="X222" s="91"/>
      <c r="Y222" s="91"/>
    </row>
    <row r="223" s="61" customFormat="1" ht="21.95" customHeight="1" spans="1:25">
      <c r="A223" s="147">
        <v>37</v>
      </c>
      <c r="B223" s="398" t="s">
        <v>871</v>
      </c>
      <c r="C223" s="71" t="s">
        <v>872</v>
      </c>
      <c r="D223" s="71" t="s">
        <v>45</v>
      </c>
      <c r="E223" s="147">
        <f t="shared" ref="E223:I223" si="57">E224</f>
        <v>100</v>
      </c>
      <c r="F223" s="147">
        <f t="shared" si="57"/>
        <v>233</v>
      </c>
      <c r="G223" s="147">
        <f t="shared" si="57"/>
        <v>933</v>
      </c>
      <c r="H223" s="147">
        <f t="shared" si="57"/>
        <v>2018</v>
      </c>
      <c r="I223" s="147">
        <f t="shared" si="57"/>
        <v>2020</v>
      </c>
      <c r="J223" s="147"/>
      <c r="K223" s="147"/>
      <c r="L223" s="147"/>
      <c r="M223" s="147"/>
      <c r="N223" s="674"/>
      <c r="O223" s="674"/>
      <c r="P223" s="674"/>
      <c r="Q223" s="674"/>
      <c r="R223" s="674"/>
      <c r="S223" s="147"/>
      <c r="T223" s="147"/>
      <c r="U223" s="147"/>
      <c r="V223" s="398"/>
      <c r="W223" s="91" t="str">
        <f t="shared" si="53"/>
        <v>Y</v>
      </c>
      <c r="X223" s="91"/>
      <c r="Y223" s="91"/>
    </row>
    <row r="224" s="61" customFormat="1" ht="61.5" spans="1:25">
      <c r="A224" s="147"/>
      <c r="B224" s="74" t="s">
        <v>873</v>
      </c>
      <c r="C224" s="147"/>
      <c r="D224" s="71" t="s">
        <v>45</v>
      </c>
      <c r="E224" s="147">
        <v>100</v>
      </c>
      <c r="F224" s="147">
        <v>233</v>
      </c>
      <c r="G224" s="147">
        <v>933</v>
      </c>
      <c r="H224" s="147">
        <v>2018</v>
      </c>
      <c r="I224" s="147">
        <v>2020</v>
      </c>
      <c r="J224" s="147"/>
      <c r="K224" s="147"/>
      <c r="L224" s="147"/>
      <c r="M224" s="147"/>
      <c r="N224" s="147"/>
      <c r="O224" s="147"/>
      <c r="P224" s="147"/>
      <c r="Q224" s="398"/>
      <c r="R224" s="91"/>
      <c r="S224" s="71" t="s">
        <v>747</v>
      </c>
      <c r="T224" s="71" t="s">
        <v>748</v>
      </c>
      <c r="U224" s="91"/>
      <c r="V224" s="74" t="s">
        <v>874</v>
      </c>
      <c r="W224" s="91" t="str">
        <f t="shared" si="53"/>
        <v>Y</v>
      </c>
      <c r="X224" s="91"/>
      <c r="Y224" s="91"/>
    </row>
    <row r="225" s="61" customFormat="1" ht="21.95" customHeight="1" spans="1:25">
      <c r="A225" s="147">
        <v>38</v>
      </c>
      <c r="B225" s="74" t="s">
        <v>130</v>
      </c>
      <c r="C225" s="147"/>
      <c r="D225" s="147"/>
      <c r="E225" s="147"/>
      <c r="F225" s="147">
        <f t="shared" ref="F225:I225" si="58">F226</f>
        <v>1688</v>
      </c>
      <c r="G225" s="147">
        <f t="shared" si="58"/>
        <v>5595</v>
      </c>
      <c r="H225" s="147">
        <f t="shared" si="58"/>
        <v>2018</v>
      </c>
      <c r="I225" s="147">
        <f t="shared" si="58"/>
        <v>2020</v>
      </c>
      <c r="J225" s="147"/>
      <c r="K225" s="147"/>
      <c r="L225" s="147"/>
      <c r="M225" s="147"/>
      <c r="N225" s="674"/>
      <c r="O225" s="674"/>
      <c r="P225" s="674"/>
      <c r="Q225" s="674"/>
      <c r="R225" s="674"/>
      <c r="S225" s="147"/>
      <c r="T225" s="147"/>
      <c r="U225" s="147"/>
      <c r="V225" s="398"/>
      <c r="W225" s="91" t="str">
        <f t="shared" si="53"/>
        <v>Y</v>
      </c>
      <c r="X225" s="91"/>
      <c r="Y225" s="91"/>
    </row>
    <row r="226" s="61" customFormat="1" ht="24" spans="1:25">
      <c r="A226" s="147">
        <v>39</v>
      </c>
      <c r="B226" s="398" t="s">
        <v>875</v>
      </c>
      <c r="C226" s="71" t="s">
        <v>52</v>
      </c>
      <c r="D226" s="71" t="s">
        <v>131</v>
      </c>
      <c r="E226" s="147"/>
      <c r="F226" s="147">
        <f>F227+F228+F229</f>
        <v>1688</v>
      </c>
      <c r="G226" s="147">
        <f>G227+G228+G229</f>
        <v>5595</v>
      </c>
      <c r="H226" s="147">
        <v>2018</v>
      </c>
      <c r="I226" s="147">
        <v>2020</v>
      </c>
      <c r="J226" s="147"/>
      <c r="K226" s="147"/>
      <c r="L226" s="147"/>
      <c r="M226" s="147"/>
      <c r="N226" s="674"/>
      <c r="O226" s="674"/>
      <c r="P226" s="674"/>
      <c r="Q226" s="674"/>
      <c r="R226" s="674"/>
      <c r="S226" s="147"/>
      <c r="T226" s="147"/>
      <c r="U226" s="147"/>
      <c r="V226" s="398"/>
      <c r="W226" s="91" t="str">
        <f t="shared" si="53"/>
        <v>Y</v>
      </c>
      <c r="X226" s="91"/>
      <c r="Y226" s="91"/>
    </row>
    <row r="227" s="61" customFormat="1" ht="21.95" customHeight="1" spans="1:25">
      <c r="A227" s="147"/>
      <c r="B227" s="74" t="s">
        <v>876</v>
      </c>
      <c r="C227" s="147"/>
      <c r="D227" s="71" t="s">
        <v>877</v>
      </c>
      <c r="E227" s="147">
        <v>14763</v>
      </c>
      <c r="F227" s="147">
        <v>583</v>
      </c>
      <c r="G227" s="147">
        <v>1935</v>
      </c>
      <c r="H227" s="147">
        <v>2018</v>
      </c>
      <c r="I227" s="147">
        <v>2020</v>
      </c>
      <c r="J227" s="147"/>
      <c r="K227" s="147"/>
      <c r="L227" s="147"/>
      <c r="M227" s="147"/>
      <c r="N227" s="674"/>
      <c r="O227" s="674"/>
      <c r="P227" s="674"/>
      <c r="Q227" s="674"/>
      <c r="R227" s="674"/>
      <c r="S227" s="147"/>
      <c r="T227" s="147"/>
      <c r="U227" s="147"/>
      <c r="V227" s="680"/>
      <c r="W227" s="91" t="str">
        <f t="shared" si="53"/>
        <v>Y</v>
      </c>
      <c r="X227" s="91"/>
      <c r="Y227" s="91"/>
    </row>
    <row r="228" s="61" customFormat="1" ht="21.95" customHeight="1" spans="1:25">
      <c r="A228" s="147"/>
      <c r="B228" s="74" t="s">
        <v>878</v>
      </c>
      <c r="C228" s="147"/>
      <c r="D228" s="71" t="s">
        <v>134</v>
      </c>
      <c r="E228" s="147">
        <v>3090</v>
      </c>
      <c r="F228" s="147">
        <v>697</v>
      </c>
      <c r="G228" s="147">
        <v>2613</v>
      </c>
      <c r="H228" s="147">
        <v>2018</v>
      </c>
      <c r="I228" s="147">
        <v>2020</v>
      </c>
      <c r="J228" s="147"/>
      <c r="K228" s="147"/>
      <c r="L228" s="147"/>
      <c r="M228" s="147"/>
      <c r="N228" s="674"/>
      <c r="O228" s="674"/>
      <c r="P228" s="674"/>
      <c r="Q228" s="674"/>
      <c r="R228" s="674"/>
      <c r="S228" s="147"/>
      <c r="T228" s="147"/>
      <c r="U228" s="147"/>
      <c r="V228" s="398"/>
      <c r="W228" s="91" t="str">
        <f t="shared" si="53"/>
        <v>Y</v>
      </c>
      <c r="X228" s="91"/>
      <c r="Y228" s="91"/>
    </row>
    <row r="229" s="61" customFormat="1" ht="21.95" customHeight="1" spans="1:25">
      <c r="A229" s="147"/>
      <c r="B229" s="74" t="s">
        <v>879</v>
      </c>
      <c r="C229" s="147"/>
      <c r="D229" s="71" t="s">
        <v>134</v>
      </c>
      <c r="E229" s="147">
        <v>744</v>
      </c>
      <c r="F229" s="147">
        <v>408</v>
      </c>
      <c r="G229" s="147">
        <v>1047</v>
      </c>
      <c r="H229" s="147">
        <v>2018</v>
      </c>
      <c r="I229" s="147">
        <v>2020</v>
      </c>
      <c r="J229" s="147"/>
      <c r="K229" s="147"/>
      <c r="L229" s="147"/>
      <c r="M229" s="147"/>
      <c r="N229" s="674"/>
      <c r="O229" s="674"/>
      <c r="P229" s="674"/>
      <c r="Q229" s="674"/>
      <c r="R229" s="674"/>
      <c r="S229" s="147"/>
      <c r="T229" s="147"/>
      <c r="U229" s="147"/>
      <c r="V229" s="398"/>
      <c r="W229" s="91" t="str">
        <f t="shared" si="53"/>
        <v>Y</v>
      </c>
      <c r="X229" s="91"/>
      <c r="Y229" s="91"/>
    </row>
    <row r="230" s="61" customFormat="1" ht="36" customHeight="1" spans="1:25">
      <c r="A230" s="147">
        <v>40</v>
      </c>
      <c r="B230" s="398" t="s">
        <v>880</v>
      </c>
      <c r="C230" s="71" t="s">
        <v>872</v>
      </c>
      <c r="D230" s="71" t="s">
        <v>131</v>
      </c>
      <c r="E230" s="147"/>
      <c r="F230" s="147"/>
      <c r="G230" s="147"/>
      <c r="H230" s="147"/>
      <c r="I230" s="147"/>
      <c r="J230" s="147"/>
      <c r="K230" s="147"/>
      <c r="L230" s="147"/>
      <c r="M230" s="147"/>
      <c r="N230" s="674"/>
      <c r="O230" s="674"/>
      <c r="P230" s="674"/>
      <c r="Q230" s="674"/>
      <c r="R230" s="674"/>
      <c r="S230" s="147"/>
      <c r="T230" s="147"/>
      <c r="U230" s="147"/>
      <c r="V230" s="398"/>
      <c r="W230" s="91" t="str">
        <f t="shared" si="53"/>
        <v>Y</v>
      </c>
      <c r="X230" s="91"/>
      <c r="Y230" s="91"/>
    </row>
    <row r="231" s="61" customFormat="1" ht="81.95" customHeight="1" spans="1:25">
      <c r="A231" s="147">
        <v>41</v>
      </c>
      <c r="B231" s="74" t="s">
        <v>146</v>
      </c>
      <c r="C231" s="71" t="s">
        <v>52</v>
      </c>
      <c r="D231" s="71" t="s">
        <v>150</v>
      </c>
      <c r="E231" s="147"/>
      <c r="F231" s="147">
        <f>SUM(F232:F236)</f>
        <v>1619</v>
      </c>
      <c r="G231" s="147">
        <f>SUM(G232:G236)</f>
        <v>6793</v>
      </c>
      <c r="H231" s="147">
        <v>2018</v>
      </c>
      <c r="I231" s="147">
        <v>2020</v>
      </c>
      <c r="J231" s="147">
        <f>SUM(K231:M231)</f>
        <v>187.8</v>
      </c>
      <c r="K231" s="147">
        <f t="shared" ref="K231:R231" si="59">SUM(K232:K245)</f>
        <v>0</v>
      </c>
      <c r="L231" s="147">
        <f t="shared" si="59"/>
        <v>187.8</v>
      </c>
      <c r="M231" s="147">
        <f t="shared" si="59"/>
        <v>0</v>
      </c>
      <c r="N231" s="147">
        <f t="shared" si="59"/>
        <v>0</v>
      </c>
      <c r="O231" s="147">
        <f t="shared" si="59"/>
        <v>187.8</v>
      </c>
      <c r="P231" s="147">
        <f t="shared" si="59"/>
        <v>0</v>
      </c>
      <c r="Q231" s="147">
        <f t="shared" si="59"/>
        <v>0</v>
      </c>
      <c r="R231" s="147">
        <f t="shared" si="59"/>
        <v>0</v>
      </c>
      <c r="S231" s="147"/>
      <c r="T231" s="147"/>
      <c r="U231" s="147"/>
      <c r="V231" s="398"/>
      <c r="W231" s="91" t="str">
        <f t="shared" si="53"/>
        <v>Y</v>
      </c>
      <c r="X231" s="91"/>
      <c r="Y231" s="91"/>
    </row>
    <row r="232" s="61" customFormat="1" ht="99.95" customHeight="1" spans="1:25">
      <c r="A232" s="147"/>
      <c r="B232" s="74" t="s">
        <v>881</v>
      </c>
      <c r="C232" s="147"/>
      <c r="D232" s="71" t="s">
        <v>45</v>
      </c>
      <c r="E232" s="147">
        <v>500</v>
      </c>
      <c r="F232" s="147">
        <v>231</v>
      </c>
      <c r="G232" s="147">
        <v>973</v>
      </c>
      <c r="H232" s="147">
        <v>2018</v>
      </c>
      <c r="I232" s="147">
        <v>2020</v>
      </c>
      <c r="J232" s="147"/>
      <c r="K232" s="147"/>
      <c r="L232" s="147"/>
      <c r="M232" s="147"/>
      <c r="N232" s="147"/>
      <c r="O232" s="147"/>
      <c r="P232" s="147"/>
      <c r="Q232" s="398"/>
      <c r="R232" s="91"/>
      <c r="S232" s="71" t="s">
        <v>759</v>
      </c>
      <c r="T232" s="71" t="s">
        <v>760</v>
      </c>
      <c r="U232" s="91"/>
      <c r="V232" s="74" t="s">
        <v>882</v>
      </c>
      <c r="W232" s="91" t="str">
        <f t="shared" si="53"/>
        <v>Y</v>
      </c>
      <c r="X232" s="91"/>
      <c r="Y232" s="91"/>
    </row>
    <row r="233" s="61" customFormat="1" ht="102.95" customHeight="1" spans="1:25">
      <c r="A233" s="147"/>
      <c r="B233" s="74" t="s">
        <v>883</v>
      </c>
      <c r="C233" s="147"/>
      <c r="D233" s="71" t="s">
        <v>45</v>
      </c>
      <c r="E233" s="147">
        <v>700</v>
      </c>
      <c r="F233" s="147">
        <v>231</v>
      </c>
      <c r="G233" s="147">
        <v>973</v>
      </c>
      <c r="H233" s="147">
        <v>2018</v>
      </c>
      <c r="I233" s="147">
        <v>2020</v>
      </c>
      <c r="J233" s="147"/>
      <c r="K233" s="147"/>
      <c r="L233" s="147"/>
      <c r="M233" s="147"/>
      <c r="N233" s="147"/>
      <c r="O233" s="147"/>
      <c r="P233" s="147"/>
      <c r="Q233" s="398"/>
      <c r="R233" s="91"/>
      <c r="S233" s="71" t="s">
        <v>759</v>
      </c>
      <c r="T233" s="71" t="s">
        <v>760</v>
      </c>
      <c r="U233" s="91"/>
      <c r="V233" s="74" t="s">
        <v>882</v>
      </c>
      <c r="W233" s="91" t="str">
        <f t="shared" si="53"/>
        <v>Y</v>
      </c>
      <c r="X233" s="91"/>
      <c r="Y233" s="91"/>
    </row>
    <row r="234" s="61" customFormat="1" ht="60.95" customHeight="1" spans="1:25">
      <c r="A234" s="147"/>
      <c r="B234" s="74" t="s">
        <v>884</v>
      </c>
      <c r="C234" s="147"/>
      <c r="D234" s="71" t="s">
        <v>45</v>
      </c>
      <c r="E234" s="147">
        <v>800</v>
      </c>
      <c r="F234" s="147">
        <v>20</v>
      </c>
      <c r="G234" s="147">
        <v>64</v>
      </c>
      <c r="H234" s="147">
        <v>2018</v>
      </c>
      <c r="I234" s="147">
        <v>2020</v>
      </c>
      <c r="J234" s="147"/>
      <c r="K234" s="147"/>
      <c r="L234" s="147"/>
      <c r="M234" s="147"/>
      <c r="N234" s="147"/>
      <c r="O234" s="147"/>
      <c r="P234" s="147"/>
      <c r="Q234" s="147"/>
      <c r="R234" s="147"/>
      <c r="S234" s="71" t="s">
        <v>750</v>
      </c>
      <c r="T234" s="71" t="s">
        <v>751</v>
      </c>
      <c r="U234" s="147"/>
      <c r="V234" s="74" t="s">
        <v>885</v>
      </c>
      <c r="W234" s="91" t="str">
        <f t="shared" si="53"/>
        <v>Y</v>
      </c>
      <c r="X234" s="91"/>
      <c r="Y234" s="91"/>
    </row>
    <row r="235" s="61" customFormat="1" ht="37.5" spans="1:25">
      <c r="A235" s="147"/>
      <c r="B235" s="74" t="s">
        <v>886</v>
      </c>
      <c r="C235" s="71" t="s">
        <v>546</v>
      </c>
      <c r="D235" s="71" t="s">
        <v>134</v>
      </c>
      <c r="E235" s="147">
        <v>1500</v>
      </c>
      <c r="F235" s="147">
        <v>127</v>
      </c>
      <c r="G235" s="147">
        <v>476</v>
      </c>
      <c r="H235" s="147">
        <v>2018</v>
      </c>
      <c r="I235" s="147">
        <v>2020</v>
      </c>
      <c r="J235" s="147"/>
      <c r="K235" s="147"/>
      <c r="L235" s="147"/>
      <c r="M235" s="147"/>
      <c r="N235" s="674"/>
      <c r="O235" s="674"/>
      <c r="P235" s="674"/>
      <c r="Q235" s="674"/>
      <c r="R235" s="674"/>
      <c r="S235" s="71" t="s">
        <v>765</v>
      </c>
      <c r="T235" s="71" t="s">
        <v>766</v>
      </c>
      <c r="U235" s="147"/>
      <c r="V235" s="74" t="s">
        <v>887</v>
      </c>
      <c r="W235" s="91" t="str">
        <f t="shared" si="53"/>
        <v>Y</v>
      </c>
      <c r="X235" s="91"/>
      <c r="Y235" s="91"/>
    </row>
    <row r="236" s="61" customFormat="1" ht="86.1" customHeight="1" spans="1:25">
      <c r="A236" s="147"/>
      <c r="B236" s="74" t="s">
        <v>888</v>
      </c>
      <c r="C236" s="74" t="s">
        <v>52</v>
      </c>
      <c r="D236" s="74" t="s">
        <v>140</v>
      </c>
      <c r="E236" s="74">
        <v>6500</v>
      </c>
      <c r="F236" s="74">
        <v>1010</v>
      </c>
      <c r="G236" s="74">
        <v>4307</v>
      </c>
      <c r="H236" s="74">
        <v>2018</v>
      </c>
      <c r="I236" s="74">
        <v>2018</v>
      </c>
      <c r="J236" s="74"/>
      <c r="K236" s="74"/>
      <c r="L236" s="74"/>
      <c r="M236" s="74"/>
      <c r="N236" s="74"/>
      <c r="O236" s="74"/>
      <c r="P236" s="74"/>
      <c r="Q236" s="74"/>
      <c r="R236" s="74"/>
      <c r="S236" s="74" t="s">
        <v>889</v>
      </c>
      <c r="T236" s="74" t="s">
        <v>851</v>
      </c>
      <c r="U236" s="74" t="s">
        <v>435</v>
      </c>
      <c r="V236" s="74" t="s">
        <v>890</v>
      </c>
      <c r="W236" s="91" t="str">
        <f t="shared" si="53"/>
        <v>Y</v>
      </c>
      <c r="X236" s="91"/>
      <c r="Y236" s="91"/>
    </row>
    <row r="237" s="61" customFormat="1" ht="27" customHeight="1" spans="1:25">
      <c r="A237" s="147"/>
      <c r="B237" s="74" t="s">
        <v>767</v>
      </c>
      <c r="C237" s="74" t="s">
        <v>52</v>
      </c>
      <c r="D237" s="74" t="s">
        <v>140</v>
      </c>
      <c r="E237" s="74"/>
      <c r="F237" s="74">
        <v>132</v>
      </c>
      <c r="G237" s="74">
        <v>565</v>
      </c>
      <c r="H237" s="74">
        <v>2018</v>
      </c>
      <c r="I237" s="74">
        <v>2018</v>
      </c>
      <c r="J237" s="74"/>
      <c r="K237" s="74"/>
      <c r="L237" s="74"/>
      <c r="M237" s="74"/>
      <c r="N237" s="74"/>
      <c r="O237" s="74"/>
      <c r="P237" s="74"/>
      <c r="Q237" s="74"/>
      <c r="R237" s="74"/>
      <c r="S237" s="74"/>
      <c r="T237" s="74"/>
      <c r="U237" s="74"/>
      <c r="V237" s="74"/>
      <c r="W237" s="91"/>
      <c r="X237" s="91"/>
      <c r="Y237" s="91"/>
    </row>
    <row r="238" s="61" customFormat="1" ht="32.1" customHeight="1" spans="1:25">
      <c r="A238" s="147"/>
      <c r="B238" s="74" t="s">
        <v>752</v>
      </c>
      <c r="C238" s="74" t="s">
        <v>52</v>
      </c>
      <c r="D238" s="74" t="s">
        <v>140</v>
      </c>
      <c r="E238" s="74"/>
      <c r="F238" s="74">
        <v>73</v>
      </c>
      <c r="G238" s="74">
        <v>366</v>
      </c>
      <c r="H238" s="74">
        <v>2018</v>
      </c>
      <c r="I238" s="74">
        <v>2018</v>
      </c>
      <c r="J238" s="74"/>
      <c r="K238" s="74"/>
      <c r="L238" s="74"/>
      <c r="M238" s="74"/>
      <c r="N238" s="74"/>
      <c r="O238" s="74"/>
      <c r="P238" s="74"/>
      <c r="Q238" s="74"/>
      <c r="R238" s="74"/>
      <c r="S238" s="74"/>
      <c r="T238" s="74"/>
      <c r="U238" s="74"/>
      <c r="V238" s="74"/>
      <c r="W238" s="91"/>
      <c r="X238" s="91"/>
      <c r="Y238" s="91"/>
    </row>
    <row r="239" s="61" customFormat="1" ht="30" customHeight="1" spans="1:25">
      <c r="A239" s="147"/>
      <c r="B239" s="74" t="s">
        <v>755</v>
      </c>
      <c r="C239" s="74" t="s">
        <v>52</v>
      </c>
      <c r="D239" s="74" t="s">
        <v>140</v>
      </c>
      <c r="E239" s="74"/>
      <c r="F239" s="74">
        <v>62</v>
      </c>
      <c r="G239" s="74">
        <v>293</v>
      </c>
      <c r="H239" s="74">
        <v>2018</v>
      </c>
      <c r="I239" s="74">
        <v>2018</v>
      </c>
      <c r="J239" s="74"/>
      <c r="K239" s="74"/>
      <c r="L239" s="74"/>
      <c r="M239" s="74"/>
      <c r="N239" s="74"/>
      <c r="O239" s="74"/>
      <c r="P239" s="74"/>
      <c r="Q239" s="74"/>
      <c r="R239" s="74"/>
      <c r="S239" s="74"/>
      <c r="T239" s="74"/>
      <c r="U239" s="74"/>
      <c r="V239" s="74"/>
      <c r="W239" s="91"/>
      <c r="X239" s="91"/>
      <c r="Y239" s="91"/>
    </row>
    <row r="240" s="61" customFormat="1" ht="33" customHeight="1" spans="1:25">
      <c r="A240" s="147"/>
      <c r="B240" s="74" t="s">
        <v>764</v>
      </c>
      <c r="C240" s="74" t="s">
        <v>52</v>
      </c>
      <c r="D240" s="74" t="s">
        <v>140</v>
      </c>
      <c r="E240" s="74"/>
      <c r="F240" s="74">
        <v>127</v>
      </c>
      <c r="G240" s="74">
        <v>476</v>
      </c>
      <c r="H240" s="74">
        <v>2018</v>
      </c>
      <c r="I240" s="74">
        <v>2018</v>
      </c>
      <c r="J240" s="74"/>
      <c r="K240" s="74"/>
      <c r="L240" s="74"/>
      <c r="M240" s="74"/>
      <c r="N240" s="74"/>
      <c r="O240" s="74"/>
      <c r="P240" s="74"/>
      <c r="Q240" s="74"/>
      <c r="R240" s="74"/>
      <c r="S240" s="74"/>
      <c r="T240" s="74"/>
      <c r="U240" s="74"/>
      <c r="V240" s="74"/>
      <c r="W240" s="91"/>
      <c r="X240" s="91"/>
      <c r="Y240" s="91"/>
    </row>
    <row r="241" s="61" customFormat="1" ht="24" customHeight="1" spans="1:25">
      <c r="A241" s="147"/>
      <c r="B241" s="74" t="s">
        <v>758</v>
      </c>
      <c r="C241" s="74" t="s">
        <v>52</v>
      </c>
      <c r="D241" s="74" t="s">
        <v>140</v>
      </c>
      <c r="E241" s="74"/>
      <c r="F241" s="74">
        <v>73</v>
      </c>
      <c r="G241" s="74">
        <v>373</v>
      </c>
      <c r="H241" s="74">
        <v>2018</v>
      </c>
      <c r="I241" s="74">
        <v>2018</v>
      </c>
      <c r="J241" s="74"/>
      <c r="K241" s="74"/>
      <c r="L241" s="74"/>
      <c r="M241" s="74"/>
      <c r="N241" s="74"/>
      <c r="O241" s="74"/>
      <c r="P241" s="74"/>
      <c r="Q241" s="74"/>
      <c r="R241" s="74"/>
      <c r="S241" s="74"/>
      <c r="T241" s="74"/>
      <c r="U241" s="74"/>
      <c r="V241" s="74"/>
      <c r="W241" s="91"/>
      <c r="X241" s="91"/>
      <c r="Y241" s="91"/>
    </row>
    <row r="242" s="61" customFormat="1" ht="27" customHeight="1" spans="1:25">
      <c r="A242" s="147"/>
      <c r="B242" s="74" t="s">
        <v>749</v>
      </c>
      <c r="C242" s="74" t="s">
        <v>52</v>
      </c>
      <c r="D242" s="74" t="s">
        <v>140</v>
      </c>
      <c r="E242" s="74"/>
      <c r="F242" s="74">
        <v>262</v>
      </c>
      <c r="G242" s="74">
        <v>951</v>
      </c>
      <c r="H242" s="74">
        <v>2018</v>
      </c>
      <c r="I242" s="74">
        <v>2018</v>
      </c>
      <c r="J242" s="74"/>
      <c r="K242" s="74"/>
      <c r="L242" s="74"/>
      <c r="M242" s="74"/>
      <c r="N242" s="74"/>
      <c r="O242" s="74"/>
      <c r="P242" s="74"/>
      <c r="Q242" s="74"/>
      <c r="R242" s="74"/>
      <c r="S242" s="74"/>
      <c r="T242" s="74"/>
      <c r="U242" s="74"/>
      <c r="V242" s="74"/>
      <c r="W242" s="91"/>
      <c r="X242" s="91"/>
      <c r="Y242" s="91"/>
    </row>
    <row r="243" s="61" customFormat="1" ht="32.1" customHeight="1" spans="1:25">
      <c r="A243" s="147"/>
      <c r="B243" s="74" t="s">
        <v>770</v>
      </c>
      <c r="C243" s="74" t="s">
        <v>52</v>
      </c>
      <c r="D243" s="74" t="s">
        <v>140</v>
      </c>
      <c r="E243" s="74"/>
      <c r="F243" s="74">
        <v>217</v>
      </c>
      <c r="G243" s="74">
        <v>879</v>
      </c>
      <c r="H243" s="74">
        <v>2018</v>
      </c>
      <c r="I243" s="74">
        <v>2018</v>
      </c>
      <c r="J243" s="74"/>
      <c r="K243" s="74"/>
      <c r="L243" s="74"/>
      <c r="M243" s="74"/>
      <c r="N243" s="74"/>
      <c r="O243" s="74"/>
      <c r="P243" s="74"/>
      <c r="Q243" s="74"/>
      <c r="R243" s="74"/>
      <c r="S243" s="74"/>
      <c r="T243" s="74"/>
      <c r="U243" s="74"/>
      <c r="V243" s="74"/>
      <c r="W243" s="91"/>
      <c r="X243" s="91"/>
      <c r="Y243" s="91"/>
    </row>
    <row r="244" s="61" customFormat="1" ht="27" customHeight="1" spans="1:25">
      <c r="A244" s="147"/>
      <c r="B244" s="74" t="s">
        <v>746</v>
      </c>
      <c r="C244" s="74" t="s">
        <v>52</v>
      </c>
      <c r="D244" s="74" t="s">
        <v>140</v>
      </c>
      <c r="E244" s="74"/>
      <c r="F244" s="74">
        <v>64</v>
      </c>
      <c r="G244" s="74">
        <v>272</v>
      </c>
      <c r="H244" s="74">
        <v>2018</v>
      </c>
      <c r="I244" s="74">
        <v>2018</v>
      </c>
      <c r="J244" s="74"/>
      <c r="K244" s="74"/>
      <c r="L244" s="74"/>
      <c r="M244" s="74"/>
      <c r="N244" s="74"/>
      <c r="O244" s="74"/>
      <c r="P244" s="74"/>
      <c r="Q244" s="74"/>
      <c r="R244" s="74"/>
      <c r="S244" s="74"/>
      <c r="T244" s="74"/>
      <c r="U244" s="74"/>
      <c r="V244" s="74"/>
      <c r="W244" s="91"/>
      <c r="X244" s="91"/>
      <c r="Y244" s="91"/>
    </row>
    <row r="245" s="61" customFormat="1" ht="132" customHeight="1" spans="1:25">
      <c r="A245" s="147"/>
      <c r="B245" s="74" t="s">
        <v>891</v>
      </c>
      <c r="C245" s="71" t="s">
        <v>52</v>
      </c>
      <c r="D245" s="147"/>
      <c r="E245" s="147"/>
      <c r="F245" s="147">
        <v>626</v>
      </c>
      <c r="G245" s="147">
        <v>2341</v>
      </c>
      <c r="H245" s="147">
        <v>2019</v>
      </c>
      <c r="I245" s="147">
        <v>2019</v>
      </c>
      <c r="J245" s="147">
        <v>187.8</v>
      </c>
      <c r="K245" s="147"/>
      <c r="L245" s="147">
        <v>187.8</v>
      </c>
      <c r="M245" s="147"/>
      <c r="N245" s="147"/>
      <c r="O245" s="147">
        <v>187.8</v>
      </c>
      <c r="P245" s="147"/>
      <c r="Q245" s="147"/>
      <c r="R245" s="147"/>
      <c r="S245" s="71" t="s">
        <v>889</v>
      </c>
      <c r="T245" s="71" t="s">
        <v>851</v>
      </c>
      <c r="U245" s="71" t="s">
        <v>435</v>
      </c>
      <c r="V245" s="74" t="s">
        <v>892</v>
      </c>
      <c r="W245" s="91"/>
      <c r="X245" s="91"/>
      <c r="Y245" s="91"/>
    </row>
    <row r="246" s="61" customFormat="1" ht="21" customHeight="1" spans="1:25">
      <c r="A246" s="147"/>
      <c r="B246" s="74" t="s">
        <v>752</v>
      </c>
      <c r="C246" s="147"/>
      <c r="D246" s="147"/>
      <c r="E246" s="147"/>
      <c r="F246" s="147">
        <v>182</v>
      </c>
      <c r="G246" s="147">
        <v>652</v>
      </c>
      <c r="H246" s="147">
        <v>2019</v>
      </c>
      <c r="I246" s="147">
        <v>2019</v>
      </c>
      <c r="J246" s="147">
        <v>54.6</v>
      </c>
      <c r="K246" s="147"/>
      <c r="L246" s="147">
        <v>54.6</v>
      </c>
      <c r="M246" s="147"/>
      <c r="N246" s="147"/>
      <c r="O246" s="147">
        <v>54.6</v>
      </c>
      <c r="P246" s="147"/>
      <c r="Q246" s="147"/>
      <c r="R246" s="147"/>
      <c r="S246" s="147"/>
      <c r="T246" s="147"/>
      <c r="U246" s="147"/>
      <c r="V246" s="147"/>
      <c r="W246" s="91"/>
      <c r="X246" s="91"/>
      <c r="Y246" s="91"/>
    </row>
    <row r="247" s="61" customFormat="1" ht="27" customHeight="1" spans="1:25">
      <c r="A247" s="147"/>
      <c r="B247" s="74" t="s">
        <v>755</v>
      </c>
      <c r="C247" s="147"/>
      <c r="D247" s="147"/>
      <c r="E247" s="147"/>
      <c r="F247" s="147">
        <v>119</v>
      </c>
      <c r="G247" s="147">
        <v>432</v>
      </c>
      <c r="H247" s="147">
        <v>2019</v>
      </c>
      <c r="I247" s="147">
        <v>2019</v>
      </c>
      <c r="J247" s="147">
        <v>35.7</v>
      </c>
      <c r="K247" s="147"/>
      <c r="L247" s="147">
        <v>35.7</v>
      </c>
      <c r="M247" s="147"/>
      <c r="N247" s="147"/>
      <c r="O247" s="147">
        <v>35.7</v>
      </c>
      <c r="P247" s="147"/>
      <c r="Q247" s="147"/>
      <c r="R247" s="147"/>
      <c r="S247" s="147"/>
      <c r="T247" s="147"/>
      <c r="U247" s="147"/>
      <c r="V247" s="147"/>
      <c r="W247" s="91"/>
      <c r="X247" s="91"/>
      <c r="Y247" s="91"/>
    </row>
    <row r="248" s="61" customFormat="1" ht="21" customHeight="1" spans="1:25">
      <c r="A248" s="147"/>
      <c r="B248" s="74" t="s">
        <v>758</v>
      </c>
      <c r="C248" s="147"/>
      <c r="D248" s="147"/>
      <c r="E248" s="147"/>
      <c r="F248" s="147">
        <v>158</v>
      </c>
      <c r="G248" s="147">
        <v>601</v>
      </c>
      <c r="H248" s="147">
        <v>2019</v>
      </c>
      <c r="I248" s="147">
        <v>2019</v>
      </c>
      <c r="J248" s="147">
        <v>47.4</v>
      </c>
      <c r="K248" s="147"/>
      <c r="L248" s="147">
        <v>47.4</v>
      </c>
      <c r="M248" s="147"/>
      <c r="N248" s="147"/>
      <c r="O248" s="147">
        <v>47.4</v>
      </c>
      <c r="P248" s="147"/>
      <c r="Q248" s="147"/>
      <c r="R248" s="147"/>
      <c r="S248" s="147"/>
      <c r="T248" s="147"/>
      <c r="U248" s="147"/>
      <c r="V248" s="147"/>
      <c r="W248" s="91"/>
      <c r="X248" s="91"/>
      <c r="Y248" s="91"/>
    </row>
    <row r="249" s="61" customFormat="1" ht="18.95" customHeight="1" spans="1:25">
      <c r="A249" s="147"/>
      <c r="B249" s="74" t="s">
        <v>749</v>
      </c>
      <c r="C249" s="147"/>
      <c r="D249" s="147"/>
      <c r="E249" s="147"/>
      <c r="F249" s="147">
        <v>1</v>
      </c>
      <c r="G249" s="147">
        <v>4</v>
      </c>
      <c r="H249" s="147">
        <v>2019</v>
      </c>
      <c r="I249" s="147">
        <v>2019</v>
      </c>
      <c r="J249" s="147">
        <v>0.3</v>
      </c>
      <c r="K249" s="147"/>
      <c r="L249" s="147">
        <v>0.3</v>
      </c>
      <c r="M249" s="147"/>
      <c r="N249" s="147"/>
      <c r="O249" s="147">
        <v>0.3</v>
      </c>
      <c r="P249" s="147"/>
      <c r="Q249" s="147"/>
      <c r="R249" s="147"/>
      <c r="S249" s="147"/>
      <c r="T249" s="147"/>
      <c r="U249" s="147"/>
      <c r="V249" s="147"/>
      <c r="W249" s="91"/>
      <c r="X249" s="91"/>
      <c r="Y249" s="91"/>
    </row>
    <row r="250" s="61" customFormat="1" ht="26.1" customHeight="1" spans="1:25">
      <c r="A250" s="147"/>
      <c r="B250" s="74" t="s">
        <v>746</v>
      </c>
      <c r="C250" s="147"/>
      <c r="D250" s="147"/>
      <c r="E250" s="147"/>
      <c r="F250" s="147">
        <v>166</v>
      </c>
      <c r="G250" s="147">
        <v>651</v>
      </c>
      <c r="H250" s="147">
        <v>2019</v>
      </c>
      <c r="I250" s="147">
        <v>2019</v>
      </c>
      <c r="J250" s="147">
        <v>49.8</v>
      </c>
      <c r="K250" s="147"/>
      <c r="L250" s="147">
        <v>49.8</v>
      </c>
      <c r="M250" s="147"/>
      <c r="N250" s="147"/>
      <c r="O250" s="147">
        <v>49.8</v>
      </c>
      <c r="P250" s="147"/>
      <c r="Q250" s="147"/>
      <c r="R250" s="147"/>
      <c r="S250" s="147"/>
      <c r="T250" s="147"/>
      <c r="U250" s="147"/>
      <c r="V250" s="147"/>
      <c r="W250" s="91"/>
      <c r="X250" s="91"/>
      <c r="Y250" s="91"/>
    </row>
    <row r="251" s="61" customFormat="1" ht="24" spans="1:25">
      <c r="A251" s="147">
        <v>42</v>
      </c>
      <c r="B251" s="74" t="s">
        <v>893</v>
      </c>
      <c r="C251" s="71" t="s">
        <v>52</v>
      </c>
      <c r="D251" s="71" t="s">
        <v>150</v>
      </c>
      <c r="E251" s="147"/>
      <c r="F251" s="147"/>
      <c r="G251" s="147"/>
      <c r="H251" s="147"/>
      <c r="I251" s="147"/>
      <c r="J251" s="147"/>
      <c r="K251" s="147"/>
      <c r="L251" s="147"/>
      <c r="M251" s="147"/>
      <c r="N251" s="674"/>
      <c r="O251" s="674"/>
      <c r="P251" s="674"/>
      <c r="Q251" s="674"/>
      <c r="R251" s="674"/>
      <c r="S251" s="147"/>
      <c r="T251" s="147"/>
      <c r="U251" s="147"/>
      <c r="V251" s="74" t="s">
        <v>41</v>
      </c>
      <c r="W251" s="91" t="str">
        <f>IF(SUM(N251:R251)=J251,"Y","N")</f>
        <v>Y</v>
      </c>
      <c r="X251" s="91"/>
      <c r="Y251" s="91"/>
    </row>
    <row r="252" s="61" customFormat="1" ht="107.1" customHeight="1" spans="1:25">
      <c r="A252" s="147">
        <v>43</v>
      </c>
      <c r="B252" s="71" t="s">
        <v>158</v>
      </c>
      <c r="C252" s="71" t="s">
        <v>52</v>
      </c>
      <c r="D252" s="71" t="s">
        <v>163</v>
      </c>
      <c r="E252" s="589">
        <v>1076</v>
      </c>
      <c r="F252" s="589">
        <v>311</v>
      </c>
      <c r="G252" s="589">
        <v>1089</v>
      </c>
      <c r="H252" s="147">
        <v>2018</v>
      </c>
      <c r="I252" s="147">
        <v>2020</v>
      </c>
      <c r="J252" s="144">
        <f>SUM(K252:M252)</f>
        <v>84.713892</v>
      </c>
      <c r="K252" s="144">
        <v>16.17</v>
      </c>
      <c r="L252" s="144">
        <v>28.237964</v>
      </c>
      <c r="M252" s="144">
        <v>40.305928</v>
      </c>
      <c r="N252" s="674"/>
      <c r="O252" s="674">
        <f>J252</f>
        <v>84.713892</v>
      </c>
      <c r="P252" s="674"/>
      <c r="Q252" s="674"/>
      <c r="R252" s="674"/>
      <c r="S252" s="667" t="s">
        <v>889</v>
      </c>
      <c r="T252" s="667" t="s">
        <v>894</v>
      </c>
      <c r="U252" s="667" t="s">
        <v>895</v>
      </c>
      <c r="V252" s="74" t="s">
        <v>896</v>
      </c>
      <c r="W252" s="91" t="str">
        <f>IF(SUM(N252:R252)=J252,"Y","N")</f>
        <v>Y</v>
      </c>
      <c r="X252" s="91"/>
      <c r="Y252" s="91"/>
    </row>
    <row r="253" s="61" customFormat="1" ht="12.75" spans="1:25">
      <c r="A253" s="147"/>
      <c r="B253" s="74" t="s">
        <v>767</v>
      </c>
      <c r="C253" s="147"/>
      <c r="D253" s="147"/>
      <c r="E253" s="147">
        <v>60.67</v>
      </c>
      <c r="F253" s="147">
        <v>32</v>
      </c>
      <c r="G253" s="147">
        <v>133</v>
      </c>
      <c r="H253" s="147">
        <v>2018</v>
      </c>
      <c r="I253" s="147">
        <v>2020</v>
      </c>
      <c r="J253" s="340">
        <v>5.77</v>
      </c>
      <c r="K253" s="340">
        <v>0.95</v>
      </c>
      <c r="L253" s="340">
        <v>2</v>
      </c>
      <c r="M253" s="340">
        <v>3</v>
      </c>
      <c r="N253" s="679"/>
      <c r="O253" s="340">
        <v>5.77</v>
      </c>
      <c r="P253" s="674"/>
      <c r="Q253" s="674"/>
      <c r="R253" s="674"/>
      <c r="S253" s="667"/>
      <c r="T253" s="667"/>
      <c r="U253" s="667"/>
      <c r="V253" s="74"/>
      <c r="W253" s="91"/>
      <c r="X253" s="91"/>
      <c r="Y253" s="91"/>
    </row>
    <row r="254" s="61" customFormat="1" ht="12.75" spans="1:25">
      <c r="A254" s="147"/>
      <c r="B254" s="74" t="s">
        <v>749</v>
      </c>
      <c r="C254" s="147"/>
      <c r="D254" s="147"/>
      <c r="E254" s="147">
        <v>214.35</v>
      </c>
      <c r="F254" s="147">
        <v>66</v>
      </c>
      <c r="G254" s="147">
        <v>233</v>
      </c>
      <c r="H254" s="147">
        <v>2018</v>
      </c>
      <c r="I254" s="147">
        <v>2020</v>
      </c>
      <c r="J254" s="340">
        <v>20.63</v>
      </c>
      <c r="K254" s="340">
        <v>4.93</v>
      </c>
      <c r="L254" s="340">
        <v>7</v>
      </c>
      <c r="M254" s="340">
        <v>9</v>
      </c>
      <c r="N254" s="679"/>
      <c r="O254" s="340">
        <v>20.63</v>
      </c>
      <c r="P254" s="674"/>
      <c r="Q254" s="674"/>
      <c r="R254" s="674"/>
      <c r="S254" s="667"/>
      <c r="T254" s="667"/>
      <c r="U254" s="667"/>
      <c r="V254" s="74"/>
      <c r="W254" s="91"/>
      <c r="X254" s="91"/>
      <c r="Y254" s="91"/>
    </row>
    <row r="255" s="61" customFormat="1" ht="12.75" spans="1:25">
      <c r="A255" s="147"/>
      <c r="B255" s="74" t="s">
        <v>755</v>
      </c>
      <c r="C255" s="147"/>
      <c r="D255" s="147"/>
      <c r="E255" s="147">
        <v>166.27</v>
      </c>
      <c r="F255" s="147">
        <v>43</v>
      </c>
      <c r="G255" s="147">
        <v>150</v>
      </c>
      <c r="H255" s="147">
        <v>2018</v>
      </c>
      <c r="I255" s="147">
        <v>2020</v>
      </c>
      <c r="J255" s="340">
        <v>10.46</v>
      </c>
      <c r="K255" s="340">
        <v>2.16</v>
      </c>
      <c r="L255" s="340">
        <v>3</v>
      </c>
      <c r="M255" s="340">
        <v>5</v>
      </c>
      <c r="N255" s="679"/>
      <c r="O255" s="340">
        <v>10.46</v>
      </c>
      <c r="P255" s="674"/>
      <c r="Q255" s="674"/>
      <c r="R255" s="674"/>
      <c r="S255" s="667"/>
      <c r="T255" s="667"/>
      <c r="U255" s="667"/>
      <c r="V255" s="74"/>
      <c r="W255" s="91"/>
      <c r="X255" s="91"/>
      <c r="Y255" s="91"/>
    </row>
    <row r="256" s="61" customFormat="1" ht="12.75" spans="1:25">
      <c r="A256" s="147"/>
      <c r="B256" s="74" t="s">
        <v>746</v>
      </c>
      <c r="C256" s="147"/>
      <c r="D256" s="147"/>
      <c r="E256" s="147">
        <v>144.01</v>
      </c>
      <c r="F256" s="147">
        <v>37</v>
      </c>
      <c r="G256" s="147">
        <v>130</v>
      </c>
      <c r="H256" s="147">
        <v>2018</v>
      </c>
      <c r="I256" s="147">
        <v>2020</v>
      </c>
      <c r="J256" s="340">
        <v>15.03</v>
      </c>
      <c r="K256" s="340">
        <v>3.3</v>
      </c>
      <c r="L256" s="340">
        <v>5</v>
      </c>
      <c r="M256" s="340">
        <v>7</v>
      </c>
      <c r="N256" s="679"/>
      <c r="O256" s="340">
        <v>15.03</v>
      </c>
      <c r="P256" s="674"/>
      <c r="Q256" s="674"/>
      <c r="R256" s="674"/>
      <c r="S256" s="667"/>
      <c r="T256" s="667"/>
      <c r="U256" s="667"/>
      <c r="V256" s="74"/>
      <c r="W256" s="91"/>
      <c r="X256" s="91"/>
      <c r="Y256" s="91"/>
    </row>
    <row r="257" s="61" customFormat="1" ht="12.75" spans="1:25">
      <c r="A257" s="147"/>
      <c r="B257" s="74" t="s">
        <v>764</v>
      </c>
      <c r="C257" s="147"/>
      <c r="D257" s="147"/>
      <c r="E257" s="147">
        <v>41.42</v>
      </c>
      <c r="F257" s="147">
        <v>11</v>
      </c>
      <c r="G257" s="147">
        <v>38</v>
      </c>
      <c r="H257" s="147">
        <v>2018</v>
      </c>
      <c r="I257" s="147">
        <v>2020</v>
      </c>
      <c r="J257" s="340">
        <v>2.93</v>
      </c>
      <c r="K257" s="340">
        <v>0.04</v>
      </c>
      <c r="L257" s="340">
        <v>1</v>
      </c>
      <c r="M257" s="340">
        <v>2</v>
      </c>
      <c r="N257" s="679"/>
      <c r="O257" s="340">
        <v>2.93</v>
      </c>
      <c r="P257" s="674"/>
      <c r="Q257" s="674"/>
      <c r="R257" s="674"/>
      <c r="S257" s="667"/>
      <c r="T257" s="667"/>
      <c r="U257" s="667"/>
      <c r="V257" s="74"/>
      <c r="W257" s="91"/>
      <c r="X257" s="91"/>
      <c r="Y257" s="91"/>
    </row>
    <row r="258" s="61" customFormat="1" ht="12.75" spans="1:25">
      <c r="A258" s="147"/>
      <c r="B258" s="74" t="s">
        <v>770</v>
      </c>
      <c r="C258" s="147"/>
      <c r="D258" s="147"/>
      <c r="E258" s="147">
        <v>104.76</v>
      </c>
      <c r="F258" s="147">
        <v>35</v>
      </c>
      <c r="G258" s="147">
        <v>122</v>
      </c>
      <c r="H258" s="147">
        <v>2018</v>
      </c>
      <c r="I258" s="147">
        <v>2020</v>
      </c>
      <c r="J258" s="340">
        <v>6.3</v>
      </c>
      <c r="K258" s="340">
        <v>0.5</v>
      </c>
      <c r="L258" s="340">
        <v>2</v>
      </c>
      <c r="M258" s="340">
        <v>4</v>
      </c>
      <c r="N258" s="679"/>
      <c r="O258" s="340">
        <v>6.3</v>
      </c>
      <c r="P258" s="674"/>
      <c r="Q258" s="674"/>
      <c r="R258" s="674"/>
      <c r="S258" s="667"/>
      <c r="T258" s="667"/>
      <c r="U258" s="667"/>
      <c r="V258" s="74"/>
      <c r="W258" s="91"/>
      <c r="X258" s="91"/>
      <c r="Y258" s="91"/>
    </row>
    <row r="259" s="61" customFormat="1" ht="12.75" spans="1:25">
      <c r="A259" s="147"/>
      <c r="B259" s="74" t="s">
        <v>752</v>
      </c>
      <c r="C259" s="147"/>
      <c r="D259" s="147"/>
      <c r="E259" s="147">
        <v>215.34</v>
      </c>
      <c r="F259" s="147">
        <v>52</v>
      </c>
      <c r="G259" s="147">
        <v>181</v>
      </c>
      <c r="H259" s="147">
        <v>2018</v>
      </c>
      <c r="I259" s="147">
        <v>2020</v>
      </c>
      <c r="J259" s="340">
        <v>14.65</v>
      </c>
      <c r="K259" s="340">
        <v>3.01</v>
      </c>
      <c r="L259" s="340">
        <v>5</v>
      </c>
      <c r="M259" s="340">
        <v>7</v>
      </c>
      <c r="N259" s="679"/>
      <c r="O259" s="340">
        <v>14.65</v>
      </c>
      <c r="P259" s="674"/>
      <c r="Q259" s="674"/>
      <c r="R259" s="674"/>
      <c r="S259" s="667"/>
      <c r="T259" s="667"/>
      <c r="U259" s="667"/>
      <c r="V259" s="74"/>
      <c r="W259" s="91"/>
      <c r="X259" s="91"/>
      <c r="Y259" s="91"/>
    </row>
    <row r="260" s="61" customFormat="1" ht="12.75" spans="1:25">
      <c r="A260" s="147"/>
      <c r="B260" s="74" t="s">
        <v>758</v>
      </c>
      <c r="C260" s="147"/>
      <c r="D260" s="147"/>
      <c r="E260" s="147">
        <v>129</v>
      </c>
      <c r="F260" s="147">
        <v>35</v>
      </c>
      <c r="G260" s="147">
        <v>122</v>
      </c>
      <c r="H260" s="147">
        <v>2018</v>
      </c>
      <c r="I260" s="147">
        <v>2020</v>
      </c>
      <c r="J260" s="340">
        <v>8.95</v>
      </c>
      <c r="K260" s="340">
        <v>1.28</v>
      </c>
      <c r="L260" s="340">
        <v>3</v>
      </c>
      <c r="M260" s="340">
        <v>5</v>
      </c>
      <c r="N260" s="679"/>
      <c r="O260" s="340">
        <v>8.95</v>
      </c>
      <c r="P260" s="674"/>
      <c r="Q260" s="674"/>
      <c r="R260" s="674"/>
      <c r="S260" s="667"/>
      <c r="T260" s="667"/>
      <c r="U260" s="667"/>
      <c r="V260" s="74"/>
      <c r="W260" s="91"/>
      <c r="X260" s="91"/>
      <c r="Y260" s="91"/>
    </row>
    <row r="261" s="61" customFormat="1" ht="24" spans="1:25">
      <c r="A261" s="147"/>
      <c r="B261" s="74" t="s">
        <v>897</v>
      </c>
      <c r="C261" s="667" t="str">
        <f t="shared" ref="C261:N261" si="60">C262</f>
        <v>新建/扩改建</v>
      </c>
      <c r="D261" s="667" t="str">
        <f t="shared" si="60"/>
        <v>平方米</v>
      </c>
      <c r="E261" s="147">
        <f t="shared" si="60"/>
        <v>355562.5</v>
      </c>
      <c r="F261" s="147">
        <f t="shared" si="60"/>
        <v>1637</v>
      </c>
      <c r="G261" s="147">
        <f t="shared" si="60"/>
        <v>6528</v>
      </c>
      <c r="H261" s="147">
        <f t="shared" si="60"/>
        <v>2018</v>
      </c>
      <c r="I261" s="147">
        <f t="shared" si="60"/>
        <v>2019</v>
      </c>
      <c r="J261" s="147">
        <f t="shared" si="60"/>
        <v>3575.1341</v>
      </c>
      <c r="K261" s="147">
        <f t="shared" si="60"/>
        <v>782</v>
      </c>
      <c r="L261" s="147">
        <f t="shared" si="60"/>
        <v>2793.1341</v>
      </c>
      <c r="M261" s="147">
        <f t="shared" si="60"/>
        <v>0</v>
      </c>
      <c r="N261" s="147">
        <f t="shared" si="60"/>
        <v>0</v>
      </c>
      <c r="O261" s="147">
        <f>O263+O264+O265+O266+O267+O268+O269+O270</f>
        <v>3575.1341</v>
      </c>
      <c r="P261" s="147">
        <f t="shared" ref="P261:R261" si="61">P262</f>
        <v>0</v>
      </c>
      <c r="Q261" s="147">
        <f t="shared" si="61"/>
        <v>0</v>
      </c>
      <c r="R261" s="147">
        <f t="shared" si="61"/>
        <v>0</v>
      </c>
      <c r="S261" s="147"/>
      <c r="T261" s="147"/>
      <c r="U261" s="147"/>
      <c r="V261" s="398"/>
      <c r="W261" s="91" t="str">
        <f t="shared" ref="W261:W324" si="62">IF(SUM(N261:R261)=J261,"Y","N")</f>
        <v>Y</v>
      </c>
      <c r="X261" s="91"/>
      <c r="Y261" s="91"/>
    </row>
    <row r="262" s="61" customFormat="1" ht="48.95" customHeight="1" spans="1:25">
      <c r="A262" s="147">
        <v>63</v>
      </c>
      <c r="B262" s="74" t="s">
        <v>898</v>
      </c>
      <c r="C262" s="71" t="s">
        <v>872</v>
      </c>
      <c r="D262" s="71" t="s">
        <v>560</v>
      </c>
      <c r="E262" s="147">
        <f t="shared" ref="E262:G262" si="63">E263+E264+E265+E266+E267+E268+E269+E270</f>
        <v>355562.5</v>
      </c>
      <c r="F262" s="147">
        <f t="shared" si="63"/>
        <v>1637</v>
      </c>
      <c r="G262" s="147">
        <f t="shared" si="63"/>
        <v>6528</v>
      </c>
      <c r="H262" s="147">
        <v>2018</v>
      </c>
      <c r="I262" s="147">
        <v>2019</v>
      </c>
      <c r="J262" s="147">
        <f t="shared" ref="J262:L262" si="64">J263+J264+J265+J266+J267+J268+J269+J270</f>
        <v>3575.1341</v>
      </c>
      <c r="K262" s="147">
        <f t="shared" si="64"/>
        <v>782</v>
      </c>
      <c r="L262" s="147">
        <f t="shared" si="64"/>
        <v>2793.1341</v>
      </c>
      <c r="M262" s="147"/>
      <c r="N262" s="674"/>
      <c r="O262" s="147">
        <v>3575.1341</v>
      </c>
      <c r="P262" s="674"/>
      <c r="Q262" s="674"/>
      <c r="R262" s="674"/>
      <c r="S262" s="71" t="s">
        <v>899</v>
      </c>
      <c r="T262" s="71" t="s">
        <v>900</v>
      </c>
      <c r="U262" s="71" t="s">
        <v>901</v>
      </c>
      <c r="V262" s="74" t="s">
        <v>902</v>
      </c>
      <c r="W262" s="91" t="str">
        <f t="shared" si="62"/>
        <v>Y</v>
      </c>
      <c r="X262" s="91"/>
      <c r="Y262" s="91"/>
    </row>
    <row r="263" s="61" customFormat="1" ht="114" customHeight="1" spans="1:25">
      <c r="A263" s="147"/>
      <c r="B263" s="74" t="s">
        <v>903</v>
      </c>
      <c r="C263" s="71" t="s">
        <v>52</v>
      </c>
      <c r="D263" s="71" t="s">
        <v>560</v>
      </c>
      <c r="E263" s="71">
        <v>80631</v>
      </c>
      <c r="F263" s="147">
        <v>232</v>
      </c>
      <c r="G263" s="147">
        <v>933</v>
      </c>
      <c r="H263" s="147">
        <v>2018</v>
      </c>
      <c r="I263" s="147">
        <v>2019</v>
      </c>
      <c r="J263" s="147">
        <v>806</v>
      </c>
      <c r="K263" s="147">
        <v>122</v>
      </c>
      <c r="L263" s="147">
        <v>684</v>
      </c>
      <c r="M263" s="147"/>
      <c r="N263" s="674"/>
      <c r="O263" s="674">
        <v>806</v>
      </c>
      <c r="P263" s="674"/>
      <c r="Q263" s="674"/>
      <c r="R263" s="674"/>
      <c r="S263" s="71" t="s">
        <v>747</v>
      </c>
      <c r="T263" s="71" t="s">
        <v>748</v>
      </c>
      <c r="U263" s="147"/>
      <c r="V263" s="74" t="s">
        <v>904</v>
      </c>
      <c r="W263" s="91" t="str">
        <f t="shared" si="62"/>
        <v>Y</v>
      </c>
      <c r="X263" s="91"/>
      <c r="Y263" s="91"/>
    </row>
    <row r="264" s="61" customFormat="1" ht="123" customHeight="1" spans="1:25">
      <c r="A264" s="147"/>
      <c r="B264" s="74" t="s">
        <v>905</v>
      </c>
      <c r="C264" s="71" t="s">
        <v>52</v>
      </c>
      <c r="D264" s="71" t="s">
        <v>560</v>
      </c>
      <c r="E264" s="147">
        <v>80509.5</v>
      </c>
      <c r="F264" s="147">
        <v>254</v>
      </c>
      <c r="G264" s="147">
        <v>1011</v>
      </c>
      <c r="H264" s="147">
        <v>2019</v>
      </c>
      <c r="I264" s="147">
        <v>2019</v>
      </c>
      <c r="J264" s="147">
        <v>805</v>
      </c>
      <c r="K264" s="147">
        <v>14</v>
      </c>
      <c r="L264" s="147">
        <v>791</v>
      </c>
      <c r="M264" s="147"/>
      <c r="N264" s="674"/>
      <c r="O264" s="674">
        <v>805</v>
      </c>
      <c r="P264" s="674"/>
      <c r="Q264" s="674"/>
      <c r="R264" s="674"/>
      <c r="S264" s="71" t="s">
        <v>753</v>
      </c>
      <c r="T264" s="71" t="s">
        <v>754</v>
      </c>
      <c r="U264" s="147"/>
      <c r="V264" s="74" t="s">
        <v>906</v>
      </c>
      <c r="W264" s="91" t="str">
        <f t="shared" si="62"/>
        <v>Y</v>
      </c>
      <c r="X264" s="91"/>
      <c r="Y264" s="91"/>
    </row>
    <row r="265" s="61" customFormat="1" ht="84" customHeight="1" spans="1:25">
      <c r="A265" s="147"/>
      <c r="B265" s="74" t="s">
        <v>907</v>
      </c>
      <c r="C265" s="71" t="s">
        <v>52</v>
      </c>
      <c r="D265" s="71" t="s">
        <v>560</v>
      </c>
      <c r="E265" s="147">
        <v>13170</v>
      </c>
      <c r="F265" s="147">
        <v>127</v>
      </c>
      <c r="G265" s="147">
        <v>478</v>
      </c>
      <c r="H265" s="147">
        <v>2019</v>
      </c>
      <c r="I265" s="147">
        <v>2019</v>
      </c>
      <c r="J265" s="147">
        <v>131</v>
      </c>
      <c r="K265" s="147"/>
      <c r="L265" s="147">
        <v>131</v>
      </c>
      <c r="M265" s="147"/>
      <c r="N265" s="674"/>
      <c r="O265" s="674">
        <v>131</v>
      </c>
      <c r="P265" s="674"/>
      <c r="Q265" s="674"/>
      <c r="R265" s="674"/>
      <c r="S265" s="71" t="s">
        <v>765</v>
      </c>
      <c r="T265" s="71" t="s">
        <v>766</v>
      </c>
      <c r="U265" s="147"/>
      <c r="V265" s="74" t="s">
        <v>908</v>
      </c>
      <c r="W265" s="91" t="str">
        <f t="shared" si="62"/>
        <v>Y</v>
      </c>
      <c r="X265" s="91"/>
      <c r="Y265" s="91"/>
    </row>
    <row r="266" s="61" customFormat="1" ht="129.95" customHeight="1" spans="1:25">
      <c r="A266" s="147"/>
      <c r="B266" s="74" t="s">
        <v>909</v>
      </c>
      <c r="C266" s="71" t="s">
        <v>52</v>
      </c>
      <c r="D266" s="71" t="s">
        <v>560</v>
      </c>
      <c r="E266" s="147">
        <v>57490</v>
      </c>
      <c r="F266" s="147">
        <v>264</v>
      </c>
      <c r="G266" s="147">
        <v>968</v>
      </c>
      <c r="H266" s="147">
        <v>2018</v>
      </c>
      <c r="I266" s="147">
        <v>2019</v>
      </c>
      <c r="J266" s="147">
        <v>575</v>
      </c>
      <c r="K266" s="147">
        <v>166</v>
      </c>
      <c r="L266" s="147">
        <v>409</v>
      </c>
      <c r="M266" s="147"/>
      <c r="N266" s="674"/>
      <c r="O266" s="674">
        <v>575</v>
      </c>
      <c r="P266" s="674"/>
      <c r="Q266" s="674"/>
      <c r="R266" s="674"/>
      <c r="S266" s="71" t="s">
        <v>750</v>
      </c>
      <c r="T266" s="71" t="s">
        <v>751</v>
      </c>
      <c r="U266" s="147"/>
      <c r="V266" s="74" t="s">
        <v>910</v>
      </c>
      <c r="W266" s="91" t="str">
        <f t="shared" si="62"/>
        <v>Y</v>
      </c>
      <c r="X266" s="91"/>
      <c r="Y266" s="91"/>
    </row>
    <row r="267" s="61" customFormat="1" ht="129.95" customHeight="1" spans="1:25">
      <c r="A267" s="147"/>
      <c r="B267" s="74" t="s">
        <v>755</v>
      </c>
      <c r="C267" s="71" t="s">
        <v>872</v>
      </c>
      <c r="D267" s="71" t="s">
        <v>560</v>
      </c>
      <c r="E267" s="147">
        <v>38200</v>
      </c>
      <c r="F267" s="147">
        <v>180</v>
      </c>
      <c r="G267" s="147">
        <v>715</v>
      </c>
      <c r="H267" s="147">
        <v>2018</v>
      </c>
      <c r="I267" s="147">
        <v>2019</v>
      </c>
      <c r="J267" s="147">
        <v>404.1341</v>
      </c>
      <c r="K267" s="147">
        <v>396</v>
      </c>
      <c r="L267" s="147">
        <v>8.1341</v>
      </c>
      <c r="M267" s="147"/>
      <c r="N267" s="674"/>
      <c r="O267" s="674">
        <v>404.1341</v>
      </c>
      <c r="P267" s="674"/>
      <c r="Q267" s="674"/>
      <c r="R267" s="674"/>
      <c r="S267" s="71" t="s">
        <v>756</v>
      </c>
      <c r="T267" s="71" t="s">
        <v>757</v>
      </c>
      <c r="U267" s="147"/>
      <c r="V267" s="74" t="s">
        <v>911</v>
      </c>
      <c r="W267" s="91" t="str">
        <f t="shared" si="62"/>
        <v>Y</v>
      </c>
      <c r="X267" s="91"/>
      <c r="Y267" s="91"/>
    </row>
    <row r="268" s="61" customFormat="1" ht="102" customHeight="1" spans="1:25">
      <c r="A268" s="147"/>
      <c r="B268" s="74" t="s">
        <v>758</v>
      </c>
      <c r="C268" s="71" t="s">
        <v>52</v>
      </c>
      <c r="D268" s="71" t="s">
        <v>560</v>
      </c>
      <c r="E268" s="147">
        <v>40123.5</v>
      </c>
      <c r="F268" s="147">
        <v>231</v>
      </c>
      <c r="G268" s="147">
        <v>973</v>
      </c>
      <c r="H268" s="147">
        <v>2019</v>
      </c>
      <c r="I268" s="147">
        <v>2019</v>
      </c>
      <c r="J268" s="147">
        <v>401</v>
      </c>
      <c r="K268" s="147"/>
      <c r="L268" s="147">
        <v>401</v>
      </c>
      <c r="M268" s="147"/>
      <c r="N268" s="674"/>
      <c r="O268" s="674">
        <v>401</v>
      </c>
      <c r="P268" s="674"/>
      <c r="Q268" s="674"/>
      <c r="R268" s="674"/>
      <c r="S268" s="71" t="s">
        <v>759</v>
      </c>
      <c r="T268" s="71" t="s">
        <v>760</v>
      </c>
      <c r="U268" s="147"/>
      <c r="V268" s="74" t="s">
        <v>912</v>
      </c>
      <c r="W268" s="91" t="str">
        <f t="shared" si="62"/>
        <v>Y</v>
      </c>
      <c r="X268" s="91"/>
      <c r="Y268" s="91"/>
    </row>
    <row r="269" s="61" customFormat="1" ht="107.1" customHeight="1" spans="1:25">
      <c r="A269" s="147"/>
      <c r="B269" s="74" t="s">
        <v>767</v>
      </c>
      <c r="C269" s="71" t="s">
        <v>52</v>
      </c>
      <c r="D269" s="71" t="s">
        <v>560</v>
      </c>
      <c r="E269" s="147">
        <v>23965</v>
      </c>
      <c r="F269" s="147">
        <v>132</v>
      </c>
      <c r="G269" s="147">
        <v>565</v>
      </c>
      <c r="H269" s="147">
        <v>2018</v>
      </c>
      <c r="I269" s="147">
        <v>2019</v>
      </c>
      <c r="J269" s="147">
        <v>239</v>
      </c>
      <c r="K269" s="147">
        <v>84</v>
      </c>
      <c r="L269" s="147">
        <v>155</v>
      </c>
      <c r="M269" s="147"/>
      <c r="N269" s="674"/>
      <c r="O269" s="674">
        <v>239</v>
      </c>
      <c r="P269" s="674"/>
      <c r="Q269" s="674"/>
      <c r="R269" s="674"/>
      <c r="S269" s="71" t="s">
        <v>768</v>
      </c>
      <c r="T269" s="71" t="s">
        <v>913</v>
      </c>
      <c r="U269" s="147"/>
      <c r="V269" s="74" t="s">
        <v>914</v>
      </c>
      <c r="W269" s="91" t="str">
        <f t="shared" si="62"/>
        <v>Y</v>
      </c>
      <c r="X269" s="91"/>
      <c r="Y269" s="91"/>
    </row>
    <row r="270" s="61" customFormat="1" ht="89.1" customHeight="1" spans="1:25">
      <c r="A270" s="147"/>
      <c r="B270" s="74" t="s">
        <v>770</v>
      </c>
      <c r="C270" s="71" t="s">
        <v>52</v>
      </c>
      <c r="D270" s="71" t="s">
        <v>560</v>
      </c>
      <c r="E270" s="147">
        <v>21473.5</v>
      </c>
      <c r="F270" s="147">
        <v>217</v>
      </c>
      <c r="G270" s="147">
        <v>885</v>
      </c>
      <c r="H270" s="147">
        <v>2019</v>
      </c>
      <c r="I270" s="147">
        <v>2019</v>
      </c>
      <c r="J270" s="147">
        <v>214</v>
      </c>
      <c r="K270" s="147"/>
      <c r="L270" s="147">
        <v>214</v>
      </c>
      <c r="M270" s="147"/>
      <c r="N270" s="674"/>
      <c r="O270" s="674">
        <v>214</v>
      </c>
      <c r="P270" s="674"/>
      <c r="Q270" s="674"/>
      <c r="R270" s="674"/>
      <c r="S270" s="71" t="s">
        <v>771</v>
      </c>
      <c r="T270" s="71" t="s">
        <v>772</v>
      </c>
      <c r="U270" s="147"/>
      <c r="V270" s="74" t="s">
        <v>915</v>
      </c>
      <c r="W270" s="91" t="str">
        <f t="shared" si="62"/>
        <v>Y</v>
      </c>
      <c r="X270" s="91"/>
      <c r="Y270" s="91"/>
    </row>
    <row r="271" s="61" customFormat="1" ht="21.95" customHeight="1" spans="1:25">
      <c r="A271" s="147">
        <v>44</v>
      </c>
      <c r="B271" s="74" t="s">
        <v>916</v>
      </c>
      <c r="C271" s="147" t="s">
        <v>320</v>
      </c>
      <c r="D271" s="147" t="s">
        <v>320</v>
      </c>
      <c r="E271" s="147"/>
      <c r="F271" s="147"/>
      <c r="G271" s="147"/>
      <c r="H271" s="147">
        <v>2018</v>
      </c>
      <c r="I271" s="147">
        <v>2020</v>
      </c>
      <c r="J271" s="147">
        <f t="shared" ref="J271:R271" si="65">J272+J273+J278</f>
        <v>3140.4</v>
      </c>
      <c r="K271" s="147">
        <f t="shared" si="65"/>
        <v>1146.8</v>
      </c>
      <c r="L271" s="147">
        <f t="shared" si="65"/>
        <v>836.8</v>
      </c>
      <c r="M271" s="147">
        <f t="shared" si="65"/>
        <v>1156.8</v>
      </c>
      <c r="N271" s="147">
        <f t="shared" si="65"/>
        <v>3140.4</v>
      </c>
      <c r="O271" s="147">
        <f t="shared" si="65"/>
        <v>0</v>
      </c>
      <c r="P271" s="147">
        <f t="shared" si="65"/>
        <v>0</v>
      </c>
      <c r="Q271" s="147">
        <f t="shared" si="65"/>
        <v>0</v>
      </c>
      <c r="R271" s="147">
        <f t="shared" si="65"/>
        <v>0</v>
      </c>
      <c r="S271" s="147"/>
      <c r="T271" s="147"/>
      <c r="U271" s="147" t="s">
        <v>320</v>
      </c>
      <c r="V271" s="74" t="s">
        <v>41</v>
      </c>
      <c r="W271" s="91" t="str">
        <f t="shared" si="62"/>
        <v>Y</v>
      </c>
      <c r="X271" s="91"/>
      <c r="Y271" s="91"/>
    </row>
    <row r="272" s="61" customFormat="1" ht="51" spans="1:25">
      <c r="A272" s="147">
        <v>45</v>
      </c>
      <c r="B272" s="74" t="s">
        <v>917</v>
      </c>
      <c r="C272" s="147" t="s">
        <v>320</v>
      </c>
      <c r="D272" s="71" t="s">
        <v>45</v>
      </c>
      <c r="E272" s="147">
        <v>18000</v>
      </c>
      <c r="F272" s="147" t="s">
        <v>320</v>
      </c>
      <c r="G272" s="147" t="s">
        <v>320</v>
      </c>
      <c r="H272" s="147">
        <v>2018</v>
      </c>
      <c r="I272" s="147">
        <v>2020</v>
      </c>
      <c r="J272" s="147">
        <v>2880</v>
      </c>
      <c r="K272" s="147">
        <v>960</v>
      </c>
      <c r="L272" s="147">
        <v>800</v>
      </c>
      <c r="M272" s="147">
        <v>1120</v>
      </c>
      <c r="N272" s="674">
        <v>2880</v>
      </c>
      <c r="O272" s="674"/>
      <c r="P272" s="674"/>
      <c r="Q272" s="674"/>
      <c r="R272" s="674"/>
      <c r="S272" s="147"/>
      <c r="T272" s="147"/>
      <c r="U272" s="147"/>
      <c r="V272" s="74" t="s">
        <v>918</v>
      </c>
      <c r="W272" s="91" t="str">
        <f t="shared" si="62"/>
        <v>Y</v>
      </c>
      <c r="X272" s="91"/>
      <c r="Y272" s="91"/>
    </row>
    <row r="273" s="61" customFormat="1" ht="24.75" spans="1:25">
      <c r="A273" s="147">
        <v>46</v>
      </c>
      <c r="B273" s="74" t="s">
        <v>919</v>
      </c>
      <c r="C273" s="147" t="s">
        <v>320</v>
      </c>
      <c r="D273" s="71" t="s">
        <v>45</v>
      </c>
      <c r="E273" s="147">
        <v>1500</v>
      </c>
      <c r="F273" s="147">
        <f>SUM(F274:F277)</f>
        <v>39</v>
      </c>
      <c r="G273" s="147">
        <f>SUM(G274:G277)</f>
        <v>137</v>
      </c>
      <c r="H273" s="147">
        <v>2018</v>
      </c>
      <c r="I273" s="147">
        <v>2018</v>
      </c>
      <c r="J273" s="147">
        <f t="shared" ref="J273:J277" si="66">K273+L273+M273</f>
        <v>150</v>
      </c>
      <c r="K273" s="147">
        <v>150</v>
      </c>
      <c r="L273" s="147"/>
      <c r="M273" s="147"/>
      <c r="N273" s="674">
        <f t="shared" ref="N273:N277" si="67">J273</f>
        <v>150</v>
      </c>
      <c r="O273" s="674"/>
      <c r="P273" s="674"/>
      <c r="Q273" s="674"/>
      <c r="R273" s="674"/>
      <c r="S273" s="71" t="s">
        <v>851</v>
      </c>
      <c r="T273" s="71" t="s">
        <v>920</v>
      </c>
      <c r="U273" s="71" t="s">
        <v>435</v>
      </c>
      <c r="V273" s="74" t="s">
        <v>921</v>
      </c>
      <c r="W273" s="91" t="str">
        <f t="shared" si="62"/>
        <v>Y</v>
      </c>
      <c r="X273" s="91"/>
      <c r="Y273" s="91"/>
    </row>
    <row r="274" s="61" customFormat="1" ht="21.95" customHeight="1" spans="1:25">
      <c r="A274" s="147"/>
      <c r="B274" s="74" t="s">
        <v>752</v>
      </c>
      <c r="C274" s="147"/>
      <c r="D274" s="71" t="s">
        <v>45</v>
      </c>
      <c r="E274" s="147">
        <v>100</v>
      </c>
      <c r="F274" s="147">
        <v>6</v>
      </c>
      <c r="G274" s="147">
        <v>21</v>
      </c>
      <c r="H274" s="147">
        <v>2018</v>
      </c>
      <c r="I274" s="147">
        <v>2018</v>
      </c>
      <c r="J274" s="147">
        <f t="shared" si="66"/>
        <v>10</v>
      </c>
      <c r="K274" s="147">
        <v>10</v>
      </c>
      <c r="L274" s="147"/>
      <c r="M274" s="147"/>
      <c r="N274" s="674">
        <f t="shared" si="67"/>
        <v>10</v>
      </c>
      <c r="O274" s="674"/>
      <c r="P274" s="674"/>
      <c r="Q274" s="674"/>
      <c r="R274" s="674"/>
      <c r="S274" s="147"/>
      <c r="T274" s="147"/>
      <c r="U274" s="147"/>
      <c r="V274" s="398"/>
      <c r="W274" s="91" t="str">
        <f t="shared" si="62"/>
        <v>Y</v>
      </c>
      <c r="X274" s="91"/>
      <c r="Y274" s="91"/>
    </row>
    <row r="275" s="61" customFormat="1" ht="21.95" customHeight="1" spans="1:25">
      <c r="A275" s="147"/>
      <c r="B275" s="74" t="s">
        <v>758</v>
      </c>
      <c r="C275" s="147"/>
      <c r="D275" s="71" t="s">
        <v>45</v>
      </c>
      <c r="E275" s="147">
        <v>700</v>
      </c>
      <c r="F275" s="147">
        <v>15</v>
      </c>
      <c r="G275" s="147">
        <v>53</v>
      </c>
      <c r="H275" s="147">
        <v>2018</v>
      </c>
      <c r="I275" s="147">
        <v>2018</v>
      </c>
      <c r="J275" s="147">
        <f t="shared" si="66"/>
        <v>70</v>
      </c>
      <c r="K275" s="147">
        <v>70</v>
      </c>
      <c r="L275" s="147"/>
      <c r="M275" s="147"/>
      <c r="N275" s="674">
        <f t="shared" si="67"/>
        <v>70</v>
      </c>
      <c r="O275" s="674"/>
      <c r="P275" s="674"/>
      <c r="Q275" s="674"/>
      <c r="R275" s="674"/>
      <c r="S275" s="147"/>
      <c r="T275" s="147"/>
      <c r="U275" s="147"/>
      <c r="V275" s="398"/>
      <c r="W275" s="91" t="str">
        <f t="shared" si="62"/>
        <v>Y</v>
      </c>
      <c r="X275" s="91"/>
      <c r="Y275" s="91"/>
    </row>
    <row r="276" s="61" customFormat="1" ht="21.95" customHeight="1" spans="1:25">
      <c r="A276" s="147"/>
      <c r="B276" s="74" t="s">
        <v>749</v>
      </c>
      <c r="C276" s="147"/>
      <c r="D276" s="71" t="s">
        <v>45</v>
      </c>
      <c r="E276" s="147">
        <v>500</v>
      </c>
      <c r="F276" s="147">
        <v>10</v>
      </c>
      <c r="G276" s="147">
        <v>35</v>
      </c>
      <c r="H276" s="147">
        <v>2018</v>
      </c>
      <c r="I276" s="147">
        <v>2018</v>
      </c>
      <c r="J276" s="147">
        <f t="shared" si="66"/>
        <v>50</v>
      </c>
      <c r="K276" s="147">
        <v>50</v>
      </c>
      <c r="L276" s="147"/>
      <c r="M276" s="147"/>
      <c r="N276" s="674">
        <f t="shared" si="67"/>
        <v>50</v>
      </c>
      <c r="O276" s="674"/>
      <c r="P276" s="674"/>
      <c r="Q276" s="674"/>
      <c r="R276" s="674"/>
      <c r="S276" s="147"/>
      <c r="T276" s="147"/>
      <c r="U276" s="147"/>
      <c r="V276" s="398"/>
      <c r="W276" s="91" t="str">
        <f t="shared" si="62"/>
        <v>Y</v>
      </c>
      <c r="X276" s="91"/>
      <c r="Y276" s="91"/>
    </row>
    <row r="277" s="61" customFormat="1" ht="21.95" customHeight="1" spans="1:25">
      <c r="A277" s="147"/>
      <c r="B277" s="74" t="s">
        <v>764</v>
      </c>
      <c r="C277" s="147"/>
      <c r="D277" s="71" t="s">
        <v>45</v>
      </c>
      <c r="E277" s="147">
        <v>200</v>
      </c>
      <c r="F277" s="147">
        <v>8</v>
      </c>
      <c r="G277" s="147">
        <v>28</v>
      </c>
      <c r="H277" s="147">
        <v>2018</v>
      </c>
      <c r="I277" s="147">
        <v>2018</v>
      </c>
      <c r="J277" s="147">
        <f t="shared" si="66"/>
        <v>20</v>
      </c>
      <c r="K277" s="147">
        <v>20</v>
      </c>
      <c r="L277" s="147"/>
      <c r="M277" s="147"/>
      <c r="N277" s="674">
        <f t="shared" si="67"/>
        <v>20</v>
      </c>
      <c r="O277" s="674"/>
      <c r="P277" s="674"/>
      <c r="Q277" s="674"/>
      <c r="R277" s="674"/>
      <c r="S277" s="147"/>
      <c r="T277" s="147"/>
      <c r="U277" s="147"/>
      <c r="V277" s="398"/>
      <c r="W277" s="91" t="str">
        <f t="shared" si="62"/>
        <v>Y</v>
      </c>
      <c r="X277" s="91"/>
      <c r="Y277" s="91"/>
    </row>
    <row r="278" s="61" customFormat="1" ht="24.75" spans="1:25">
      <c r="A278" s="147">
        <v>47</v>
      </c>
      <c r="B278" s="74" t="s">
        <v>423</v>
      </c>
      <c r="C278" s="147" t="s">
        <v>320</v>
      </c>
      <c r="D278" s="71" t="s">
        <v>147</v>
      </c>
      <c r="E278" s="147">
        <v>46</v>
      </c>
      <c r="F278" s="147">
        <v>46</v>
      </c>
      <c r="G278" s="147">
        <v>46</v>
      </c>
      <c r="H278" s="147">
        <v>2018</v>
      </c>
      <c r="I278" s="147">
        <v>2020</v>
      </c>
      <c r="J278" s="123">
        <v>110.4</v>
      </c>
      <c r="K278" s="123">
        <v>36.8</v>
      </c>
      <c r="L278" s="123">
        <v>36.8</v>
      </c>
      <c r="M278" s="123">
        <v>36.8</v>
      </c>
      <c r="N278" s="123">
        <v>110.4</v>
      </c>
      <c r="O278" s="123"/>
      <c r="P278" s="123"/>
      <c r="Q278" s="123"/>
      <c r="R278" s="340"/>
      <c r="S278" s="71" t="s">
        <v>851</v>
      </c>
      <c r="T278" s="71" t="s">
        <v>922</v>
      </c>
      <c r="U278" s="71" t="s">
        <v>417</v>
      </c>
      <c r="V278" s="74" t="s">
        <v>923</v>
      </c>
      <c r="W278" s="91" t="str">
        <f t="shared" si="62"/>
        <v>Y</v>
      </c>
      <c r="X278" s="91"/>
      <c r="Y278" s="91"/>
    </row>
    <row r="279" s="61" customFormat="1" ht="21.95" customHeight="1" spans="1:25">
      <c r="A279" s="147"/>
      <c r="B279" s="74" t="s">
        <v>746</v>
      </c>
      <c r="C279" s="147"/>
      <c r="D279" s="147"/>
      <c r="E279" s="147">
        <v>5</v>
      </c>
      <c r="F279" s="147">
        <v>5</v>
      </c>
      <c r="G279" s="147">
        <v>5</v>
      </c>
      <c r="H279" s="147">
        <v>2018</v>
      </c>
      <c r="I279" s="147">
        <v>2020</v>
      </c>
      <c r="J279" s="123">
        <v>12</v>
      </c>
      <c r="K279" s="123">
        <v>4</v>
      </c>
      <c r="L279" s="123">
        <v>4</v>
      </c>
      <c r="M279" s="123">
        <v>4</v>
      </c>
      <c r="N279" s="123"/>
      <c r="O279" s="123"/>
      <c r="P279" s="123"/>
      <c r="Q279" s="123"/>
      <c r="R279" s="340"/>
      <c r="S279" s="71" t="s">
        <v>747</v>
      </c>
      <c r="T279" s="71" t="s">
        <v>748</v>
      </c>
      <c r="U279" s="147"/>
      <c r="V279" s="398"/>
      <c r="W279" s="91" t="str">
        <f t="shared" si="62"/>
        <v>N</v>
      </c>
      <c r="X279" s="91"/>
      <c r="Y279" s="91"/>
    </row>
    <row r="280" s="61" customFormat="1" ht="21.95" customHeight="1" spans="1:25">
      <c r="A280" s="147"/>
      <c r="B280" s="74" t="s">
        <v>752</v>
      </c>
      <c r="C280" s="147"/>
      <c r="D280" s="147"/>
      <c r="E280" s="147">
        <v>5</v>
      </c>
      <c r="F280" s="147">
        <v>5</v>
      </c>
      <c r="G280" s="147">
        <v>5</v>
      </c>
      <c r="H280" s="147">
        <v>2018</v>
      </c>
      <c r="I280" s="147">
        <v>2020</v>
      </c>
      <c r="J280" s="123">
        <v>12</v>
      </c>
      <c r="K280" s="123">
        <v>4</v>
      </c>
      <c r="L280" s="123">
        <v>4</v>
      </c>
      <c r="M280" s="123">
        <v>4</v>
      </c>
      <c r="N280" s="123"/>
      <c r="O280" s="123"/>
      <c r="P280" s="123"/>
      <c r="Q280" s="123"/>
      <c r="R280" s="340"/>
      <c r="S280" s="71" t="s">
        <v>753</v>
      </c>
      <c r="T280" s="71" t="s">
        <v>754</v>
      </c>
      <c r="U280" s="147"/>
      <c r="V280" s="398"/>
      <c r="W280" s="91" t="str">
        <f t="shared" si="62"/>
        <v>N</v>
      </c>
      <c r="X280" s="91"/>
      <c r="Y280" s="91"/>
    </row>
    <row r="281" s="61" customFormat="1" ht="21.95" customHeight="1" spans="1:25">
      <c r="A281" s="147"/>
      <c r="B281" s="74" t="s">
        <v>764</v>
      </c>
      <c r="C281" s="147"/>
      <c r="D281" s="147"/>
      <c r="E281" s="147">
        <v>7</v>
      </c>
      <c r="F281" s="147">
        <v>7</v>
      </c>
      <c r="G281" s="147">
        <v>7</v>
      </c>
      <c r="H281" s="147">
        <v>2018</v>
      </c>
      <c r="I281" s="147">
        <v>2020</v>
      </c>
      <c r="J281" s="123">
        <v>16.8</v>
      </c>
      <c r="K281" s="123">
        <v>5.6</v>
      </c>
      <c r="L281" s="123">
        <v>5.6</v>
      </c>
      <c r="M281" s="123">
        <v>5.6</v>
      </c>
      <c r="N281" s="123"/>
      <c r="O281" s="123"/>
      <c r="P281" s="123"/>
      <c r="Q281" s="123"/>
      <c r="R281" s="340"/>
      <c r="S281" s="71" t="s">
        <v>765</v>
      </c>
      <c r="T281" s="71" t="s">
        <v>766</v>
      </c>
      <c r="U281" s="147"/>
      <c r="V281" s="398"/>
      <c r="W281" s="91" t="str">
        <f t="shared" si="62"/>
        <v>N</v>
      </c>
      <c r="X281" s="91"/>
      <c r="Y281" s="91"/>
    </row>
    <row r="282" s="61" customFormat="1" ht="21.95" customHeight="1" spans="1:25">
      <c r="A282" s="147"/>
      <c r="B282" s="74" t="s">
        <v>749</v>
      </c>
      <c r="C282" s="147"/>
      <c r="D282" s="147"/>
      <c r="E282" s="147">
        <v>5</v>
      </c>
      <c r="F282" s="147">
        <v>5</v>
      </c>
      <c r="G282" s="147">
        <v>5</v>
      </c>
      <c r="H282" s="147">
        <v>2018</v>
      </c>
      <c r="I282" s="147">
        <v>2020</v>
      </c>
      <c r="J282" s="123">
        <v>12</v>
      </c>
      <c r="K282" s="123">
        <v>4</v>
      </c>
      <c r="L282" s="123">
        <v>4</v>
      </c>
      <c r="M282" s="123">
        <v>4</v>
      </c>
      <c r="N282" s="123"/>
      <c r="O282" s="123"/>
      <c r="P282" s="123"/>
      <c r="Q282" s="123"/>
      <c r="R282" s="340"/>
      <c r="S282" s="71" t="s">
        <v>750</v>
      </c>
      <c r="T282" s="71" t="s">
        <v>751</v>
      </c>
      <c r="U282" s="147"/>
      <c r="V282" s="398"/>
      <c r="W282" s="91" t="str">
        <f t="shared" si="62"/>
        <v>N</v>
      </c>
      <c r="X282" s="91"/>
      <c r="Y282" s="91"/>
    </row>
    <row r="283" s="61" customFormat="1" ht="21.95" customHeight="1" spans="1:25">
      <c r="A283" s="147"/>
      <c r="B283" s="74" t="s">
        <v>755</v>
      </c>
      <c r="C283" s="147"/>
      <c r="D283" s="147"/>
      <c r="E283" s="147">
        <v>5</v>
      </c>
      <c r="F283" s="147">
        <v>5</v>
      </c>
      <c r="G283" s="147">
        <v>5</v>
      </c>
      <c r="H283" s="147">
        <v>2018</v>
      </c>
      <c r="I283" s="147">
        <v>2020</v>
      </c>
      <c r="J283" s="123">
        <v>12</v>
      </c>
      <c r="K283" s="123">
        <v>4</v>
      </c>
      <c r="L283" s="123">
        <v>4</v>
      </c>
      <c r="M283" s="123">
        <v>4</v>
      </c>
      <c r="N283" s="123"/>
      <c r="O283" s="123"/>
      <c r="P283" s="123"/>
      <c r="Q283" s="123"/>
      <c r="R283" s="340"/>
      <c r="S283" s="71" t="s">
        <v>756</v>
      </c>
      <c r="T283" s="71" t="s">
        <v>757</v>
      </c>
      <c r="U283" s="147"/>
      <c r="V283" s="398"/>
      <c r="W283" s="91" t="str">
        <f t="shared" si="62"/>
        <v>N</v>
      </c>
      <c r="X283" s="91"/>
      <c r="Y283" s="91"/>
    </row>
    <row r="284" s="61" customFormat="1" ht="21.95" customHeight="1" spans="1:25">
      <c r="A284" s="147"/>
      <c r="B284" s="74" t="s">
        <v>758</v>
      </c>
      <c r="C284" s="147"/>
      <c r="D284" s="147"/>
      <c r="E284" s="147">
        <v>5</v>
      </c>
      <c r="F284" s="147">
        <v>5</v>
      </c>
      <c r="G284" s="147">
        <v>5</v>
      </c>
      <c r="H284" s="147">
        <v>2018</v>
      </c>
      <c r="I284" s="147">
        <v>2020</v>
      </c>
      <c r="J284" s="123">
        <v>12</v>
      </c>
      <c r="K284" s="123">
        <v>4</v>
      </c>
      <c r="L284" s="123">
        <v>4</v>
      </c>
      <c r="M284" s="123">
        <v>4</v>
      </c>
      <c r="N284" s="123"/>
      <c r="O284" s="123"/>
      <c r="P284" s="123"/>
      <c r="Q284" s="123"/>
      <c r="R284" s="340"/>
      <c r="S284" s="71" t="s">
        <v>759</v>
      </c>
      <c r="T284" s="71" t="s">
        <v>760</v>
      </c>
      <c r="U284" s="147"/>
      <c r="V284" s="398"/>
      <c r="W284" s="91" t="str">
        <f t="shared" si="62"/>
        <v>N</v>
      </c>
      <c r="X284" s="91"/>
      <c r="Y284" s="91"/>
    </row>
    <row r="285" s="61" customFormat="1" ht="21.95" customHeight="1" spans="1:25">
      <c r="A285" s="147"/>
      <c r="B285" s="74" t="s">
        <v>767</v>
      </c>
      <c r="C285" s="147"/>
      <c r="D285" s="147"/>
      <c r="E285" s="147">
        <v>7</v>
      </c>
      <c r="F285" s="147">
        <v>7</v>
      </c>
      <c r="G285" s="147">
        <v>7</v>
      </c>
      <c r="H285" s="147">
        <v>2018</v>
      </c>
      <c r="I285" s="147">
        <v>2020</v>
      </c>
      <c r="J285" s="123">
        <v>16.8</v>
      </c>
      <c r="K285" s="123">
        <v>5.6</v>
      </c>
      <c r="L285" s="123">
        <v>5.6</v>
      </c>
      <c r="M285" s="123">
        <v>5.6</v>
      </c>
      <c r="N285" s="123"/>
      <c r="O285" s="123"/>
      <c r="P285" s="123"/>
      <c r="Q285" s="123"/>
      <c r="R285" s="340"/>
      <c r="S285" s="71" t="s">
        <v>768</v>
      </c>
      <c r="T285" s="71" t="s">
        <v>769</v>
      </c>
      <c r="U285" s="147"/>
      <c r="V285" s="398"/>
      <c r="W285" s="91" t="str">
        <f t="shared" si="62"/>
        <v>N</v>
      </c>
      <c r="X285" s="91"/>
      <c r="Y285" s="91"/>
    </row>
    <row r="286" s="61" customFormat="1" ht="21.95" customHeight="1" spans="1:25">
      <c r="A286" s="147"/>
      <c r="B286" s="74" t="s">
        <v>770</v>
      </c>
      <c r="C286" s="147"/>
      <c r="D286" s="147"/>
      <c r="E286" s="147">
        <v>7</v>
      </c>
      <c r="F286" s="147">
        <v>7</v>
      </c>
      <c r="G286" s="147">
        <v>7</v>
      </c>
      <c r="H286" s="147">
        <v>2018</v>
      </c>
      <c r="I286" s="147">
        <v>2020</v>
      </c>
      <c r="J286" s="123">
        <v>16.8</v>
      </c>
      <c r="K286" s="123">
        <v>5.6</v>
      </c>
      <c r="L286" s="123">
        <v>5.6</v>
      </c>
      <c r="M286" s="123">
        <v>5.6</v>
      </c>
      <c r="N286" s="123"/>
      <c r="O286" s="123"/>
      <c r="P286" s="123"/>
      <c r="Q286" s="123"/>
      <c r="R286" s="340"/>
      <c r="S286" s="71" t="s">
        <v>771</v>
      </c>
      <c r="T286" s="71" t="s">
        <v>832</v>
      </c>
      <c r="U286" s="147"/>
      <c r="V286" s="398"/>
      <c r="W286" s="91" t="str">
        <f t="shared" si="62"/>
        <v>N</v>
      </c>
      <c r="X286" s="91"/>
      <c r="Y286" s="91"/>
    </row>
    <row r="287" s="61" customFormat="1" ht="24.95" customHeight="1" spans="1:25">
      <c r="A287" s="147">
        <v>48</v>
      </c>
      <c r="B287" s="74" t="s">
        <v>434</v>
      </c>
      <c r="C287" s="147" t="s">
        <v>320</v>
      </c>
      <c r="D287" s="71" t="s">
        <v>147</v>
      </c>
      <c r="E287" s="147" t="s">
        <v>320</v>
      </c>
      <c r="F287" s="147" t="s">
        <v>320</v>
      </c>
      <c r="G287" s="147" t="s">
        <v>320</v>
      </c>
      <c r="H287" s="147" t="s">
        <v>320</v>
      </c>
      <c r="I287" s="147" t="s">
        <v>320</v>
      </c>
      <c r="J287" s="147" t="s">
        <v>320</v>
      </c>
      <c r="K287" s="147" t="s">
        <v>320</v>
      </c>
      <c r="L287" s="147" t="s">
        <v>320</v>
      </c>
      <c r="M287" s="147" t="s">
        <v>320</v>
      </c>
      <c r="N287" s="674"/>
      <c r="O287" s="674"/>
      <c r="P287" s="674"/>
      <c r="Q287" s="674"/>
      <c r="R287" s="674"/>
      <c r="S287" s="147" t="s">
        <v>320</v>
      </c>
      <c r="T287" s="147" t="s">
        <v>320</v>
      </c>
      <c r="U287" s="71" t="s">
        <v>435</v>
      </c>
      <c r="V287" s="74" t="s">
        <v>41</v>
      </c>
      <c r="W287" s="91" t="str">
        <f t="shared" si="62"/>
        <v>N</v>
      </c>
      <c r="X287" s="91"/>
      <c r="Y287" s="91"/>
    </row>
    <row r="288" s="61" customFormat="1" ht="24" spans="1:25">
      <c r="A288" s="147">
        <v>49</v>
      </c>
      <c r="B288" s="74" t="s">
        <v>436</v>
      </c>
      <c r="C288" s="71" t="s">
        <v>52</v>
      </c>
      <c r="D288" s="71" t="s">
        <v>150</v>
      </c>
      <c r="E288" s="147" t="s">
        <v>320</v>
      </c>
      <c r="F288" s="147" t="s">
        <v>320</v>
      </c>
      <c r="G288" s="147" t="s">
        <v>320</v>
      </c>
      <c r="H288" s="147" t="s">
        <v>320</v>
      </c>
      <c r="I288" s="147" t="s">
        <v>320</v>
      </c>
      <c r="J288" s="147" t="s">
        <v>320</v>
      </c>
      <c r="K288" s="147" t="s">
        <v>320</v>
      </c>
      <c r="L288" s="147" t="s">
        <v>320</v>
      </c>
      <c r="M288" s="147" t="s">
        <v>320</v>
      </c>
      <c r="N288" s="674"/>
      <c r="O288" s="674"/>
      <c r="P288" s="674"/>
      <c r="Q288" s="674"/>
      <c r="R288" s="674"/>
      <c r="S288" s="147" t="s">
        <v>320</v>
      </c>
      <c r="T288" s="147" t="s">
        <v>320</v>
      </c>
      <c r="U288" s="71" t="s">
        <v>417</v>
      </c>
      <c r="V288" s="74" t="s">
        <v>41</v>
      </c>
      <c r="W288" s="91" t="str">
        <f t="shared" si="62"/>
        <v>N</v>
      </c>
      <c r="X288" s="91"/>
      <c r="Y288" s="91"/>
    </row>
    <row r="289" s="61" customFormat="1" ht="12.75" spans="1:25">
      <c r="A289" s="147">
        <v>50</v>
      </c>
      <c r="B289" s="74" t="s">
        <v>924</v>
      </c>
      <c r="C289" s="147" t="s">
        <v>320</v>
      </c>
      <c r="D289" s="147" t="s">
        <v>320</v>
      </c>
      <c r="E289" s="147">
        <f t="shared" ref="E289:G289" si="68">E290+E299+E310</f>
        <v>289</v>
      </c>
      <c r="F289" s="147">
        <f t="shared" si="68"/>
        <v>183</v>
      </c>
      <c r="G289" s="147">
        <f t="shared" si="68"/>
        <v>272</v>
      </c>
      <c r="H289" s="147">
        <v>2018</v>
      </c>
      <c r="I289" s="147">
        <v>2020</v>
      </c>
      <c r="J289" s="147">
        <f t="shared" ref="J289:R289" si="69">J290+J299+J310</f>
        <v>307.508832</v>
      </c>
      <c r="K289" s="147">
        <f t="shared" si="69"/>
        <v>95.2272</v>
      </c>
      <c r="L289" s="147">
        <f t="shared" si="69"/>
        <v>102.15648</v>
      </c>
      <c r="M289" s="147">
        <f t="shared" si="69"/>
        <v>110.125152</v>
      </c>
      <c r="N289" s="147">
        <f t="shared" si="69"/>
        <v>307.508832</v>
      </c>
      <c r="O289" s="147">
        <f t="shared" si="69"/>
        <v>0</v>
      </c>
      <c r="P289" s="147">
        <f t="shared" si="69"/>
        <v>0</v>
      </c>
      <c r="Q289" s="147">
        <f t="shared" si="69"/>
        <v>0</v>
      </c>
      <c r="R289" s="147">
        <f t="shared" si="69"/>
        <v>0</v>
      </c>
      <c r="S289" s="147"/>
      <c r="T289" s="147"/>
      <c r="U289" s="147" t="s">
        <v>320</v>
      </c>
      <c r="V289" s="74" t="s">
        <v>41</v>
      </c>
      <c r="W289" s="91" t="str">
        <f t="shared" si="62"/>
        <v>Y</v>
      </c>
      <c r="X289" s="91"/>
      <c r="Y289" s="91"/>
    </row>
    <row r="290" s="61" customFormat="1" ht="66.95" customHeight="1" spans="1:25">
      <c r="A290" s="147">
        <v>51</v>
      </c>
      <c r="B290" s="74" t="s">
        <v>443</v>
      </c>
      <c r="C290" s="147" t="s">
        <v>320</v>
      </c>
      <c r="D290" s="71" t="s">
        <v>384</v>
      </c>
      <c r="E290" s="147">
        <v>86</v>
      </c>
      <c r="F290" s="147">
        <f t="shared" ref="F290:N290" si="70">F291+F292+F293+F294+F295+F296+F297+F298</f>
        <v>86</v>
      </c>
      <c r="G290" s="147">
        <f t="shared" si="70"/>
        <v>172</v>
      </c>
      <c r="H290" s="147">
        <v>2018</v>
      </c>
      <c r="I290" s="147">
        <v>2020</v>
      </c>
      <c r="J290" s="147">
        <f t="shared" ref="J290:J298" si="71">K290+L290+M290</f>
        <v>160.412832</v>
      </c>
      <c r="K290" s="147">
        <f t="shared" si="70"/>
        <v>46.1952</v>
      </c>
      <c r="L290" s="147">
        <f t="shared" si="70"/>
        <v>53.12448</v>
      </c>
      <c r="M290" s="147">
        <f t="shared" si="70"/>
        <v>61.093152</v>
      </c>
      <c r="N290" s="674">
        <f t="shared" si="70"/>
        <v>160.412832</v>
      </c>
      <c r="O290" s="674"/>
      <c r="P290" s="674"/>
      <c r="Q290" s="674"/>
      <c r="R290" s="674"/>
      <c r="S290" s="71" t="s">
        <v>781</v>
      </c>
      <c r="T290" s="71" t="s">
        <v>925</v>
      </c>
      <c r="U290" s="71" t="s">
        <v>338</v>
      </c>
      <c r="V290" s="74" t="s">
        <v>926</v>
      </c>
      <c r="W290" s="91" t="str">
        <f t="shared" si="62"/>
        <v>Y</v>
      </c>
      <c r="X290" s="91"/>
      <c r="Y290" s="91"/>
    </row>
    <row r="291" s="61" customFormat="1" ht="21.95" customHeight="1" spans="1:25">
      <c r="A291" s="147"/>
      <c r="B291" s="74" t="s">
        <v>746</v>
      </c>
      <c r="C291" s="147"/>
      <c r="D291" s="147"/>
      <c r="E291" s="147">
        <v>37</v>
      </c>
      <c r="F291" s="147">
        <v>37</v>
      </c>
      <c r="G291" s="147">
        <v>76</v>
      </c>
      <c r="H291" s="147">
        <v>2018</v>
      </c>
      <c r="I291" s="147">
        <v>2020</v>
      </c>
      <c r="J291" s="413">
        <f t="shared" si="71"/>
        <v>68.705496</v>
      </c>
      <c r="K291" s="147">
        <v>19.7856</v>
      </c>
      <c r="L291" s="147">
        <v>22.75344</v>
      </c>
      <c r="M291" s="147">
        <v>26.166456</v>
      </c>
      <c r="N291" s="413">
        <v>68.705496</v>
      </c>
      <c r="O291" s="674"/>
      <c r="P291" s="674"/>
      <c r="Q291" s="674"/>
      <c r="R291" s="674"/>
      <c r="S291" s="71" t="s">
        <v>747</v>
      </c>
      <c r="T291" s="71" t="s">
        <v>748</v>
      </c>
      <c r="U291" s="147"/>
      <c r="V291" s="74" t="s">
        <v>927</v>
      </c>
      <c r="W291" s="91" t="str">
        <f t="shared" si="62"/>
        <v>Y</v>
      </c>
      <c r="X291" s="91"/>
      <c r="Y291" s="91"/>
    </row>
    <row r="292" s="61" customFormat="1" ht="21.95" customHeight="1" spans="1:25">
      <c r="A292" s="147"/>
      <c r="B292" s="74" t="s">
        <v>752</v>
      </c>
      <c r="C292" s="147"/>
      <c r="D292" s="147"/>
      <c r="E292" s="147">
        <v>6</v>
      </c>
      <c r="F292" s="147">
        <v>6</v>
      </c>
      <c r="G292" s="147">
        <v>9</v>
      </c>
      <c r="H292" s="147">
        <v>2018</v>
      </c>
      <c r="I292" s="147">
        <v>2020</v>
      </c>
      <c r="J292" s="413">
        <f t="shared" si="71"/>
        <v>8.113149</v>
      </c>
      <c r="K292" s="147">
        <v>2.3364</v>
      </c>
      <c r="L292" s="147">
        <v>2.68686</v>
      </c>
      <c r="M292" s="147">
        <v>3.089889</v>
      </c>
      <c r="N292" s="413">
        <f t="shared" ref="N292:N298" si="72">K292+L292+M292</f>
        <v>8.113149</v>
      </c>
      <c r="O292" s="674"/>
      <c r="P292" s="674"/>
      <c r="Q292" s="674"/>
      <c r="R292" s="674"/>
      <c r="S292" s="71" t="s">
        <v>753</v>
      </c>
      <c r="T292" s="71" t="s">
        <v>754</v>
      </c>
      <c r="U292" s="147"/>
      <c r="V292" s="74" t="s">
        <v>928</v>
      </c>
      <c r="W292" s="91" t="str">
        <f t="shared" si="62"/>
        <v>Y</v>
      </c>
      <c r="X292" s="91"/>
      <c r="Y292" s="91"/>
    </row>
    <row r="293" s="61" customFormat="1" ht="21.95" customHeight="1" spans="1:25">
      <c r="A293" s="147"/>
      <c r="B293" s="74" t="s">
        <v>764</v>
      </c>
      <c r="C293" s="147"/>
      <c r="D293" s="147"/>
      <c r="E293" s="147">
        <v>9</v>
      </c>
      <c r="F293" s="147">
        <v>9</v>
      </c>
      <c r="G293" s="147">
        <v>12</v>
      </c>
      <c r="H293" s="147">
        <v>2018</v>
      </c>
      <c r="I293" s="147">
        <v>2020</v>
      </c>
      <c r="J293" s="413">
        <f t="shared" si="71"/>
        <v>10.734192</v>
      </c>
      <c r="K293" s="147">
        <v>3.0912</v>
      </c>
      <c r="L293" s="147">
        <v>3.55488</v>
      </c>
      <c r="M293" s="147">
        <v>4.088112</v>
      </c>
      <c r="N293" s="413">
        <f t="shared" si="72"/>
        <v>10.734192</v>
      </c>
      <c r="O293" s="674"/>
      <c r="P293" s="674"/>
      <c r="Q293" s="674"/>
      <c r="R293" s="674"/>
      <c r="S293" s="71" t="s">
        <v>765</v>
      </c>
      <c r="T293" s="71" t="s">
        <v>766</v>
      </c>
      <c r="U293" s="147"/>
      <c r="V293" s="74" t="s">
        <v>929</v>
      </c>
      <c r="W293" s="91" t="str">
        <f t="shared" si="62"/>
        <v>Y</v>
      </c>
      <c r="X293" s="91"/>
      <c r="Y293" s="91"/>
    </row>
    <row r="294" s="61" customFormat="1" ht="21.95" customHeight="1" spans="1:25">
      <c r="A294" s="147"/>
      <c r="B294" s="74" t="s">
        <v>749</v>
      </c>
      <c r="C294" s="147"/>
      <c r="D294" s="147"/>
      <c r="E294" s="147">
        <v>10</v>
      </c>
      <c r="F294" s="147">
        <v>10</v>
      </c>
      <c r="G294" s="147">
        <v>24</v>
      </c>
      <c r="H294" s="147">
        <v>2018</v>
      </c>
      <c r="I294" s="147">
        <v>2020</v>
      </c>
      <c r="J294" s="413">
        <f t="shared" si="71"/>
        <v>22.801824</v>
      </c>
      <c r="K294" s="147">
        <v>6.5664</v>
      </c>
      <c r="L294" s="147">
        <v>7.55136</v>
      </c>
      <c r="M294" s="147">
        <v>8.684064</v>
      </c>
      <c r="N294" s="413">
        <f t="shared" si="72"/>
        <v>22.801824</v>
      </c>
      <c r="O294" s="674"/>
      <c r="P294" s="674"/>
      <c r="Q294" s="674"/>
      <c r="R294" s="674"/>
      <c r="S294" s="71" t="s">
        <v>750</v>
      </c>
      <c r="T294" s="71" t="s">
        <v>751</v>
      </c>
      <c r="U294" s="147"/>
      <c r="V294" s="74" t="s">
        <v>930</v>
      </c>
      <c r="W294" s="91" t="str">
        <f t="shared" si="62"/>
        <v>Y</v>
      </c>
      <c r="X294" s="91"/>
      <c r="Y294" s="91"/>
    </row>
    <row r="295" s="61" customFormat="1" ht="21.95" customHeight="1" spans="1:25">
      <c r="A295" s="147"/>
      <c r="B295" s="74" t="s">
        <v>755</v>
      </c>
      <c r="C295" s="147"/>
      <c r="D295" s="147"/>
      <c r="E295" s="147">
        <v>10</v>
      </c>
      <c r="F295" s="147">
        <v>10</v>
      </c>
      <c r="G295" s="147">
        <v>25</v>
      </c>
      <c r="H295" s="147">
        <v>2018</v>
      </c>
      <c r="I295" s="147">
        <v>2020</v>
      </c>
      <c r="J295" s="413">
        <f t="shared" si="71"/>
        <v>26.022915</v>
      </c>
      <c r="K295" s="147">
        <v>7.494</v>
      </c>
      <c r="L295" s="147">
        <v>8.6181</v>
      </c>
      <c r="M295" s="147">
        <v>9.910815</v>
      </c>
      <c r="N295" s="413">
        <f t="shared" si="72"/>
        <v>26.022915</v>
      </c>
      <c r="O295" s="674"/>
      <c r="P295" s="674"/>
      <c r="Q295" s="674"/>
      <c r="R295" s="674"/>
      <c r="S295" s="71" t="s">
        <v>756</v>
      </c>
      <c r="T295" s="71" t="s">
        <v>931</v>
      </c>
      <c r="U295" s="147"/>
      <c r="V295" s="74" t="s">
        <v>932</v>
      </c>
      <c r="W295" s="91" t="str">
        <f t="shared" si="62"/>
        <v>Y</v>
      </c>
      <c r="X295" s="91"/>
      <c r="Y295" s="91"/>
    </row>
    <row r="296" s="61" customFormat="1" ht="21.95" customHeight="1" spans="1:25">
      <c r="A296" s="147"/>
      <c r="B296" s="74" t="s">
        <v>758</v>
      </c>
      <c r="C296" s="147"/>
      <c r="D296" s="147"/>
      <c r="E296" s="147">
        <v>10</v>
      </c>
      <c r="F296" s="147">
        <v>10</v>
      </c>
      <c r="G296" s="147">
        <v>16</v>
      </c>
      <c r="H296" s="147">
        <v>2018</v>
      </c>
      <c r="I296" s="147">
        <v>2020</v>
      </c>
      <c r="J296" s="413">
        <f t="shared" si="71"/>
        <v>14.826186</v>
      </c>
      <c r="K296" s="147">
        <v>4.2696</v>
      </c>
      <c r="L296" s="147">
        <v>4.91004</v>
      </c>
      <c r="M296" s="147">
        <v>5.646546</v>
      </c>
      <c r="N296" s="413">
        <f t="shared" si="72"/>
        <v>14.826186</v>
      </c>
      <c r="O296" s="674"/>
      <c r="P296" s="674"/>
      <c r="Q296" s="674"/>
      <c r="R296" s="674"/>
      <c r="S296" s="71" t="s">
        <v>759</v>
      </c>
      <c r="T296" s="71" t="s">
        <v>760</v>
      </c>
      <c r="U296" s="147"/>
      <c r="V296" s="74" t="s">
        <v>933</v>
      </c>
      <c r="W296" s="91" t="str">
        <f t="shared" si="62"/>
        <v>Y</v>
      </c>
      <c r="X296" s="91"/>
      <c r="Y296" s="91"/>
    </row>
    <row r="297" s="61" customFormat="1" ht="21.95" customHeight="1" spans="1:25">
      <c r="A297" s="147"/>
      <c r="B297" s="74" t="s">
        <v>767</v>
      </c>
      <c r="C297" s="147"/>
      <c r="D297" s="147"/>
      <c r="E297" s="147">
        <v>3</v>
      </c>
      <c r="F297" s="147">
        <v>3</v>
      </c>
      <c r="G297" s="147">
        <v>8</v>
      </c>
      <c r="H297" s="147">
        <v>2018</v>
      </c>
      <c r="I297" s="147">
        <v>2020</v>
      </c>
      <c r="J297" s="413">
        <f t="shared" si="71"/>
        <v>7.517268</v>
      </c>
      <c r="K297" s="147">
        <v>2.1648</v>
      </c>
      <c r="L297" s="147">
        <v>2.48952</v>
      </c>
      <c r="M297" s="147">
        <v>2.862948</v>
      </c>
      <c r="N297" s="413">
        <f t="shared" si="72"/>
        <v>7.517268</v>
      </c>
      <c r="O297" s="674"/>
      <c r="P297" s="674"/>
      <c r="Q297" s="674"/>
      <c r="R297" s="674"/>
      <c r="S297" s="71" t="s">
        <v>768</v>
      </c>
      <c r="T297" s="71" t="s">
        <v>769</v>
      </c>
      <c r="U297" s="147"/>
      <c r="V297" s="74" t="s">
        <v>934</v>
      </c>
      <c r="W297" s="91" t="str">
        <f t="shared" si="62"/>
        <v>Y</v>
      </c>
      <c r="X297" s="91"/>
      <c r="Y297" s="91"/>
    </row>
    <row r="298" s="61" customFormat="1" ht="21.95" customHeight="1" spans="1:25">
      <c r="A298" s="147"/>
      <c r="B298" s="74" t="s">
        <v>770</v>
      </c>
      <c r="C298" s="147"/>
      <c r="D298" s="147"/>
      <c r="E298" s="147">
        <v>1</v>
      </c>
      <c r="F298" s="147">
        <v>1</v>
      </c>
      <c r="G298" s="147">
        <v>2</v>
      </c>
      <c r="H298" s="147">
        <v>2018</v>
      </c>
      <c r="I298" s="147">
        <v>2020</v>
      </c>
      <c r="J298" s="413">
        <f t="shared" si="71"/>
        <v>1.691802</v>
      </c>
      <c r="K298" s="147">
        <v>0.4872</v>
      </c>
      <c r="L298" s="147">
        <v>0.56028</v>
      </c>
      <c r="M298" s="147">
        <v>0.644322</v>
      </c>
      <c r="N298" s="413">
        <f t="shared" si="72"/>
        <v>1.691802</v>
      </c>
      <c r="O298" s="674"/>
      <c r="P298" s="674"/>
      <c r="Q298" s="674"/>
      <c r="R298" s="674"/>
      <c r="S298" s="71" t="s">
        <v>771</v>
      </c>
      <c r="T298" s="71" t="s">
        <v>772</v>
      </c>
      <c r="U298" s="147"/>
      <c r="V298" s="74" t="s">
        <v>935</v>
      </c>
      <c r="W298" s="91" t="str">
        <f t="shared" si="62"/>
        <v>Y</v>
      </c>
      <c r="X298" s="91"/>
      <c r="Y298" s="91"/>
    </row>
    <row r="299" s="61" customFormat="1" ht="24" spans="1:25">
      <c r="A299" s="147">
        <v>52</v>
      </c>
      <c r="B299" s="74" t="s">
        <v>446</v>
      </c>
      <c r="C299" s="147" t="s">
        <v>320</v>
      </c>
      <c r="D299" s="71" t="s">
        <v>147</v>
      </c>
      <c r="E299" s="147">
        <v>56</v>
      </c>
      <c r="F299" s="147">
        <v>14</v>
      </c>
      <c r="G299" s="147">
        <v>15</v>
      </c>
      <c r="H299" s="147">
        <v>2018</v>
      </c>
      <c r="I299" s="147">
        <v>2020</v>
      </c>
      <c r="J299" s="147">
        <v>91.908</v>
      </c>
      <c r="K299" s="147">
        <v>30.636</v>
      </c>
      <c r="L299" s="147">
        <v>30.636</v>
      </c>
      <c r="M299" s="147">
        <v>30.636</v>
      </c>
      <c r="N299" s="674">
        <v>91.908</v>
      </c>
      <c r="O299" s="674"/>
      <c r="P299" s="674"/>
      <c r="Q299" s="674"/>
      <c r="R299" s="674"/>
      <c r="S299" s="147"/>
      <c r="T299" s="147"/>
      <c r="U299" s="147" t="s">
        <v>320</v>
      </c>
      <c r="V299" s="74" t="s">
        <v>41</v>
      </c>
      <c r="W299" s="91" t="str">
        <f t="shared" si="62"/>
        <v>Y</v>
      </c>
      <c r="X299" s="91"/>
      <c r="Y299" s="91"/>
    </row>
    <row r="300" s="61" customFormat="1" ht="24.75" spans="1:25">
      <c r="A300" s="147">
        <v>53</v>
      </c>
      <c r="B300" s="398" t="s">
        <v>936</v>
      </c>
      <c r="C300" s="147" t="s">
        <v>320</v>
      </c>
      <c r="D300" s="71" t="s">
        <v>147</v>
      </c>
      <c r="E300" s="147">
        <f t="shared" ref="E300:G300" si="73">E301+E302+E303+E304+E305+E306+E307+E308</f>
        <v>56</v>
      </c>
      <c r="F300" s="147">
        <f t="shared" si="73"/>
        <v>14</v>
      </c>
      <c r="G300" s="147">
        <f t="shared" si="73"/>
        <v>15</v>
      </c>
      <c r="H300" s="147">
        <v>2018</v>
      </c>
      <c r="I300" s="147">
        <v>2020</v>
      </c>
      <c r="J300" s="147">
        <f t="shared" ref="J300:M300" si="74">J301+J302+J303+J304+J305+J306+J307+J308</f>
        <v>91.908</v>
      </c>
      <c r="K300" s="147">
        <f t="shared" si="74"/>
        <v>30.636</v>
      </c>
      <c r="L300" s="147">
        <f t="shared" si="74"/>
        <v>30.636</v>
      </c>
      <c r="M300" s="147">
        <f t="shared" si="74"/>
        <v>30.636</v>
      </c>
      <c r="N300" s="674">
        <v>91.908</v>
      </c>
      <c r="O300" s="674"/>
      <c r="P300" s="674"/>
      <c r="Q300" s="674"/>
      <c r="R300" s="674"/>
      <c r="S300" s="71" t="s">
        <v>781</v>
      </c>
      <c r="T300" s="71" t="s">
        <v>925</v>
      </c>
      <c r="U300" s="71" t="s">
        <v>338</v>
      </c>
      <c r="V300" s="74" t="s">
        <v>937</v>
      </c>
      <c r="W300" s="91" t="str">
        <f t="shared" si="62"/>
        <v>Y</v>
      </c>
      <c r="X300" s="91"/>
      <c r="Y300" s="91"/>
    </row>
    <row r="301" s="61" customFormat="1" ht="21.95" customHeight="1" spans="1:25">
      <c r="A301" s="147"/>
      <c r="B301" s="74" t="s">
        <v>746</v>
      </c>
      <c r="C301" s="147"/>
      <c r="D301" s="147"/>
      <c r="E301" s="147">
        <v>3</v>
      </c>
      <c r="F301" s="147">
        <v>0</v>
      </c>
      <c r="G301" s="147">
        <v>0</v>
      </c>
      <c r="H301" s="147">
        <v>2018</v>
      </c>
      <c r="I301" s="147">
        <v>2020</v>
      </c>
      <c r="J301" s="147">
        <f t="shared" ref="J301:J308" si="75">K301+L301+M301</f>
        <v>4.914</v>
      </c>
      <c r="K301" s="147">
        <v>1.638</v>
      </c>
      <c r="L301" s="147">
        <v>1.638</v>
      </c>
      <c r="M301" s="674">
        <v>1.638</v>
      </c>
      <c r="N301" s="147">
        <f t="shared" ref="N301:N308" si="76">K301+L301+M301</f>
        <v>4.914</v>
      </c>
      <c r="O301" s="674"/>
      <c r="P301" s="674"/>
      <c r="Q301" s="674"/>
      <c r="R301" s="674"/>
      <c r="S301" s="71" t="s">
        <v>747</v>
      </c>
      <c r="T301" s="71" t="s">
        <v>748</v>
      </c>
      <c r="U301" s="147"/>
      <c r="V301" s="398"/>
      <c r="W301" s="91" t="str">
        <f t="shared" si="62"/>
        <v>Y</v>
      </c>
      <c r="X301" s="91"/>
      <c r="Y301" s="91"/>
    </row>
    <row r="302" s="61" customFormat="1" ht="21.95" customHeight="1" spans="1:25">
      <c r="A302" s="147"/>
      <c r="B302" s="74" t="s">
        <v>752</v>
      </c>
      <c r="C302" s="147"/>
      <c r="D302" s="147"/>
      <c r="E302" s="147">
        <v>12</v>
      </c>
      <c r="F302" s="147">
        <v>1</v>
      </c>
      <c r="G302" s="147">
        <v>1</v>
      </c>
      <c r="H302" s="147">
        <v>2018</v>
      </c>
      <c r="I302" s="147">
        <v>2020</v>
      </c>
      <c r="J302" s="147">
        <f t="shared" si="75"/>
        <v>19.656</v>
      </c>
      <c r="K302" s="147">
        <v>6.552</v>
      </c>
      <c r="L302" s="147">
        <v>6.552</v>
      </c>
      <c r="M302" s="674">
        <v>6.552</v>
      </c>
      <c r="N302" s="147">
        <f t="shared" si="76"/>
        <v>19.656</v>
      </c>
      <c r="O302" s="674"/>
      <c r="P302" s="674"/>
      <c r="Q302" s="674"/>
      <c r="R302" s="674"/>
      <c r="S302" s="71" t="s">
        <v>753</v>
      </c>
      <c r="T302" s="71" t="s">
        <v>754</v>
      </c>
      <c r="U302" s="147"/>
      <c r="V302" s="398"/>
      <c r="W302" s="91" t="str">
        <f t="shared" si="62"/>
        <v>Y</v>
      </c>
      <c r="X302" s="91"/>
      <c r="Y302" s="91"/>
    </row>
    <row r="303" s="61" customFormat="1" ht="21.95" customHeight="1" spans="1:25">
      <c r="A303" s="147"/>
      <c r="B303" s="74" t="s">
        <v>764</v>
      </c>
      <c r="C303" s="147"/>
      <c r="D303" s="147"/>
      <c r="E303" s="147">
        <v>7</v>
      </c>
      <c r="F303" s="147">
        <v>2</v>
      </c>
      <c r="G303" s="147">
        <v>3</v>
      </c>
      <c r="H303" s="147">
        <v>2018</v>
      </c>
      <c r="I303" s="147">
        <v>2020</v>
      </c>
      <c r="J303" s="147">
        <f t="shared" si="75"/>
        <v>11.646</v>
      </c>
      <c r="K303" s="147">
        <v>3.882</v>
      </c>
      <c r="L303" s="147">
        <v>3.882</v>
      </c>
      <c r="M303" s="674">
        <v>3.882</v>
      </c>
      <c r="N303" s="147">
        <f t="shared" si="76"/>
        <v>11.646</v>
      </c>
      <c r="O303" s="674"/>
      <c r="P303" s="674"/>
      <c r="Q303" s="674"/>
      <c r="R303" s="674"/>
      <c r="S303" s="71" t="s">
        <v>765</v>
      </c>
      <c r="T303" s="71" t="s">
        <v>766</v>
      </c>
      <c r="U303" s="147"/>
      <c r="V303" s="398"/>
      <c r="W303" s="91" t="str">
        <f t="shared" si="62"/>
        <v>Y</v>
      </c>
      <c r="X303" s="91"/>
      <c r="Y303" s="91"/>
    </row>
    <row r="304" s="61" customFormat="1" ht="21.95" customHeight="1" spans="1:25">
      <c r="A304" s="147"/>
      <c r="B304" s="74" t="s">
        <v>749</v>
      </c>
      <c r="C304" s="147"/>
      <c r="D304" s="147"/>
      <c r="E304" s="147">
        <v>2</v>
      </c>
      <c r="F304" s="147">
        <v>0</v>
      </c>
      <c r="G304" s="147">
        <v>0</v>
      </c>
      <c r="H304" s="147">
        <v>2018</v>
      </c>
      <c r="I304" s="147">
        <v>2020</v>
      </c>
      <c r="J304" s="147">
        <f t="shared" si="75"/>
        <v>3.276</v>
      </c>
      <c r="K304" s="147">
        <v>1.092</v>
      </c>
      <c r="L304" s="147">
        <v>1.092</v>
      </c>
      <c r="M304" s="674">
        <v>1.092</v>
      </c>
      <c r="N304" s="147">
        <f t="shared" si="76"/>
        <v>3.276</v>
      </c>
      <c r="O304" s="674"/>
      <c r="P304" s="674"/>
      <c r="Q304" s="674"/>
      <c r="R304" s="674"/>
      <c r="S304" s="71" t="s">
        <v>750</v>
      </c>
      <c r="T304" s="71" t="s">
        <v>751</v>
      </c>
      <c r="U304" s="147"/>
      <c r="V304" s="398"/>
      <c r="W304" s="91" t="str">
        <f t="shared" si="62"/>
        <v>Y</v>
      </c>
      <c r="X304" s="91"/>
      <c r="Y304" s="91"/>
    </row>
    <row r="305" s="61" customFormat="1" ht="21.95" customHeight="1" spans="1:25">
      <c r="A305" s="147"/>
      <c r="B305" s="74" t="s">
        <v>755</v>
      </c>
      <c r="C305" s="147"/>
      <c r="D305" s="147"/>
      <c r="E305" s="147">
        <v>12</v>
      </c>
      <c r="F305" s="147">
        <v>4</v>
      </c>
      <c r="G305" s="147">
        <v>4</v>
      </c>
      <c r="H305" s="147">
        <v>2018</v>
      </c>
      <c r="I305" s="147">
        <v>2020</v>
      </c>
      <c r="J305" s="147">
        <f t="shared" si="75"/>
        <v>19.656</v>
      </c>
      <c r="K305" s="147">
        <v>6.552</v>
      </c>
      <c r="L305" s="147">
        <v>6.552</v>
      </c>
      <c r="M305" s="674">
        <v>6.552</v>
      </c>
      <c r="N305" s="147">
        <f t="shared" si="76"/>
        <v>19.656</v>
      </c>
      <c r="O305" s="674"/>
      <c r="P305" s="674"/>
      <c r="Q305" s="674"/>
      <c r="R305" s="674"/>
      <c r="S305" s="71" t="s">
        <v>756</v>
      </c>
      <c r="T305" s="71" t="s">
        <v>757</v>
      </c>
      <c r="U305" s="147"/>
      <c r="V305" s="398"/>
      <c r="W305" s="91" t="str">
        <f t="shared" si="62"/>
        <v>Y</v>
      </c>
      <c r="X305" s="91"/>
      <c r="Y305" s="91"/>
    </row>
    <row r="306" s="61" customFormat="1" ht="21.95" customHeight="1" spans="1:25">
      <c r="A306" s="147"/>
      <c r="B306" s="74" t="s">
        <v>758</v>
      </c>
      <c r="C306" s="147"/>
      <c r="D306" s="147"/>
      <c r="E306" s="147">
        <v>6</v>
      </c>
      <c r="F306" s="147">
        <v>4</v>
      </c>
      <c r="G306" s="147">
        <v>4</v>
      </c>
      <c r="H306" s="147">
        <v>2018</v>
      </c>
      <c r="I306" s="147">
        <v>2020</v>
      </c>
      <c r="J306" s="147">
        <f t="shared" si="75"/>
        <v>9.828</v>
      </c>
      <c r="K306" s="147">
        <v>3.276</v>
      </c>
      <c r="L306" s="147">
        <v>3.276</v>
      </c>
      <c r="M306" s="674">
        <v>3.276</v>
      </c>
      <c r="N306" s="147">
        <f t="shared" si="76"/>
        <v>9.828</v>
      </c>
      <c r="O306" s="674"/>
      <c r="P306" s="674"/>
      <c r="Q306" s="674"/>
      <c r="R306" s="674"/>
      <c r="S306" s="71" t="s">
        <v>759</v>
      </c>
      <c r="T306" s="71" t="s">
        <v>760</v>
      </c>
      <c r="U306" s="147"/>
      <c r="V306" s="398"/>
      <c r="W306" s="91" t="str">
        <f t="shared" si="62"/>
        <v>Y</v>
      </c>
      <c r="X306" s="91"/>
      <c r="Y306" s="91"/>
    </row>
    <row r="307" s="61" customFormat="1" ht="21.95" customHeight="1" spans="1:25">
      <c r="A307" s="147"/>
      <c r="B307" s="74" t="s">
        <v>767</v>
      </c>
      <c r="C307" s="147"/>
      <c r="D307" s="147"/>
      <c r="E307" s="147">
        <v>7</v>
      </c>
      <c r="F307" s="147">
        <v>2</v>
      </c>
      <c r="G307" s="147">
        <v>2</v>
      </c>
      <c r="H307" s="147">
        <v>2018</v>
      </c>
      <c r="I307" s="147">
        <v>2020</v>
      </c>
      <c r="J307" s="147">
        <f t="shared" si="75"/>
        <v>11.466</v>
      </c>
      <c r="K307" s="147">
        <v>3.822</v>
      </c>
      <c r="L307" s="147">
        <v>3.822</v>
      </c>
      <c r="M307" s="674">
        <v>3.822</v>
      </c>
      <c r="N307" s="147">
        <f t="shared" si="76"/>
        <v>11.466</v>
      </c>
      <c r="O307" s="674"/>
      <c r="P307" s="674"/>
      <c r="Q307" s="674"/>
      <c r="R307" s="674"/>
      <c r="S307" s="71" t="s">
        <v>768</v>
      </c>
      <c r="T307" s="71" t="s">
        <v>769</v>
      </c>
      <c r="U307" s="147"/>
      <c r="V307" s="398"/>
      <c r="W307" s="91" t="str">
        <f t="shared" si="62"/>
        <v>Y</v>
      </c>
      <c r="X307" s="91"/>
      <c r="Y307" s="91"/>
    </row>
    <row r="308" s="61" customFormat="1" ht="21.95" customHeight="1" spans="1:25">
      <c r="A308" s="147"/>
      <c r="B308" s="74" t="s">
        <v>770</v>
      </c>
      <c r="C308" s="147"/>
      <c r="D308" s="147"/>
      <c r="E308" s="147">
        <v>7</v>
      </c>
      <c r="F308" s="147">
        <v>1</v>
      </c>
      <c r="G308" s="147">
        <v>1</v>
      </c>
      <c r="H308" s="147">
        <v>2018</v>
      </c>
      <c r="I308" s="147">
        <v>2020</v>
      </c>
      <c r="J308" s="147">
        <f t="shared" si="75"/>
        <v>11.466</v>
      </c>
      <c r="K308" s="147">
        <v>3.822</v>
      </c>
      <c r="L308" s="147">
        <v>3.822</v>
      </c>
      <c r="M308" s="674">
        <v>3.822</v>
      </c>
      <c r="N308" s="147">
        <f t="shared" si="76"/>
        <v>11.466</v>
      </c>
      <c r="O308" s="674"/>
      <c r="P308" s="674"/>
      <c r="Q308" s="674"/>
      <c r="R308" s="674"/>
      <c r="S308" s="71" t="s">
        <v>771</v>
      </c>
      <c r="T308" s="71" t="s">
        <v>772</v>
      </c>
      <c r="U308" s="147"/>
      <c r="V308" s="398"/>
      <c r="W308" s="91" t="str">
        <f t="shared" si="62"/>
        <v>Y</v>
      </c>
      <c r="X308" s="91"/>
      <c r="Y308" s="91"/>
    </row>
    <row r="309" s="61" customFormat="1" ht="15.95" customHeight="1" spans="1:25">
      <c r="A309" s="147">
        <v>54</v>
      </c>
      <c r="B309" s="398" t="s">
        <v>938</v>
      </c>
      <c r="C309" s="147" t="s">
        <v>320</v>
      </c>
      <c r="D309" s="71" t="s">
        <v>147</v>
      </c>
      <c r="E309" s="147"/>
      <c r="F309" s="147"/>
      <c r="G309" s="147"/>
      <c r="H309" s="147"/>
      <c r="I309" s="147"/>
      <c r="J309" s="147" t="s">
        <v>320</v>
      </c>
      <c r="K309" s="147" t="s">
        <v>320</v>
      </c>
      <c r="L309" s="147" t="s">
        <v>320</v>
      </c>
      <c r="M309" s="147" t="s">
        <v>320</v>
      </c>
      <c r="N309" s="674"/>
      <c r="O309" s="674"/>
      <c r="P309" s="674"/>
      <c r="Q309" s="674"/>
      <c r="R309" s="674"/>
      <c r="S309" s="147"/>
      <c r="T309" s="147"/>
      <c r="U309" s="71" t="s">
        <v>338</v>
      </c>
      <c r="V309" s="74" t="s">
        <v>41</v>
      </c>
      <c r="W309" s="91" t="str">
        <f t="shared" si="62"/>
        <v>N</v>
      </c>
      <c r="X309" s="91"/>
      <c r="Y309" s="91"/>
    </row>
    <row r="310" s="61" customFormat="1" ht="48" spans="1:25">
      <c r="A310" s="147">
        <v>55</v>
      </c>
      <c r="B310" s="74" t="s">
        <v>449</v>
      </c>
      <c r="C310" s="147" t="s">
        <v>320</v>
      </c>
      <c r="D310" s="71" t="s">
        <v>147</v>
      </c>
      <c r="E310" s="147">
        <f t="shared" ref="E310:G310" si="77">E311+E312+E313+E314+E315+E316+E317+E318</f>
        <v>147</v>
      </c>
      <c r="F310" s="147">
        <f t="shared" si="77"/>
        <v>83</v>
      </c>
      <c r="G310" s="147">
        <f t="shared" si="77"/>
        <v>85</v>
      </c>
      <c r="H310" s="147">
        <v>2018</v>
      </c>
      <c r="I310" s="147">
        <v>2020</v>
      </c>
      <c r="J310" s="147">
        <f t="shared" ref="J310:M310" si="78">J311+J312+J313+J314+J315+J316+J317+J318</f>
        <v>55.188</v>
      </c>
      <c r="K310" s="147">
        <f t="shared" si="78"/>
        <v>18.396</v>
      </c>
      <c r="L310" s="147">
        <f t="shared" si="78"/>
        <v>18.396</v>
      </c>
      <c r="M310" s="147">
        <f t="shared" si="78"/>
        <v>18.396</v>
      </c>
      <c r="N310" s="674">
        <f t="shared" ref="N310:N318" si="79">K310+L310+M310</f>
        <v>55.188</v>
      </c>
      <c r="O310" s="147"/>
      <c r="P310" s="674"/>
      <c r="Q310" s="674"/>
      <c r="R310" s="674"/>
      <c r="S310" s="71" t="s">
        <v>781</v>
      </c>
      <c r="T310" s="71" t="s">
        <v>925</v>
      </c>
      <c r="U310" s="71" t="s">
        <v>452</v>
      </c>
      <c r="V310" s="74" t="s">
        <v>939</v>
      </c>
      <c r="W310" s="91" t="str">
        <f t="shared" si="62"/>
        <v>Y</v>
      </c>
      <c r="X310" s="91"/>
      <c r="Y310" s="91"/>
    </row>
    <row r="311" s="61" customFormat="1" ht="21.95" customHeight="1" spans="1:25">
      <c r="A311" s="147"/>
      <c r="B311" s="74" t="s">
        <v>746</v>
      </c>
      <c r="C311" s="147"/>
      <c r="D311" s="147"/>
      <c r="E311" s="147">
        <v>23</v>
      </c>
      <c r="F311" s="147">
        <v>19</v>
      </c>
      <c r="G311" s="147">
        <v>19</v>
      </c>
      <c r="H311" s="147">
        <v>2018</v>
      </c>
      <c r="I311" s="147">
        <v>2020</v>
      </c>
      <c r="J311" s="147">
        <v>8.532</v>
      </c>
      <c r="K311" s="147">
        <v>2.844</v>
      </c>
      <c r="L311" s="147">
        <v>2.844</v>
      </c>
      <c r="M311" s="147">
        <v>2.844</v>
      </c>
      <c r="N311" s="674">
        <f t="shared" si="79"/>
        <v>8.532</v>
      </c>
      <c r="O311" s="674"/>
      <c r="P311" s="674"/>
      <c r="Q311" s="674"/>
      <c r="R311" s="674"/>
      <c r="S311" s="71" t="s">
        <v>747</v>
      </c>
      <c r="T311" s="71" t="s">
        <v>940</v>
      </c>
      <c r="U311" s="147"/>
      <c r="V311" s="74" t="s">
        <v>941</v>
      </c>
      <c r="W311" s="91" t="str">
        <f t="shared" si="62"/>
        <v>Y</v>
      </c>
      <c r="X311" s="91"/>
      <c r="Y311" s="91"/>
    </row>
    <row r="312" s="61" customFormat="1" ht="21.95" customHeight="1" spans="1:25">
      <c r="A312" s="147"/>
      <c r="B312" s="74" t="s">
        <v>752</v>
      </c>
      <c r="C312" s="147"/>
      <c r="D312" s="147"/>
      <c r="E312" s="147">
        <v>21</v>
      </c>
      <c r="F312" s="147">
        <v>10</v>
      </c>
      <c r="G312" s="147">
        <v>10</v>
      </c>
      <c r="H312" s="147">
        <v>2018</v>
      </c>
      <c r="I312" s="147">
        <v>2020</v>
      </c>
      <c r="J312" s="147">
        <v>8.316</v>
      </c>
      <c r="K312" s="147">
        <v>2.772</v>
      </c>
      <c r="L312" s="147">
        <v>2.772</v>
      </c>
      <c r="M312" s="147">
        <v>2.772</v>
      </c>
      <c r="N312" s="674">
        <f t="shared" si="79"/>
        <v>8.316</v>
      </c>
      <c r="O312" s="674"/>
      <c r="P312" s="674"/>
      <c r="Q312" s="674"/>
      <c r="R312" s="674"/>
      <c r="S312" s="71" t="s">
        <v>753</v>
      </c>
      <c r="T312" s="71" t="s">
        <v>754</v>
      </c>
      <c r="U312" s="147"/>
      <c r="V312" s="74" t="s">
        <v>942</v>
      </c>
      <c r="W312" s="91" t="str">
        <f t="shared" si="62"/>
        <v>Y</v>
      </c>
      <c r="X312" s="91"/>
      <c r="Y312" s="91"/>
    </row>
    <row r="313" s="61" customFormat="1" ht="21.95" customHeight="1" spans="1:25">
      <c r="A313" s="147"/>
      <c r="B313" s="74" t="s">
        <v>764</v>
      </c>
      <c r="C313" s="147"/>
      <c r="D313" s="147"/>
      <c r="E313" s="147">
        <v>6</v>
      </c>
      <c r="F313" s="147">
        <v>4</v>
      </c>
      <c r="G313" s="147">
        <v>4</v>
      </c>
      <c r="H313" s="147">
        <v>2018</v>
      </c>
      <c r="I313" s="147">
        <v>2020</v>
      </c>
      <c r="J313" s="147">
        <f t="shared" ref="J313:J316" si="80">K313+L313+M313</f>
        <v>2.16</v>
      </c>
      <c r="K313" s="147">
        <v>0.72</v>
      </c>
      <c r="L313" s="147">
        <v>0.72</v>
      </c>
      <c r="M313" s="147">
        <v>0.72</v>
      </c>
      <c r="N313" s="674">
        <f t="shared" si="79"/>
        <v>2.16</v>
      </c>
      <c r="O313" s="674"/>
      <c r="P313" s="674"/>
      <c r="Q313" s="674"/>
      <c r="R313" s="674"/>
      <c r="S313" s="71" t="s">
        <v>765</v>
      </c>
      <c r="T313" s="71" t="s">
        <v>766</v>
      </c>
      <c r="U313" s="147"/>
      <c r="V313" s="74" t="s">
        <v>943</v>
      </c>
      <c r="W313" s="91" t="str">
        <f t="shared" si="62"/>
        <v>Y</v>
      </c>
      <c r="X313" s="91"/>
      <c r="Y313" s="91"/>
    </row>
    <row r="314" s="61" customFormat="1" ht="21.95" customHeight="1" spans="1:25">
      <c r="A314" s="147"/>
      <c r="B314" s="74" t="s">
        <v>749</v>
      </c>
      <c r="C314" s="147"/>
      <c r="D314" s="147"/>
      <c r="E314" s="147">
        <v>15</v>
      </c>
      <c r="F314" s="147">
        <v>9</v>
      </c>
      <c r="G314" s="147">
        <v>10</v>
      </c>
      <c r="H314" s="147">
        <v>2018</v>
      </c>
      <c r="I314" s="147">
        <v>2020</v>
      </c>
      <c r="J314" s="147">
        <f t="shared" si="80"/>
        <v>5.832</v>
      </c>
      <c r="K314" s="147">
        <v>1.944</v>
      </c>
      <c r="L314" s="147">
        <v>1.944</v>
      </c>
      <c r="M314" s="147">
        <v>1.944</v>
      </c>
      <c r="N314" s="674">
        <f t="shared" si="79"/>
        <v>5.832</v>
      </c>
      <c r="O314" s="674"/>
      <c r="P314" s="674"/>
      <c r="Q314" s="674"/>
      <c r="R314" s="674"/>
      <c r="S314" s="71" t="s">
        <v>750</v>
      </c>
      <c r="T314" s="71" t="s">
        <v>751</v>
      </c>
      <c r="U314" s="147"/>
      <c r="V314" s="74" t="s">
        <v>944</v>
      </c>
      <c r="W314" s="91" t="str">
        <f t="shared" si="62"/>
        <v>Y</v>
      </c>
      <c r="X314" s="91"/>
      <c r="Y314" s="91"/>
    </row>
    <row r="315" s="61" customFormat="1" ht="21.95" customHeight="1" spans="1:25">
      <c r="A315" s="147"/>
      <c r="B315" s="74" t="s">
        <v>755</v>
      </c>
      <c r="C315" s="147"/>
      <c r="D315" s="147"/>
      <c r="E315" s="147">
        <v>19</v>
      </c>
      <c r="F315" s="147">
        <v>11</v>
      </c>
      <c r="G315" s="147">
        <v>11</v>
      </c>
      <c r="H315" s="147">
        <v>2018</v>
      </c>
      <c r="I315" s="147">
        <v>2020</v>
      </c>
      <c r="J315" s="147">
        <f t="shared" si="80"/>
        <v>7.236</v>
      </c>
      <c r="K315" s="147">
        <v>2.412</v>
      </c>
      <c r="L315" s="147">
        <v>2.412</v>
      </c>
      <c r="M315" s="147">
        <v>2.412</v>
      </c>
      <c r="N315" s="674">
        <f t="shared" si="79"/>
        <v>7.236</v>
      </c>
      <c r="O315" s="674"/>
      <c r="P315" s="674"/>
      <c r="Q315" s="674"/>
      <c r="R315" s="674"/>
      <c r="S315" s="71" t="s">
        <v>756</v>
      </c>
      <c r="T315" s="71" t="s">
        <v>757</v>
      </c>
      <c r="U315" s="147"/>
      <c r="V315" s="74" t="s">
        <v>945</v>
      </c>
      <c r="W315" s="91" t="str">
        <f t="shared" si="62"/>
        <v>Y</v>
      </c>
      <c r="X315" s="91"/>
      <c r="Y315" s="91"/>
    </row>
    <row r="316" s="61" customFormat="1" ht="21.95" customHeight="1" spans="1:25">
      <c r="A316" s="147"/>
      <c r="B316" s="74" t="s">
        <v>767</v>
      </c>
      <c r="C316" s="147"/>
      <c r="D316" s="147"/>
      <c r="E316" s="147">
        <v>21</v>
      </c>
      <c r="F316" s="147">
        <v>9</v>
      </c>
      <c r="G316" s="147">
        <v>9</v>
      </c>
      <c r="H316" s="147">
        <v>2018</v>
      </c>
      <c r="I316" s="147">
        <v>2020</v>
      </c>
      <c r="J316" s="147">
        <f t="shared" si="80"/>
        <v>7.776</v>
      </c>
      <c r="K316" s="147">
        <v>2.592</v>
      </c>
      <c r="L316" s="147">
        <v>2.592</v>
      </c>
      <c r="M316" s="147">
        <v>2.592</v>
      </c>
      <c r="N316" s="674">
        <f t="shared" si="79"/>
        <v>7.776</v>
      </c>
      <c r="O316" s="674"/>
      <c r="P316" s="674"/>
      <c r="Q316" s="674"/>
      <c r="R316" s="674"/>
      <c r="S316" s="71" t="s">
        <v>768</v>
      </c>
      <c r="T316" s="71" t="s">
        <v>769</v>
      </c>
      <c r="U316" s="147"/>
      <c r="V316" s="74" t="s">
        <v>946</v>
      </c>
      <c r="W316" s="91" t="str">
        <f t="shared" si="62"/>
        <v>Y</v>
      </c>
      <c r="X316" s="91"/>
      <c r="Y316" s="91"/>
    </row>
    <row r="317" s="61" customFormat="1" ht="21.95" customHeight="1" spans="1:25">
      <c r="A317" s="147"/>
      <c r="B317" s="74" t="s">
        <v>770</v>
      </c>
      <c r="C317" s="147"/>
      <c r="D317" s="147"/>
      <c r="E317" s="147">
        <v>12</v>
      </c>
      <c r="F317" s="147">
        <v>6</v>
      </c>
      <c r="G317" s="147">
        <v>7</v>
      </c>
      <c r="H317" s="147">
        <v>2018</v>
      </c>
      <c r="I317" s="147">
        <v>2020</v>
      </c>
      <c r="J317" s="147">
        <v>4.212</v>
      </c>
      <c r="K317" s="147">
        <v>1.404</v>
      </c>
      <c r="L317" s="147">
        <v>1.404</v>
      </c>
      <c r="M317" s="147">
        <v>1.404</v>
      </c>
      <c r="N317" s="674">
        <f t="shared" si="79"/>
        <v>4.212</v>
      </c>
      <c r="O317" s="674"/>
      <c r="P317" s="674"/>
      <c r="Q317" s="674"/>
      <c r="R317" s="674"/>
      <c r="S317" s="71" t="s">
        <v>771</v>
      </c>
      <c r="T317" s="71" t="s">
        <v>772</v>
      </c>
      <c r="U317" s="147"/>
      <c r="V317" s="74" t="s">
        <v>947</v>
      </c>
      <c r="W317" s="91" t="str">
        <f t="shared" si="62"/>
        <v>Y</v>
      </c>
      <c r="X317" s="91"/>
      <c r="Y317" s="91"/>
    </row>
    <row r="318" s="61" customFormat="1" ht="21.95" customHeight="1" spans="1:25">
      <c r="A318" s="147"/>
      <c r="B318" s="74" t="s">
        <v>758</v>
      </c>
      <c r="C318" s="147"/>
      <c r="D318" s="147"/>
      <c r="E318" s="147">
        <v>30</v>
      </c>
      <c r="F318" s="147">
        <v>15</v>
      </c>
      <c r="G318" s="147">
        <v>15</v>
      </c>
      <c r="H318" s="147">
        <v>2018</v>
      </c>
      <c r="I318" s="147">
        <v>2020</v>
      </c>
      <c r="J318" s="147">
        <f>K318+L318+M318</f>
        <v>11.124</v>
      </c>
      <c r="K318" s="147">
        <v>3.708</v>
      </c>
      <c r="L318" s="147">
        <v>3.708</v>
      </c>
      <c r="M318" s="147">
        <v>3.708</v>
      </c>
      <c r="N318" s="674">
        <f t="shared" si="79"/>
        <v>11.124</v>
      </c>
      <c r="O318" s="674"/>
      <c r="P318" s="674"/>
      <c r="Q318" s="674"/>
      <c r="R318" s="674"/>
      <c r="S318" s="71" t="s">
        <v>759</v>
      </c>
      <c r="T318" s="71" t="s">
        <v>760</v>
      </c>
      <c r="U318" s="147"/>
      <c r="V318" s="74" t="s">
        <v>948</v>
      </c>
      <c r="W318" s="91" t="str">
        <f t="shared" si="62"/>
        <v>Y</v>
      </c>
      <c r="X318" s="91"/>
      <c r="Y318" s="91"/>
    </row>
    <row r="319" s="61" customFormat="1" ht="12.75" spans="1:25">
      <c r="A319" s="147">
        <v>56</v>
      </c>
      <c r="B319" s="74" t="s">
        <v>457</v>
      </c>
      <c r="C319" s="147" t="s">
        <v>320</v>
      </c>
      <c r="D319" s="147"/>
      <c r="E319" s="147" t="s">
        <v>320</v>
      </c>
      <c r="F319" s="147" t="s">
        <v>320</v>
      </c>
      <c r="G319" s="147" t="s">
        <v>320</v>
      </c>
      <c r="H319" s="147" t="s">
        <v>320</v>
      </c>
      <c r="I319" s="147"/>
      <c r="J319" s="147" t="s">
        <v>320</v>
      </c>
      <c r="K319" s="147" t="s">
        <v>320</v>
      </c>
      <c r="L319" s="147" t="s">
        <v>320</v>
      </c>
      <c r="M319" s="147" t="s">
        <v>320</v>
      </c>
      <c r="N319" s="147"/>
      <c r="O319" s="147"/>
      <c r="P319" s="147"/>
      <c r="Q319" s="398"/>
      <c r="R319" s="674"/>
      <c r="S319" s="147"/>
      <c r="T319" s="147"/>
      <c r="U319" s="147"/>
      <c r="V319" s="74" t="s">
        <v>41</v>
      </c>
      <c r="W319" s="91" t="str">
        <f t="shared" si="62"/>
        <v>N</v>
      </c>
      <c r="X319" s="91"/>
      <c r="Y319" s="91"/>
    </row>
    <row r="320" s="61" customFormat="1" ht="21.95" customHeight="1" spans="1:25">
      <c r="A320" s="147">
        <v>57</v>
      </c>
      <c r="B320" s="398" t="s">
        <v>949</v>
      </c>
      <c r="C320" s="147" t="s">
        <v>320</v>
      </c>
      <c r="D320" s="71" t="s">
        <v>147</v>
      </c>
      <c r="E320" s="147" t="s">
        <v>320</v>
      </c>
      <c r="F320" s="147" t="s">
        <v>320</v>
      </c>
      <c r="G320" s="147" t="s">
        <v>320</v>
      </c>
      <c r="H320" s="147" t="s">
        <v>320</v>
      </c>
      <c r="I320" s="147"/>
      <c r="J320" s="147" t="s">
        <v>320</v>
      </c>
      <c r="K320" s="147" t="s">
        <v>320</v>
      </c>
      <c r="L320" s="147" t="s">
        <v>320</v>
      </c>
      <c r="M320" s="147" t="s">
        <v>320</v>
      </c>
      <c r="N320" s="674"/>
      <c r="O320" s="674"/>
      <c r="P320" s="674"/>
      <c r="Q320" s="674"/>
      <c r="R320" s="674"/>
      <c r="S320" s="147" t="s">
        <v>320</v>
      </c>
      <c r="T320" s="147" t="s">
        <v>320</v>
      </c>
      <c r="U320" s="71" t="s">
        <v>338</v>
      </c>
      <c r="V320" s="74" t="s">
        <v>41</v>
      </c>
      <c r="W320" s="91" t="str">
        <f t="shared" si="62"/>
        <v>N</v>
      </c>
      <c r="X320" s="91"/>
      <c r="Y320" s="91"/>
    </row>
    <row r="321" s="61" customFormat="1" ht="21.95" customHeight="1" spans="1:25">
      <c r="A321" s="147">
        <v>58</v>
      </c>
      <c r="B321" s="398" t="s">
        <v>950</v>
      </c>
      <c r="C321" s="147" t="s">
        <v>320</v>
      </c>
      <c r="D321" s="71" t="s">
        <v>147</v>
      </c>
      <c r="E321" s="147" t="s">
        <v>320</v>
      </c>
      <c r="F321" s="147" t="s">
        <v>320</v>
      </c>
      <c r="G321" s="147" t="s">
        <v>320</v>
      </c>
      <c r="H321" s="147" t="s">
        <v>320</v>
      </c>
      <c r="I321" s="147"/>
      <c r="J321" s="147" t="s">
        <v>320</v>
      </c>
      <c r="K321" s="147" t="s">
        <v>320</v>
      </c>
      <c r="L321" s="147" t="s">
        <v>320</v>
      </c>
      <c r="M321" s="147" t="s">
        <v>320</v>
      </c>
      <c r="N321" s="674"/>
      <c r="O321" s="674"/>
      <c r="P321" s="674"/>
      <c r="Q321" s="674"/>
      <c r="R321" s="674"/>
      <c r="S321" s="147" t="s">
        <v>320</v>
      </c>
      <c r="T321" s="147" t="s">
        <v>320</v>
      </c>
      <c r="U321" s="71" t="s">
        <v>338</v>
      </c>
      <c r="V321" s="74" t="s">
        <v>41</v>
      </c>
      <c r="W321" s="91" t="str">
        <f t="shared" si="62"/>
        <v>N</v>
      </c>
      <c r="X321" s="91"/>
      <c r="Y321" s="91"/>
    </row>
    <row r="322" s="61" customFormat="1" ht="24" spans="1:25">
      <c r="A322" s="147">
        <v>59</v>
      </c>
      <c r="B322" s="74" t="s">
        <v>951</v>
      </c>
      <c r="C322" s="147" t="s">
        <v>320</v>
      </c>
      <c r="D322" s="147" t="s">
        <v>320</v>
      </c>
      <c r="E322" s="147"/>
      <c r="F322" s="147"/>
      <c r="G322" s="147"/>
      <c r="H322" s="147">
        <v>2018</v>
      </c>
      <c r="I322" s="147">
        <v>2020</v>
      </c>
      <c r="J322" s="147">
        <f t="shared" ref="J322:L322" si="81">J324+J342+J354+J366+J384+J387+J403</f>
        <v>6318.32</v>
      </c>
      <c r="K322" s="147">
        <f t="shared" si="81"/>
        <v>4265.96</v>
      </c>
      <c r="L322" s="147">
        <f t="shared" si="81"/>
        <v>2052.36</v>
      </c>
      <c r="M322" s="147"/>
      <c r="N322" s="147">
        <f t="shared" ref="N322:R322" si="82">N324+N342+N354+N366+N384+N387+N403</f>
        <v>284.45</v>
      </c>
      <c r="O322" s="147">
        <f t="shared" si="82"/>
        <v>4168.5</v>
      </c>
      <c r="P322" s="147">
        <f t="shared" si="82"/>
        <v>1865.37</v>
      </c>
      <c r="Q322" s="147">
        <f t="shared" si="82"/>
        <v>0</v>
      </c>
      <c r="R322" s="147">
        <f t="shared" si="82"/>
        <v>0</v>
      </c>
      <c r="S322" s="147"/>
      <c r="T322" s="147"/>
      <c r="U322" s="147"/>
      <c r="V322" s="398"/>
      <c r="W322" s="91" t="str">
        <f t="shared" si="62"/>
        <v>Y</v>
      </c>
      <c r="X322" s="91"/>
      <c r="Y322" s="91"/>
    </row>
    <row r="323" s="61" customFormat="1" ht="24.75" spans="1:25">
      <c r="A323" s="147">
        <v>60</v>
      </c>
      <c r="B323" s="74" t="s">
        <v>952</v>
      </c>
      <c r="C323" s="147" t="s">
        <v>320</v>
      </c>
      <c r="D323" s="147" t="s">
        <v>320</v>
      </c>
      <c r="E323" s="147" t="s">
        <v>320</v>
      </c>
      <c r="F323" s="147"/>
      <c r="G323" s="147"/>
      <c r="H323" s="147" t="s">
        <v>320</v>
      </c>
      <c r="I323" s="147" t="s">
        <v>320</v>
      </c>
      <c r="J323" s="147" t="s">
        <v>320</v>
      </c>
      <c r="K323" s="147" t="s">
        <v>320</v>
      </c>
      <c r="L323" s="147" t="s">
        <v>320</v>
      </c>
      <c r="M323" s="147" t="s">
        <v>320</v>
      </c>
      <c r="N323" s="674"/>
      <c r="O323" s="674"/>
      <c r="P323" s="674"/>
      <c r="Q323" s="674"/>
      <c r="R323" s="674"/>
      <c r="S323" s="147" t="s">
        <v>320</v>
      </c>
      <c r="T323" s="147" t="s">
        <v>320</v>
      </c>
      <c r="U323" s="147" t="s">
        <v>320</v>
      </c>
      <c r="V323" s="398"/>
      <c r="W323" s="91" t="str">
        <f t="shared" si="62"/>
        <v>N</v>
      </c>
      <c r="X323" s="91"/>
      <c r="Y323" s="91"/>
    </row>
    <row r="324" s="61" customFormat="1" ht="12.75" spans="1:25">
      <c r="A324" s="147">
        <v>61</v>
      </c>
      <c r="B324" s="74" t="s">
        <v>462</v>
      </c>
      <c r="C324" s="147" t="s">
        <v>320</v>
      </c>
      <c r="D324" s="71" t="s">
        <v>192</v>
      </c>
      <c r="E324" s="147"/>
      <c r="F324" s="147"/>
      <c r="G324" s="147"/>
      <c r="H324" s="147">
        <v>2018</v>
      </c>
      <c r="I324" s="147">
        <v>2020</v>
      </c>
      <c r="J324" s="147">
        <f t="shared" ref="J324:P324" si="83">J325+J334</f>
        <v>4764</v>
      </c>
      <c r="K324" s="147">
        <f t="shared" si="83"/>
        <v>3143</v>
      </c>
      <c r="L324" s="147">
        <f t="shared" si="83"/>
        <v>1621</v>
      </c>
      <c r="M324" s="147">
        <f t="shared" si="83"/>
        <v>0</v>
      </c>
      <c r="N324" s="147">
        <f t="shared" si="83"/>
        <v>265</v>
      </c>
      <c r="O324" s="147">
        <f t="shared" si="83"/>
        <v>3008</v>
      </c>
      <c r="P324" s="147">
        <f t="shared" si="83"/>
        <v>1491</v>
      </c>
      <c r="Q324" s="147">
        <f>Q325+Q262+Q334</f>
        <v>0</v>
      </c>
      <c r="R324" s="147">
        <f>R325+R262+R334</f>
        <v>0</v>
      </c>
      <c r="S324" s="71" t="s">
        <v>743</v>
      </c>
      <c r="T324" s="71" t="s">
        <v>744</v>
      </c>
      <c r="U324" s="147" t="s">
        <v>320</v>
      </c>
      <c r="V324" s="398"/>
      <c r="W324" s="91" t="str">
        <f t="shared" si="62"/>
        <v>Y</v>
      </c>
      <c r="X324" s="91"/>
      <c r="Y324" s="91"/>
    </row>
    <row r="325" s="61" customFormat="1" ht="48.75" spans="1:25">
      <c r="A325" s="147">
        <v>62</v>
      </c>
      <c r="B325" s="398" t="s">
        <v>953</v>
      </c>
      <c r="C325" s="71" t="s">
        <v>872</v>
      </c>
      <c r="D325" s="71" t="s">
        <v>192</v>
      </c>
      <c r="E325" s="147">
        <f t="shared" ref="E325:G325" si="84">SUM(E326:E333)</f>
        <v>115.7</v>
      </c>
      <c r="F325" s="147">
        <f t="shared" si="84"/>
        <v>3398</v>
      </c>
      <c r="G325" s="147">
        <f t="shared" si="84"/>
        <v>13424</v>
      </c>
      <c r="H325" s="147">
        <v>2018</v>
      </c>
      <c r="I325" s="147">
        <v>2019</v>
      </c>
      <c r="J325" s="147">
        <f t="shared" ref="J325:R325" si="85">SUM(J326:J333)</f>
        <v>961</v>
      </c>
      <c r="K325" s="147">
        <f t="shared" si="85"/>
        <v>233</v>
      </c>
      <c r="L325" s="147">
        <f t="shared" si="85"/>
        <v>728</v>
      </c>
      <c r="M325" s="147">
        <f t="shared" si="85"/>
        <v>0</v>
      </c>
      <c r="N325" s="147">
        <f t="shared" si="85"/>
        <v>265</v>
      </c>
      <c r="O325" s="147">
        <f t="shared" si="85"/>
        <v>236</v>
      </c>
      <c r="P325" s="147">
        <f t="shared" si="85"/>
        <v>460</v>
      </c>
      <c r="Q325" s="147">
        <f t="shared" si="85"/>
        <v>0</v>
      </c>
      <c r="R325" s="147">
        <f t="shared" si="85"/>
        <v>0</v>
      </c>
      <c r="S325" s="71" t="s">
        <v>899</v>
      </c>
      <c r="T325" s="71" t="s">
        <v>900</v>
      </c>
      <c r="U325" s="71" t="s">
        <v>271</v>
      </c>
      <c r="V325" s="398"/>
      <c r="W325" s="91" t="str">
        <f t="shared" ref="W325:W336" si="86">IF(SUM(N325:R325)=J325,"Y","N")</f>
        <v>Y</v>
      </c>
      <c r="X325" s="91"/>
      <c r="Y325" s="91"/>
    </row>
    <row r="326" s="61" customFormat="1" ht="21.95" customHeight="1" spans="1:25">
      <c r="A326" s="147"/>
      <c r="B326" s="74" t="s">
        <v>954</v>
      </c>
      <c r="C326" s="147"/>
      <c r="D326" s="147"/>
      <c r="E326" s="147">
        <v>51.9</v>
      </c>
      <c r="F326" s="147">
        <v>217</v>
      </c>
      <c r="G326" s="147">
        <v>885</v>
      </c>
      <c r="H326" s="147">
        <v>2019</v>
      </c>
      <c r="I326" s="147">
        <v>2019</v>
      </c>
      <c r="J326" s="147">
        <v>492</v>
      </c>
      <c r="K326" s="147"/>
      <c r="L326" s="147">
        <v>492</v>
      </c>
      <c r="M326" s="147"/>
      <c r="N326" s="674">
        <v>265</v>
      </c>
      <c r="O326" s="674"/>
      <c r="P326" s="674">
        <v>227</v>
      </c>
      <c r="Q326" s="674"/>
      <c r="R326" s="674"/>
      <c r="S326" s="147"/>
      <c r="T326" s="147"/>
      <c r="U326" s="147"/>
      <c r="V326" s="398"/>
      <c r="W326" s="91" t="str">
        <f t="shared" si="86"/>
        <v>Y</v>
      </c>
      <c r="X326" s="91"/>
      <c r="Y326" s="91"/>
    </row>
    <row r="327" s="61" customFormat="1" ht="21.95" customHeight="1" spans="1:25">
      <c r="A327" s="147"/>
      <c r="B327" s="74" t="s">
        <v>955</v>
      </c>
      <c r="C327" s="147"/>
      <c r="D327" s="147"/>
      <c r="E327" s="147">
        <v>0.6</v>
      </c>
      <c r="F327" s="147">
        <v>264</v>
      </c>
      <c r="G327" s="147">
        <v>968</v>
      </c>
      <c r="H327" s="147">
        <v>2018</v>
      </c>
      <c r="I327" s="147">
        <v>2018</v>
      </c>
      <c r="J327" s="147">
        <v>4</v>
      </c>
      <c r="K327" s="147">
        <v>4</v>
      </c>
      <c r="L327" s="147"/>
      <c r="M327" s="147"/>
      <c r="N327" s="674"/>
      <c r="O327" s="674"/>
      <c r="P327" s="147">
        <v>4</v>
      </c>
      <c r="Q327" s="674"/>
      <c r="R327" s="147"/>
      <c r="S327" s="147"/>
      <c r="T327" s="147"/>
      <c r="U327" s="147"/>
      <c r="V327" s="398"/>
      <c r="W327" s="91" t="str">
        <f t="shared" si="86"/>
        <v>Y</v>
      </c>
      <c r="X327" s="91"/>
      <c r="Y327" s="91"/>
    </row>
    <row r="328" s="61" customFormat="1" ht="21.95" customHeight="1" spans="1:25">
      <c r="A328" s="147"/>
      <c r="B328" s="74" t="s">
        <v>956</v>
      </c>
      <c r="C328" s="147"/>
      <c r="D328" s="147"/>
      <c r="E328" s="147">
        <v>24.75</v>
      </c>
      <c r="F328" s="147">
        <v>1637</v>
      </c>
      <c r="G328" s="147">
        <v>6528</v>
      </c>
      <c r="H328" s="147">
        <v>2018</v>
      </c>
      <c r="I328" s="147">
        <v>2018</v>
      </c>
      <c r="J328" s="147">
        <v>182</v>
      </c>
      <c r="K328" s="147">
        <v>182</v>
      </c>
      <c r="L328" s="147"/>
      <c r="M328" s="147"/>
      <c r="N328" s="674"/>
      <c r="O328" s="674"/>
      <c r="P328" s="147">
        <v>182</v>
      </c>
      <c r="Q328" s="674"/>
      <c r="R328" s="147"/>
      <c r="S328" s="147"/>
      <c r="T328" s="147"/>
      <c r="U328" s="147"/>
      <c r="V328" s="398"/>
      <c r="W328" s="91" t="str">
        <f t="shared" si="86"/>
        <v>Y</v>
      </c>
      <c r="X328" s="91"/>
      <c r="Y328" s="91"/>
    </row>
    <row r="329" s="61" customFormat="1" ht="21.95" customHeight="1" spans="1:25">
      <c r="A329" s="147"/>
      <c r="B329" s="74" t="s">
        <v>957</v>
      </c>
      <c r="C329" s="147"/>
      <c r="D329" s="147"/>
      <c r="E329" s="147">
        <v>7</v>
      </c>
      <c r="F329" s="147">
        <v>180</v>
      </c>
      <c r="G329" s="147">
        <v>715</v>
      </c>
      <c r="H329" s="147">
        <v>2018</v>
      </c>
      <c r="I329" s="147">
        <v>2018</v>
      </c>
      <c r="J329" s="147">
        <v>47</v>
      </c>
      <c r="K329" s="147">
        <v>47</v>
      </c>
      <c r="L329" s="147"/>
      <c r="M329" s="147"/>
      <c r="N329" s="674"/>
      <c r="O329" s="674"/>
      <c r="P329" s="147">
        <v>47</v>
      </c>
      <c r="Q329" s="674"/>
      <c r="R329" s="147"/>
      <c r="S329" s="147"/>
      <c r="T329" s="147"/>
      <c r="U329" s="147"/>
      <c r="V329" s="398"/>
      <c r="W329" s="91" t="str">
        <f t="shared" si="86"/>
        <v>Y</v>
      </c>
      <c r="X329" s="91"/>
      <c r="Y329" s="91"/>
    </row>
    <row r="330" s="61" customFormat="1" ht="21.95" customHeight="1" spans="1:25">
      <c r="A330" s="147"/>
      <c r="B330" s="74" t="s">
        <v>958</v>
      </c>
      <c r="C330" s="147"/>
      <c r="D330" s="147"/>
      <c r="E330" s="147">
        <v>13.2</v>
      </c>
      <c r="F330" s="147">
        <v>125</v>
      </c>
      <c r="G330" s="147">
        <v>465</v>
      </c>
      <c r="H330" s="147">
        <v>2019</v>
      </c>
      <c r="I330" s="147">
        <v>2019</v>
      </c>
      <c r="J330" s="147">
        <f>K330+L330+M330</f>
        <v>100</v>
      </c>
      <c r="K330" s="147"/>
      <c r="L330" s="147">
        <v>100</v>
      </c>
      <c r="M330" s="147"/>
      <c r="N330" s="674"/>
      <c r="O330" s="674">
        <f>J330</f>
        <v>100</v>
      </c>
      <c r="P330" s="147"/>
      <c r="Q330" s="674"/>
      <c r="R330" s="147"/>
      <c r="S330" s="147"/>
      <c r="T330" s="147"/>
      <c r="U330" s="71" t="s">
        <v>271</v>
      </c>
      <c r="V330" s="74" t="s">
        <v>959</v>
      </c>
      <c r="W330" s="91" t="str">
        <f t="shared" si="86"/>
        <v>Y</v>
      </c>
      <c r="X330" s="91"/>
      <c r="Y330" s="91"/>
    </row>
    <row r="331" s="61" customFormat="1" ht="21.95" customHeight="1" spans="1:25">
      <c r="A331" s="147"/>
      <c r="B331" s="74" t="s">
        <v>960</v>
      </c>
      <c r="C331" s="147"/>
      <c r="D331" s="147"/>
      <c r="E331" s="147">
        <v>4.5</v>
      </c>
      <c r="F331" s="147">
        <v>256</v>
      </c>
      <c r="G331" s="147">
        <v>996</v>
      </c>
      <c r="H331" s="147">
        <v>2019</v>
      </c>
      <c r="I331" s="147">
        <v>2019</v>
      </c>
      <c r="J331" s="147">
        <f>K331+L331+M331</f>
        <v>36</v>
      </c>
      <c r="K331" s="147"/>
      <c r="L331" s="147">
        <v>36</v>
      </c>
      <c r="M331" s="147"/>
      <c r="N331" s="674"/>
      <c r="O331" s="674">
        <f>J331</f>
        <v>36</v>
      </c>
      <c r="P331" s="147"/>
      <c r="Q331" s="674"/>
      <c r="R331" s="147"/>
      <c r="S331" s="147"/>
      <c r="T331" s="147"/>
      <c r="U331" s="71" t="s">
        <v>271</v>
      </c>
      <c r="V331" s="74" t="s">
        <v>961</v>
      </c>
      <c r="W331" s="91" t="str">
        <f t="shared" si="86"/>
        <v>Y</v>
      </c>
      <c r="X331" s="91"/>
      <c r="Y331" s="91"/>
    </row>
    <row r="332" s="61" customFormat="1" ht="21.95" customHeight="1" spans="1:25">
      <c r="A332" s="147"/>
      <c r="B332" s="74" t="s">
        <v>962</v>
      </c>
      <c r="C332" s="147"/>
      <c r="D332" s="147"/>
      <c r="E332" s="147">
        <v>2.7</v>
      </c>
      <c r="F332" s="147">
        <v>229</v>
      </c>
      <c r="G332" s="147">
        <v>940</v>
      </c>
      <c r="H332" s="147">
        <v>2019</v>
      </c>
      <c r="I332" s="147">
        <v>2019</v>
      </c>
      <c r="J332" s="147">
        <f>K332+L332+M332</f>
        <v>20</v>
      </c>
      <c r="K332" s="147"/>
      <c r="L332" s="147">
        <v>20</v>
      </c>
      <c r="M332" s="147"/>
      <c r="N332" s="674"/>
      <c r="O332" s="674">
        <f>J332</f>
        <v>20</v>
      </c>
      <c r="P332" s="147"/>
      <c r="Q332" s="674"/>
      <c r="R332" s="147"/>
      <c r="S332" s="147"/>
      <c r="T332" s="147"/>
      <c r="U332" s="71" t="s">
        <v>271</v>
      </c>
      <c r="V332" s="74" t="s">
        <v>963</v>
      </c>
      <c r="W332" s="91" t="str">
        <f t="shared" si="86"/>
        <v>Y</v>
      </c>
      <c r="X332" s="91"/>
      <c r="Y332" s="91"/>
    </row>
    <row r="333" s="61" customFormat="1" ht="21.95" customHeight="1" spans="1:25">
      <c r="A333" s="147"/>
      <c r="B333" s="74" t="s">
        <v>964</v>
      </c>
      <c r="C333" s="147"/>
      <c r="D333" s="147"/>
      <c r="E333" s="147">
        <v>11.05</v>
      </c>
      <c r="F333" s="147">
        <v>490</v>
      </c>
      <c r="G333" s="147">
        <v>1927</v>
      </c>
      <c r="H333" s="147">
        <v>2019</v>
      </c>
      <c r="I333" s="147">
        <v>2019</v>
      </c>
      <c r="J333" s="147">
        <f>K333+L333+M333</f>
        <v>80</v>
      </c>
      <c r="K333" s="147"/>
      <c r="L333" s="147">
        <v>80</v>
      </c>
      <c r="M333" s="147"/>
      <c r="N333" s="674"/>
      <c r="O333" s="674">
        <f>J333</f>
        <v>80</v>
      </c>
      <c r="P333" s="147"/>
      <c r="Q333" s="674"/>
      <c r="R333" s="147"/>
      <c r="S333" s="147"/>
      <c r="T333" s="147"/>
      <c r="U333" s="71" t="s">
        <v>271</v>
      </c>
      <c r="V333" s="74" t="s">
        <v>965</v>
      </c>
      <c r="W333" s="91" t="str">
        <f t="shared" si="86"/>
        <v>Y</v>
      </c>
      <c r="X333" s="91"/>
      <c r="Y333" s="91"/>
    </row>
    <row r="334" s="61" customFormat="1" ht="12.75" spans="1:25">
      <c r="A334" s="147"/>
      <c r="B334" s="398" t="s">
        <v>966</v>
      </c>
      <c r="C334" s="147"/>
      <c r="D334" s="147"/>
      <c r="E334" s="398">
        <f t="shared" ref="E334:G334" si="87">E335+E336+E337+E338+E339+E340+E341</f>
        <v>39.368</v>
      </c>
      <c r="F334" s="398">
        <f t="shared" si="87"/>
        <v>312</v>
      </c>
      <c r="G334" s="398">
        <f t="shared" si="87"/>
        <v>1180</v>
      </c>
      <c r="H334" s="398">
        <v>2018</v>
      </c>
      <c r="I334" s="147">
        <v>2018</v>
      </c>
      <c r="J334" s="147">
        <f>J335+J336+J337+J338+J339+J340+J341</f>
        <v>3803</v>
      </c>
      <c r="K334" s="147">
        <f>SUM(K335:K341)</f>
        <v>2910</v>
      </c>
      <c r="L334" s="147">
        <f>SUM(L335:L341)</f>
        <v>893</v>
      </c>
      <c r="M334" s="147">
        <f>SUM(M335:M341)</f>
        <v>0</v>
      </c>
      <c r="N334" s="147">
        <f t="shared" ref="N334" si="88">N337+N338+N339+N340+N341</f>
        <v>0</v>
      </c>
      <c r="O334" s="147">
        <f>O335+O336+O337+O338+O339+O340+O341</f>
        <v>2772</v>
      </c>
      <c r="P334" s="147">
        <f>P335+P336</f>
        <v>1031</v>
      </c>
      <c r="Q334" s="398">
        <f>SUM(Q335:Q336)</f>
        <v>0</v>
      </c>
      <c r="R334" s="147">
        <f>SUM(R335:R336)</f>
        <v>0</v>
      </c>
      <c r="S334" s="71" t="s">
        <v>899</v>
      </c>
      <c r="T334" s="71" t="s">
        <v>900</v>
      </c>
      <c r="U334" s="667" t="s">
        <v>271</v>
      </c>
      <c r="V334" s="147"/>
      <c r="W334" s="91" t="str">
        <f t="shared" si="86"/>
        <v>Y</v>
      </c>
      <c r="X334" s="91"/>
      <c r="Y334" s="91"/>
    </row>
    <row r="335" s="61" customFormat="1" ht="21.95" customHeight="1" spans="1:25">
      <c r="A335" s="147"/>
      <c r="B335" s="74" t="s">
        <v>967</v>
      </c>
      <c r="C335" s="74" t="s">
        <v>488</v>
      </c>
      <c r="D335" s="74" t="s">
        <v>192</v>
      </c>
      <c r="E335" s="398">
        <v>7.198</v>
      </c>
      <c r="F335" s="398">
        <v>127</v>
      </c>
      <c r="G335" s="398">
        <v>476</v>
      </c>
      <c r="H335" s="398">
        <v>2018</v>
      </c>
      <c r="I335" s="398">
        <v>2018</v>
      </c>
      <c r="J335" s="147">
        <v>1160</v>
      </c>
      <c r="K335" s="147">
        <v>1160</v>
      </c>
      <c r="L335" s="398"/>
      <c r="M335" s="398"/>
      <c r="N335" s="398"/>
      <c r="O335" s="147">
        <v>488</v>
      </c>
      <c r="P335" s="147">
        <v>672</v>
      </c>
      <c r="Q335" s="398"/>
      <c r="R335" s="398"/>
      <c r="S335" s="398"/>
      <c r="T335" s="398"/>
      <c r="U335" s="674"/>
      <c r="V335" s="681"/>
      <c r="W335" s="91" t="str">
        <f t="shared" si="86"/>
        <v>Y</v>
      </c>
      <c r="X335" s="91"/>
      <c r="Y335" s="91"/>
    </row>
    <row r="336" s="61" customFormat="1" ht="21.95" customHeight="1" spans="1:25">
      <c r="A336" s="147"/>
      <c r="B336" s="74" t="s">
        <v>968</v>
      </c>
      <c r="C336" s="74" t="s">
        <v>488</v>
      </c>
      <c r="D336" s="74" t="s">
        <v>192</v>
      </c>
      <c r="E336" s="398">
        <v>11.67</v>
      </c>
      <c r="F336" s="398">
        <v>127</v>
      </c>
      <c r="G336" s="398">
        <v>476</v>
      </c>
      <c r="H336" s="398">
        <v>2018</v>
      </c>
      <c r="I336" s="398">
        <v>2018</v>
      </c>
      <c r="J336" s="147">
        <v>1250</v>
      </c>
      <c r="K336" s="147">
        <v>1250</v>
      </c>
      <c r="L336" s="398"/>
      <c r="M336" s="398"/>
      <c r="N336" s="398"/>
      <c r="O336" s="147">
        <v>891</v>
      </c>
      <c r="P336" s="147">
        <v>359</v>
      </c>
      <c r="Q336" s="398"/>
      <c r="R336" s="398"/>
      <c r="S336" s="398"/>
      <c r="T336" s="398"/>
      <c r="U336" s="674"/>
      <c r="V336" s="681"/>
      <c r="W336" s="91" t="str">
        <f t="shared" si="86"/>
        <v>Y</v>
      </c>
      <c r="X336" s="91"/>
      <c r="Y336" s="91"/>
    </row>
    <row r="337" s="61" customFormat="1" ht="48" customHeight="1" spans="1:25">
      <c r="A337" s="147"/>
      <c r="B337" s="71" t="s">
        <v>969</v>
      </c>
      <c r="C337" s="71" t="s">
        <v>970</v>
      </c>
      <c r="D337" s="71" t="s">
        <v>192</v>
      </c>
      <c r="E337" s="147">
        <v>1.742</v>
      </c>
      <c r="F337" s="147">
        <v>14</v>
      </c>
      <c r="G337" s="147">
        <v>46</v>
      </c>
      <c r="H337" s="147">
        <v>2018</v>
      </c>
      <c r="I337" s="147">
        <v>2019</v>
      </c>
      <c r="J337" s="147">
        <f>K337+L337+M337</f>
        <v>146</v>
      </c>
      <c r="K337" s="147">
        <v>70</v>
      </c>
      <c r="L337" s="147">
        <v>76</v>
      </c>
      <c r="M337" s="147"/>
      <c r="N337" s="147"/>
      <c r="O337" s="147">
        <f>J337</f>
        <v>146</v>
      </c>
      <c r="P337" s="147"/>
      <c r="Q337" s="147"/>
      <c r="R337" s="147"/>
      <c r="S337" s="71" t="s">
        <v>899</v>
      </c>
      <c r="T337" s="71" t="s">
        <v>900</v>
      </c>
      <c r="U337" s="682" t="s">
        <v>271</v>
      </c>
      <c r="V337" s="76" t="s">
        <v>971</v>
      </c>
      <c r="W337" s="91"/>
      <c r="X337" s="91"/>
      <c r="Y337" s="91"/>
    </row>
    <row r="338" s="61" customFormat="1" ht="48" customHeight="1" spans="1:25">
      <c r="A338" s="147"/>
      <c r="B338" s="71" t="s">
        <v>972</v>
      </c>
      <c r="C338" s="71" t="s">
        <v>970</v>
      </c>
      <c r="D338" s="71" t="s">
        <v>192</v>
      </c>
      <c r="E338" s="147">
        <v>2.335</v>
      </c>
      <c r="F338" s="147">
        <v>5</v>
      </c>
      <c r="G338" s="147">
        <v>22</v>
      </c>
      <c r="H338" s="147">
        <v>2018</v>
      </c>
      <c r="I338" s="147">
        <v>2019</v>
      </c>
      <c r="J338" s="147">
        <f>K338+L338+M338</f>
        <v>182</v>
      </c>
      <c r="K338" s="147">
        <v>80</v>
      </c>
      <c r="L338" s="147">
        <v>102</v>
      </c>
      <c r="M338" s="147"/>
      <c r="N338" s="147"/>
      <c r="O338" s="147">
        <f>J338</f>
        <v>182</v>
      </c>
      <c r="P338" s="147"/>
      <c r="Q338" s="147"/>
      <c r="R338" s="147"/>
      <c r="S338" s="71" t="s">
        <v>899</v>
      </c>
      <c r="T338" s="71" t="s">
        <v>900</v>
      </c>
      <c r="U338" s="682" t="s">
        <v>271</v>
      </c>
      <c r="V338" s="76" t="s">
        <v>973</v>
      </c>
      <c r="W338" s="91"/>
      <c r="X338" s="91"/>
      <c r="Y338" s="91"/>
    </row>
    <row r="339" s="61" customFormat="1" ht="39.95" customHeight="1" spans="1:25">
      <c r="A339" s="147"/>
      <c r="B339" s="71" t="s">
        <v>974</v>
      </c>
      <c r="C339" s="71" t="s">
        <v>970</v>
      </c>
      <c r="D339" s="71" t="s">
        <v>192</v>
      </c>
      <c r="E339" s="147">
        <v>4.169</v>
      </c>
      <c r="F339" s="147">
        <v>11</v>
      </c>
      <c r="G339" s="147">
        <v>43</v>
      </c>
      <c r="H339" s="147">
        <v>2018</v>
      </c>
      <c r="I339" s="147">
        <v>2019</v>
      </c>
      <c r="J339" s="147">
        <f>K339+L339+M339</f>
        <v>280</v>
      </c>
      <c r="K339" s="147">
        <v>100</v>
      </c>
      <c r="L339" s="147">
        <v>180</v>
      </c>
      <c r="M339" s="147"/>
      <c r="N339" s="147"/>
      <c r="O339" s="147">
        <f>J339</f>
        <v>280</v>
      </c>
      <c r="P339" s="147"/>
      <c r="Q339" s="147"/>
      <c r="R339" s="147"/>
      <c r="S339" s="71" t="s">
        <v>899</v>
      </c>
      <c r="T339" s="71" t="s">
        <v>900</v>
      </c>
      <c r="U339" s="682" t="s">
        <v>271</v>
      </c>
      <c r="V339" s="76" t="s">
        <v>975</v>
      </c>
      <c r="W339" s="91"/>
      <c r="X339" s="91"/>
      <c r="Y339" s="91"/>
    </row>
    <row r="340" s="61" customFormat="1" ht="39.95" customHeight="1" spans="1:25">
      <c r="A340" s="147"/>
      <c r="B340" s="71" t="s">
        <v>976</v>
      </c>
      <c r="C340" s="71" t="s">
        <v>970</v>
      </c>
      <c r="D340" s="71" t="s">
        <v>192</v>
      </c>
      <c r="E340" s="147">
        <v>10.447</v>
      </c>
      <c r="F340" s="147">
        <v>18</v>
      </c>
      <c r="G340" s="147">
        <v>79</v>
      </c>
      <c r="H340" s="147">
        <v>2018</v>
      </c>
      <c r="I340" s="147">
        <v>2019</v>
      </c>
      <c r="J340" s="147">
        <f>K340+L340+M340</f>
        <v>636</v>
      </c>
      <c r="K340" s="147">
        <v>180</v>
      </c>
      <c r="L340" s="147">
        <v>456</v>
      </c>
      <c r="M340" s="147"/>
      <c r="N340" s="147"/>
      <c r="O340" s="147">
        <f>J340</f>
        <v>636</v>
      </c>
      <c r="P340" s="147"/>
      <c r="Q340" s="147"/>
      <c r="R340" s="147"/>
      <c r="S340" s="71" t="s">
        <v>899</v>
      </c>
      <c r="T340" s="71" t="s">
        <v>900</v>
      </c>
      <c r="U340" s="682" t="s">
        <v>271</v>
      </c>
      <c r="V340" s="76" t="s">
        <v>977</v>
      </c>
      <c r="W340" s="91"/>
      <c r="X340" s="91"/>
      <c r="Y340" s="91"/>
    </row>
    <row r="341" s="61" customFormat="1" ht="39.95" customHeight="1" spans="1:25">
      <c r="A341" s="147"/>
      <c r="B341" s="71" t="s">
        <v>978</v>
      </c>
      <c r="C341" s="71" t="s">
        <v>970</v>
      </c>
      <c r="D341" s="71" t="s">
        <v>192</v>
      </c>
      <c r="E341" s="147">
        <v>1.807</v>
      </c>
      <c r="F341" s="147">
        <v>10</v>
      </c>
      <c r="G341" s="147">
        <v>38</v>
      </c>
      <c r="H341" s="147">
        <v>2018</v>
      </c>
      <c r="I341" s="147">
        <v>2019</v>
      </c>
      <c r="J341" s="147">
        <f>K341+L341+M341</f>
        <v>149</v>
      </c>
      <c r="K341" s="147">
        <v>70</v>
      </c>
      <c r="L341" s="147">
        <v>79</v>
      </c>
      <c r="M341" s="147"/>
      <c r="N341" s="147"/>
      <c r="O341" s="147">
        <f>J341</f>
        <v>149</v>
      </c>
      <c r="P341" s="147"/>
      <c r="Q341" s="147"/>
      <c r="R341" s="147"/>
      <c r="S341" s="71" t="s">
        <v>899</v>
      </c>
      <c r="T341" s="71" t="s">
        <v>900</v>
      </c>
      <c r="U341" s="682" t="s">
        <v>271</v>
      </c>
      <c r="V341" s="76" t="s">
        <v>979</v>
      </c>
      <c r="W341" s="91"/>
      <c r="X341" s="91"/>
      <c r="Y341" s="91"/>
    </row>
    <row r="342" s="61" customFormat="1" ht="21.95" customHeight="1" spans="1:25">
      <c r="A342" s="147">
        <v>64</v>
      </c>
      <c r="B342" s="74" t="s">
        <v>980</v>
      </c>
      <c r="C342" s="71" t="s">
        <v>872</v>
      </c>
      <c r="D342" s="71" t="s">
        <v>496</v>
      </c>
      <c r="E342" s="147">
        <v>8</v>
      </c>
      <c r="F342" s="147">
        <f>F343+F348+F353</f>
        <v>75</v>
      </c>
      <c r="G342" s="147">
        <f>G343+G348+G353</f>
        <v>279</v>
      </c>
      <c r="H342" s="147">
        <v>2018</v>
      </c>
      <c r="I342" s="147">
        <v>2018</v>
      </c>
      <c r="J342" s="147">
        <v>346.37</v>
      </c>
      <c r="K342" s="147">
        <v>346.37</v>
      </c>
      <c r="L342" s="147"/>
      <c r="M342" s="147"/>
      <c r="N342" s="674"/>
      <c r="O342" s="674"/>
      <c r="P342" s="674">
        <v>346.37</v>
      </c>
      <c r="Q342" s="674"/>
      <c r="R342" s="674"/>
      <c r="S342" s="147"/>
      <c r="T342" s="147"/>
      <c r="U342" s="71" t="s">
        <v>497</v>
      </c>
      <c r="V342" s="74" t="s">
        <v>41</v>
      </c>
      <c r="W342" s="91" t="str">
        <f t="shared" ref="W342:W366" si="89">IF(SUM(N342:R342)=J342,"Y","N")</f>
        <v>Y</v>
      </c>
      <c r="X342" s="91"/>
      <c r="Y342" s="91"/>
    </row>
    <row r="343" s="61" customFormat="1" ht="21.95" customHeight="1" spans="1:25">
      <c r="A343" s="147"/>
      <c r="B343" s="74" t="s">
        <v>764</v>
      </c>
      <c r="C343" s="147"/>
      <c r="D343" s="147"/>
      <c r="E343" s="147">
        <v>4</v>
      </c>
      <c r="F343" s="147">
        <v>52</v>
      </c>
      <c r="G343" s="147">
        <v>189</v>
      </c>
      <c r="H343" s="147">
        <v>2018</v>
      </c>
      <c r="I343" s="147">
        <v>2018</v>
      </c>
      <c r="J343" s="147">
        <v>206.06</v>
      </c>
      <c r="K343" s="147">
        <v>206.06</v>
      </c>
      <c r="L343" s="147"/>
      <c r="M343" s="147"/>
      <c r="N343" s="674"/>
      <c r="O343" s="674"/>
      <c r="P343" s="674"/>
      <c r="Q343" s="674"/>
      <c r="R343" s="674"/>
      <c r="S343" s="147"/>
      <c r="T343" s="147"/>
      <c r="U343" s="147"/>
      <c r="V343" s="398"/>
      <c r="W343" s="91" t="str">
        <f t="shared" si="89"/>
        <v>N</v>
      </c>
      <c r="X343" s="91"/>
      <c r="Y343" s="91"/>
    </row>
    <row r="344" s="61" customFormat="1" ht="24.75" spans="1:25">
      <c r="A344" s="147"/>
      <c r="B344" s="74" t="s">
        <v>981</v>
      </c>
      <c r="C344" s="71" t="s">
        <v>872</v>
      </c>
      <c r="D344" s="71" t="s">
        <v>150</v>
      </c>
      <c r="E344" s="147">
        <v>1</v>
      </c>
      <c r="F344" s="147">
        <v>16</v>
      </c>
      <c r="G344" s="147">
        <v>53</v>
      </c>
      <c r="H344" s="147">
        <v>2018</v>
      </c>
      <c r="I344" s="147">
        <v>2018</v>
      </c>
      <c r="J344" s="147">
        <v>59.3</v>
      </c>
      <c r="K344" s="147">
        <v>59.3</v>
      </c>
      <c r="L344" s="147"/>
      <c r="M344" s="147"/>
      <c r="N344" s="674"/>
      <c r="O344" s="674"/>
      <c r="P344" s="674"/>
      <c r="Q344" s="674"/>
      <c r="R344" s="674"/>
      <c r="S344" s="71" t="s">
        <v>765</v>
      </c>
      <c r="T344" s="71" t="s">
        <v>766</v>
      </c>
      <c r="U344" s="71" t="s">
        <v>497</v>
      </c>
      <c r="V344" s="74" t="s">
        <v>982</v>
      </c>
      <c r="W344" s="91" t="str">
        <f t="shared" si="89"/>
        <v>N</v>
      </c>
      <c r="X344" s="91"/>
      <c r="Y344" s="91"/>
    </row>
    <row r="345" s="61" customFormat="1" ht="24.75" spans="1:25">
      <c r="A345" s="147"/>
      <c r="B345" s="74" t="s">
        <v>983</v>
      </c>
      <c r="C345" s="71" t="s">
        <v>872</v>
      </c>
      <c r="D345" s="71" t="s">
        <v>150</v>
      </c>
      <c r="E345" s="147">
        <v>1</v>
      </c>
      <c r="F345" s="147">
        <v>18</v>
      </c>
      <c r="G345" s="147">
        <v>59</v>
      </c>
      <c r="H345" s="147">
        <v>2018</v>
      </c>
      <c r="I345" s="147">
        <v>2018</v>
      </c>
      <c r="J345" s="147">
        <v>52.26</v>
      </c>
      <c r="K345" s="147">
        <v>52.26</v>
      </c>
      <c r="L345" s="147"/>
      <c r="M345" s="147"/>
      <c r="N345" s="674"/>
      <c r="O345" s="674"/>
      <c r="P345" s="674"/>
      <c r="Q345" s="674"/>
      <c r="R345" s="674"/>
      <c r="S345" s="71" t="s">
        <v>765</v>
      </c>
      <c r="T345" s="71" t="s">
        <v>766</v>
      </c>
      <c r="U345" s="71" t="s">
        <v>497</v>
      </c>
      <c r="V345" s="74" t="s">
        <v>982</v>
      </c>
      <c r="W345" s="91" t="str">
        <f t="shared" si="89"/>
        <v>N</v>
      </c>
      <c r="X345" s="91"/>
      <c r="Y345" s="91"/>
    </row>
    <row r="346" s="61" customFormat="1" ht="24.75" spans="1:25">
      <c r="A346" s="147"/>
      <c r="B346" s="74" t="s">
        <v>984</v>
      </c>
      <c r="C346" s="71" t="s">
        <v>872</v>
      </c>
      <c r="D346" s="71" t="s">
        <v>150</v>
      </c>
      <c r="E346" s="147">
        <v>1</v>
      </c>
      <c r="F346" s="147">
        <v>9</v>
      </c>
      <c r="G346" s="147">
        <v>43</v>
      </c>
      <c r="H346" s="147">
        <v>2018</v>
      </c>
      <c r="I346" s="147">
        <v>2018</v>
      </c>
      <c r="J346" s="147">
        <v>58.6</v>
      </c>
      <c r="K346" s="147">
        <v>58.6</v>
      </c>
      <c r="L346" s="147"/>
      <c r="M346" s="147"/>
      <c r="N346" s="674"/>
      <c r="O346" s="674"/>
      <c r="P346" s="674"/>
      <c r="Q346" s="674"/>
      <c r="R346" s="674"/>
      <c r="S346" s="71" t="s">
        <v>765</v>
      </c>
      <c r="T346" s="71" t="s">
        <v>766</v>
      </c>
      <c r="U346" s="71" t="s">
        <v>497</v>
      </c>
      <c r="V346" s="74" t="s">
        <v>982</v>
      </c>
      <c r="W346" s="91" t="str">
        <f t="shared" si="89"/>
        <v>N</v>
      </c>
      <c r="X346" s="91"/>
      <c r="Y346" s="91"/>
    </row>
    <row r="347" s="61" customFormat="1" ht="24.75" spans="1:25">
      <c r="A347" s="147"/>
      <c r="B347" s="74" t="s">
        <v>985</v>
      </c>
      <c r="C347" s="71" t="s">
        <v>872</v>
      </c>
      <c r="D347" s="71" t="s">
        <v>150</v>
      </c>
      <c r="E347" s="147">
        <v>1</v>
      </c>
      <c r="F347" s="147">
        <v>9</v>
      </c>
      <c r="G347" s="147">
        <v>34</v>
      </c>
      <c r="H347" s="147">
        <v>2018</v>
      </c>
      <c r="I347" s="147">
        <v>2018</v>
      </c>
      <c r="J347" s="147">
        <v>35.9</v>
      </c>
      <c r="K347" s="147">
        <v>35.9</v>
      </c>
      <c r="L347" s="147"/>
      <c r="M347" s="147"/>
      <c r="N347" s="674"/>
      <c r="O347" s="674"/>
      <c r="P347" s="674"/>
      <c r="Q347" s="674"/>
      <c r="R347" s="674"/>
      <c r="S347" s="71" t="s">
        <v>765</v>
      </c>
      <c r="T347" s="71" t="s">
        <v>766</v>
      </c>
      <c r="U347" s="71" t="s">
        <v>497</v>
      </c>
      <c r="V347" s="74" t="s">
        <v>982</v>
      </c>
      <c r="W347" s="91" t="str">
        <f t="shared" si="89"/>
        <v>N</v>
      </c>
      <c r="X347" s="91"/>
      <c r="Y347" s="91"/>
    </row>
    <row r="348" s="61" customFormat="1" ht="21.95" customHeight="1" spans="1:25">
      <c r="A348" s="147"/>
      <c r="B348" s="74" t="s">
        <v>749</v>
      </c>
      <c r="C348" s="147"/>
      <c r="D348" s="147"/>
      <c r="E348" s="147">
        <v>4</v>
      </c>
      <c r="F348" s="147">
        <v>16</v>
      </c>
      <c r="G348" s="147">
        <v>62</v>
      </c>
      <c r="H348" s="147">
        <v>2018</v>
      </c>
      <c r="I348" s="147">
        <v>2018</v>
      </c>
      <c r="J348" s="147">
        <v>103.02</v>
      </c>
      <c r="K348" s="147">
        <v>103.02</v>
      </c>
      <c r="L348" s="147" t="s">
        <v>320</v>
      </c>
      <c r="M348" s="147" t="s">
        <v>320</v>
      </c>
      <c r="N348" s="674"/>
      <c r="O348" s="674"/>
      <c r="P348" s="674"/>
      <c r="Q348" s="674"/>
      <c r="R348" s="674"/>
      <c r="S348" s="147"/>
      <c r="T348" s="147"/>
      <c r="U348" s="147"/>
      <c r="V348" s="683"/>
      <c r="W348" s="91" t="str">
        <f t="shared" si="89"/>
        <v>N</v>
      </c>
      <c r="X348" s="91"/>
      <c r="Y348" s="91"/>
    </row>
    <row r="349" s="61" customFormat="1" ht="24.75" spans="1:25">
      <c r="A349" s="147"/>
      <c r="B349" s="74" t="s">
        <v>986</v>
      </c>
      <c r="C349" s="71" t="s">
        <v>872</v>
      </c>
      <c r="D349" s="71" t="s">
        <v>150</v>
      </c>
      <c r="E349" s="147">
        <v>1</v>
      </c>
      <c r="F349" s="147">
        <v>9</v>
      </c>
      <c r="G349" s="147">
        <v>40</v>
      </c>
      <c r="H349" s="147">
        <v>2018</v>
      </c>
      <c r="I349" s="147">
        <v>2018</v>
      </c>
      <c r="J349" s="147">
        <v>40.52</v>
      </c>
      <c r="K349" s="147">
        <v>40.52</v>
      </c>
      <c r="L349" s="147"/>
      <c r="M349" s="147"/>
      <c r="N349" s="674"/>
      <c r="O349" s="674"/>
      <c r="P349" s="674"/>
      <c r="Q349" s="674"/>
      <c r="R349" s="674"/>
      <c r="S349" s="71" t="s">
        <v>750</v>
      </c>
      <c r="T349" s="71" t="s">
        <v>751</v>
      </c>
      <c r="U349" s="71" t="s">
        <v>497</v>
      </c>
      <c r="V349" s="74" t="s">
        <v>987</v>
      </c>
      <c r="W349" s="91" t="str">
        <f t="shared" si="89"/>
        <v>N</v>
      </c>
      <c r="X349" s="91"/>
      <c r="Y349" s="91"/>
    </row>
    <row r="350" s="61" customFormat="1" ht="24.75" spans="1:25">
      <c r="A350" s="147"/>
      <c r="B350" s="74" t="s">
        <v>988</v>
      </c>
      <c r="C350" s="71" t="s">
        <v>872</v>
      </c>
      <c r="D350" s="71" t="s">
        <v>150</v>
      </c>
      <c r="E350" s="147">
        <v>1</v>
      </c>
      <c r="F350" s="147">
        <v>3</v>
      </c>
      <c r="G350" s="147">
        <v>9</v>
      </c>
      <c r="H350" s="147">
        <v>2018</v>
      </c>
      <c r="I350" s="147">
        <v>2018</v>
      </c>
      <c r="J350" s="147">
        <v>33.26</v>
      </c>
      <c r="K350" s="147">
        <v>33.26</v>
      </c>
      <c r="L350" s="147"/>
      <c r="M350" s="147"/>
      <c r="N350" s="674"/>
      <c r="O350" s="674"/>
      <c r="P350" s="674"/>
      <c r="Q350" s="674"/>
      <c r="R350" s="674"/>
      <c r="S350" s="71" t="s">
        <v>750</v>
      </c>
      <c r="T350" s="71" t="s">
        <v>751</v>
      </c>
      <c r="U350" s="71" t="s">
        <v>497</v>
      </c>
      <c r="V350" s="74" t="s">
        <v>987</v>
      </c>
      <c r="W350" s="91" t="str">
        <f t="shared" si="89"/>
        <v>N</v>
      </c>
      <c r="X350" s="91"/>
      <c r="Y350" s="91"/>
    </row>
    <row r="351" s="61" customFormat="1" ht="24.75" spans="1:25">
      <c r="A351" s="147"/>
      <c r="B351" s="74" t="s">
        <v>989</v>
      </c>
      <c r="C351" s="71" t="s">
        <v>872</v>
      </c>
      <c r="D351" s="71" t="s">
        <v>150</v>
      </c>
      <c r="E351" s="147">
        <v>1</v>
      </c>
      <c r="F351" s="147">
        <v>4</v>
      </c>
      <c r="G351" s="147">
        <v>13</v>
      </c>
      <c r="H351" s="147">
        <v>2018</v>
      </c>
      <c r="I351" s="147">
        <v>2018</v>
      </c>
      <c r="J351" s="147">
        <v>29.24</v>
      </c>
      <c r="K351" s="147">
        <v>29.24</v>
      </c>
      <c r="L351" s="147"/>
      <c r="M351" s="147"/>
      <c r="N351" s="674"/>
      <c r="O351" s="674"/>
      <c r="P351" s="674"/>
      <c r="Q351" s="674"/>
      <c r="R351" s="674"/>
      <c r="S351" s="71" t="s">
        <v>750</v>
      </c>
      <c r="T351" s="71" t="s">
        <v>751</v>
      </c>
      <c r="U351" s="71" t="s">
        <v>497</v>
      </c>
      <c r="V351" s="74" t="s">
        <v>987</v>
      </c>
      <c r="W351" s="91" t="str">
        <f t="shared" si="89"/>
        <v>N</v>
      </c>
      <c r="X351" s="91"/>
      <c r="Y351" s="91"/>
    </row>
    <row r="352" s="61" customFormat="1" ht="21.95" customHeight="1" spans="1:25">
      <c r="A352" s="147"/>
      <c r="B352" s="74" t="s">
        <v>767</v>
      </c>
      <c r="C352" s="147"/>
      <c r="D352" s="147"/>
      <c r="E352" s="147">
        <f t="shared" ref="E352:K352" si="90">E353</f>
        <v>1</v>
      </c>
      <c r="F352" s="147">
        <f t="shared" si="90"/>
        <v>7</v>
      </c>
      <c r="G352" s="147">
        <f t="shared" si="90"/>
        <v>28</v>
      </c>
      <c r="H352" s="147">
        <f t="shared" si="90"/>
        <v>2018</v>
      </c>
      <c r="I352" s="147">
        <f t="shared" si="90"/>
        <v>2018</v>
      </c>
      <c r="J352" s="147">
        <f t="shared" si="90"/>
        <v>37.29</v>
      </c>
      <c r="K352" s="147">
        <f t="shared" si="90"/>
        <v>37.29</v>
      </c>
      <c r="L352" s="147"/>
      <c r="M352" s="147"/>
      <c r="N352" s="674"/>
      <c r="O352" s="674"/>
      <c r="P352" s="674"/>
      <c r="Q352" s="674"/>
      <c r="R352" s="674"/>
      <c r="S352" s="147"/>
      <c r="T352" s="147"/>
      <c r="U352" s="147"/>
      <c r="V352" s="398"/>
      <c r="W352" s="91" t="str">
        <f t="shared" si="89"/>
        <v>N</v>
      </c>
      <c r="X352" s="91"/>
      <c r="Y352" s="91"/>
    </row>
    <row r="353" s="61" customFormat="1" ht="24.75" spans="1:25">
      <c r="A353" s="147"/>
      <c r="B353" s="74" t="s">
        <v>990</v>
      </c>
      <c r="C353" s="71" t="s">
        <v>872</v>
      </c>
      <c r="D353" s="71" t="s">
        <v>150</v>
      </c>
      <c r="E353" s="147">
        <v>1</v>
      </c>
      <c r="F353" s="147">
        <v>7</v>
      </c>
      <c r="G353" s="147">
        <v>28</v>
      </c>
      <c r="H353" s="147">
        <v>2018</v>
      </c>
      <c r="I353" s="147">
        <v>2018</v>
      </c>
      <c r="J353" s="147">
        <v>37.29</v>
      </c>
      <c r="K353" s="147">
        <v>37.29</v>
      </c>
      <c r="L353" s="147"/>
      <c r="M353" s="147"/>
      <c r="N353" s="674"/>
      <c r="O353" s="674"/>
      <c r="P353" s="674"/>
      <c r="Q353" s="674"/>
      <c r="R353" s="674"/>
      <c r="S353" s="71" t="s">
        <v>768</v>
      </c>
      <c r="T353" s="71" t="s">
        <v>769</v>
      </c>
      <c r="U353" s="71" t="s">
        <v>497</v>
      </c>
      <c r="V353" s="74" t="s">
        <v>987</v>
      </c>
      <c r="W353" s="91" t="str">
        <f t="shared" si="89"/>
        <v>N</v>
      </c>
      <c r="X353" s="91"/>
      <c r="Y353" s="91"/>
    </row>
    <row r="354" s="61" customFormat="1" ht="21.95" customHeight="1" spans="1:25">
      <c r="A354" s="147">
        <v>65</v>
      </c>
      <c r="B354" s="74" t="s">
        <v>499</v>
      </c>
      <c r="C354" s="71" t="s">
        <v>872</v>
      </c>
      <c r="D354" s="71" t="s">
        <v>384</v>
      </c>
      <c r="E354" s="147">
        <v>270</v>
      </c>
      <c r="F354" s="147">
        <v>270</v>
      </c>
      <c r="G354" s="147">
        <v>987</v>
      </c>
      <c r="H354" s="147">
        <v>2018</v>
      </c>
      <c r="I354" s="147">
        <v>2018</v>
      </c>
      <c r="J354" s="344">
        <v>9.45</v>
      </c>
      <c r="K354" s="344">
        <v>9.45</v>
      </c>
      <c r="L354" s="344"/>
      <c r="M354" s="344"/>
      <c r="N354" s="344">
        <f t="shared" ref="N354:N361" si="91">J354</f>
        <v>9.45</v>
      </c>
      <c r="O354" s="344"/>
      <c r="P354" s="344"/>
      <c r="Q354" s="344"/>
      <c r="R354" s="340"/>
      <c r="S354" s="71" t="s">
        <v>851</v>
      </c>
      <c r="T354" s="71" t="s">
        <v>991</v>
      </c>
      <c r="U354" s="71" t="s">
        <v>500</v>
      </c>
      <c r="V354" s="74" t="s">
        <v>992</v>
      </c>
      <c r="W354" s="91" t="str">
        <f t="shared" si="89"/>
        <v>Y</v>
      </c>
      <c r="X354" s="91"/>
      <c r="Y354" s="91"/>
    </row>
    <row r="355" s="61" customFormat="1" ht="21.95" customHeight="1" spans="1:25">
      <c r="A355" s="147"/>
      <c r="B355" s="74" t="s">
        <v>746</v>
      </c>
      <c r="C355" s="71" t="s">
        <v>52</v>
      </c>
      <c r="D355" s="71" t="s">
        <v>384</v>
      </c>
      <c r="E355" s="147">
        <v>76</v>
      </c>
      <c r="F355" s="147">
        <v>76</v>
      </c>
      <c r="G355" s="147">
        <v>275</v>
      </c>
      <c r="H355" s="147">
        <v>2018</v>
      </c>
      <c r="I355" s="147">
        <v>2018</v>
      </c>
      <c r="J355" s="344">
        <v>2.66</v>
      </c>
      <c r="K355" s="344">
        <v>2.66</v>
      </c>
      <c r="L355" s="344"/>
      <c r="M355" s="344"/>
      <c r="N355" s="344">
        <f t="shared" si="91"/>
        <v>2.66</v>
      </c>
      <c r="O355" s="344"/>
      <c r="P355" s="344"/>
      <c r="Q355" s="344"/>
      <c r="R355" s="340"/>
      <c r="S355" s="71" t="s">
        <v>747</v>
      </c>
      <c r="T355" s="71" t="s">
        <v>748</v>
      </c>
      <c r="U355" s="147"/>
      <c r="V355" s="398"/>
      <c r="W355" s="91" t="str">
        <f t="shared" si="89"/>
        <v>Y</v>
      </c>
      <c r="X355" s="91"/>
      <c r="Y355" s="91"/>
    </row>
    <row r="356" s="61" customFormat="1" ht="21.95" customHeight="1" spans="1:25">
      <c r="A356" s="147"/>
      <c r="B356" s="74" t="s">
        <v>752</v>
      </c>
      <c r="C356" s="71" t="s">
        <v>52</v>
      </c>
      <c r="D356" s="71" t="s">
        <v>384</v>
      </c>
      <c r="E356" s="147">
        <v>55</v>
      </c>
      <c r="F356" s="147">
        <v>55</v>
      </c>
      <c r="G356" s="147">
        <v>193</v>
      </c>
      <c r="H356" s="147">
        <v>2018</v>
      </c>
      <c r="I356" s="147">
        <v>2018</v>
      </c>
      <c r="J356" s="344">
        <v>1.925</v>
      </c>
      <c r="K356" s="344">
        <v>1.925</v>
      </c>
      <c r="L356" s="344"/>
      <c r="M356" s="344"/>
      <c r="N356" s="344">
        <f t="shared" si="91"/>
        <v>1.925</v>
      </c>
      <c r="O356" s="344"/>
      <c r="P356" s="344"/>
      <c r="Q356" s="344"/>
      <c r="R356" s="340"/>
      <c r="S356" s="71" t="s">
        <v>753</v>
      </c>
      <c r="T356" s="71" t="s">
        <v>754</v>
      </c>
      <c r="U356" s="147"/>
      <c r="V356" s="398"/>
      <c r="W356" s="91" t="str">
        <f t="shared" si="89"/>
        <v>Y</v>
      </c>
      <c r="X356" s="91"/>
      <c r="Y356" s="91"/>
    </row>
    <row r="357" s="61" customFormat="1" ht="21.95" customHeight="1" spans="1:25">
      <c r="A357" s="147"/>
      <c r="B357" s="74" t="s">
        <v>764</v>
      </c>
      <c r="C357" s="71" t="s">
        <v>52</v>
      </c>
      <c r="D357" s="71" t="s">
        <v>384</v>
      </c>
      <c r="E357" s="147">
        <v>31</v>
      </c>
      <c r="F357" s="147">
        <v>31</v>
      </c>
      <c r="G357" s="147">
        <v>115</v>
      </c>
      <c r="H357" s="147">
        <v>2018</v>
      </c>
      <c r="I357" s="147">
        <v>2018</v>
      </c>
      <c r="J357" s="344">
        <v>1.085</v>
      </c>
      <c r="K357" s="344">
        <v>1.085</v>
      </c>
      <c r="L357" s="344"/>
      <c r="M357" s="344"/>
      <c r="N357" s="344">
        <f t="shared" si="91"/>
        <v>1.085</v>
      </c>
      <c r="O357" s="344"/>
      <c r="P357" s="344"/>
      <c r="Q357" s="344"/>
      <c r="R357" s="340"/>
      <c r="S357" s="71" t="s">
        <v>765</v>
      </c>
      <c r="T357" s="71" t="s">
        <v>766</v>
      </c>
      <c r="U357" s="147"/>
      <c r="V357" s="398"/>
      <c r="W357" s="91" t="str">
        <f t="shared" si="89"/>
        <v>Y</v>
      </c>
      <c r="X357" s="91"/>
      <c r="Y357" s="91"/>
    </row>
    <row r="358" s="61" customFormat="1" ht="21.95" customHeight="1" spans="1:25">
      <c r="A358" s="147"/>
      <c r="B358" s="74" t="s">
        <v>749</v>
      </c>
      <c r="C358" s="71" t="s">
        <v>52</v>
      </c>
      <c r="D358" s="71" t="s">
        <v>384</v>
      </c>
      <c r="E358" s="147">
        <v>50</v>
      </c>
      <c r="F358" s="147">
        <v>50</v>
      </c>
      <c r="G358" s="147">
        <v>189</v>
      </c>
      <c r="H358" s="147">
        <v>2018</v>
      </c>
      <c r="I358" s="147">
        <v>2018</v>
      </c>
      <c r="J358" s="344">
        <v>1.75</v>
      </c>
      <c r="K358" s="344">
        <v>1.75</v>
      </c>
      <c r="L358" s="344"/>
      <c r="M358" s="344"/>
      <c r="N358" s="344">
        <f t="shared" si="91"/>
        <v>1.75</v>
      </c>
      <c r="O358" s="344"/>
      <c r="P358" s="344"/>
      <c r="Q358" s="344"/>
      <c r="R358" s="340"/>
      <c r="S358" s="71" t="s">
        <v>750</v>
      </c>
      <c r="T358" s="71" t="s">
        <v>751</v>
      </c>
      <c r="U358" s="147"/>
      <c r="V358" s="398"/>
      <c r="W358" s="91" t="str">
        <f t="shared" si="89"/>
        <v>Y</v>
      </c>
      <c r="X358" s="91"/>
      <c r="Y358" s="91"/>
    </row>
    <row r="359" s="61" customFormat="1" ht="21.95" customHeight="1" spans="1:25">
      <c r="A359" s="147"/>
      <c r="B359" s="74" t="s">
        <v>755</v>
      </c>
      <c r="C359" s="71" t="s">
        <v>52</v>
      </c>
      <c r="D359" s="71" t="s">
        <v>384</v>
      </c>
      <c r="E359" s="147">
        <v>23</v>
      </c>
      <c r="F359" s="147">
        <v>23</v>
      </c>
      <c r="G359" s="147">
        <v>85</v>
      </c>
      <c r="H359" s="147">
        <v>2018</v>
      </c>
      <c r="I359" s="147">
        <v>2018</v>
      </c>
      <c r="J359" s="344">
        <v>0.805</v>
      </c>
      <c r="K359" s="344">
        <v>0.805</v>
      </c>
      <c r="L359" s="344"/>
      <c r="M359" s="344"/>
      <c r="N359" s="344">
        <f t="shared" si="91"/>
        <v>0.805</v>
      </c>
      <c r="O359" s="344"/>
      <c r="P359" s="344"/>
      <c r="Q359" s="344"/>
      <c r="R359" s="340"/>
      <c r="S359" s="71" t="s">
        <v>756</v>
      </c>
      <c r="T359" s="71" t="s">
        <v>757</v>
      </c>
      <c r="U359" s="147"/>
      <c r="V359" s="398"/>
      <c r="W359" s="91" t="str">
        <f t="shared" si="89"/>
        <v>Y</v>
      </c>
      <c r="X359" s="91"/>
      <c r="Y359" s="91"/>
    </row>
    <row r="360" s="61" customFormat="1" ht="21.95" customHeight="1" spans="1:25">
      <c r="A360" s="147"/>
      <c r="B360" s="74" t="s">
        <v>758</v>
      </c>
      <c r="C360" s="71" t="s">
        <v>52</v>
      </c>
      <c r="D360" s="71" t="s">
        <v>384</v>
      </c>
      <c r="E360" s="147">
        <v>9</v>
      </c>
      <c r="F360" s="147">
        <v>9</v>
      </c>
      <c r="G360" s="147">
        <v>32</v>
      </c>
      <c r="H360" s="147">
        <v>2018</v>
      </c>
      <c r="I360" s="147">
        <v>2018</v>
      </c>
      <c r="J360" s="344">
        <v>0.315</v>
      </c>
      <c r="K360" s="344">
        <v>0.315</v>
      </c>
      <c r="L360" s="344"/>
      <c r="M360" s="344"/>
      <c r="N360" s="344">
        <f t="shared" si="91"/>
        <v>0.315</v>
      </c>
      <c r="O360" s="344"/>
      <c r="P360" s="344"/>
      <c r="Q360" s="344"/>
      <c r="R360" s="340"/>
      <c r="S360" s="71" t="s">
        <v>759</v>
      </c>
      <c r="T360" s="71" t="s">
        <v>760</v>
      </c>
      <c r="U360" s="147"/>
      <c r="V360" s="398"/>
      <c r="W360" s="91" t="str">
        <f t="shared" si="89"/>
        <v>Y</v>
      </c>
      <c r="X360" s="91"/>
      <c r="Y360" s="91"/>
    </row>
    <row r="361" s="61" customFormat="1" ht="21.95" customHeight="1" spans="1:25">
      <c r="A361" s="147"/>
      <c r="B361" s="74" t="s">
        <v>770</v>
      </c>
      <c r="C361" s="71" t="s">
        <v>52</v>
      </c>
      <c r="D361" s="71" t="s">
        <v>384</v>
      </c>
      <c r="E361" s="147">
        <v>26</v>
      </c>
      <c r="F361" s="147">
        <v>26</v>
      </c>
      <c r="G361" s="147">
        <v>98</v>
      </c>
      <c r="H361" s="147">
        <v>2018</v>
      </c>
      <c r="I361" s="147">
        <v>2018</v>
      </c>
      <c r="J361" s="344">
        <v>0.91</v>
      </c>
      <c r="K361" s="344">
        <v>0.91</v>
      </c>
      <c r="L361" s="344"/>
      <c r="M361" s="344"/>
      <c r="N361" s="344">
        <f t="shared" si="91"/>
        <v>0.91</v>
      </c>
      <c r="O361" s="344"/>
      <c r="P361" s="344"/>
      <c r="Q361" s="344"/>
      <c r="R361" s="340"/>
      <c r="S361" s="71" t="s">
        <v>771</v>
      </c>
      <c r="T361" s="71" t="s">
        <v>832</v>
      </c>
      <c r="U361" s="147"/>
      <c r="V361" s="398"/>
      <c r="W361" s="91" t="str">
        <f t="shared" si="89"/>
        <v>Y</v>
      </c>
      <c r="X361" s="91"/>
      <c r="Y361" s="91"/>
    </row>
    <row r="362" s="61" customFormat="1" ht="21.95" customHeight="1" spans="1:25">
      <c r="A362" s="147">
        <v>66</v>
      </c>
      <c r="B362" s="74" t="s">
        <v>501</v>
      </c>
      <c r="C362" s="147" t="s">
        <v>320</v>
      </c>
      <c r="D362" s="147" t="s">
        <v>320</v>
      </c>
      <c r="E362" s="147"/>
      <c r="F362" s="147"/>
      <c r="G362" s="147"/>
      <c r="H362" s="147"/>
      <c r="I362" s="147"/>
      <c r="J362" s="147" t="s">
        <v>320</v>
      </c>
      <c r="K362" s="147" t="s">
        <v>320</v>
      </c>
      <c r="L362" s="147" t="s">
        <v>320</v>
      </c>
      <c r="M362" s="147" t="s">
        <v>320</v>
      </c>
      <c r="N362" s="674"/>
      <c r="O362" s="674"/>
      <c r="P362" s="674"/>
      <c r="Q362" s="674"/>
      <c r="R362" s="674"/>
      <c r="S362" s="147"/>
      <c r="T362" s="147"/>
      <c r="U362" s="147" t="s">
        <v>320</v>
      </c>
      <c r="V362" s="74" t="s">
        <v>41</v>
      </c>
      <c r="W362" s="91" t="str">
        <f t="shared" si="89"/>
        <v>N</v>
      </c>
      <c r="X362" s="91"/>
      <c r="Y362" s="91"/>
    </row>
    <row r="363" s="61" customFormat="1" ht="21.95" customHeight="1" spans="1:25">
      <c r="A363" s="147">
        <v>67</v>
      </c>
      <c r="B363" s="398" t="s">
        <v>993</v>
      </c>
      <c r="C363" s="71" t="s">
        <v>872</v>
      </c>
      <c r="D363" s="71" t="s">
        <v>496</v>
      </c>
      <c r="E363" s="147"/>
      <c r="F363" s="147"/>
      <c r="G363" s="147"/>
      <c r="H363" s="147"/>
      <c r="I363" s="147"/>
      <c r="J363" s="147" t="s">
        <v>320</v>
      </c>
      <c r="K363" s="147" t="s">
        <v>320</v>
      </c>
      <c r="L363" s="147" t="s">
        <v>320</v>
      </c>
      <c r="M363" s="147" t="s">
        <v>320</v>
      </c>
      <c r="N363" s="674"/>
      <c r="O363" s="674"/>
      <c r="P363" s="674"/>
      <c r="Q363" s="674"/>
      <c r="R363" s="674"/>
      <c r="S363" s="147"/>
      <c r="T363" s="147"/>
      <c r="U363" s="71" t="s">
        <v>497</v>
      </c>
      <c r="V363" s="74" t="s">
        <v>41</v>
      </c>
      <c r="W363" s="91" t="str">
        <f t="shared" si="89"/>
        <v>N</v>
      </c>
      <c r="X363" s="91"/>
      <c r="Y363" s="91"/>
    </row>
    <row r="364" s="61" customFormat="1" ht="21.95" customHeight="1" spans="1:25">
      <c r="A364" s="147">
        <v>68</v>
      </c>
      <c r="B364" s="398" t="s">
        <v>994</v>
      </c>
      <c r="C364" s="71" t="s">
        <v>872</v>
      </c>
      <c r="D364" s="71" t="s">
        <v>496</v>
      </c>
      <c r="E364" s="147"/>
      <c r="F364" s="147"/>
      <c r="G364" s="147"/>
      <c r="H364" s="147"/>
      <c r="I364" s="147"/>
      <c r="J364" s="147" t="s">
        <v>320</v>
      </c>
      <c r="K364" s="147" t="s">
        <v>320</v>
      </c>
      <c r="L364" s="147" t="s">
        <v>320</v>
      </c>
      <c r="M364" s="147" t="s">
        <v>320</v>
      </c>
      <c r="N364" s="674"/>
      <c r="O364" s="674"/>
      <c r="P364" s="674"/>
      <c r="Q364" s="674"/>
      <c r="R364" s="674"/>
      <c r="S364" s="147"/>
      <c r="T364" s="147"/>
      <c r="U364" s="71" t="s">
        <v>497</v>
      </c>
      <c r="V364" s="74" t="s">
        <v>41</v>
      </c>
      <c r="W364" s="91" t="str">
        <f t="shared" si="89"/>
        <v>N</v>
      </c>
      <c r="X364" s="91"/>
      <c r="Y364" s="91"/>
    </row>
    <row r="365" s="61" customFormat="1" ht="21.95" customHeight="1" spans="1:25">
      <c r="A365" s="147">
        <v>69</v>
      </c>
      <c r="B365" s="398" t="s">
        <v>995</v>
      </c>
      <c r="C365" s="71" t="s">
        <v>872</v>
      </c>
      <c r="D365" s="71" t="s">
        <v>496</v>
      </c>
      <c r="E365" s="147"/>
      <c r="F365" s="147"/>
      <c r="G365" s="147"/>
      <c r="H365" s="147"/>
      <c r="I365" s="147"/>
      <c r="J365" s="340" t="s">
        <v>320</v>
      </c>
      <c r="K365" s="340" t="s">
        <v>320</v>
      </c>
      <c r="L365" s="340" t="s">
        <v>320</v>
      </c>
      <c r="M365" s="340" t="s">
        <v>320</v>
      </c>
      <c r="N365" s="340"/>
      <c r="O365" s="340"/>
      <c r="P365" s="340"/>
      <c r="Q365" s="340"/>
      <c r="R365" s="340"/>
      <c r="S365" s="147"/>
      <c r="T365" s="147"/>
      <c r="U365" s="71" t="s">
        <v>497</v>
      </c>
      <c r="V365" s="74" t="s">
        <v>41</v>
      </c>
      <c r="W365" s="91" t="str">
        <f t="shared" si="89"/>
        <v>N</v>
      </c>
      <c r="X365" s="91"/>
      <c r="Y365" s="91"/>
    </row>
    <row r="366" s="61" customFormat="1" ht="36.95" customHeight="1" spans="1:25">
      <c r="A366" s="147">
        <v>70</v>
      </c>
      <c r="B366" s="74" t="s">
        <v>505</v>
      </c>
      <c r="C366" s="71" t="s">
        <v>872</v>
      </c>
      <c r="D366" s="71" t="s">
        <v>147</v>
      </c>
      <c r="E366" s="147">
        <f t="shared" ref="E366:G366" si="92">E368+E369+E370+E371+E372+E373+E374+E375+E376+E377+E378+E379+E380+E381+E382+E383</f>
        <v>5030</v>
      </c>
      <c r="F366" s="147">
        <f t="shared" si="92"/>
        <v>380</v>
      </c>
      <c r="G366" s="147">
        <f t="shared" si="92"/>
        <v>1475</v>
      </c>
      <c r="H366" s="147">
        <v>2018</v>
      </c>
      <c r="I366" s="147">
        <v>2019</v>
      </c>
      <c r="J366" s="147">
        <f t="shared" ref="J366:O366" si="93">J367+J368+J369+J370+J371+J372+J373+J374+J375+J376+J377+J378+J379+J380+J381+J382+J383</f>
        <v>871.5</v>
      </c>
      <c r="K366" s="147">
        <f t="shared" si="93"/>
        <v>500.14</v>
      </c>
      <c r="L366" s="147">
        <f t="shared" si="93"/>
        <v>371.36</v>
      </c>
      <c r="M366" s="147">
        <f t="shared" si="93"/>
        <v>0</v>
      </c>
      <c r="N366" s="147">
        <f t="shared" si="93"/>
        <v>0</v>
      </c>
      <c r="O366" s="147">
        <f t="shared" si="93"/>
        <v>871.5</v>
      </c>
      <c r="P366" s="122"/>
      <c r="Q366" s="674"/>
      <c r="R366" s="674"/>
      <c r="S366" s="71" t="s">
        <v>851</v>
      </c>
      <c r="T366" s="71" t="s">
        <v>852</v>
      </c>
      <c r="U366" s="71" t="s">
        <v>275</v>
      </c>
      <c r="V366" s="74" t="s">
        <v>41</v>
      </c>
      <c r="W366" s="91" t="str">
        <f t="shared" si="89"/>
        <v>Y</v>
      </c>
      <c r="X366" s="91"/>
      <c r="Y366" s="91"/>
    </row>
    <row r="367" s="61" customFormat="1" ht="51.95" customHeight="1" spans="1:25">
      <c r="A367" s="147"/>
      <c r="B367" s="74" t="s">
        <v>996</v>
      </c>
      <c r="C367" s="71"/>
      <c r="D367" s="71"/>
      <c r="E367" s="147">
        <f t="shared" ref="E367:G367" si="94">E368+E369+E370+E373+E374+E375</f>
        <v>2452</v>
      </c>
      <c r="F367" s="147">
        <f t="shared" si="94"/>
        <v>185</v>
      </c>
      <c r="G367" s="147">
        <f t="shared" si="94"/>
        <v>770</v>
      </c>
      <c r="H367" s="147">
        <v>2018</v>
      </c>
      <c r="I367" s="147">
        <v>2018</v>
      </c>
      <c r="J367" s="147">
        <v>22.98</v>
      </c>
      <c r="K367" s="147">
        <v>22.98</v>
      </c>
      <c r="L367" s="147"/>
      <c r="M367" s="147"/>
      <c r="N367" s="147"/>
      <c r="O367" s="147">
        <v>22.98</v>
      </c>
      <c r="P367" s="122"/>
      <c r="Q367" s="674"/>
      <c r="R367" s="674"/>
      <c r="S367" s="71"/>
      <c r="T367" s="71"/>
      <c r="U367" s="71"/>
      <c r="V367" s="74" t="s">
        <v>997</v>
      </c>
      <c r="W367" s="91"/>
      <c r="X367" s="91"/>
      <c r="Y367" s="91"/>
    </row>
    <row r="368" s="61" customFormat="1" ht="24" spans="1:25">
      <c r="A368" s="147"/>
      <c r="B368" s="74" t="s">
        <v>998</v>
      </c>
      <c r="C368" s="71" t="s">
        <v>52</v>
      </c>
      <c r="D368" s="71" t="s">
        <v>147</v>
      </c>
      <c r="E368" s="147">
        <v>59</v>
      </c>
      <c r="F368" s="147">
        <v>6</v>
      </c>
      <c r="G368" s="147">
        <v>25</v>
      </c>
      <c r="H368" s="147">
        <v>2018</v>
      </c>
      <c r="I368" s="147">
        <v>2018</v>
      </c>
      <c r="J368" s="147">
        <v>2.99</v>
      </c>
      <c r="K368" s="147">
        <v>2.99</v>
      </c>
      <c r="L368" s="147"/>
      <c r="M368" s="147"/>
      <c r="N368" s="147"/>
      <c r="O368" s="147">
        <v>2.99</v>
      </c>
      <c r="P368" s="674"/>
      <c r="Q368" s="674"/>
      <c r="R368" s="674"/>
      <c r="S368" s="147"/>
      <c r="T368" s="147"/>
      <c r="U368" s="147"/>
      <c r="V368" s="74" t="s">
        <v>999</v>
      </c>
      <c r="W368" s="91" t="str">
        <f t="shared" ref="W368:W382" si="95">IF(SUM(N368:R368)=J368,"Y","N")</f>
        <v>Y</v>
      </c>
      <c r="X368" s="91"/>
      <c r="Y368" s="91"/>
    </row>
    <row r="369" s="61" customFormat="1" ht="60.75" spans="1:25">
      <c r="A369" s="147"/>
      <c r="B369" s="74" t="s">
        <v>1000</v>
      </c>
      <c r="C369" s="71" t="s">
        <v>52</v>
      </c>
      <c r="D369" s="71" t="s">
        <v>147</v>
      </c>
      <c r="E369" s="147">
        <v>41</v>
      </c>
      <c r="F369" s="147">
        <v>7</v>
      </c>
      <c r="G369" s="147">
        <v>41</v>
      </c>
      <c r="H369" s="147">
        <v>2018</v>
      </c>
      <c r="I369" s="147">
        <v>2018</v>
      </c>
      <c r="J369" s="147">
        <v>14.7</v>
      </c>
      <c r="K369" s="147">
        <v>14.7</v>
      </c>
      <c r="L369" s="147"/>
      <c r="M369" s="147"/>
      <c r="N369" s="147"/>
      <c r="O369" s="147">
        <v>14.7</v>
      </c>
      <c r="P369" s="674"/>
      <c r="Q369" s="674"/>
      <c r="R369" s="674"/>
      <c r="S369" s="147"/>
      <c r="T369" s="147"/>
      <c r="U369" s="147"/>
      <c r="V369" s="74" t="s">
        <v>999</v>
      </c>
      <c r="W369" s="91" t="str">
        <f t="shared" si="95"/>
        <v>Y</v>
      </c>
      <c r="X369" s="91"/>
      <c r="Y369" s="91"/>
    </row>
    <row r="370" s="61" customFormat="1" ht="24" spans="1:25">
      <c r="A370" s="147"/>
      <c r="B370" s="74" t="s">
        <v>1001</v>
      </c>
      <c r="C370" s="71" t="s">
        <v>52</v>
      </c>
      <c r="D370" s="71" t="s">
        <v>147</v>
      </c>
      <c r="E370" s="147">
        <v>599</v>
      </c>
      <c r="F370" s="147">
        <v>52</v>
      </c>
      <c r="G370" s="147">
        <v>187</v>
      </c>
      <c r="H370" s="147">
        <v>2018</v>
      </c>
      <c r="I370" s="147">
        <v>2018</v>
      </c>
      <c r="J370" s="147">
        <v>93.57</v>
      </c>
      <c r="K370" s="147">
        <v>93.57</v>
      </c>
      <c r="L370" s="147"/>
      <c r="M370" s="147"/>
      <c r="N370" s="147"/>
      <c r="O370" s="147">
        <v>93.57</v>
      </c>
      <c r="P370" s="674"/>
      <c r="Q370" s="674"/>
      <c r="R370" s="674"/>
      <c r="S370" s="147"/>
      <c r="T370" s="147"/>
      <c r="U370" s="147"/>
      <c r="V370" s="74" t="s">
        <v>1002</v>
      </c>
      <c r="W370" s="91" t="str">
        <f t="shared" si="95"/>
        <v>Y</v>
      </c>
      <c r="X370" s="91"/>
      <c r="Y370" s="91"/>
    </row>
    <row r="371" s="61" customFormat="1" ht="24" spans="1:25">
      <c r="A371" s="147"/>
      <c r="B371" s="74" t="s">
        <v>1003</v>
      </c>
      <c r="C371" s="71" t="s">
        <v>162</v>
      </c>
      <c r="D371" s="71" t="s">
        <v>147</v>
      </c>
      <c r="E371" s="147">
        <v>147</v>
      </c>
      <c r="F371" s="147">
        <v>12</v>
      </c>
      <c r="G371" s="147">
        <v>43</v>
      </c>
      <c r="H371" s="147">
        <v>2019</v>
      </c>
      <c r="I371" s="147">
        <v>2019</v>
      </c>
      <c r="J371" s="147">
        <v>20.58</v>
      </c>
      <c r="K371" s="147"/>
      <c r="L371" s="147">
        <v>20.58</v>
      </c>
      <c r="M371" s="147"/>
      <c r="N371" s="147"/>
      <c r="O371" s="147">
        <v>20.58</v>
      </c>
      <c r="P371" s="674"/>
      <c r="Q371" s="674"/>
      <c r="R371" s="674"/>
      <c r="S371" s="147"/>
      <c r="T371" s="147"/>
      <c r="U371" s="147"/>
      <c r="V371" s="74" t="s">
        <v>1004</v>
      </c>
      <c r="W371" s="91" t="str">
        <f t="shared" si="95"/>
        <v>Y</v>
      </c>
      <c r="X371" s="91"/>
      <c r="Y371" s="91"/>
    </row>
    <row r="372" s="61" customFormat="1" ht="24" spans="1:25">
      <c r="A372" s="147"/>
      <c r="B372" s="74" t="s">
        <v>1005</v>
      </c>
      <c r="C372" s="71" t="s">
        <v>162</v>
      </c>
      <c r="D372" s="71" t="s">
        <v>147</v>
      </c>
      <c r="E372" s="147">
        <v>220</v>
      </c>
      <c r="F372" s="147">
        <v>19</v>
      </c>
      <c r="G372" s="147">
        <v>60</v>
      </c>
      <c r="H372" s="147">
        <v>2019</v>
      </c>
      <c r="I372" s="147">
        <v>2019</v>
      </c>
      <c r="J372" s="147">
        <v>30.8</v>
      </c>
      <c r="K372" s="147"/>
      <c r="L372" s="147">
        <v>30.8</v>
      </c>
      <c r="M372" s="147"/>
      <c r="N372" s="147"/>
      <c r="O372" s="147">
        <v>30.8</v>
      </c>
      <c r="P372" s="674"/>
      <c r="Q372" s="674"/>
      <c r="R372" s="674"/>
      <c r="S372" s="147"/>
      <c r="T372" s="147"/>
      <c r="U372" s="147"/>
      <c r="V372" s="74" t="s">
        <v>1004</v>
      </c>
      <c r="W372" s="91" t="str">
        <f t="shared" si="95"/>
        <v>Y</v>
      </c>
      <c r="X372" s="91"/>
      <c r="Y372" s="91"/>
    </row>
    <row r="373" s="61" customFormat="1" ht="60" spans="1:25">
      <c r="A373" s="147"/>
      <c r="B373" s="74" t="s">
        <v>1006</v>
      </c>
      <c r="C373" s="71" t="s">
        <v>162</v>
      </c>
      <c r="D373" s="71" t="s">
        <v>147</v>
      </c>
      <c r="E373" s="147">
        <v>1232</v>
      </c>
      <c r="F373" s="147">
        <v>81</v>
      </c>
      <c r="G373" s="147">
        <v>355</v>
      </c>
      <c r="H373" s="147">
        <v>2018</v>
      </c>
      <c r="I373" s="147">
        <v>2018</v>
      </c>
      <c r="J373" s="147">
        <v>308</v>
      </c>
      <c r="K373" s="147">
        <v>308</v>
      </c>
      <c r="L373" s="147"/>
      <c r="M373" s="147"/>
      <c r="N373" s="147"/>
      <c r="O373" s="147">
        <v>308</v>
      </c>
      <c r="P373" s="674"/>
      <c r="Q373" s="674"/>
      <c r="R373" s="674"/>
      <c r="S373" s="147"/>
      <c r="T373" s="147"/>
      <c r="U373" s="147"/>
      <c r="V373" s="74" t="s">
        <v>1002</v>
      </c>
      <c r="W373" s="91" t="str">
        <f t="shared" si="95"/>
        <v>Y</v>
      </c>
      <c r="X373" s="91"/>
      <c r="Y373" s="91"/>
    </row>
    <row r="374" s="61" customFormat="1" ht="24" spans="1:25">
      <c r="A374" s="147"/>
      <c r="B374" s="74" t="s">
        <v>1007</v>
      </c>
      <c r="C374" s="71" t="s">
        <v>52</v>
      </c>
      <c r="D374" s="71" t="s">
        <v>147</v>
      </c>
      <c r="E374" s="147">
        <v>284</v>
      </c>
      <c r="F374" s="147">
        <v>18</v>
      </c>
      <c r="G374" s="147">
        <v>83</v>
      </c>
      <c r="H374" s="147">
        <v>2018</v>
      </c>
      <c r="I374" s="147">
        <v>2018</v>
      </c>
      <c r="J374" s="147">
        <v>37.24</v>
      </c>
      <c r="K374" s="147">
        <v>37.24</v>
      </c>
      <c r="L374" s="147"/>
      <c r="M374" s="147"/>
      <c r="N374" s="147"/>
      <c r="O374" s="147">
        <v>37.24</v>
      </c>
      <c r="P374" s="674"/>
      <c r="Q374" s="674"/>
      <c r="R374" s="674"/>
      <c r="S374" s="147"/>
      <c r="T374" s="147"/>
      <c r="U374" s="147"/>
      <c r="V374" s="74" t="s">
        <v>999</v>
      </c>
      <c r="W374" s="91" t="str">
        <f t="shared" si="95"/>
        <v>Y</v>
      </c>
      <c r="X374" s="91"/>
      <c r="Y374" s="91"/>
    </row>
    <row r="375" s="61" customFormat="1" ht="24" spans="1:25">
      <c r="A375" s="147"/>
      <c r="B375" s="74" t="s">
        <v>1008</v>
      </c>
      <c r="C375" s="212" t="s">
        <v>52</v>
      </c>
      <c r="D375" s="71" t="s">
        <v>147</v>
      </c>
      <c r="E375" s="147">
        <v>237</v>
      </c>
      <c r="F375" s="147">
        <v>21</v>
      </c>
      <c r="G375" s="147">
        <v>79</v>
      </c>
      <c r="H375" s="147">
        <v>2018</v>
      </c>
      <c r="I375" s="147">
        <v>2018</v>
      </c>
      <c r="J375" s="147">
        <v>20.66</v>
      </c>
      <c r="K375" s="147">
        <v>20.66</v>
      </c>
      <c r="L375" s="147"/>
      <c r="M375" s="147"/>
      <c r="N375" s="147"/>
      <c r="O375" s="147">
        <v>20.66</v>
      </c>
      <c r="P375" s="674"/>
      <c r="Q375" s="674"/>
      <c r="R375" s="674"/>
      <c r="S375" s="147"/>
      <c r="T375" s="147"/>
      <c r="U375" s="147"/>
      <c r="V375" s="74" t="s">
        <v>999</v>
      </c>
      <c r="W375" s="91" t="str">
        <f t="shared" si="95"/>
        <v>Y</v>
      </c>
      <c r="X375" s="91"/>
      <c r="Y375" s="91"/>
    </row>
    <row r="376" s="61" customFormat="1" ht="60" spans="1:25">
      <c r="A376" s="147"/>
      <c r="B376" s="74" t="s">
        <v>1009</v>
      </c>
      <c r="C376" s="71" t="s">
        <v>162</v>
      </c>
      <c r="D376" s="71" t="s">
        <v>147</v>
      </c>
      <c r="E376" s="147">
        <v>736</v>
      </c>
      <c r="F376" s="147">
        <v>43</v>
      </c>
      <c r="G376" s="147">
        <v>169</v>
      </c>
      <c r="H376" s="147">
        <v>2019</v>
      </c>
      <c r="I376" s="147">
        <v>2019</v>
      </c>
      <c r="J376" s="147">
        <v>103.04</v>
      </c>
      <c r="K376" s="147"/>
      <c r="L376" s="147">
        <v>103.04</v>
      </c>
      <c r="M376" s="147"/>
      <c r="N376" s="147"/>
      <c r="O376" s="147">
        <v>103.04</v>
      </c>
      <c r="P376" s="674"/>
      <c r="Q376" s="674"/>
      <c r="R376" s="674"/>
      <c r="S376" s="147"/>
      <c r="T376" s="147"/>
      <c r="U376" s="147"/>
      <c r="V376" s="74" t="s">
        <v>1010</v>
      </c>
      <c r="W376" s="91" t="str">
        <f t="shared" si="95"/>
        <v>Y</v>
      </c>
      <c r="X376" s="91"/>
      <c r="Y376" s="91"/>
    </row>
    <row r="377" s="61" customFormat="1" ht="36" spans="1:25">
      <c r="A377" s="147"/>
      <c r="B377" s="74" t="s">
        <v>1011</v>
      </c>
      <c r="C377" s="71" t="s">
        <v>162</v>
      </c>
      <c r="D377" s="71" t="s">
        <v>147</v>
      </c>
      <c r="E377" s="147">
        <v>311</v>
      </c>
      <c r="F377" s="147">
        <v>16</v>
      </c>
      <c r="G377" s="147">
        <v>60</v>
      </c>
      <c r="H377" s="147">
        <v>2019</v>
      </c>
      <c r="I377" s="147">
        <v>2019</v>
      </c>
      <c r="J377" s="147">
        <v>43.54</v>
      </c>
      <c r="K377" s="147"/>
      <c r="L377" s="147">
        <v>43.54</v>
      </c>
      <c r="M377" s="147"/>
      <c r="N377" s="147"/>
      <c r="O377" s="147">
        <v>43.54</v>
      </c>
      <c r="P377" s="674"/>
      <c r="Q377" s="674"/>
      <c r="R377" s="674"/>
      <c r="S377" s="147"/>
      <c r="T377" s="147"/>
      <c r="U377" s="147"/>
      <c r="V377" s="74" t="s">
        <v>1010</v>
      </c>
      <c r="W377" s="91" t="str">
        <f t="shared" si="95"/>
        <v>Y</v>
      </c>
      <c r="X377" s="91"/>
      <c r="Y377" s="91"/>
    </row>
    <row r="378" s="61" customFormat="1" ht="24" spans="1:25">
      <c r="A378" s="147"/>
      <c r="B378" s="74" t="s">
        <v>1012</v>
      </c>
      <c r="C378" s="71" t="s">
        <v>52</v>
      </c>
      <c r="D378" s="71" t="s">
        <v>147</v>
      </c>
      <c r="E378" s="147">
        <v>394</v>
      </c>
      <c r="F378" s="147">
        <v>17</v>
      </c>
      <c r="G378" s="147">
        <v>72</v>
      </c>
      <c r="H378" s="147">
        <v>2019</v>
      </c>
      <c r="I378" s="147">
        <v>2019</v>
      </c>
      <c r="J378" s="147">
        <v>55.16</v>
      </c>
      <c r="K378" s="147"/>
      <c r="L378" s="147">
        <v>55.16</v>
      </c>
      <c r="M378" s="147"/>
      <c r="N378" s="147"/>
      <c r="O378" s="147">
        <v>55.16</v>
      </c>
      <c r="P378" s="674"/>
      <c r="Q378" s="674"/>
      <c r="R378" s="674"/>
      <c r="S378" s="147"/>
      <c r="T378" s="147"/>
      <c r="U378" s="147"/>
      <c r="V378" s="74" t="s">
        <v>1010</v>
      </c>
      <c r="W378" s="91" t="str">
        <f t="shared" si="95"/>
        <v>Y</v>
      </c>
      <c r="X378" s="91"/>
      <c r="Y378" s="91"/>
    </row>
    <row r="379" s="61" customFormat="1" ht="24" spans="1:25">
      <c r="A379" s="147"/>
      <c r="B379" s="74" t="s">
        <v>1013</v>
      </c>
      <c r="C379" s="71" t="s">
        <v>162</v>
      </c>
      <c r="D379" s="71" t="s">
        <v>147</v>
      </c>
      <c r="E379" s="147">
        <v>183</v>
      </c>
      <c r="F379" s="147">
        <v>21</v>
      </c>
      <c r="G379" s="147">
        <v>59</v>
      </c>
      <c r="H379" s="147">
        <v>2019</v>
      </c>
      <c r="I379" s="147">
        <v>2019</v>
      </c>
      <c r="J379" s="147">
        <v>25.62</v>
      </c>
      <c r="K379" s="147"/>
      <c r="L379" s="147">
        <v>25.62</v>
      </c>
      <c r="M379" s="147"/>
      <c r="N379" s="147"/>
      <c r="O379" s="147">
        <v>25.62</v>
      </c>
      <c r="P379" s="674"/>
      <c r="Q379" s="674"/>
      <c r="R379" s="674"/>
      <c r="S379" s="147"/>
      <c r="T379" s="147"/>
      <c r="U379" s="147"/>
      <c r="V379" s="74" t="s">
        <v>1010</v>
      </c>
      <c r="W379" s="91" t="str">
        <f t="shared" si="95"/>
        <v>Y</v>
      </c>
      <c r="X379" s="91"/>
      <c r="Y379" s="91"/>
    </row>
    <row r="380" s="61" customFormat="1" ht="36" spans="1:25">
      <c r="A380" s="147"/>
      <c r="B380" s="74" t="s">
        <v>1014</v>
      </c>
      <c r="C380" s="71" t="s">
        <v>52</v>
      </c>
      <c r="D380" s="71" t="s">
        <v>147</v>
      </c>
      <c r="E380" s="147">
        <v>392</v>
      </c>
      <c r="F380" s="147">
        <v>49</v>
      </c>
      <c r="G380" s="147">
        <v>186</v>
      </c>
      <c r="H380" s="147">
        <v>2019</v>
      </c>
      <c r="I380" s="147">
        <v>2019</v>
      </c>
      <c r="J380" s="147">
        <v>54.88</v>
      </c>
      <c r="K380" s="147"/>
      <c r="L380" s="147">
        <v>54.88</v>
      </c>
      <c r="M380" s="147"/>
      <c r="N380" s="147"/>
      <c r="O380" s="147">
        <v>54.88</v>
      </c>
      <c r="P380" s="674"/>
      <c r="Q380" s="674"/>
      <c r="R380" s="674"/>
      <c r="S380" s="147"/>
      <c r="T380" s="147"/>
      <c r="U380" s="147"/>
      <c r="V380" s="74" t="s">
        <v>1010</v>
      </c>
      <c r="W380" s="91" t="str">
        <f t="shared" si="95"/>
        <v>Y</v>
      </c>
      <c r="X380" s="91"/>
      <c r="Y380" s="91"/>
    </row>
    <row r="381" s="61" customFormat="1" ht="24" spans="1:25">
      <c r="A381" s="147"/>
      <c r="B381" s="74" t="s">
        <v>1015</v>
      </c>
      <c r="C381" s="71" t="s">
        <v>162</v>
      </c>
      <c r="D381" s="71" t="s">
        <v>147</v>
      </c>
      <c r="E381" s="147">
        <v>144</v>
      </c>
      <c r="F381" s="147">
        <v>9</v>
      </c>
      <c r="G381" s="147">
        <v>35</v>
      </c>
      <c r="H381" s="147">
        <v>2019</v>
      </c>
      <c r="I381" s="147">
        <v>2019</v>
      </c>
      <c r="J381" s="147">
        <v>20.16</v>
      </c>
      <c r="K381" s="147"/>
      <c r="L381" s="147">
        <v>20.16</v>
      </c>
      <c r="M381" s="147"/>
      <c r="N381" s="147"/>
      <c r="O381" s="147">
        <v>20.16</v>
      </c>
      <c r="P381" s="674"/>
      <c r="Q381" s="674"/>
      <c r="R381" s="674"/>
      <c r="S381" s="147"/>
      <c r="T381" s="147"/>
      <c r="U381" s="147"/>
      <c r="V381" s="74" t="s">
        <v>1010</v>
      </c>
      <c r="W381" s="91" t="str">
        <f t="shared" si="95"/>
        <v>Y</v>
      </c>
      <c r="X381" s="91"/>
      <c r="Y381" s="91"/>
    </row>
    <row r="382" s="61" customFormat="1" ht="24" spans="1:25">
      <c r="A382" s="147"/>
      <c r="B382" s="74" t="s">
        <v>1016</v>
      </c>
      <c r="C382" s="71" t="s">
        <v>162</v>
      </c>
      <c r="D382" s="71" t="s">
        <v>147</v>
      </c>
      <c r="E382" s="147">
        <v>22</v>
      </c>
      <c r="F382" s="147">
        <v>2</v>
      </c>
      <c r="G382" s="147">
        <v>3</v>
      </c>
      <c r="H382" s="147">
        <v>2019</v>
      </c>
      <c r="I382" s="147">
        <v>2019</v>
      </c>
      <c r="J382" s="147">
        <v>3.08</v>
      </c>
      <c r="K382" s="147"/>
      <c r="L382" s="147">
        <v>3.08</v>
      </c>
      <c r="M382" s="147"/>
      <c r="N382" s="147"/>
      <c r="O382" s="147">
        <v>3.08</v>
      </c>
      <c r="P382" s="674"/>
      <c r="Q382" s="674"/>
      <c r="R382" s="674"/>
      <c r="S382" s="147"/>
      <c r="T382" s="147"/>
      <c r="U382" s="147"/>
      <c r="V382" s="74" t="s">
        <v>1010</v>
      </c>
      <c r="W382" s="91" t="str">
        <f t="shared" si="95"/>
        <v>Y</v>
      </c>
      <c r="X382" s="91"/>
      <c r="Y382" s="91"/>
    </row>
    <row r="383" s="61" customFormat="1" ht="45.95" customHeight="1" spans="1:25">
      <c r="A383" s="147"/>
      <c r="B383" s="74" t="s">
        <v>1017</v>
      </c>
      <c r="C383" s="71" t="s">
        <v>488</v>
      </c>
      <c r="D383" s="71" t="s">
        <v>1018</v>
      </c>
      <c r="E383" s="71">
        <v>29</v>
      </c>
      <c r="F383" s="147">
        <v>7</v>
      </c>
      <c r="G383" s="147">
        <v>18</v>
      </c>
      <c r="H383" s="147">
        <v>2019</v>
      </c>
      <c r="I383" s="147">
        <v>2019</v>
      </c>
      <c r="J383" s="147">
        <v>14.5</v>
      </c>
      <c r="K383" s="147"/>
      <c r="L383" s="147">
        <v>14.5</v>
      </c>
      <c r="M383" s="147"/>
      <c r="N383" s="147"/>
      <c r="O383" s="147">
        <v>14.5</v>
      </c>
      <c r="P383" s="674"/>
      <c r="Q383" s="674"/>
      <c r="R383" s="674"/>
      <c r="S383" s="147"/>
      <c r="T383" s="147"/>
      <c r="U383" s="147"/>
      <c r="V383" s="74" t="s">
        <v>1010</v>
      </c>
      <c r="W383" s="91"/>
      <c r="X383" s="91"/>
      <c r="Y383" s="91"/>
    </row>
    <row r="384" s="61" customFormat="1" ht="21.95" customHeight="1" spans="1:25">
      <c r="A384" s="147">
        <v>71</v>
      </c>
      <c r="B384" s="74" t="s">
        <v>537</v>
      </c>
      <c r="C384" s="147" t="s">
        <v>320</v>
      </c>
      <c r="D384" s="147" t="s">
        <v>320</v>
      </c>
      <c r="E384" s="147">
        <v>7</v>
      </c>
      <c r="F384" s="147">
        <v>1358</v>
      </c>
      <c r="G384" s="147">
        <v>5168</v>
      </c>
      <c r="H384" s="147">
        <v>2019</v>
      </c>
      <c r="I384" s="147">
        <v>2019</v>
      </c>
      <c r="J384" s="147">
        <v>28</v>
      </c>
      <c r="K384" s="147">
        <v>28</v>
      </c>
      <c r="L384" s="147"/>
      <c r="M384" s="147" t="s">
        <v>320</v>
      </c>
      <c r="N384" s="674"/>
      <c r="O384" s="674"/>
      <c r="P384" s="674">
        <v>28</v>
      </c>
      <c r="Q384" s="674"/>
      <c r="R384" s="674"/>
      <c r="S384" s="147"/>
      <c r="T384" s="147"/>
      <c r="U384" s="147" t="s">
        <v>320</v>
      </c>
      <c r="V384" s="74" t="s">
        <v>41</v>
      </c>
      <c r="W384" s="91" t="str">
        <f t="shared" ref="W384:W414" si="96">IF(SUM(N384:R384)=J384,"Y","N")</f>
        <v>Y</v>
      </c>
      <c r="X384" s="91"/>
      <c r="Y384" s="91"/>
    </row>
    <row r="385" s="61" customFormat="1" ht="24.75" spans="1:25">
      <c r="A385" s="147"/>
      <c r="B385" s="74" t="s">
        <v>1019</v>
      </c>
      <c r="C385" s="71" t="s">
        <v>1020</v>
      </c>
      <c r="D385" s="71" t="s">
        <v>150</v>
      </c>
      <c r="E385" s="147">
        <f t="shared" ref="E385:R385" si="97">E386</f>
        <v>7</v>
      </c>
      <c r="F385" s="147">
        <f t="shared" si="97"/>
        <v>1358</v>
      </c>
      <c r="G385" s="147">
        <f t="shared" si="97"/>
        <v>5168</v>
      </c>
      <c r="H385" s="147">
        <f t="shared" si="97"/>
        <v>2018</v>
      </c>
      <c r="I385" s="147">
        <f t="shared" si="97"/>
        <v>2018</v>
      </c>
      <c r="J385" s="147">
        <f t="shared" si="97"/>
        <v>28</v>
      </c>
      <c r="K385" s="147">
        <f t="shared" si="97"/>
        <v>28</v>
      </c>
      <c r="L385" s="147">
        <f t="shared" si="97"/>
        <v>0</v>
      </c>
      <c r="M385" s="147" t="str">
        <f t="shared" si="97"/>
        <v>—</v>
      </c>
      <c r="N385" s="147">
        <f t="shared" si="97"/>
        <v>0</v>
      </c>
      <c r="O385" s="147">
        <f t="shared" si="97"/>
        <v>0</v>
      </c>
      <c r="P385" s="147">
        <f t="shared" si="97"/>
        <v>28</v>
      </c>
      <c r="Q385" s="147">
        <f t="shared" si="97"/>
        <v>0</v>
      </c>
      <c r="R385" s="147">
        <f t="shared" si="97"/>
        <v>0</v>
      </c>
      <c r="S385" s="71"/>
      <c r="T385" s="71"/>
      <c r="U385" s="71"/>
      <c r="V385" s="74" t="s">
        <v>1021</v>
      </c>
      <c r="W385" s="91" t="str">
        <f t="shared" si="96"/>
        <v>Y</v>
      </c>
      <c r="X385" s="91"/>
      <c r="Y385" s="91"/>
    </row>
    <row r="386" s="61" customFormat="1" ht="24.75" spans="1:25">
      <c r="A386" s="147"/>
      <c r="B386" s="74" t="s">
        <v>1022</v>
      </c>
      <c r="C386" s="147"/>
      <c r="D386" s="71" t="s">
        <v>1023</v>
      </c>
      <c r="E386" s="147">
        <v>7</v>
      </c>
      <c r="F386" s="147">
        <v>1358</v>
      </c>
      <c r="G386" s="147">
        <v>5168</v>
      </c>
      <c r="H386" s="147">
        <v>2018</v>
      </c>
      <c r="I386" s="147">
        <v>2018</v>
      </c>
      <c r="J386" s="147">
        <v>28</v>
      </c>
      <c r="K386" s="147">
        <v>28</v>
      </c>
      <c r="L386" s="147"/>
      <c r="M386" s="147" t="s">
        <v>320</v>
      </c>
      <c r="N386" s="674"/>
      <c r="O386" s="674"/>
      <c r="P386" s="674">
        <v>28</v>
      </c>
      <c r="Q386" s="674"/>
      <c r="R386" s="674"/>
      <c r="S386" s="71" t="s">
        <v>827</v>
      </c>
      <c r="T386" s="71" t="s">
        <v>815</v>
      </c>
      <c r="U386" s="147"/>
      <c r="V386" s="74" t="s">
        <v>1024</v>
      </c>
      <c r="W386" s="91" t="str">
        <f t="shared" si="96"/>
        <v>Y</v>
      </c>
      <c r="X386" s="91"/>
      <c r="Y386" s="91"/>
    </row>
    <row r="387" s="61" customFormat="1" ht="12.75" spans="1:25">
      <c r="A387" s="147">
        <v>72</v>
      </c>
      <c r="B387" s="74" t="s">
        <v>552</v>
      </c>
      <c r="C387" s="147" t="s">
        <v>320</v>
      </c>
      <c r="D387" s="147" t="s">
        <v>320</v>
      </c>
      <c r="E387" s="147">
        <v>4</v>
      </c>
      <c r="F387" s="147">
        <v>66</v>
      </c>
      <c r="G387" s="147">
        <v>262</v>
      </c>
      <c r="H387" s="147">
        <v>2018</v>
      </c>
      <c r="I387" s="147">
        <v>2019</v>
      </c>
      <c r="J387" s="147">
        <f>J388</f>
        <v>80</v>
      </c>
      <c r="K387" s="147">
        <f t="shared" ref="K387:R387" si="98">K388</f>
        <v>20</v>
      </c>
      <c r="L387" s="147">
        <f t="shared" si="98"/>
        <v>60</v>
      </c>
      <c r="M387" s="147">
        <f t="shared" si="98"/>
        <v>0</v>
      </c>
      <c r="N387" s="147">
        <f t="shared" si="98"/>
        <v>0</v>
      </c>
      <c r="O387" s="147">
        <f t="shared" si="98"/>
        <v>80</v>
      </c>
      <c r="P387" s="147">
        <f t="shared" si="98"/>
        <v>0</v>
      </c>
      <c r="Q387" s="147">
        <f t="shared" si="98"/>
        <v>0</v>
      </c>
      <c r="R387" s="147">
        <f t="shared" si="98"/>
        <v>0</v>
      </c>
      <c r="S387" s="71" t="s">
        <v>1025</v>
      </c>
      <c r="T387" s="71" t="s">
        <v>1026</v>
      </c>
      <c r="U387" s="147" t="s">
        <v>320</v>
      </c>
      <c r="V387" s="74" t="s">
        <v>41</v>
      </c>
      <c r="W387" s="91" t="str">
        <f t="shared" si="96"/>
        <v>Y</v>
      </c>
      <c r="X387" s="91"/>
      <c r="Y387" s="91"/>
    </row>
    <row r="388" s="61" customFormat="1" ht="25.5" spans="1:25">
      <c r="A388" s="147"/>
      <c r="B388" s="576" t="s">
        <v>554</v>
      </c>
      <c r="C388" s="71" t="s">
        <v>52</v>
      </c>
      <c r="D388" s="71" t="s">
        <v>150</v>
      </c>
      <c r="E388" s="147">
        <v>4</v>
      </c>
      <c r="F388" s="147">
        <v>66</v>
      </c>
      <c r="G388" s="147">
        <v>262</v>
      </c>
      <c r="H388" s="147">
        <v>2018</v>
      </c>
      <c r="I388" s="147">
        <v>2019</v>
      </c>
      <c r="J388" s="147">
        <f>K388+L388+M388</f>
        <v>80</v>
      </c>
      <c r="K388" s="147">
        <f t="shared" ref="K388:N388" si="99">SUM(K389:K392)</f>
        <v>20</v>
      </c>
      <c r="L388" s="147">
        <f t="shared" si="99"/>
        <v>60</v>
      </c>
      <c r="M388" s="147">
        <f t="shared" si="99"/>
        <v>0</v>
      </c>
      <c r="N388" s="147">
        <f t="shared" si="99"/>
        <v>0</v>
      </c>
      <c r="O388" s="147">
        <f t="shared" ref="O388:O392" si="100">J388</f>
        <v>80</v>
      </c>
      <c r="P388" s="147">
        <f t="shared" ref="P388:R388" si="101">SUM(P389:P392)</f>
        <v>0</v>
      </c>
      <c r="Q388" s="147">
        <f t="shared" si="101"/>
        <v>0</v>
      </c>
      <c r="R388" s="147">
        <f t="shared" si="101"/>
        <v>0</v>
      </c>
      <c r="S388" s="147"/>
      <c r="T388" s="147"/>
      <c r="U388" s="71" t="s">
        <v>1027</v>
      </c>
      <c r="V388" s="74" t="s">
        <v>1028</v>
      </c>
      <c r="W388" s="91" t="str">
        <f t="shared" si="96"/>
        <v>Y</v>
      </c>
      <c r="X388" s="91"/>
      <c r="Y388" s="91"/>
    </row>
    <row r="389" s="61" customFormat="1" ht="24" spans="1:25">
      <c r="A389" s="147"/>
      <c r="B389" s="576" t="s">
        <v>1029</v>
      </c>
      <c r="C389" s="674"/>
      <c r="D389" s="674"/>
      <c r="E389" s="674">
        <v>1</v>
      </c>
      <c r="F389" s="674">
        <v>18</v>
      </c>
      <c r="G389" s="674">
        <v>70</v>
      </c>
      <c r="H389" s="674">
        <v>2018</v>
      </c>
      <c r="I389" s="674">
        <v>2019</v>
      </c>
      <c r="J389" s="674">
        <v>20</v>
      </c>
      <c r="K389" s="674">
        <v>10</v>
      </c>
      <c r="L389" s="674">
        <v>10</v>
      </c>
      <c r="M389" s="674"/>
      <c r="N389" s="674"/>
      <c r="O389" s="147">
        <f t="shared" si="100"/>
        <v>20</v>
      </c>
      <c r="P389" s="674"/>
      <c r="Q389" s="674"/>
      <c r="R389" s="674"/>
      <c r="S389" s="71" t="s">
        <v>747</v>
      </c>
      <c r="T389" s="71" t="s">
        <v>748</v>
      </c>
      <c r="U389" s="674"/>
      <c r="V389" s="674"/>
      <c r="W389" s="91" t="str">
        <f t="shared" si="96"/>
        <v>Y</v>
      </c>
      <c r="X389" s="91"/>
      <c r="Y389" s="91"/>
    </row>
    <row r="390" s="61" customFormat="1" ht="12.75" spans="1:25">
      <c r="A390" s="147"/>
      <c r="B390" s="576" t="s">
        <v>1030</v>
      </c>
      <c r="C390" s="674"/>
      <c r="D390" s="674"/>
      <c r="E390" s="674">
        <v>1</v>
      </c>
      <c r="F390" s="674">
        <v>14</v>
      </c>
      <c r="G390" s="674">
        <v>48</v>
      </c>
      <c r="H390" s="674">
        <v>2019</v>
      </c>
      <c r="I390" s="674">
        <v>2019</v>
      </c>
      <c r="J390" s="674">
        <v>20</v>
      </c>
      <c r="K390" s="674"/>
      <c r="L390" s="674">
        <v>20</v>
      </c>
      <c r="M390" s="674"/>
      <c r="N390" s="674"/>
      <c r="O390" s="147">
        <f t="shared" si="100"/>
        <v>20</v>
      </c>
      <c r="P390" s="674"/>
      <c r="Q390" s="674"/>
      <c r="R390" s="674"/>
      <c r="S390" s="71" t="s">
        <v>753</v>
      </c>
      <c r="T390" s="71" t="s">
        <v>754</v>
      </c>
      <c r="U390" s="674"/>
      <c r="V390" s="674"/>
      <c r="W390" s="91" t="str">
        <f t="shared" si="96"/>
        <v>Y</v>
      </c>
      <c r="X390" s="91"/>
      <c r="Y390" s="91"/>
    </row>
    <row r="391" s="61" customFormat="1" ht="24" spans="1:25">
      <c r="A391" s="147"/>
      <c r="B391" s="576" t="s">
        <v>1031</v>
      </c>
      <c r="C391" s="674"/>
      <c r="D391" s="674"/>
      <c r="E391" s="674">
        <v>1</v>
      </c>
      <c r="F391" s="674">
        <v>19</v>
      </c>
      <c r="G391" s="674">
        <v>69</v>
      </c>
      <c r="H391" s="674">
        <v>2018</v>
      </c>
      <c r="I391" s="674">
        <v>2019</v>
      </c>
      <c r="J391" s="674">
        <v>20</v>
      </c>
      <c r="K391" s="674">
        <v>10</v>
      </c>
      <c r="L391" s="674">
        <v>10</v>
      </c>
      <c r="M391" s="674"/>
      <c r="N391" s="674"/>
      <c r="O391" s="147">
        <f t="shared" si="100"/>
        <v>20</v>
      </c>
      <c r="P391" s="674"/>
      <c r="Q391" s="674"/>
      <c r="R391" s="674"/>
      <c r="S391" s="71" t="s">
        <v>756</v>
      </c>
      <c r="T391" s="71" t="s">
        <v>757</v>
      </c>
      <c r="U391" s="674"/>
      <c r="V391" s="674"/>
      <c r="W391" s="91" t="str">
        <f t="shared" si="96"/>
        <v>Y</v>
      </c>
      <c r="X391" s="91"/>
      <c r="Y391" s="91"/>
    </row>
    <row r="392" s="61" customFormat="1" ht="12.75" spans="1:25">
      <c r="A392" s="147"/>
      <c r="B392" s="576" t="s">
        <v>1032</v>
      </c>
      <c r="C392" s="674"/>
      <c r="D392" s="674"/>
      <c r="E392" s="674">
        <v>1</v>
      </c>
      <c r="F392" s="674">
        <v>15</v>
      </c>
      <c r="G392" s="674">
        <v>75</v>
      </c>
      <c r="H392" s="674">
        <v>2019</v>
      </c>
      <c r="I392" s="674">
        <v>2019</v>
      </c>
      <c r="J392" s="674">
        <v>20</v>
      </c>
      <c r="K392" s="674"/>
      <c r="L392" s="674">
        <v>20</v>
      </c>
      <c r="M392" s="674"/>
      <c r="N392" s="674"/>
      <c r="O392" s="147">
        <f t="shared" si="100"/>
        <v>20</v>
      </c>
      <c r="P392" s="674"/>
      <c r="Q392" s="674"/>
      <c r="R392" s="674"/>
      <c r="S392" s="71" t="s">
        <v>759</v>
      </c>
      <c r="T392" s="71" t="s">
        <v>760</v>
      </c>
      <c r="U392" s="674"/>
      <c r="V392" s="674"/>
      <c r="W392" s="91" t="str">
        <f t="shared" si="96"/>
        <v>Y</v>
      </c>
      <c r="X392" s="91"/>
      <c r="Y392" s="91"/>
    </row>
    <row r="393" s="61" customFormat="1" ht="24" spans="1:25">
      <c r="A393" s="147">
        <v>73</v>
      </c>
      <c r="B393" s="142" t="s">
        <v>555</v>
      </c>
      <c r="C393" s="147" t="s">
        <v>320</v>
      </c>
      <c r="D393" s="147" t="s">
        <v>320</v>
      </c>
      <c r="E393" s="147">
        <f t="shared" ref="E393:I393" si="102">E394</f>
        <v>2697</v>
      </c>
      <c r="F393" s="147">
        <f t="shared" si="102"/>
        <v>630</v>
      </c>
      <c r="G393" s="147">
        <f t="shared" si="102"/>
        <v>769</v>
      </c>
      <c r="H393" s="147" t="str">
        <f t="shared" si="102"/>
        <v>—</v>
      </c>
      <c r="I393" s="147" t="str">
        <f t="shared" si="102"/>
        <v>—</v>
      </c>
      <c r="J393" s="147"/>
      <c r="K393" s="147"/>
      <c r="L393" s="147"/>
      <c r="M393" s="147"/>
      <c r="N393" s="122"/>
      <c r="O393" s="122"/>
      <c r="P393" s="122"/>
      <c r="Q393" s="122"/>
      <c r="R393" s="122"/>
      <c r="S393" s="123"/>
      <c r="T393" s="123"/>
      <c r="U393" s="147" t="s">
        <v>320</v>
      </c>
      <c r="V393" s="398"/>
      <c r="W393" s="91" t="str">
        <f t="shared" si="96"/>
        <v>Y</v>
      </c>
      <c r="X393" s="91"/>
      <c r="Y393" s="91"/>
    </row>
    <row r="394" s="61" customFormat="1" ht="60.75" spans="1:25">
      <c r="A394" s="147"/>
      <c r="B394" s="74" t="s">
        <v>1033</v>
      </c>
      <c r="C394" s="147" t="s">
        <v>320</v>
      </c>
      <c r="D394" s="71" t="s">
        <v>147</v>
      </c>
      <c r="E394" s="147">
        <f t="shared" ref="E394:G394" si="103">E395+E396+E397+E398+E399+E400+E401+E402</f>
        <v>2697</v>
      </c>
      <c r="F394" s="147">
        <f t="shared" si="103"/>
        <v>630</v>
      </c>
      <c r="G394" s="147">
        <f t="shared" si="103"/>
        <v>769</v>
      </c>
      <c r="H394" s="147" t="s">
        <v>320</v>
      </c>
      <c r="I394" s="147" t="s">
        <v>320</v>
      </c>
      <c r="J394" s="147" t="s">
        <v>320</v>
      </c>
      <c r="K394" s="147" t="s">
        <v>320</v>
      </c>
      <c r="L394" s="147" t="s">
        <v>320</v>
      </c>
      <c r="M394" s="147" t="s">
        <v>320</v>
      </c>
      <c r="N394" s="674"/>
      <c r="O394" s="674"/>
      <c r="P394" s="674"/>
      <c r="Q394" s="674"/>
      <c r="R394" s="674"/>
      <c r="S394" s="147" t="s">
        <v>320</v>
      </c>
      <c r="T394" s="147" t="s">
        <v>320</v>
      </c>
      <c r="U394" s="71" t="s">
        <v>294</v>
      </c>
      <c r="V394" s="74" t="s">
        <v>1034</v>
      </c>
      <c r="W394" s="91" t="str">
        <f t="shared" si="96"/>
        <v>N</v>
      </c>
      <c r="X394" s="91"/>
      <c r="Y394" s="91"/>
    </row>
    <row r="395" s="61" customFormat="1" ht="21.95" customHeight="1" spans="1:25">
      <c r="A395" s="147"/>
      <c r="B395" s="74" t="s">
        <v>746</v>
      </c>
      <c r="C395" s="147"/>
      <c r="D395" s="147"/>
      <c r="E395" s="147">
        <v>324</v>
      </c>
      <c r="F395" s="147">
        <v>72</v>
      </c>
      <c r="G395" s="147">
        <v>98</v>
      </c>
      <c r="H395" s="147" t="s">
        <v>320</v>
      </c>
      <c r="I395" s="147" t="s">
        <v>320</v>
      </c>
      <c r="J395" s="147" t="s">
        <v>320</v>
      </c>
      <c r="K395" s="147" t="s">
        <v>320</v>
      </c>
      <c r="L395" s="147" t="s">
        <v>320</v>
      </c>
      <c r="M395" s="147" t="s">
        <v>320</v>
      </c>
      <c r="N395" s="674"/>
      <c r="O395" s="674"/>
      <c r="P395" s="674"/>
      <c r="Q395" s="674"/>
      <c r="R395" s="674"/>
      <c r="S395" s="147" t="s">
        <v>320</v>
      </c>
      <c r="T395" s="147" t="s">
        <v>320</v>
      </c>
      <c r="U395" s="147"/>
      <c r="V395" s="398"/>
      <c r="W395" s="91" t="str">
        <f t="shared" si="96"/>
        <v>N</v>
      </c>
      <c r="X395" s="91"/>
      <c r="Y395" s="91"/>
    </row>
    <row r="396" s="61" customFormat="1" ht="21.95" customHeight="1" spans="1:25">
      <c r="A396" s="147"/>
      <c r="B396" s="74" t="s">
        <v>752</v>
      </c>
      <c r="C396" s="147"/>
      <c r="D396" s="147"/>
      <c r="E396" s="147">
        <v>375</v>
      </c>
      <c r="F396" s="147">
        <v>87</v>
      </c>
      <c r="G396" s="147">
        <v>106</v>
      </c>
      <c r="H396" s="147" t="s">
        <v>320</v>
      </c>
      <c r="I396" s="147" t="s">
        <v>320</v>
      </c>
      <c r="J396" s="147" t="s">
        <v>320</v>
      </c>
      <c r="K396" s="147" t="s">
        <v>320</v>
      </c>
      <c r="L396" s="147" t="s">
        <v>320</v>
      </c>
      <c r="M396" s="147" t="s">
        <v>320</v>
      </c>
      <c r="N396" s="674"/>
      <c r="O396" s="674"/>
      <c r="P396" s="674"/>
      <c r="Q396" s="674"/>
      <c r="R396" s="674"/>
      <c r="S396" s="147" t="s">
        <v>320</v>
      </c>
      <c r="T396" s="147" t="s">
        <v>320</v>
      </c>
      <c r="U396" s="147"/>
      <c r="V396" s="398"/>
      <c r="W396" s="91" t="str">
        <f t="shared" si="96"/>
        <v>N</v>
      </c>
      <c r="X396" s="91"/>
      <c r="Y396" s="91"/>
    </row>
    <row r="397" s="61" customFormat="1" ht="21.95" customHeight="1" spans="1:25">
      <c r="A397" s="147"/>
      <c r="B397" s="74" t="s">
        <v>764</v>
      </c>
      <c r="C397" s="147"/>
      <c r="D397" s="147"/>
      <c r="E397" s="147">
        <v>254</v>
      </c>
      <c r="F397" s="147">
        <v>59</v>
      </c>
      <c r="G397" s="147">
        <v>71</v>
      </c>
      <c r="H397" s="147" t="s">
        <v>320</v>
      </c>
      <c r="I397" s="147" t="s">
        <v>320</v>
      </c>
      <c r="J397" s="147" t="s">
        <v>320</v>
      </c>
      <c r="K397" s="147" t="s">
        <v>320</v>
      </c>
      <c r="L397" s="147" t="s">
        <v>320</v>
      </c>
      <c r="M397" s="147" t="s">
        <v>320</v>
      </c>
      <c r="N397" s="674"/>
      <c r="O397" s="674"/>
      <c r="P397" s="674"/>
      <c r="Q397" s="674"/>
      <c r="R397" s="674"/>
      <c r="S397" s="147" t="s">
        <v>320</v>
      </c>
      <c r="T397" s="147" t="s">
        <v>320</v>
      </c>
      <c r="U397" s="147"/>
      <c r="V397" s="398"/>
      <c r="W397" s="91" t="str">
        <f t="shared" si="96"/>
        <v>N</v>
      </c>
      <c r="X397" s="91"/>
      <c r="Y397" s="91"/>
    </row>
    <row r="398" s="61" customFormat="1" ht="21.95" customHeight="1" spans="1:25">
      <c r="A398" s="147"/>
      <c r="B398" s="74" t="s">
        <v>749</v>
      </c>
      <c r="C398" s="147"/>
      <c r="D398" s="147"/>
      <c r="E398" s="147">
        <v>334</v>
      </c>
      <c r="F398" s="147">
        <v>92</v>
      </c>
      <c r="G398" s="147">
        <v>109</v>
      </c>
      <c r="H398" s="147" t="s">
        <v>320</v>
      </c>
      <c r="I398" s="147" t="s">
        <v>320</v>
      </c>
      <c r="J398" s="147" t="s">
        <v>320</v>
      </c>
      <c r="K398" s="147" t="s">
        <v>320</v>
      </c>
      <c r="L398" s="147" t="s">
        <v>320</v>
      </c>
      <c r="M398" s="147" t="s">
        <v>320</v>
      </c>
      <c r="N398" s="674"/>
      <c r="O398" s="674"/>
      <c r="P398" s="674"/>
      <c r="Q398" s="674"/>
      <c r="R398" s="674"/>
      <c r="S398" s="147" t="s">
        <v>320</v>
      </c>
      <c r="T398" s="147" t="s">
        <v>320</v>
      </c>
      <c r="U398" s="147"/>
      <c r="V398" s="398"/>
      <c r="W398" s="91" t="str">
        <f t="shared" si="96"/>
        <v>N</v>
      </c>
      <c r="X398" s="91"/>
      <c r="Y398" s="91"/>
    </row>
    <row r="399" s="61" customFormat="1" ht="21.95" customHeight="1" spans="1:25">
      <c r="A399" s="147"/>
      <c r="B399" s="74" t="s">
        <v>755</v>
      </c>
      <c r="C399" s="147"/>
      <c r="D399" s="147"/>
      <c r="E399" s="147">
        <v>245</v>
      </c>
      <c r="F399" s="147">
        <v>61</v>
      </c>
      <c r="G399" s="147">
        <v>72</v>
      </c>
      <c r="H399" s="147" t="s">
        <v>320</v>
      </c>
      <c r="I399" s="147" t="s">
        <v>320</v>
      </c>
      <c r="J399" s="147" t="s">
        <v>320</v>
      </c>
      <c r="K399" s="147" t="s">
        <v>320</v>
      </c>
      <c r="L399" s="147" t="s">
        <v>320</v>
      </c>
      <c r="M399" s="147" t="s">
        <v>320</v>
      </c>
      <c r="N399" s="674"/>
      <c r="O399" s="674"/>
      <c r="P399" s="674"/>
      <c r="Q399" s="674"/>
      <c r="R399" s="674"/>
      <c r="S399" s="147" t="s">
        <v>320</v>
      </c>
      <c r="T399" s="147" t="s">
        <v>320</v>
      </c>
      <c r="U399" s="147"/>
      <c r="V399" s="398"/>
      <c r="W399" s="91" t="str">
        <f t="shared" si="96"/>
        <v>N</v>
      </c>
      <c r="X399" s="91"/>
      <c r="Y399" s="91"/>
    </row>
    <row r="400" s="61" customFormat="1" ht="21.95" customHeight="1" spans="1:25">
      <c r="A400" s="147"/>
      <c r="B400" s="74" t="s">
        <v>758</v>
      </c>
      <c r="C400" s="147"/>
      <c r="D400" s="147"/>
      <c r="E400" s="147">
        <v>420</v>
      </c>
      <c r="F400" s="147">
        <v>107</v>
      </c>
      <c r="G400" s="147">
        <v>127</v>
      </c>
      <c r="H400" s="147" t="s">
        <v>320</v>
      </c>
      <c r="I400" s="147" t="s">
        <v>320</v>
      </c>
      <c r="J400" s="147" t="s">
        <v>320</v>
      </c>
      <c r="K400" s="147" t="s">
        <v>320</v>
      </c>
      <c r="L400" s="147" t="s">
        <v>320</v>
      </c>
      <c r="M400" s="147" t="s">
        <v>320</v>
      </c>
      <c r="N400" s="674"/>
      <c r="O400" s="674"/>
      <c r="P400" s="674"/>
      <c r="Q400" s="674"/>
      <c r="R400" s="674"/>
      <c r="S400" s="147" t="s">
        <v>320</v>
      </c>
      <c r="T400" s="147" t="s">
        <v>320</v>
      </c>
      <c r="U400" s="147"/>
      <c r="V400" s="398"/>
      <c r="W400" s="91" t="str">
        <f t="shared" si="96"/>
        <v>N</v>
      </c>
      <c r="X400" s="91"/>
      <c r="Y400" s="91"/>
    </row>
    <row r="401" s="61" customFormat="1" ht="21.95" customHeight="1" spans="1:25">
      <c r="A401" s="147"/>
      <c r="B401" s="74" t="s">
        <v>767</v>
      </c>
      <c r="C401" s="147"/>
      <c r="D401" s="147"/>
      <c r="E401" s="147">
        <v>310</v>
      </c>
      <c r="F401" s="147">
        <v>55</v>
      </c>
      <c r="G401" s="147">
        <v>67</v>
      </c>
      <c r="H401" s="147" t="s">
        <v>320</v>
      </c>
      <c r="I401" s="147" t="s">
        <v>320</v>
      </c>
      <c r="J401" s="147" t="s">
        <v>320</v>
      </c>
      <c r="K401" s="147" t="s">
        <v>320</v>
      </c>
      <c r="L401" s="147" t="s">
        <v>320</v>
      </c>
      <c r="M401" s="147" t="s">
        <v>320</v>
      </c>
      <c r="N401" s="674"/>
      <c r="O401" s="674"/>
      <c r="P401" s="674"/>
      <c r="Q401" s="674"/>
      <c r="R401" s="674"/>
      <c r="S401" s="147" t="s">
        <v>320</v>
      </c>
      <c r="T401" s="147" t="s">
        <v>320</v>
      </c>
      <c r="U401" s="147"/>
      <c r="V401" s="398"/>
      <c r="W401" s="91" t="str">
        <f t="shared" si="96"/>
        <v>N</v>
      </c>
      <c r="X401" s="91"/>
      <c r="Y401" s="91"/>
    </row>
    <row r="402" s="61" customFormat="1" ht="21.95" customHeight="1" spans="1:25">
      <c r="A402" s="147"/>
      <c r="B402" s="74" t="s">
        <v>770</v>
      </c>
      <c r="C402" s="147"/>
      <c r="D402" s="147"/>
      <c r="E402" s="147">
        <v>435</v>
      </c>
      <c r="F402" s="147">
        <v>97</v>
      </c>
      <c r="G402" s="147">
        <v>119</v>
      </c>
      <c r="H402" s="147" t="s">
        <v>320</v>
      </c>
      <c r="I402" s="147" t="s">
        <v>320</v>
      </c>
      <c r="J402" s="147" t="s">
        <v>320</v>
      </c>
      <c r="K402" s="147" t="s">
        <v>320</v>
      </c>
      <c r="L402" s="147" t="s">
        <v>320</v>
      </c>
      <c r="M402" s="147" t="s">
        <v>320</v>
      </c>
      <c r="N402" s="674"/>
      <c r="O402" s="674"/>
      <c r="P402" s="674"/>
      <c r="Q402" s="674"/>
      <c r="R402" s="674"/>
      <c r="S402" s="147" t="s">
        <v>320</v>
      </c>
      <c r="T402" s="147" t="s">
        <v>320</v>
      </c>
      <c r="U402" s="147"/>
      <c r="V402" s="398"/>
      <c r="W402" s="91" t="str">
        <f t="shared" si="96"/>
        <v>N</v>
      </c>
      <c r="X402" s="91"/>
      <c r="Y402" s="91"/>
    </row>
    <row r="403" s="61" customFormat="1" ht="12.75" spans="1:25">
      <c r="A403" s="147">
        <v>74</v>
      </c>
      <c r="B403" s="74" t="s">
        <v>1035</v>
      </c>
      <c r="C403" s="147"/>
      <c r="D403" s="147"/>
      <c r="E403" s="147">
        <v>4</v>
      </c>
      <c r="F403" s="147">
        <f t="shared" ref="F403:K403" si="104">F404+F406+F408+F409</f>
        <v>423</v>
      </c>
      <c r="G403" s="147">
        <f t="shared" si="104"/>
        <v>1659</v>
      </c>
      <c r="H403" s="147">
        <v>2018</v>
      </c>
      <c r="I403" s="147">
        <v>2018</v>
      </c>
      <c r="J403" s="147">
        <f t="shared" si="104"/>
        <v>219</v>
      </c>
      <c r="K403" s="147">
        <f t="shared" si="104"/>
        <v>219</v>
      </c>
      <c r="L403" s="147"/>
      <c r="M403" s="147"/>
      <c r="N403" s="147">
        <f>N404+N406+N408+N409</f>
        <v>10</v>
      </c>
      <c r="O403" s="147">
        <f>O404+O406+O408+O409</f>
        <v>209</v>
      </c>
      <c r="P403" s="674"/>
      <c r="Q403" s="674"/>
      <c r="R403" s="674"/>
      <c r="S403" s="147"/>
      <c r="T403" s="147"/>
      <c r="U403" s="147"/>
      <c r="V403" s="74" t="s">
        <v>41</v>
      </c>
      <c r="W403" s="91" t="str">
        <f t="shared" si="96"/>
        <v>Y</v>
      </c>
      <c r="X403" s="91"/>
      <c r="Y403" s="91"/>
    </row>
    <row r="404" s="61" customFormat="1" ht="25.5" spans="1:25">
      <c r="A404" s="147"/>
      <c r="B404" s="74" t="s">
        <v>1036</v>
      </c>
      <c r="C404" s="71" t="s">
        <v>52</v>
      </c>
      <c r="D404" s="71" t="s">
        <v>150</v>
      </c>
      <c r="E404" s="147">
        <v>3</v>
      </c>
      <c r="F404" s="147">
        <v>388</v>
      </c>
      <c r="G404" s="147">
        <v>1536</v>
      </c>
      <c r="H404" s="147">
        <v>2018</v>
      </c>
      <c r="I404" s="147">
        <v>2018</v>
      </c>
      <c r="J404" s="147">
        <v>60</v>
      </c>
      <c r="K404" s="147">
        <v>60</v>
      </c>
      <c r="L404" s="147"/>
      <c r="M404" s="147"/>
      <c r="N404" s="674"/>
      <c r="O404" s="674">
        <f>J404</f>
        <v>60</v>
      </c>
      <c r="P404" s="674"/>
      <c r="Q404" s="674"/>
      <c r="R404" s="674"/>
      <c r="S404" s="71" t="s">
        <v>743</v>
      </c>
      <c r="T404" s="71" t="s">
        <v>744</v>
      </c>
      <c r="U404" s="71" t="s">
        <v>273</v>
      </c>
      <c r="V404" s="74" t="s">
        <v>1037</v>
      </c>
      <c r="W404" s="91" t="str">
        <f t="shared" si="96"/>
        <v>Y</v>
      </c>
      <c r="X404" s="91"/>
      <c r="Y404" s="583" t="s">
        <v>1038</v>
      </c>
    </row>
    <row r="405" s="61" customFormat="1" ht="12.75" spans="1:25">
      <c r="A405" s="147"/>
      <c r="B405" s="684" t="s">
        <v>1039</v>
      </c>
      <c r="C405" s="147"/>
      <c r="D405" s="147"/>
      <c r="E405" s="147">
        <f t="shared" ref="E405:R405" si="105">E406</f>
        <v>1</v>
      </c>
      <c r="F405" s="147">
        <f t="shared" si="105"/>
        <v>20</v>
      </c>
      <c r="G405" s="147">
        <f t="shared" si="105"/>
        <v>64</v>
      </c>
      <c r="H405" s="147">
        <f t="shared" si="105"/>
        <v>2018</v>
      </c>
      <c r="I405" s="147">
        <f t="shared" si="105"/>
        <v>2018</v>
      </c>
      <c r="J405" s="147">
        <f t="shared" si="105"/>
        <v>99</v>
      </c>
      <c r="K405" s="147">
        <f t="shared" si="105"/>
        <v>99</v>
      </c>
      <c r="L405" s="147">
        <f t="shared" si="105"/>
        <v>0</v>
      </c>
      <c r="M405" s="147">
        <f t="shared" si="105"/>
        <v>0</v>
      </c>
      <c r="N405" s="147">
        <f t="shared" si="105"/>
        <v>0</v>
      </c>
      <c r="O405" s="147">
        <f t="shared" si="105"/>
        <v>99</v>
      </c>
      <c r="P405" s="147">
        <f t="shared" si="105"/>
        <v>0</v>
      </c>
      <c r="Q405" s="147">
        <f t="shared" si="105"/>
        <v>0</v>
      </c>
      <c r="R405" s="147">
        <f t="shared" si="105"/>
        <v>0</v>
      </c>
      <c r="S405" s="147"/>
      <c r="T405" s="147"/>
      <c r="U405" s="147"/>
      <c r="V405" s="398"/>
      <c r="W405" s="91" t="str">
        <f t="shared" si="96"/>
        <v>Y</v>
      </c>
      <c r="X405" s="91"/>
      <c r="Y405" s="583"/>
    </row>
    <row r="406" s="61" customFormat="1" ht="50.1" customHeight="1" spans="1:25">
      <c r="A406" s="147"/>
      <c r="B406" s="74" t="s">
        <v>1040</v>
      </c>
      <c r="C406" s="71" t="s">
        <v>52</v>
      </c>
      <c r="D406" s="71" t="s">
        <v>150</v>
      </c>
      <c r="E406" s="147">
        <v>1</v>
      </c>
      <c r="F406" s="147">
        <v>20</v>
      </c>
      <c r="G406" s="147">
        <v>64</v>
      </c>
      <c r="H406" s="147">
        <v>2018</v>
      </c>
      <c r="I406" s="147">
        <v>2018</v>
      </c>
      <c r="J406" s="147">
        <v>99</v>
      </c>
      <c r="K406" s="147">
        <v>99</v>
      </c>
      <c r="L406" s="147"/>
      <c r="M406" s="147"/>
      <c r="N406" s="674"/>
      <c r="O406" s="674">
        <f>J406</f>
        <v>99</v>
      </c>
      <c r="P406" s="674"/>
      <c r="Q406" s="674"/>
      <c r="R406" s="674"/>
      <c r="S406" s="71" t="s">
        <v>743</v>
      </c>
      <c r="T406" s="71" t="s">
        <v>744</v>
      </c>
      <c r="U406" s="71" t="s">
        <v>583</v>
      </c>
      <c r="V406" s="74" t="s">
        <v>1041</v>
      </c>
      <c r="W406" s="91" t="str">
        <f t="shared" si="96"/>
        <v>Y</v>
      </c>
      <c r="X406" s="91"/>
      <c r="Y406" s="91"/>
    </row>
    <row r="407" s="61" customFormat="1" ht="50.1" customHeight="1" spans="1:25">
      <c r="A407" s="147"/>
      <c r="B407" s="74" t="s">
        <v>1042</v>
      </c>
      <c r="C407" s="71" t="s">
        <v>52</v>
      </c>
      <c r="D407" s="71" t="s">
        <v>1043</v>
      </c>
      <c r="E407" s="147">
        <f t="shared" ref="E407:G407" si="106">E408+E409</f>
        <v>2</v>
      </c>
      <c r="F407" s="147">
        <f t="shared" si="106"/>
        <v>15</v>
      </c>
      <c r="G407" s="147">
        <f t="shared" si="106"/>
        <v>59</v>
      </c>
      <c r="H407" s="147">
        <v>2018</v>
      </c>
      <c r="I407" s="147">
        <v>2018</v>
      </c>
      <c r="J407" s="147">
        <f t="shared" ref="J407:R407" si="107">J408+J409</f>
        <v>60</v>
      </c>
      <c r="K407" s="147">
        <f t="shared" si="107"/>
        <v>60</v>
      </c>
      <c r="L407" s="147">
        <f t="shared" si="107"/>
        <v>0</v>
      </c>
      <c r="M407" s="147">
        <f t="shared" si="107"/>
        <v>0</v>
      </c>
      <c r="N407" s="147">
        <f t="shared" si="107"/>
        <v>10</v>
      </c>
      <c r="O407" s="147">
        <f t="shared" si="107"/>
        <v>50</v>
      </c>
      <c r="P407" s="147">
        <f t="shared" si="107"/>
        <v>0</v>
      </c>
      <c r="Q407" s="147">
        <f t="shared" si="107"/>
        <v>0</v>
      </c>
      <c r="R407" s="147">
        <f t="shared" si="107"/>
        <v>0</v>
      </c>
      <c r="S407" s="71" t="s">
        <v>899</v>
      </c>
      <c r="T407" s="71" t="s">
        <v>900</v>
      </c>
      <c r="U407" s="71"/>
      <c r="V407" s="74" t="s">
        <v>1044</v>
      </c>
      <c r="W407" s="91" t="str">
        <f t="shared" si="96"/>
        <v>Y</v>
      </c>
      <c r="X407" s="91"/>
      <c r="Y407" s="91"/>
    </row>
    <row r="408" s="61" customFormat="1" ht="50.1" customHeight="1" spans="1:25">
      <c r="A408" s="147"/>
      <c r="B408" s="74" t="s">
        <v>1045</v>
      </c>
      <c r="C408" s="71" t="s">
        <v>52</v>
      </c>
      <c r="D408" s="71" t="s">
        <v>1043</v>
      </c>
      <c r="E408" s="147">
        <v>1</v>
      </c>
      <c r="F408" s="147">
        <v>9</v>
      </c>
      <c r="G408" s="147">
        <v>40</v>
      </c>
      <c r="H408" s="147">
        <v>2018</v>
      </c>
      <c r="I408" s="147">
        <v>2018</v>
      </c>
      <c r="J408" s="147">
        <v>50</v>
      </c>
      <c r="K408" s="147">
        <v>50</v>
      </c>
      <c r="L408" s="147"/>
      <c r="M408" s="147"/>
      <c r="N408" s="674"/>
      <c r="O408" s="674">
        <v>50</v>
      </c>
      <c r="P408" s="674"/>
      <c r="Q408" s="674"/>
      <c r="R408" s="674"/>
      <c r="S408" s="71" t="s">
        <v>899</v>
      </c>
      <c r="T408" s="71" t="s">
        <v>900</v>
      </c>
      <c r="U408" s="71"/>
      <c r="V408" s="74" t="s">
        <v>1044</v>
      </c>
      <c r="W408" s="91" t="str">
        <f t="shared" si="96"/>
        <v>Y</v>
      </c>
      <c r="X408" s="91"/>
      <c r="Y408" s="91"/>
    </row>
    <row r="409" s="61" customFormat="1" ht="50.1" customHeight="1" spans="1:25">
      <c r="A409" s="147"/>
      <c r="B409" s="74" t="s">
        <v>1046</v>
      </c>
      <c r="C409" s="71" t="s">
        <v>52</v>
      </c>
      <c r="D409" s="71" t="s">
        <v>1043</v>
      </c>
      <c r="E409" s="147">
        <v>1</v>
      </c>
      <c r="F409" s="147">
        <v>6</v>
      </c>
      <c r="G409" s="147">
        <v>19</v>
      </c>
      <c r="H409" s="147">
        <v>2018</v>
      </c>
      <c r="I409" s="147">
        <v>2018</v>
      </c>
      <c r="J409" s="147">
        <v>10</v>
      </c>
      <c r="K409" s="147">
        <v>10</v>
      </c>
      <c r="L409" s="147"/>
      <c r="M409" s="147"/>
      <c r="N409" s="674">
        <v>10</v>
      </c>
      <c r="O409" s="674"/>
      <c r="P409" s="674"/>
      <c r="Q409" s="674"/>
      <c r="R409" s="674"/>
      <c r="S409" s="71" t="s">
        <v>899</v>
      </c>
      <c r="T409" s="71" t="s">
        <v>900</v>
      </c>
      <c r="U409" s="71"/>
      <c r="V409" s="74" t="s">
        <v>1047</v>
      </c>
      <c r="W409" s="91" t="str">
        <f t="shared" si="96"/>
        <v>Y</v>
      </c>
      <c r="X409" s="91"/>
      <c r="Y409" s="91"/>
    </row>
    <row r="410" s="61" customFormat="1" ht="12.75" spans="1:25">
      <c r="A410" s="147">
        <v>75</v>
      </c>
      <c r="B410" s="74" t="s">
        <v>1048</v>
      </c>
      <c r="C410" s="147"/>
      <c r="D410" s="147"/>
      <c r="E410" s="147"/>
      <c r="F410" s="147">
        <f t="shared" ref="F410:R410" si="108">F411</f>
        <v>1637</v>
      </c>
      <c r="G410" s="147">
        <f t="shared" si="108"/>
        <v>6528</v>
      </c>
      <c r="H410" s="147">
        <v>2018</v>
      </c>
      <c r="I410" s="147">
        <v>2020</v>
      </c>
      <c r="J410" s="147">
        <f t="shared" si="108"/>
        <v>583.5</v>
      </c>
      <c r="K410" s="147">
        <f t="shared" si="108"/>
        <v>583.5</v>
      </c>
      <c r="L410" s="147">
        <f t="shared" si="108"/>
        <v>0</v>
      </c>
      <c r="M410" s="147">
        <f t="shared" si="108"/>
        <v>0</v>
      </c>
      <c r="N410" s="147">
        <f t="shared" si="108"/>
        <v>0</v>
      </c>
      <c r="O410" s="147">
        <f t="shared" si="108"/>
        <v>508.5</v>
      </c>
      <c r="P410" s="147">
        <f t="shared" si="108"/>
        <v>35</v>
      </c>
      <c r="Q410" s="147">
        <f t="shared" si="108"/>
        <v>40</v>
      </c>
      <c r="R410" s="147">
        <f t="shared" si="108"/>
        <v>0</v>
      </c>
      <c r="S410" s="147"/>
      <c r="T410" s="147"/>
      <c r="U410" s="147"/>
      <c r="V410" s="74" t="s">
        <v>41</v>
      </c>
      <c r="W410" s="91" t="str">
        <f t="shared" si="96"/>
        <v>Y</v>
      </c>
      <c r="X410" s="91"/>
      <c r="Y410" s="91"/>
    </row>
    <row r="411" s="61" customFormat="1" ht="12.75" spans="1:25">
      <c r="A411" s="147">
        <v>76</v>
      </c>
      <c r="B411" s="74" t="s">
        <v>1049</v>
      </c>
      <c r="C411" s="147" t="s">
        <v>320</v>
      </c>
      <c r="D411" s="147" t="s">
        <v>320</v>
      </c>
      <c r="E411" s="147"/>
      <c r="F411" s="147">
        <f t="shared" ref="F411:R411" si="109">SUM(F414,F413,F412)</f>
        <v>1637</v>
      </c>
      <c r="G411" s="147">
        <f t="shared" si="109"/>
        <v>6528</v>
      </c>
      <c r="H411" s="147">
        <f t="shared" si="109"/>
        <v>2018</v>
      </c>
      <c r="I411" s="147">
        <f t="shared" si="109"/>
        <v>2020</v>
      </c>
      <c r="J411" s="147">
        <f t="shared" si="109"/>
        <v>583.5</v>
      </c>
      <c r="K411" s="147">
        <f t="shared" si="109"/>
        <v>583.5</v>
      </c>
      <c r="L411" s="147">
        <f t="shared" si="109"/>
        <v>0</v>
      </c>
      <c r="M411" s="147">
        <f t="shared" si="109"/>
        <v>0</v>
      </c>
      <c r="N411" s="147">
        <f t="shared" si="109"/>
        <v>0</v>
      </c>
      <c r="O411" s="147">
        <f t="shared" si="109"/>
        <v>508.5</v>
      </c>
      <c r="P411" s="147">
        <f t="shared" si="109"/>
        <v>35</v>
      </c>
      <c r="Q411" s="147">
        <f t="shared" si="109"/>
        <v>40</v>
      </c>
      <c r="R411" s="147">
        <f t="shared" si="109"/>
        <v>0</v>
      </c>
      <c r="S411" s="147"/>
      <c r="T411" s="147"/>
      <c r="U411" s="147" t="s">
        <v>320</v>
      </c>
      <c r="V411" s="74" t="s">
        <v>41</v>
      </c>
      <c r="W411" s="91" t="str">
        <f t="shared" si="96"/>
        <v>Y</v>
      </c>
      <c r="X411" s="91"/>
      <c r="Y411" s="91"/>
    </row>
    <row r="412" s="61" customFormat="1" ht="36" customHeight="1" spans="1:25">
      <c r="A412" s="147">
        <v>77</v>
      </c>
      <c r="B412" s="398" t="s">
        <v>1050</v>
      </c>
      <c r="C412" s="147" t="s">
        <v>320</v>
      </c>
      <c r="D412" s="147" t="s">
        <v>320</v>
      </c>
      <c r="E412" s="147"/>
      <c r="F412" s="147"/>
      <c r="G412" s="147"/>
      <c r="H412" s="147"/>
      <c r="I412" s="147"/>
      <c r="J412" s="147" t="s">
        <v>320</v>
      </c>
      <c r="K412" s="147" t="s">
        <v>320</v>
      </c>
      <c r="L412" s="147" t="s">
        <v>320</v>
      </c>
      <c r="M412" s="147" t="s">
        <v>320</v>
      </c>
      <c r="N412" s="674"/>
      <c r="O412" s="674"/>
      <c r="P412" s="674"/>
      <c r="Q412" s="674"/>
      <c r="R412" s="674"/>
      <c r="S412" s="147"/>
      <c r="T412" s="147"/>
      <c r="U412" s="71" t="s">
        <v>497</v>
      </c>
      <c r="V412" s="74" t="s">
        <v>41</v>
      </c>
      <c r="W412" s="91" t="str">
        <f t="shared" si="96"/>
        <v>N</v>
      </c>
      <c r="X412" s="91"/>
      <c r="Y412" s="91"/>
    </row>
    <row r="413" s="61" customFormat="1" ht="24.75" spans="1:25">
      <c r="A413" s="147">
        <v>78</v>
      </c>
      <c r="B413" s="398" t="s">
        <v>1051</v>
      </c>
      <c r="C413" s="147" t="s">
        <v>320</v>
      </c>
      <c r="D413" s="147" t="s">
        <v>320</v>
      </c>
      <c r="E413" s="147"/>
      <c r="F413" s="147"/>
      <c r="G413" s="147"/>
      <c r="H413" s="147"/>
      <c r="I413" s="147"/>
      <c r="J413" s="147" t="s">
        <v>320</v>
      </c>
      <c r="K413" s="147" t="s">
        <v>320</v>
      </c>
      <c r="L413" s="147" t="s">
        <v>320</v>
      </c>
      <c r="M413" s="147" t="s">
        <v>320</v>
      </c>
      <c r="N413" s="674"/>
      <c r="O413" s="674"/>
      <c r="P413" s="674"/>
      <c r="Q413" s="674"/>
      <c r="R413" s="674"/>
      <c r="S413" s="147"/>
      <c r="T413" s="147"/>
      <c r="U413" s="71" t="s">
        <v>160</v>
      </c>
      <c r="V413" s="74" t="s">
        <v>41</v>
      </c>
      <c r="W413" s="91" t="str">
        <f t="shared" si="96"/>
        <v>N</v>
      </c>
      <c r="X413" s="91"/>
      <c r="Y413" s="91"/>
    </row>
    <row r="414" s="61" customFormat="1" ht="24.75" spans="1:25">
      <c r="A414" s="147">
        <v>79</v>
      </c>
      <c r="B414" s="398" t="s">
        <v>1052</v>
      </c>
      <c r="C414" s="147" t="s">
        <v>320</v>
      </c>
      <c r="D414" s="147" t="s">
        <v>320</v>
      </c>
      <c r="E414" s="147">
        <v>9</v>
      </c>
      <c r="F414" s="147">
        <f>F416+F417+F418+F419+F420+F421+F422+F423</f>
        <v>1637</v>
      </c>
      <c r="G414" s="147">
        <f>G416+G417+G418+G419+G420+G421+G422+G423</f>
        <v>6528</v>
      </c>
      <c r="H414" s="147">
        <v>2018</v>
      </c>
      <c r="I414" s="147">
        <v>2020</v>
      </c>
      <c r="J414" s="147">
        <f t="shared" ref="J414:R414" si="110">SUM(J415:J423)</f>
        <v>583.5</v>
      </c>
      <c r="K414" s="147">
        <f t="shared" si="110"/>
        <v>583.5</v>
      </c>
      <c r="L414" s="147">
        <f t="shared" si="110"/>
        <v>0</v>
      </c>
      <c r="M414" s="147">
        <f t="shared" si="110"/>
        <v>0</v>
      </c>
      <c r="N414" s="147">
        <f t="shared" si="110"/>
        <v>0</v>
      </c>
      <c r="O414" s="147">
        <f t="shared" si="110"/>
        <v>508.5</v>
      </c>
      <c r="P414" s="147">
        <f t="shared" si="110"/>
        <v>35</v>
      </c>
      <c r="Q414" s="147">
        <f t="shared" si="110"/>
        <v>40</v>
      </c>
      <c r="R414" s="147">
        <f t="shared" si="110"/>
        <v>0</v>
      </c>
      <c r="S414" s="147"/>
      <c r="T414" s="147"/>
      <c r="U414" s="71" t="s">
        <v>160</v>
      </c>
      <c r="V414" s="74" t="s">
        <v>41</v>
      </c>
      <c r="W414" s="91" t="str">
        <f t="shared" si="96"/>
        <v>Y</v>
      </c>
      <c r="X414" s="91"/>
      <c r="Y414" s="91"/>
    </row>
    <row r="415" s="61" customFormat="1" ht="105" customHeight="1" spans="1:25">
      <c r="A415" s="147"/>
      <c r="B415" s="74" t="s">
        <v>767</v>
      </c>
      <c r="C415" s="147"/>
      <c r="D415" s="147"/>
      <c r="E415" s="147"/>
      <c r="F415" s="147">
        <v>132</v>
      </c>
      <c r="G415" s="147">
        <v>656</v>
      </c>
      <c r="H415" s="147">
        <v>2018</v>
      </c>
      <c r="I415" s="147">
        <v>2020</v>
      </c>
      <c r="J415" s="147">
        <v>75</v>
      </c>
      <c r="K415" s="147">
        <v>75</v>
      </c>
      <c r="L415" s="147"/>
      <c r="M415" s="147"/>
      <c r="N415" s="674"/>
      <c r="O415" s="674"/>
      <c r="P415" s="674">
        <v>35</v>
      </c>
      <c r="Q415" s="674">
        <v>40</v>
      </c>
      <c r="R415" s="674"/>
      <c r="S415" s="147"/>
      <c r="T415" s="147"/>
      <c r="U415" s="147"/>
      <c r="V415" s="74" t="s">
        <v>1053</v>
      </c>
      <c r="W415" s="91"/>
      <c r="X415" s="91"/>
      <c r="Y415" s="91"/>
    </row>
    <row r="416" s="61" customFormat="1" ht="69" customHeight="1" spans="1:25">
      <c r="A416" s="147"/>
      <c r="B416" s="74" t="s">
        <v>767</v>
      </c>
      <c r="C416" s="147"/>
      <c r="D416" s="147"/>
      <c r="E416" s="147"/>
      <c r="F416" s="147">
        <v>132</v>
      </c>
      <c r="G416" s="147">
        <v>565</v>
      </c>
      <c r="H416" s="147">
        <v>2018</v>
      </c>
      <c r="I416" s="147">
        <v>2020</v>
      </c>
      <c r="J416" s="123">
        <f>K416+L416+M416</f>
        <v>50</v>
      </c>
      <c r="K416" s="123">
        <v>50</v>
      </c>
      <c r="L416" s="123"/>
      <c r="M416" s="123"/>
      <c r="N416" s="123"/>
      <c r="O416" s="123">
        <f>J416</f>
        <v>50</v>
      </c>
      <c r="P416" s="123"/>
      <c r="Q416" s="340"/>
      <c r="R416" s="340"/>
      <c r="S416" s="71" t="s">
        <v>768</v>
      </c>
      <c r="T416" s="71" t="s">
        <v>769</v>
      </c>
      <c r="U416" s="147"/>
      <c r="V416" s="74" t="s">
        <v>1054</v>
      </c>
      <c r="W416" s="91" t="str">
        <f t="shared" ref="W416:W425" si="111">IF(SUM(N416:R416)=J416,"Y","N")</f>
        <v>Y</v>
      </c>
      <c r="X416" s="91"/>
      <c r="Y416" s="91"/>
    </row>
    <row r="417" s="61" customFormat="1" ht="99" customHeight="1" spans="1:25">
      <c r="A417" s="147"/>
      <c r="B417" s="74" t="s">
        <v>770</v>
      </c>
      <c r="C417" s="147"/>
      <c r="D417" s="147"/>
      <c r="E417" s="147"/>
      <c r="F417" s="147">
        <v>217</v>
      </c>
      <c r="G417" s="147">
        <v>885</v>
      </c>
      <c r="H417" s="147">
        <v>2018</v>
      </c>
      <c r="I417" s="147">
        <v>2020</v>
      </c>
      <c r="J417" s="123">
        <v>50</v>
      </c>
      <c r="K417" s="123">
        <v>50</v>
      </c>
      <c r="L417" s="123"/>
      <c r="M417" s="123"/>
      <c r="N417" s="123"/>
      <c r="O417" s="123">
        <v>50</v>
      </c>
      <c r="P417" s="123"/>
      <c r="Q417" s="340"/>
      <c r="R417" s="340"/>
      <c r="S417" s="71" t="s">
        <v>771</v>
      </c>
      <c r="T417" s="71" t="s">
        <v>832</v>
      </c>
      <c r="U417" s="147"/>
      <c r="V417" s="74" t="s">
        <v>1054</v>
      </c>
      <c r="W417" s="91" t="str">
        <f t="shared" si="111"/>
        <v>Y</v>
      </c>
      <c r="X417" s="91"/>
      <c r="Y417" s="91"/>
    </row>
    <row r="418" s="61" customFormat="1" ht="159" customHeight="1" spans="1:25">
      <c r="A418" s="147"/>
      <c r="B418" s="74" t="s">
        <v>764</v>
      </c>
      <c r="C418" s="91"/>
      <c r="D418" s="147"/>
      <c r="E418" s="147"/>
      <c r="F418" s="147">
        <v>127</v>
      </c>
      <c r="G418" s="147">
        <v>478</v>
      </c>
      <c r="H418" s="147">
        <v>2018</v>
      </c>
      <c r="I418" s="147">
        <v>2020</v>
      </c>
      <c r="J418" s="123">
        <v>87.5</v>
      </c>
      <c r="K418" s="123">
        <v>87.5</v>
      </c>
      <c r="L418" s="123"/>
      <c r="M418" s="123"/>
      <c r="N418" s="123"/>
      <c r="O418" s="123">
        <v>87.5</v>
      </c>
      <c r="P418" s="123"/>
      <c r="Q418" s="340"/>
      <c r="R418" s="340"/>
      <c r="S418" s="71" t="s">
        <v>765</v>
      </c>
      <c r="T418" s="71" t="s">
        <v>766</v>
      </c>
      <c r="U418" s="147"/>
      <c r="V418" s="398" t="s">
        <v>1055</v>
      </c>
      <c r="W418" s="91" t="str">
        <f t="shared" si="111"/>
        <v>Y</v>
      </c>
      <c r="X418" s="91"/>
      <c r="Y418" s="91"/>
    </row>
    <row r="419" s="61" customFormat="1" ht="132.95" customHeight="1" spans="1:25">
      <c r="A419" s="147"/>
      <c r="B419" s="74" t="s">
        <v>755</v>
      </c>
      <c r="C419" s="147"/>
      <c r="D419" s="147"/>
      <c r="E419" s="147"/>
      <c r="F419" s="147">
        <v>180</v>
      </c>
      <c r="G419" s="147">
        <v>715</v>
      </c>
      <c r="H419" s="147">
        <v>2018</v>
      </c>
      <c r="I419" s="147">
        <v>2020</v>
      </c>
      <c r="J419" s="123">
        <v>87.5</v>
      </c>
      <c r="K419" s="123">
        <v>87.5</v>
      </c>
      <c r="L419" s="123"/>
      <c r="M419" s="123"/>
      <c r="N419" s="123"/>
      <c r="O419" s="123">
        <v>87.5</v>
      </c>
      <c r="P419" s="123"/>
      <c r="Q419" s="340"/>
      <c r="R419" s="340"/>
      <c r="S419" s="71" t="s">
        <v>756</v>
      </c>
      <c r="T419" s="71" t="s">
        <v>931</v>
      </c>
      <c r="U419" s="147"/>
      <c r="V419" s="398" t="s">
        <v>1055</v>
      </c>
      <c r="W419" s="91" t="str">
        <f t="shared" si="111"/>
        <v>Y</v>
      </c>
      <c r="X419" s="91"/>
      <c r="Y419" s="91"/>
    </row>
    <row r="420" s="61" customFormat="1" ht="37.5" spans="1:25">
      <c r="A420" s="147"/>
      <c r="B420" s="74" t="s">
        <v>758</v>
      </c>
      <c r="C420" s="147"/>
      <c r="D420" s="147"/>
      <c r="E420" s="147"/>
      <c r="F420" s="147">
        <v>231</v>
      </c>
      <c r="G420" s="147">
        <v>973</v>
      </c>
      <c r="H420" s="147">
        <v>2018</v>
      </c>
      <c r="I420" s="147">
        <v>2020</v>
      </c>
      <c r="J420" s="123">
        <v>48</v>
      </c>
      <c r="K420" s="123">
        <v>48</v>
      </c>
      <c r="L420" s="123"/>
      <c r="M420" s="123"/>
      <c r="N420" s="123"/>
      <c r="O420" s="123">
        <v>48</v>
      </c>
      <c r="P420" s="123"/>
      <c r="Q420" s="340"/>
      <c r="R420" s="340"/>
      <c r="S420" s="71" t="s">
        <v>759</v>
      </c>
      <c r="T420" s="71" t="s">
        <v>760</v>
      </c>
      <c r="U420" s="147"/>
      <c r="V420" s="74" t="s">
        <v>1056</v>
      </c>
      <c r="W420" s="91" t="str">
        <f t="shared" si="111"/>
        <v>Y</v>
      </c>
      <c r="X420" s="91"/>
      <c r="Y420" s="91"/>
    </row>
    <row r="421" s="61" customFormat="1" ht="37.5" spans="1:25">
      <c r="A421" s="147"/>
      <c r="B421" s="74" t="s">
        <v>752</v>
      </c>
      <c r="C421" s="147"/>
      <c r="D421" s="147"/>
      <c r="E421" s="147"/>
      <c r="F421" s="147">
        <v>254</v>
      </c>
      <c r="G421" s="147">
        <v>1011</v>
      </c>
      <c r="H421" s="147">
        <v>2018</v>
      </c>
      <c r="I421" s="147">
        <v>2020</v>
      </c>
      <c r="J421" s="123">
        <v>50</v>
      </c>
      <c r="K421" s="123">
        <v>50</v>
      </c>
      <c r="L421" s="123"/>
      <c r="M421" s="123"/>
      <c r="N421" s="123"/>
      <c r="O421" s="123">
        <v>50</v>
      </c>
      <c r="P421" s="123"/>
      <c r="Q421" s="340"/>
      <c r="R421" s="340"/>
      <c r="S421" s="71" t="s">
        <v>753</v>
      </c>
      <c r="T421" s="71" t="s">
        <v>754</v>
      </c>
      <c r="U421" s="147"/>
      <c r="V421" s="74" t="s">
        <v>1054</v>
      </c>
      <c r="W421" s="91" t="str">
        <f t="shared" si="111"/>
        <v>Y</v>
      </c>
      <c r="X421" s="91"/>
      <c r="Y421" s="91"/>
    </row>
    <row r="422" s="61" customFormat="1" ht="138.75" spans="1:25">
      <c r="A422" s="147"/>
      <c r="B422" s="74" t="s">
        <v>746</v>
      </c>
      <c r="C422" s="147"/>
      <c r="D422" s="147"/>
      <c r="E422" s="147"/>
      <c r="F422" s="147">
        <v>232</v>
      </c>
      <c r="G422" s="147">
        <v>933</v>
      </c>
      <c r="H422" s="147">
        <v>2018</v>
      </c>
      <c r="I422" s="147">
        <v>2020</v>
      </c>
      <c r="J422" s="123">
        <v>87.5</v>
      </c>
      <c r="K422" s="123">
        <v>87.5</v>
      </c>
      <c r="L422" s="123"/>
      <c r="M422" s="123"/>
      <c r="N422" s="123"/>
      <c r="O422" s="123">
        <v>87.5</v>
      </c>
      <c r="P422" s="123"/>
      <c r="Q422" s="340"/>
      <c r="R422" s="340"/>
      <c r="S422" s="71" t="s">
        <v>1057</v>
      </c>
      <c r="T422" s="71" t="s">
        <v>297</v>
      </c>
      <c r="U422" s="147"/>
      <c r="V422" s="398" t="s">
        <v>1058</v>
      </c>
      <c r="W422" s="91" t="str">
        <f t="shared" si="111"/>
        <v>Y</v>
      </c>
      <c r="X422" s="91"/>
      <c r="Y422" s="91"/>
    </row>
    <row r="423" s="61" customFormat="1" ht="37.5" spans="1:25">
      <c r="A423" s="147"/>
      <c r="B423" s="74" t="s">
        <v>749</v>
      </c>
      <c r="C423" s="147"/>
      <c r="D423" s="147"/>
      <c r="E423" s="147"/>
      <c r="F423" s="147">
        <v>264</v>
      </c>
      <c r="G423" s="147">
        <v>968</v>
      </c>
      <c r="H423" s="147">
        <v>2018</v>
      </c>
      <c r="I423" s="147">
        <v>2020</v>
      </c>
      <c r="J423" s="123">
        <v>48</v>
      </c>
      <c r="K423" s="123">
        <v>48</v>
      </c>
      <c r="L423" s="123"/>
      <c r="M423" s="123"/>
      <c r="N423" s="123"/>
      <c r="O423" s="123">
        <v>48</v>
      </c>
      <c r="P423" s="123"/>
      <c r="Q423" s="123"/>
      <c r="R423" s="123"/>
      <c r="S423" s="71" t="s">
        <v>750</v>
      </c>
      <c r="T423" s="71" t="s">
        <v>751</v>
      </c>
      <c r="U423" s="147"/>
      <c r="V423" s="74" t="s">
        <v>1056</v>
      </c>
      <c r="W423" s="91" t="str">
        <f t="shared" si="111"/>
        <v>Y</v>
      </c>
      <c r="X423" s="91"/>
      <c r="Y423" s="91"/>
    </row>
    <row r="424" s="61" customFormat="1" ht="21.95" customHeight="1" spans="1:25">
      <c r="A424" s="147">
        <v>80</v>
      </c>
      <c r="B424" s="74" t="s">
        <v>1059</v>
      </c>
      <c r="C424" s="147"/>
      <c r="D424" s="147"/>
      <c r="E424" s="147"/>
      <c r="F424" s="147"/>
      <c r="G424" s="147"/>
      <c r="H424" s="147"/>
      <c r="I424" s="147"/>
      <c r="J424" s="147"/>
      <c r="K424" s="147"/>
      <c r="L424" s="147"/>
      <c r="M424" s="147"/>
      <c r="N424" s="674"/>
      <c r="O424" s="674"/>
      <c r="P424" s="674"/>
      <c r="Q424" s="674"/>
      <c r="R424" s="674"/>
      <c r="S424" s="147"/>
      <c r="T424" s="147"/>
      <c r="U424" s="71" t="s">
        <v>43</v>
      </c>
      <c r="V424" s="74" t="s">
        <v>41</v>
      </c>
      <c r="W424" s="91" t="str">
        <f t="shared" si="111"/>
        <v>Y</v>
      </c>
      <c r="X424" s="91"/>
      <c r="Y424" s="91"/>
    </row>
    <row r="425" s="61" customFormat="1" ht="21.95" customHeight="1" spans="1:25">
      <c r="A425" s="147">
        <v>81</v>
      </c>
      <c r="B425" s="576" t="s">
        <v>1060</v>
      </c>
      <c r="C425" s="682" t="s">
        <v>52</v>
      </c>
      <c r="D425" s="682" t="s">
        <v>202</v>
      </c>
      <c r="E425" s="122"/>
      <c r="F425" s="122"/>
      <c r="G425" s="122"/>
      <c r="H425" s="122"/>
      <c r="I425" s="122"/>
      <c r="J425" s="122"/>
      <c r="K425" s="122"/>
      <c r="L425" s="122"/>
      <c r="M425" s="122"/>
      <c r="N425" s="122"/>
      <c r="O425" s="122"/>
      <c r="P425" s="122"/>
      <c r="Q425" s="122"/>
      <c r="R425" s="122"/>
      <c r="S425" s="122"/>
      <c r="T425" s="122"/>
      <c r="U425" s="674"/>
      <c r="V425" s="690"/>
      <c r="W425" s="91" t="str">
        <f t="shared" si="111"/>
        <v>Y</v>
      </c>
      <c r="X425" s="91"/>
      <c r="Y425" s="91"/>
    </row>
    <row r="426" s="61" customFormat="1" ht="21.95" customHeight="1" spans="1:22">
      <c r="A426" s="685" t="s">
        <v>1061</v>
      </c>
      <c r="B426" s="686"/>
      <c r="C426" s="686"/>
      <c r="D426" s="687"/>
      <c r="E426" s="687"/>
      <c r="F426" s="687"/>
      <c r="G426" s="687"/>
      <c r="H426" s="687"/>
      <c r="I426" s="687"/>
      <c r="J426" s="686"/>
      <c r="K426" s="686"/>
      <c r="L426" s="686"/>
      <c r="M426" s="686"/>
      <c r="N426" s="689"/>
      <c r="O426" s="689"/>
      <c r="P426" s="689"/>
      <c r="Q426" s="689"/>
      <c r="R426" s="689"/>
      <c r="S426" s="686"/>
      <c r="T426" s="686"/>
      <c r="U426" s="686"/>
      <c r="V426" s="686"/>
    </row>
    <row r="427" s="61" customFormat="1" ht="21.95" customHeight="1" spans="1:22">
      <c r="A427" s="688" t="s">
        <v>1062</v>
      </c>
      <c r="B427" s="686"/>
      <c r="C427" s="686"/>
      <c r="D427" s="687"/>
      <c r="E427" s="687"/>
      <c r="F427" s="687"/>
      <c r="G427" s="687"/>
      <c r="H427" s="687"/>
      <c r="I427" s="687"/>
      <c r="J427" s="686"/>
      <c r="K427" s="686"/>
      <c r="L427" s="686"/>
      <c r="M427" s="686"/>
      <c r="N427" s="689"/>
      <c r="O427" s="689"/>
      <c r="P427" s="689"/>
      <c r="Q427" s="689"/>
      <c r="R427" s="689"/>
      <c r="S427" s="686"/>
      <c r="T427" s="686"/>
      <c r="U427" s="686"/>
      <c r="V427" s="686"/>
    </row>
    <row r="428" s="61" customFormat="1" ht="21.95" customHeight="1" spans="1:22">
      <c r="A428" s="686" t="s">
        <v>1063</v>
      </c>
      <c r="B428" s="686"/>
      <c r="C428" s="686"/>
      <c r="D428" s="687"/>
      <c r="E428" s="687"/>
      <c r="F428" s="687"/>
      <c r="G428" s="687"/>
      <c r="H428" s="687"/>
      <c r="I428" s="687"/>
      <c r="J428" s="686"/>
      <c r="K428" s="686"/>
      <c r="L428" s="686"/>
      <c r="M428" s="686"/>
      <c r="N428" s="689"/>
      <c r="O428" s="689"/>
      <c r="P428" s="689"/>
      <c r="Q428" s="689"/>
      <c r="R428" s="689"/>
      <c r="S428" s="686"/>
      <c r="T428" s="686"/>
      <c r="U428" s="686"/>
      <c r="V428" s="686"/>
    </row>
  </sheetData>
  <mergeCells count="21">
    <mergeCell ref="A1:V1"/>
    <mergeCell ref="A2:V2"/>
    <mergeCell ref="A3:V3"/>
    <mergeCell ref="F4:G4"/>
    <mergeCell ref="H4:I4"/>
    <mergeCell ref="J4:M4"/>
    <mergeCell ref="N4:R4"/>
    <mergeCell ref="A426:V426"/>
    <mergeCell ref="A427:V427"/>
    <mergeCell ref="A428:V428"/>
    <mergeCell ref="A4:A6"/>
    <mergeCell ref="B4:B6"/>
    <mergeCell ref="C4:C6"/>
    <mergeCell ref="D4:D5"/>
    <mergeCell ref="E4:E5"/>
    <mergeCell ref="U4:U5"/>
    <mergeCell ref="V4:V5"/>
    <mergeCell ref="W4:W6"/>
    <mergeCell ref="X4:X6"/>
    <mergeCell ref="Y4:Y6"/>
    <mergeCell ref="S4:T5"/>
  </mergeCells>
  <dataValidations count="1">
    <dataValidation allowBlank="1" showInputMessage="1" showErrorMessage="1" sqref="A2"/>
  </dataValidations>
  <pageMargins left="0.429166666666667" right="0.238888888888889" top="0.279166666666667" bottom="0.238888888888889" header="0.3" footer="0.3"/>
  <pageSetup paperSize="9" scale="55"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H250"/>
  <sheetViews>
    <sheetView view="pageBreakPreview" zoomScaleNormal="100" topLeftCell="A229" workbookViewId="0">
      <selection activeCell="H237" sqref="H237"/>
    </sheetView>
  </sheetViews>
  <sheetFormatPr defaultColWidth="9" defaultRowHeight="13.5"/>
  <cols>
    <col min="1" max="1" width="3.88333333333333" style="203" customWidth="1"/>
    <col min="2" max="2" width="23" style="203" customWidth="1"/>
    <col min="3" max="3" width="8.63333333333333" style="203" customWidth="1"/>
    <col min="4" max="4" width="6.88333333333333" style="203" customWidth="1"/>
    <col min="5" max="5" width="9" style="203" customWidth="1"/>
    <col min="6" max="9" width="6.88333333333333" style="203" customWidth="1"/>
    <col min="10" max="10" width="11.75" style="203" customWidth="1"/>
    <col min="11" max="11" width="8.88333333333333" style="203" customWidth="1"/>
    <col min="12" max="12" width="7.38333333333333" style="203" customWidth="1"/>
    <col min="13" max="13" width="8.38333333333333" style="203" customWidth="1"/>
    <col min="14" max="14" width="8" style="203" customWidth="1"/>
    <col min="15" max="18" width="7" style="203" customWidth="1"/>
    <col min="19" max="21" width="6.63333333333333" style="203" customWidth="1"/>
    <col min="22" max="22" width="14.1333333333333" style="622" customWidth="1"/>
    <col min="23" max="16384" width="9" style="203"/>
  </cols>
  <sheetData>
    <row r="1" ht="19.5" customHeight="1" spans="1:21">
      <c r="A1" s="3" t="s">
        <v>0</v>
      </c>
      <c r="B1" s="3"/>
      <c r="C1" s="325"/>
      <c r="D1" s="325"/>
      <c r="E1" s="325"/>
      <c r="F1" s="325"/>
      <c r="G1" s="325"/>
      <c r="H1" s="325"/>
      <c r="I1" s="325"/>
      <c r="J1" s="325"/>
      <c r="K1" s="325"/>
      <c r="L1" s="325"/>
      <c r="M1" s="325"/>
      <c r="N1" s="325"/>
      <c r="O1" s="325"/>
      <c r="P1" s="325"/>
      <c r="Q1" s="325"/>
      <c r="R1" s="325"/>
      <c r="S1" s="325"/>
      <c r="T1" s="325"/>
      <c r="U1" s="325"/>
    </row>
    <row r="2" ht="25.5" customHeight="1" spans="1:34">
      <c r="A2" s="8" t="s">
        <v>1064</v>
      </c>
      <c r="B2" s="8"/>
      <c r="C2" s="8"/>
      <c r="D2" s="8"/>
      <c r="E2" s="8"/>
      <c r="F2" s="8"/>
      <c r="G2" s="8"/>
      <c r="H2" s="8"/>
      <c r="I2" s="8"/>
      <c r="J2" s="8"/>
      <c r="K2" s="8"/>
      <c r="L2" s="8"/>
      <c r="M2" s="8"/>
      <c r="N2" s="8"/>
      <c r="O2" s="8"/>
      <c r="P2" s="8"/>
      <c r="Q2" s="8"/>
      <c r="R2" s="8"/>
      <c r="S2" s="8"/>
      <c r="T2" s="8"/>
      <c r="U2" s="8"/>
      <c r="V2" s="639"/>
      <c r="W2" s="352"/>
      <c r="X2" s="352"/>
      <c r="Y2" s="352"/>
      <c r="Z2" s="352"/>
      <c r="AA2" s="352"/>
      <c r="AB2" s="352"/>
      <c r="AC2" s="352"/>
      <c r="AD2" s="352"/>
      <c r="AE2" s="352"/>
      <c r="AF2" s="352"/>
      <c r="AG2" s="352"/>
      <c r="AH2" s="352"/>
    </row>
    <row r="3" s="617" customFormat="1" ht="24" customHeight="1" spans="1:22">
      <c r="A3" s="623" t="s">
        <v>1065</v>
      </c>
      <c r="B3" s="624"/>
      <c r="C3" s="624"/>
      <c r="D3" s="624"/>
      <c r="E3" s="624"/>
      <c r="F3" s="624"/>
      <c r="G3" s="624"/>
      <c r="H3" s="624"/>
      <c r="I3" s="624"/>
      <c r="J3" s="624"/>
      <c r="K3" s="624"/>
      <c r="L3" s="624"/>
      <c r="M3" s="624"/>
      <c r="N3" s="624"/>
      <c r="O3" s="624"/>
      <c r="P3" s="624"/>
      <c r="Q3" s="624"/>
      <c r="R3" s="624"/>
      <c r="S3" s="624"/>
      <c r="T3" s="624"/>
      <c r="U3" s="640"/>
      <c r="V3" s="622"/>
    </row>
    <row r="4" s="617" customFormat="1" ht="21.75" customHeight="1" spans="1:22">
      <c r="A4" s="625" t="s">
        <v>3</v>
      </c>
      <c r="B4" s="625" t="s">
        <v>4</v>
      </c>
      <c r="C4" s="626" t="s">
        <v>1066</v>
      </c>
      <c r="D4" s="627" t="s">
        <v>6</v>
      </c>
      <c r="E4" s="356" t="s">
        <v>736</v>
      </c>
      <c r="F4" s="627" t="s">
        <v>737</v>
      </c>
      <c r="G4" s="627"/>
      <c r="H4" s="356" t="s">
        <v>11</v>
      </c>
      <c r="I4" s="356"/>
      <c r="J4" s="634" t="s">
        <v>12</v>
      </c>
      <c r="K4" s="634"/>
      <c r="L4" s="634"/>
      <c r="M4" s="634"/>
      <c r="N4" s="635" t="s">
        <v>13</v>
      </c>
      <c r="O4" s="636"/>
      <c r="P4" s="636"/>
      <c r="Q4" s="636"/>
      <c r="R4" s="641"/>
      <c r="S4" s="642" t="s">
        <v>18</v>
      </c>
      <c r="T4" s="643"/>
      <c r="U4" s="644" t="s">
        <v>19</v>
      </c>
      <c r="V4" s="17" t="s">
        <v>20</v>
      </c>
    </row>
    <row r="5" ht="34.5" customHeight="1" spans="1:22">
      <c r="A5" s="628"/>
      <c r="B5" s="628"/>
      <c r="C5" s="629"/>
      <c r="D5" s="627"/>
      <c r="E5" s="356"/>
      <c r="F5" s="356" t="s">
        <v>384</v>
      </c>
      <c r="G5" s="356" t="s">
        <v>147</v>
      </c>
      <c r="H5" s="356" t="s">
        <v>22</v>
      </c>
      <c r="I5" s="356" t="s">
        <v>23</v>
      </c>
      <c r="J5" s="637" t="s">
        <v>38</v>
      </c>
      <c r="K5" s="356" t="s">
        <v>591</v>
      </c>
      <c r="L5" s="356" t="s">
        <v>592</v>
      </c>
      <c r="M5" s="356" t="s">
        <v>593</v>
      </c>
      <c r="N5" s="356" t="s">
        <v>25</v>
      </c>
      <c r="O5" s="356" t="s">
        <v>26</v>
      </c>
      <c r="P5" s="356" t="s">
        <v>27</v>
      </c>
      <c r="Q5" s="356" t="s">
        <v>28</v>
      </c>
      <c r="R5" s="356" t="s">
        <v>870</v>
      </c>
      <c r="S5" s="645"/>
      <c r="T5" s="646"/>
      <c r="U5" s="647"/>
      <c r="V5" s="17"/>
    </row>
    <row r="6" s="68" customFormat="1" ht="21.95" customHeight="1" spans="1:22">
      <c r="A6" s="28"/>
      <c r="B6" s="28"/>
      <c r="C6" s="28"/>
      <c r="D6" s="28">
        <v>1</v>
      </c>
      <c r="E6" s="28">
        <v>2</v>
      </c>
      <c r="F6" s="28">
        <v>3</v>
      </c>
      <c r="G6" s="28">
        <v>4</v>
      </c>
      <c r="H6" s="28">
        <v>5</v>
      </c>
      <c r="I6" s="28">
        <v>6</v>
      </c>
      <c r="J6" s="28" t="s">
        <v>740</v>
      </c>
      <c r="K6" s="28">
        <v>8</v>
      </c>
      <c r="L6" s="28">
        <v>9</v>
      </c>
      <c r="M6" s="28">
        <v>10</v>
      </c>
      <c r="N6" s="99">
        <v>11</v>
      </c>
      <c r="O6" s="99">
        <v>12</v>
      </c>
      <c r="P6" s="99">
        <v>13</v>
      </c>
      <c r="Q6" s="99">
        <v>14</v>
      </c>
      <c r="R6" s="99">
        <v>15</v>
      </c>
      <c r="S6" s="28">
        <v>11</v>
      </c>
      <c r="T6" s="28">
        <v>12</v>
      </c>
      <c r="U6" s="648">
        <v>13</v>
      </c>
      <c r="V6" s="649"/>
    </row>
    <row r="7" s="618" customFormat="1" ht="20.1" customHeight="1" spans="1:22">
      <c r="A7" s="630"/>
      <c r="B7" s="631" t="s">
        <v>38</v>
      </c>
      <c r="C7" s="81"/>
      <c r="D7" s="71"/>
      <c r="E7" s="632"/>
      <c r="F7" s="71">
        <f t="shared" ref="F7:Q7" si="0">F8+F15+F24+F30+F81+F131+F149+F158+F230</f>
        <v>14308</v>
      </c>
      <c r="G7" s="71">
        <f t="shared" si="0"/>
        <v>36758</v>
      </c>
      <c r="H7" s="71">
        <v>2018</v>
      </c>
      <c r="I7" s="71">
        <v>2020</v>
      </c>
      <c r="J7" s="71">
        <f t="shared" si="0"/>
        <v>18660.15964</v>
      </c>
      <c r="K7" s="638">
        <f t="shared" si="0"/>
        <v>10645.949</v>
      </c>
      <c r="L7" s="638">
        <f t="shared" si="0"/>
        <v>6752.6856</v>
      </c>
      <c r="M7" s="638">
        <f t="shared" si="0"/>
        <v>1261.52504</v>
      </c>
      <c r="N7" s="638">
        <f t="shared" si="0"/>
        <v>5558.29164</v>
      </c>
      <c r="O7" s="638">
        <f t="shared" si="0"/>
        <v>7940.77</v>
      </c>
      <c r="P7" s="638">
        <f t="shared" si="0"/>
        <v>3752.3044</v>
      </c>
      <c r="Q7" s="638">
        <f t="shared" si="0"/>
        <v>1408.7936</v>
      </c>
      <c r="R7" s="638"/>
      <c r="S7" s="631"/>
      <c r="T7" s="631"/>
      <c r="U7" s="631"/>
      <c r="V7" s="630"/>
    </row>
    <row r="8" s="619" customFormat="1" ht="20.1" customHeight="1" spans="1:22">
      <c r="A8" s="74">
        <v>1</v>
      </c>
      <c r="B8" s="81" t="s">
        <v>742</v>
      </c>
      <c r="C8" s="74" t="s">
        <v>52</v>
      </c>
      <c r="D8" s="71" t="s">
        <v>384</v>
      </c>
      <c r="E8" s="71">
        <f t="shared" ref="E8:G8" si="1">E9+E10+E14</f>
        <v>2310</v>
      </c>
      <c r="F8" s="71">
        <f t="shared" si="1"/>
        <v>970</v>
      </c>
      <c r="G8" s="71">
        <f t="shared" si="1"/>
        <v>3376</v>
      </c>
      <c r="H8" s="71">
        <v>2018</v>
      </c>
      <c r="I8" s="71">
        <v>2019</v>
      </c>
      <c r="J8" s="71">
        <f t="shared" ref="J8:R8" si="2">J9+J10+J14</f>
        <v>8715.5</v>
      </c>
      <c r="K8" s="71">
        <f t="shared" si="2"/>
        <v>5620.7</v>
      </c>
      <c r="L8" s="71">
        <f t="shared" si="2"/>
        <v>3094.8</v>
      </c>
      <c r="M8" s="71">
        <f t="shared" si="2"/>
        <v>0</v>
      </c>
      <c r="N8" s="71">
        <f t="shared" si="2"/>
        <v>2534.55</v>
      </c>
      <c r="O8" s="71">
        <f t="shared" si="2"/>
        <v>3454</v>
      </c>
      <c r="P8" s="71">
        <f t="shared" si="2"/>
        <v>2726.95</v>
      </c>
      <c r="Q8" s="71">
        <f t="shared" si="2"/>
        <v>0</v>
      </c>
      <c r="R8" s="71">
        <f t="shared" si="2"/>
        <v>0</v>
      </c>
      <c r="S8" s="81" t="s">
        <v>320</v>
      </c>
      <c r="T8" s="81" t="s">
        <v>320</v>
      </c>
      <c r="U8" s="81" t="s">
        <v>320</v>
      </c>
      <c r="V8" s="132" t="s">
        <v>41</v>
      </c>
    </row>
    <row r="9" ht="20.1" customHeight="1" spans="1:22">
      <c r="A9" s="74">
        <v>2</v>
      </c>
      <c r="B9" s="74" t="s">
        <v>380</v>
      </c>
      <c r="C9" s="74" t="s">
        <v>52</v>
      </c>
      <c r="D9" s="71" t="s">
        <v>384</v>
      </c>
      <c r="E9" s="71">
        <v>117</v>
      </c>
      <c r="F9" s="71">
        <v>117</v>
      </c>
      <c r="G9" s="71">
        <v>394</v>
      </c>
      <c r="H9" s="71">
        <v>2018</v>
      </c>
      <c r="I9" s="71">
        <v>2019</v>
      </c>
      <c r="J9" s="71">
        <v>4266.1</v>
      </c>
      <c r="K9" s="71">
        <v>3267.7</v>
      </c>
      <c r="L9" s="71">
        <v>998.4</v>
      </c>
      <c r="M9" s="71"/>
      <c r="N9" s="71">
        <v>2534.55</v>
      </c>
      <c r="O9" s="71"/>
      <c r="P9" s="71">
        <v>1731.55</v>
      </c>
      <c r="Q9" s="71"/>
      <c r="R9" s="71"/>
      <c r="S9" s="132" t="s">
        <v>1067</v>
      </c>
      <c r="T9" s="134" t="s">
        <v>1068</v>
      </c>
      <c r="U9" s="134" t="s">
        <v>201</v>
      </c>
      <c r="V9" s="132" t="s">
        <v>1069</v>
      </c>
    </row>
    <row r="10" ht="20.1" customHeight="1" spans="1:22">
      <c r="A10" s="74">
        <v>3</v>
      </c>
      <c r="B10" s="74" t="s">
        <v>761</v>
      </c>
      <c r="C10" s="74" t="s">
        <v>52</v>
      </c>
      <c r="D10" s="71" t="s">
        <v>384</v>
      </c>
      <c r="E10" s="71">
        <v>1640</v>
      </c>
      <c r="F10" s="71">
        <v>853</v>
      </c>
      <c r="G10" s="71">
        <v>2982</v>
      </c>
      <c r="H10" s="71">
        <v>2018</v>
      </c>
      <c r="I10" s="71">
        <v>2018</v>
      </c>
      <c r="J10" s="71">
        <v>3454</v>
      </c>
      <c r="K10" s="71">
        <f>K11+K12+K13</f>
        <v>2353</v>
      </c>
      <c r="L10" s="71">
        <f t="shared" ref="L10:R10" si="3">L11+L12+L13</f>
        <v>1101</v>
      </c>
      <c r="M10" s="71">
        <f t="shared" si="3"/>
        <v>0</v>
      </c>
      <c r="N10" s="71">
        <f t="shared" si="3"/>
        <v>0</v>
      </c>
      <c r="O10" s="71">
        <f t="shared" si="3"/>
        <v>3454</v>
      </c>
      <c r="P10" s="71">
        <f t="shared" si="3"/>
        <v>0</v>
      </c>
      <c r="Q10" s="71">
        <f t="shared" si="3"/>
        <v>0</v>
      </c>
      <c r="R10" s="71">
        <f t="shared" si="3"/>
        <v>0</v>
      </c>
      <c r="S10" s="132" t="s">
        <v>1067</v>
      </c>
      <c r="T10" s="132" t="s">
        <v>1070</v>
      </c>
      <c r="U10" s="132" t="s">
        <v>273</v>
      </c>
      <c r="V10" s="132" t="s">
        <v>1071</v>
      </c>
    </row>
    <row r="11" ht="20.1" customHeight="1" spans="1:22">
      <c r="A11" s="74">
        <v>4</v>
      </c>
      <c r="B11" s="74" t="s">
        <v>1072</v>
      </c>
      <c r="C11" s="74" t="s">
        <v>52</v>
      </c>
      <c r="D11" s="71" t="s">
        <v>384</v>
      </c>
      <c r="E11" s="71">
        <v>367</v>
      </c>
      <c r="F11" s="71">
        <v>235</v>
      </c>
      <c r="G11" s="71">
        <v>774</v>
      </c>
      <c r="H11" s="71">
        <v>2018</v>
      </c>
      <c r="I11" s="71">
        <v>2018</v>
      </c>
      <c r="J11" s="71">
        <v>1101</v>
      </c>
      <c r="K11" s="71"/>
      <c r="L11" s="71">
        <v>1101</v>
      </c>
      <c r="M11" s="71"/>
      <c r="N11" s="71"/>
      <c r="O11" s="71">
        <v>1101</v>
      </c>
      <c r="P11" s="71"/>
      <c r="Q11" s="71"/>
      <c r="R11" s="56"/>
      <c r="S11" s="132" t="s">
        <v>1067</v>
      </c>
      <c r="T11" s="132" t="s">
        <v>1070</v>
      </c>
      <c r="U11" s="132" t="s">
        <v>273</v>
      </c>
      <c r="V11" s="132" t="s">
        <v>1073</v>
      </c>
    </row>
    <row r="12" ht="20.1" customHeight="1" spans="1:22">
      <c r="A12" s="74">
        <v>5</v>
      </c>
      <c r="B12" s="74" t="s">
        <v>1074</v>
      </c>
      <c r="C12" s="74" t="s">
        <v>52</v>
      </c>
      <c r="D12" s="71" t="s">
        <v>384</v>
      </c>
      <c r="E12" s="71">
        <v>1245</v>
      </c>
      <c r="F12" s="71">
        <v>596</v>
      </c>
      <c r="G12" s="71">
        <v>2170</v>
      </c>
      <c r="H12" s="71">
        <v>2018</v>
      </c>
      <c r="I12" s="71">
        <v>2018</v>
      </c>
      <c r="J12" s="71">
        <v>2241</v>
      </c>
      <c r="K12" s="71">
        <v>2241</v>
      </c>
      <c r="L12" s="71"/>
      <c r="M12" s="71"/>
      <c r="N12" s="71"/>
      <c r="O12" s="71">
        <v>2241</v>
      </c>
      <c r="P12" s="71"/>
      <c r="Q12" s="71"/>
      <c r="R12" s="56"/>
      <c r="S12" s="132" t="s">
        <v>1067</v>
      </c>
      <c r="T12" s="132" t="s">
        <v>1070</v>
      </c>
      <c r="U12" s="132" t="s">
        <v>273</v>
      </c>
      <c r="V12" s="132" t="s">
        <v>1073</v>
      </c>
    </row>
    <row r="13" ht="20.1" customHeight="1" spans="1:22">
      <c r="A13" s="74">
        <v>6</v>
      </c>
      <c r="B13" s="74" t="s">
        <v>1075</v>
      </c>
      <c r="C13" s="74" t="s">
        <v>52</v>
      </c>
      <c r="D13" s="71" t="s">
        <v>384</v>
      </c>
      <c r="E13" s="71">
        <v>28</v>
      </c>
      <c r="F13" s="71">
        <v>22</v>
      </c>
      <c r="G13" s="71">
        <v>38</v>
      </c>
      <c r="H13" s="71">
        <v>2018</v>
      </c>
      <c r="I13" s="71">
        <v>2018</v>
      </c>
      <c r="J13" s="71">
        <v>112</v>
      </c>
      <c r="K13" s="71">
        <v>112</v>
      </c>
      <c r="L13" s="71"/>
      <c r="M13" s="71"/>
      <c r="N13" s="71"/>
      <c r="O13" s="71">
        <v>112</v>
      </c>
      <c r="P13" s="71"/>
      <c r="Q13" s="71"/>
      <c r="R13" s="56"/>
      <c r="S13" s="132" t="s">
        <v>1067</v>
      </c>
      <c r="T13" s="132" t="s">
        <v>1070</v>
      </c>
      <c r="U13" s="132" t="s">
        <v>273</v>
      </c>
      <c r="V13" s="132" t="s">
        <v>1073</v>
      </c>
    </row>
    <row r="14" ht="24" spans="1:22">
      <c r="A14" s="74">
        <v>7</v>
      </c>
      <c r="B14" s="74" t="s">
        <v>1076</v>
      </c>
      <c r="C14" s="74" t="s">
        <v>52</v>
      </c>
      <c r="D14" s="71" t="s">
        <v>384</v>
      </c>
      <c r="E14" s="71">
        <v>553</v>
      </c>
      <c r="F14" s="71">
        <v>0</v>
      </c>
      <c r="G14" s="71">
        <v>0</v>
      </c>
      <c r="H14" s="71">
        <v>2018</v>
      </c>
      <c r="I14" s="71">
        <v>2018</v>
      </c>
      <c r="J14" s="71">
        <v>995.4</v>
      </c>
      <c r="K14" s="71"/>
      <c r="L14" s="71">
        <v>995.4</v>
      </c>
      <c r="M14" s="71"/>
      <c r="N14" s="71"/>
      <c r="O14" s="71"/>
      <c r="P14" s="71">
        <v>995.4</v>
      </c>
      <c r="Q14" s="71"/>
      <c r="R14" s="71"/>
      <c r="S14" s="134" t="s">
        <v>1067</v>
      </c>
      <c r="T14" s="134" t="s">
        <v>1070</v>
      </c>
      <c r="U14" s="134" t="s">
        <v>273</v>
      </c>
      <c r="V14" s="132" t="s">
        <v>1073</v>
      </c>
    </row>
    <row r="15" ht="20.1" customHeight="1" spans="1:22">
      <c r="A15" s="74">
        <v>8</v>
      </c>
      <c r="B15" s="81" t="s">
        <v>779</v>
      </c>
      <c r="C15" s="81" t="s">
        <v>320</v>
      </c>
      <c r="D15" s="71" t="s">
        <v>320</v>
      </c>
      <c r="E15" s="71">
        <f t="shared" ref="E15:G15" si="4">E16+E19+E20+E21+E22+E23</f>
        <v>322</v>
      </c>
      <c r="F15" s="71">
        <f t="shared" si="4"/>
        <v>296</v>
      </c>
      <c r="G15" s="71">
        <f t="shared" si="4"/>
        <v>296</v>
      </c>
      <c r="H15" s="71">
        <v>2018</v>
      </c>
      <c r="I15" s="71">
        <v>2020</v>
      </c>
      <c r="J15" s="71">
        <f t="shared" ref="J15:R15" si="5">J16+J19+J20+J21+J22</f>
        <v>448.875</v>
      </c>
      <c r="K15" s="71">
        <f t="shared" si="5"/>
        <v>149.625</v>
      </c>
      <c r="L15" s="71">
        <f t="shared" si="5"/>
        <v>149.625</v>
      </c>
      <c r="M15" s="71">
        <f t="shared" si="5"/>
        <v>149.625</v>
      </c>
      <c r="N15" s="71">
        <f t="shared" si="5"/>
        <v>211.125</v>
      </c>
      <c r="O15" s="71">
        <f t="shared" si="5"/>
        <v>127.8</v>
      </c>
      <c r="P15" s="71">
        <f t="shared" si="5"/>
        <v>109.95</v>
      </c>
      <c r="Q15" s="71">
        <f t="shared" si="5"/>
        <v>0</v>
      </c>
      <c r="R15" s="71">
        <f t="shared" si="5"/>
        <v>0</v>
      </c>
      <c r="S15" s="134" t="s">
        <v>1077</v>
      </c>
      <c r="T15" s="134" t="s">
        <v>1078</v>
      </c>
      <c r="U15" s="134" t="s">
        <v>294</v>
      </c>
      <c r="V15" s="132" t="s">
        <v>41</v>
      </c>
    </row>
    <row r="16" ht="24" spans="1:22">
      <c r="A16" s="74">
        <v>9</v>
      </c>
      <c r="B16" s="74" t="s">
        <v>295</v>
      </c>
      <c r="C16" s="81" t="s">
        <v>320</v>
      </c>
      <c r="D16" s="71" t="s">
        <v>147</v>
      </c>
      <c r="E16" s="71">
        <v>0</v>
      </c>
      <c r="F16" s="71">
        <v>0</v>
      </c>
      <c r="G16" s="71">
        <v>0</v>
      </c>
      <c r="H16" s="71"/>
      <c r="I16" s="71"/>
      <c r="J16" s="71"/>
      <c r="K16" s="71"/>
      <c r="L16" s="71"/>
      <c r="M16" s="71"/>
      <c r="N16" s="71"/>
      <c r="O16" s="71"/>
      <c r="P16" s="71"/>
      <c r="Q16" s="71"/>
      <c r="R16" s="71"/>
      <c r="S16" s="74"/>
      <c r="T16" s="74"/>
      <c r="U16" s="134" t="s">
        <v>294</v>
      </c>
      <c r="V16" s="132" t="s">
        <v>41</v>
      </c>
    </row>
    <row r="17" ht="20.1" customHeight="1" spans="1:22">
      <c r="A17" s="74"/>
      <c r="B17" s="74" t="s">
        <v>783</v>
      </c>
      <c r="C17" s="81" t="s">
        <v>320</v>
      </c>
      <c r="D17" s="71" t="s">
        <v>147</v>
      </c>
      <c r="E17" s="71">
        <v>0</v>
      </c>
      <c r="F17" s="71">
        <v>0</v>
      </c>
      <c r="G17" s="71">
        <v>0</v>
      </c>
      <c r="H17" s="71"/>
      <c r="I17" s="71"/>
      <c r="J17" s="71"/>
      <c r="K17" s="71"/>
      <c r="L17" s="71"/>
      <c r="M17" s="71"/>
      <c r="N17" s="71"/>
      <c r="O17" s="71"/>
      <c r="P17" s="71"/>
      <c r="Q17" s="71"/>
      <c r="R17" s="71"/>
      <c r="S17" s="74"/>
      <c r="T17" s="74"/>
      <c r="U17" s="134"/>
      <c r="V17" s="132" t="s">
        <v>41</v>
      </c>
    </row>
    <row r="18" ht="20.1" customHeight="1" spans="1:22">
      <c r="A18" s="74"/>
      <c r="B18" s="74" t="s">
        <v>784</v>
      </c>
      <c r="C18" s="81" t="s">
        <v>320</v>
      </c>
      <c r="D18" s="71" t="s">
        <v>147</v>
      </c>
      <c r="E18" s="71">
        <v>0</v>
      </c>
      <c r="F18" s="71">
        <v>0</v>
      </c>
      <c r="G18" s="71">
        <v>0</v>
      </c>
      <c r="H18" s="71"/>
      <c r="I18" s="71"/>
      <c r="J18" s="71"/>
      <c r="K18" s="71"/>
      <c r="L18" s="71"/>
      <c r="M18" s="71"/>
      <c r="N18" s="71"/>
      <c r="O18" s="71"/>
      <c r="P18" s="71"/>
      <c r="Q18" s="71"/>
      <c r="R18" s="71"/>
      <c r="S18" s="74"/>
      <c r="T18" s="74"/>
      <c r="U18" s="134"/>
      <c r="V18" s="132" t="s">
        <v>41</v>
      </c>
    </row>
    <row r="19" ht="20.1" customHeight="1" spans="1:22">
      <c r="A19" s="74">
        <v>10</v>
      </c>
      <c r="B19" s="74" t="s">
        <v>319</v>
      </c>
      <c r="C19" s="81" t="s">
        <v>320</v>
      </c>
      <c r="D19" s="71" t="s">
        <v>147</v>
      </c>
      <c r="E19" s="71">
        <v>33</v>
      </c>
      <c r="F19" s="71">
        <v>7</v>
      </c>
      <c r="G19" s="71">
        <v>7</v>
      </c>
      <c r="H19" s="71">
        <v>2018</v>
      </c>
      <c r="I19" s="71">
        <v>2020</v>
      </c>
      <c r="J19" s="71">
        <v>12.375</v>
      </c>
      <c r="K19" s="71">
        <v>4.125</v>
      </c>
      <c r="L19" s="71">
        <v>4.125</v>
      </c>
      <c r="M19" s="71">
        <v>4.125</v>
      </c>
      <c r="N19" s="71"/>
      <c r="O19" s="71"/>
      <c r="P19" s="71">
        <v>12.375</v>
      </c>
      <c r="Q19" s="71"/>
      <c r="R19" s="71"/>
      <c r="S19" s="134" t="s">
        <v>1077</v>
      </c>
      <c r="T19" s="134" t="s">
        <v>1078</v>
      </c>
      <c r="U19" s="134" t="s">
        <v>294</v>
      </c>
      <c r="V19" s="132"/>
    </row>
    <row r="20" ht="20.1" customHeight="1" spans="1:22">
      <c r="A20" s="74">
        <v>11</v>
      </c>
      <c r="B20" s="74" t="s">
        <v>321</v>
      </c>
      <c r="C20" s="81" t="s">
        <v>320</v>
      </c>
      <c r="D20" s="71" t="s">
        <v>147</v>
      </c>
      <c r="E20" s="71">
        <v>89</v>
      </c>
      <c r="F20" s="71">
        <v>89</v>
      </c>
      <c r="G20" s="71">
        <v>89</v>
      </c>
      <c r="H20" s="71">
        <v>2018</v>
      </c>
      <c r="I20" s="71">
        <v>2020</v>
      </c>
      <c r="J20" s="71">
        <v>146.85</v>
      </c>
      <c r="K20" s="71">
        <v>48.95</v>
      </c>
      <c r="L20" s="71">
        <v>48.95</v>
      </c>
      <c r="M20" s="71">
        <v>48.95</v>
      </c>
      <c r="N20" s="71">
        <v>113.475</v>
      </c>
      <c r="O20" s="71"/>
      <c r="P20" s="71">
        <v>33.375</v>
      </c>
      <c r="Q20" s="71"/>
      <c r="R20" s="71"/>
      <c r="S20" s="134" t="s">
        <v>1077</v>
      </c>
      <c r="T20" s="134" t="s">
        <v>1078</v>
      </c>
      <c r="U20" s="134" t="s">
        <v>294</v>
      </c>
      <c r="V20" s="132" t="s">
        <v>1079</v>
      </c>
    </row>
    <row r="21" ht="20.1" customHeight="1" spans="1:22">
      <c r="A21" s="74">
        <v>12</v>
      </c>
      <c r="B21" s="74" t="s">
        <v>322</v>
      </c>
      <c r="C21" s="81" t="s">
        <v>320</v>
      </c>
      <c r="D21" s="71" t="s">
        <v>147</v>
      </c>
      <c r="E21" s="71">
        <v>86</v>
      </c>
      <c r="F21" s="71">
        <v>86</v>
      </c>
      <c r="G21" s="71">
        <v>86</v>
      </c>
      <c r="H21" s="71">
        <v>2018</v>
      </c>
      <c r="I21" s="71">
        <v>2020</v>
      </c>
      <c r="J21" s="71">
        <v>141.9</v>
      </c>
      <c r="K21" s="71">
        <v>47.3</v>
      </c>
      <c r="L21" s="71">
        <v>47.3</v>
      </c>
      <c r="M21" s="71">
        <v>47.3</v>
      </c>
      <c r="N21" s="71">
        <v>51.6</v>
      </c>
      <c r="O21" s="71">
        <v>77.4</v>
      </c>
      <c r="P21" s="71">
        <v>12.9</v>
      </c>
      <c r="Q21" s="71"/>
      <c r="R21" s="71"/>
      <c r="S21" s="134" t="s">
        <v>1077</v>
      </c>
      <c r="T21" s="134" t="s">
        <v>1078</v>
      </c>
      <c r="U21" s="134" t="s">
        <v>294</v>
      </c>
      <c r="V21" s="132" t="s">
        <v>1079</v>
      </c>
    </row>
    <row r="22" ht="20.1" customHeight="1" spans="1:22">
      <c r="A22" s="74">
        <v>13</v>
      </c>
      <c r="B22" s="74" t="s">
        <v>323</v>
      </c>
      <c r="C22" s="81" t="s">
        <v>320</v>
      </c>
      <c r="D22" s="71" t="s">
        <v>147</v>
      </c>
      <c r="E22" s="71">
        <v>114</v>
      </c>
      <c r="F22" s="71">
        <v>114</v>
      </c>
      <c r="G22" s="71">
        <v>114</v>
      </c>
      <c r="H22" s="71">
        <v>2018</v>
      </c>
      <c r="I22" s="71">
        <v>2020</v>
      </c>
      <c r="J22" s="71">
        <v>147.75</v>
      </c>
      <c r="K22" s="71">
        <v>49.25</v>
      </c>
      <c r="L22" s="71">
        <v>49.25</v>
      </c>
      <c r="M22" s="71">
        <v>49.25</v>
      </c>
      <c r="N22" s="71">
        <v>46.05</v>
      </c>
      <c r="O22" s="71">
        <v>50.4</v>
      </c>
      <c r="P22" s="71">
        <v>51.3</v>
      </c>
      <c r="Q22" s="71"/>
      <c r="R22" s="71"/>
      <c r="S22" s="134" t="s">
        <v>1077</v>
      </c>
      <c r="T22" s="134" t="s">
        <v>1078</v>
      </c>
      <c r="U22" s="134" t="s">
        <v>294</v>
      </c>
      <c r="V22" s="132" t="s">
        <v>1080</v>
      </c>
    </row>
    <row r="23" ht="20.1" customHeight="1" spans="1:22">
      <c r="A23" s="74">
        <v>14</v>
      </c>
      <c r="B23" s="74" t="s">
        <v>324</v>
      </c>
      <c r="C23" s="81" t="s">
        <v>320</v>
      </c>
      <c r="D23" s="71" t="s">
        <v>147</v>
      </c>
      <c r="E23" s="71"/>
      <c r="F23" s="71"/>
      <c r="G23" s="71"/>
      <c r="H23" s="71"/>
      <c r="I23" s="71"/>
      <c r="J23" s="71"/>
      <c r="K23" s="71"/>
      <c r="L23" s="71"/>
      <c r="M23" s="71"/>
      <c r="N23" s="71"/>
      <c r="O23" s="71"/>
      <c r="P23" s="71"/>
      <c r="Q23" s="71"/>
      <c r="R23" s="71"/>
      <c r="S23" s="134"/>
      <c r="T23" s="134"/>
      <c r="U23" s="134" t="s">
        <v>294</v>
      </c>
      <c r="V23" s="132"/>
    </row>
    <row r="24" ht="20.1" customHeight="1" spans="1:22">
      <c r="A24" s="74">
        <v>15</v>
      </c>
      <c r="B24" s="81" t="s">
        <v>802</v>
      </c>
      <c r="C24" s="81" t="s">
        <v>320</v>
      </c>
      <c r="D24" s="71" t="s">
        <v>147</v>
      </c>
      <c r="E24" s="71">
        <f t="shared" ref="E24:G24" si="6">E25+E26+E27+E28+E29</f>
        <v>16469</v>
      </c>
      <c r="F24" s="71">
        <f t="shared" si="6"/>
        <v>7184</v>
      </c>
      <c r="G24" s="71">
        <f t="shared" si="6"/>
        <v>16469</v>
      </c>
      <c r="H24" s="71">
        <v>2018</v>
      </c>
      <c r="I24" s="71">
        <v>2020</v>
      </c>
      <c r="J24" s="71">
        <f t="shared" ref="J24:R24" si="7">J25+J26+J27+J28+J29</f>
        <v>502.3</v>
      </c>
      <c r="K24" s="71">
        <f t="shared" si="7"/>
        <v>151.022</v>
      </c>
      <c r="L24" s="71">
        <f t="shared" si="7"/>
        <v>155.772</v>
      </c>
      <c r="M24" s="71">
        <f t="shared" si="7"/>
        <v>195.506</v>
      </c>
      <c r="N24" s="71">
        <f t="shared" si="7"/>
        <v>359.94</v>
      </c>
      <c r="O24" s="71">
        <f t="shared" si="7"/>
        <v>0</v>
      </c>
      <c r="P24" s="71">
        <f t="shared" si="7"/>
        <v>142.36</v>
      </c>
      <c r="Q24" s="71">
        <f t="shared" si="7"/>
        <v>0</v>
      </c>
      <c r="R24" s="71">
        <f t="shared" si="7"/>
        <v>0</v>
      </c>
      <c r="S24" s="87"/>
      <c r="T24" s="87"/>
      <c r="U24" s="81" t="s">
        <v>320</v>
      </c>
      <c r="V24" s="132" t="s">
        <v>41</v>
      </c>
    </row>
    <row r="25" ht="20.1" customHeight="1" spans="1:22">
      <c r="A25" s="74">
        <v>16</v>
      </c>
      <c r="B25" s="74" t="s">
        <v>327</v>
      </c>
      <c r="C25" s="81" t="s">
        <v>320</v>
      </c>
      <c r="D25" s="71" t="s">
        <v>147</v>
      </c>
      <c r="E25" s="71">
        <v>5749</v>
      </c>
      <c r="F25" s="71">
        <v>1604</v>
      </c>
      <c r="G25" s="71">
        <v>5749</v>
      </c>
      <c r="H25" s="71">
        <v>2018</v>
      </c>
      <c r="I25" s="71">
        <v>2020</v>
      </c>
      <c r="J25" s="71">
        <f>K25+L25+M25</f>
        <v>344.94</v>
      </c>
      <c r="K25" s="74">
        <f>G25*0.018</f>
        <v>103.482</v>
      </c>
      <c r="L25" s="74">
        <f>G25*0.018</f>
        <v>103.482</v>
      </c>
      <c r="M25" s="74">
        <f>G25*0.024</f>
        <v>137.976</v>
      </c>
      <c r="N25" s="76">
        <v>202.58</v>
      </c>
      <c r="O25" s="76"/>
      <c r="P25" s="76">
        <v>142.36</v>
      </c>
      <c r="Q25" s="76"/>
      <c r="R25" s="76"/>
      <c r="S25" s="86" t="s">
        <v>1077</v>
      </c>
      <c r="T25" s="86" t="s">
        <v>1081</v>
      </c>
      <c r="U25" s="86" t="s">
        <v>195</v>
      </c>
      <c r="V25" s="132" t="s">
        <v>1080</v>
      </c>
    </row>
    <row r="26" ht="20.1" customHeight="1" spans="1:22">
      <c r="A26" s="74">
        <v>17</v>
      </c>
      <c r="B26" s="74" t="s">
        <v>332</v>
      </c>
      <c r="C26" s="81" t="s">
        <v>320</v>
      </c>
      <c r="D26" s="71" t="s">
        <v>147</v>
      </c>
      <c r="E26" s="71">
        <v>5749</v>
      </c>
      <c r="F26" s="71">
        <v>1604</v>
      </c>
      <c r="G26" s="71">
        <v>5749</v>
      </c>
      <c r="H26" s="71">
        <v>2018</v>
      </c>
      <c r="I26" s="71">
        <v>2020</v>
      </c>
      <c r="J26" s="71"/>
      <c r="K26" s="71"/>
      <c r="L26" s="71"/>
      <c r="M26" s="71"/>
      <c r="N26" s="76"/>
      <c r="O26" s="76"/>
      <c r="P26" s="76"/>
      <c r="Q26" s="76"/>
      <c r="R26" s="76"/>
      <c r="S26" s="86" t="s">
        <v>1077</v>
      </c>
      <c r="T26" s="86" t="s">
        <v>1081</v>
      </c>
      <c r="U26" s="86" t="s">
        <v>195</v>
      </c>
      <c r="V26" s="132"/>
    </row>
    <row r="27" ht="20.1" customHeight="1" spans="1:22">
      <c r="A27" s="74">
        <v>18</v>
      </c>
      <c r="B27" s="74" t="s">
        <v>335</v>
      </c>
      <c r="C27" s="81" t="s">
        <v>320</v>
      </c>
      <c r="D27" s="71" t="s">
        <v>147</v>
      </c>
      <c r="E27" s="71">
        <v>2510</v>
      </c>
      <c r="F27" s="71">
        <v>2008</v>
      </c>
      <c r="G27" s="71">
        <v>2510</v>
      </c>
      <c r="H27" s="71">
        <v>2018</v>
      </c>
      <c r="I27" s="71">
        <v>2020</v>
      </c>
      <c r="J27" s="71">
        <v>120.55</v>
      </c>
      <c r="K27" s="71">
        <v>36.42</v>
      </c>
      <c r="L27" s="71">
        <v>40.06</v>
      </c>
      <c r="M27" s="76">
        <v>44.07</v>
      </c>
      <c r="N27" s="76">
        <v>120.55</v>
      </c>
      <c r="O27" s="76"/>
      <c r="P27" s="76"/>
      <c r="Q27" s="76"/>
      <c r="R27" s="76"/>
      <c r="S27" s="86" t="s">
        <v>1077</v>
      </c>
      <c r="T27" s="86" t="s">
        <v>1082</v>
      </c>
      <c r="U27" s="86" t="s">
        <v>358</v>
      </c>
      <c r="V27" s="132" t="s">
        <v>1083</v>
      </c>
    </row>
    <row r="28" ht="20.1" customHeight="1" spans="1:22">
      <c r="A28" s="74">
        <v>19</v>
      </c>
      <c r="B28" s="74" t="s">
        <v>355</v>
      </c>
      <c r="C28" s="81" t="s">
        <v>320</v>
      </c>
      <c r="D28" s="71" t="s">
        <v>147</v>
      </c>
      <c r="E28" s="71">
        <v>20</v>
      </c>
      <c r="F28" s="71">
        <v>15</v>
      </c>
      <c r="G28" s="71">
        <v>20</v>
      </c>
      <c r="H28" s="71">
        <v>2018</v>
      </c>
      <c r="I28" s="71">
        <v>2020</v>
      </c>
      <c r="J28" s="71"/>
      <c r="K28" s="71"/>
      <c r="L28" s="71"/>
      <c r="M28" s="71"/>
      <c r="N28" s="76">
        <v>0</v>
      </c>
      <c r="O28" s="76"/>
      <c r="P28" s="76"/>
      <c r="Q28" s="76"/>
      <c r="R28" s="76"/>
      <c r="S28" s="86" t="s">
        <v>1077</v>
      </c>
      <c r="T28" s="86" t="s">
        <v>1082</v>
      </c>
      <c r="U28" s="86" t="s">
        <v>358</v>
      </c>
      <c r="V28" s="132"/>
    </row>
    <row r="29" ht="20.1" customHeight="1" spans="1:22">
      <c r="A29" s="74">
        <v>20</v>
      </c>
      <c r="B29" s="74" t="s">
        <v>370</v>
      </c>
      <c r="C29" s="81" t="s">
        <v>320</v>
      </c>
      <c r="D29" s="71" t="s">
        <v>147</v>
      </c>
      <c r="E29" s="71">
        <v>2441</v>
      </c>
      <c r="F29" s="71">
        <v>1953</v>
      </c>
      <c r="G29" s="71">
        <v>2441</v>
      </c>
      <c r="H29" s="71">
        <v>2018</v>
      </c>
      <c r="I29" s="71">
        <v>2020</v>
      </c>
      <c r="J29" s="71">
        <v>36.81</v>
      </c>
      <c r="K29" s="76">
        <v>11.12</v>
      </c>
      <c r="L29" s="71">
        <v>12.23</v>
      </c>
      <c r="M29" s="71">
        <v>13.46</v>
      </c>
      <c r="N29" s="76">
        <v>36.81</v>
      </c>
      <c r="O29" s="76"/>
      <c r="P29" s="76"/>
      <c r="Q29" s="76"/>
      <c r="R29" s="76"/>
      <c r="S29" s="86" t="s">
        <v>1077</v>
      </c>
      <c r="T29" s="86" t="s">
        <v>1082</v>
      </c>
      <c r="U29" s="86" t="s">
        <v>358</v>
      </c>
      <c r="V29" s="132" t="s">
        <v>1083</v>
      </c>
    </row>
    <row r="30" s="619" customFormat="1" ht="20.1" customHeight="1" spans="1:22">
      <c r="A30" s="74">
        <v>21</v>
      </c>
      <c r="B30" s="633" t="s">
        <v>819</v>
      </c>
      <c r="C30" s="81" t="s">
        <v>320</v>
      </c>
      <c r="D30" s="71"/>
      <c r="E30" s="71"/>
      <c r="F30" s="71">
        <f>F31+F36+F57</f>
        <v>1669</v>
      </c>
      <c r="G30" s="71">
        <f>G31+G36+G57</f>
        <v>3304</v>
      </c>
      <c r="H30" s="71">
        <v>2018</v>
      </c>
      <c r="I30" s="71">
        <v>2020</v>
      </c>
      <c r="J30" s="71">
        <f t="shared" ref="J30:R30" si="8">J57</f>
        <v>287.028</v>
      </c>
      <c r="K30" s="71">
        <f t="shared" si="8"/>
        <v>19.932</v>
      </c>
      <c r="L30" s="71">
        <f t="shared" si="8"/>
        <v>133.548</v>
      </c>
      <c r="M30" s="71">
        <f t="shared" si="8"/>
        <v>133.548</v>
      </c>
      <c r="N30" s="71">
        <f t="shared" si="8"/>
        <v>21.3</v>
      </c>
      <c r="O30" s="71">
        <f t="shared" si="8"/>
        <v>0</v>
      </c>
      <c r="P30" s="71">
        <f t="shared" si="8"/>
        <v>154.9344</v>
      </c>
      <c r="Q30" s="71">
        <f t="shared" si="8"/>
        <v>110.7936</v>
      </c>
      <c r="R30" s="71">
        <f t="shared" si="8"/>
        <v>0</v>
      </c>
      <c r="S30" s="86" t="s">
        <v>1077</v>
      </c>
      <c r="T30" s="650" t="s">
        <v>1084</v>
      </c>
      <c r="U30" s="81" t="s">
        <v>320</v>
      </c>
      <c r="V30" s="132" t="s">
        <v>41</v>
      </c>
    </row>
    <row r="31" ht="20.1" customHeight="1" spans="1:22">
      <c r="A31" s="74">
        <v>22</v>
      </c>
      <c r="B31" s="74" t="s">
        <v>239</v>
      </c>
      <c r="C31" s="81" t="s">
        <v>320</v>
      </c>
      <c r="D31" s="71" t="s">
        <v>147</v>
      </c>
      <c r="E31" s="71">
        <f t="shared" ref="E31:G31" si="9">SUM(E32:E35)</f>
        <v>5300</v>
      </c>
      <c r="F31" s="71">
        <f t="shared" si="9"/>
        <v>827</v>
      </c>
      <c r="G31" s="71">
        <f t="shared" si="9"/>
        <v>2462</v>
      </c>
      <c r="H31" s="71">
        <v>2018</v>
      </c>
      <c r="I31" s="71">
        <v>2020</v>
      </c>
      <c r="J31" s="71"/>
      <c r="K31" s="71"/>
      <c r="L31" s="71"/>
      <c r="M31" s="71"/>
      <c r="N31" s="71"/>
      <c r="O31" s="71"/>
      <c r="P31" s="71"/>
      <c r="Q31" s="71"/>
      <c r="R31" s="71"/>
      <c r="S31" s="86" t="s">
        <v>1077</v>
      </c>
      <c r="T31" s="650" t="s">
        <v>1084</v>
      </c>
      <c r="U31" s="81" t="s">
        <v>320</v>
      </c>
      <c r="V31" s="132" t="s">
        <v>41</v>
      </c>
    </row>
    <row r="32" ht="20.1" customHeight="1" spans="1:22">
      <c r="A32" s="74">
        <v>23</v>
      </c>
      <c r="B32" s="74" t="s">
        <v>241</v>
      </c>
      <c r="C32" s="81" t="s">
        <v>320</v>
      </c>
      <c r="D32" s="71" t="s">
        <v>147</v>
      </c>
      <c r="E32" s="71">
        <v>2000</v>
      </c>
      <c r="F32" s="71">
        <v>276</v>
      </c>
      <c r="G32" s="71">
        <v>871</v>
      </c>
      <c r="H32" s="71">
        <v>2018</v>
      </c>
      <c r="I32" s="71">
        <v>2020</v>
      </c>
      <c r="J32" s="71"/>
      <c r="K32" s="71"/>
      <c r="L32" s="71"/>
      <c r="M32" s="71"/>
      <c r="N32" s="71"/>
      <c r="O32" s="71"/>
      <c r="P32" s="71"/>
      <c r="Q32" s="71"/>
      <c r="R32" s="71"/>
      <c r="S32" s="86" t="s">
        <v>1077</v>
      </c>
      <c r="T32" s="650" t="s">
        <v>1084</v>
      </c>
      <c r="U32" s="650" t="s">
        <v>195</v>
      </c>
      <c r="V32" s="132" t="s">
        <v>41</v>
      </c>
    </row>
    <row r="33" ht="20.1" customHeight="1" spans="1:22">
      <c r="A33" s="74">
        <v>24</v>
      </c>
      <c r="B33" s="74" t="s">
        <v>264</v>
      </c>
      <c r="C33" s="81" t="s">
        <v>320</v>
      </c>
      <c r="D33" s="71" t="s">
        <v>147</v>
      </c>
      <c r="E33" s="71">
        <v>1800</v>
      </c>
      <c r="F33" s="71">
        <v>237</v>
      </c>
      <c r="G33" s="71">
        <v>623</v>
      </c>
      <c r="H33" s="71">
        <v>2018</v>
      </c>
      <c r="I33" s="71">
        <v>2020</v>
      </c>
      <c r="J33" s="71"/>
      <c r="K33" s="71"/>
      <c r="L33" s="71"/>
      <c r="M33" s="71"/>
      <c r="N33" s="71"/>
      <c r="O33" s="71"/>
      <c r="P33" s="71"/>
      <c r="Q33" s="71"/>
      <c r="R33" s="71"/>
      <c r="S33" s="86" t="s">
        <v>1077</v>
      </c>
      <c r="T33" s="650" t="s">
        <v>1084</v>
      </c>
      <c r="U33" s="650" t="s">
        <v>195</v>
      </c>
      <c r="V33" s="132" t="s">
        <v>41</v>
      </c>
    </row>
    <row r="34" ht="20.1" customHeight="1" spans="1:22">
      <c r="A34" s="74">
        <v>25</v>
      </c>
      <c r="B34" s="74" t="s">
        <v>265</v>
      </c>
      <c r="C34" s="81" t="s">
        <v>320</v>
      </c>
      <c r="D34" s="71" t="s">
        <v>147</v>
      </c>
      <c r="E34" s="71">
        <v>1500</v>
      </c>
      <c r="F34" s="71">
        <v>314</v>
      </c>
      <c r="G34" s="71">
        <v>968</v>
      </c>
      <c r="H34" s="71">
        <v>2018</v>
      </c>
      <c r="I34" s="71">
        <v>2020</v>
      </c>
      <c r="J34" s="71"/>
      <c r="K34" s="71"/>
      <c r="L34" s="71"/>
      <c r="M34" s="71"/>
      <c r="N34" s="71"/>
      <c r="O34" s="71"/>
      <c r="P34" s="71"/>
      <c r="Q34" s="71"/>
      <c r="R34" s="71"/>
      <c r="S34" s="86" t="s">
        <v>1077</v>
      </c>
      <c r="T34" s="650" t="s">
        <v>1084</v>
      </c>
      <c r="U34" s="650" t="s">
        <v>195</v>
      </c>
      <c r="V34" s="132" t="s">
        <v>41</v>
      </c>
    </row>
    <row r="35" ht="20.1" customHeight="1" spans="1:22">
      <c r="A35" s="74">
        <v>26</v>
      </c>
      <c r="B35" s="74" t="s">
        <v>266</v>
      </c>
      <c r="C35" s="81" t="s">
        <v>320</v>
      </c>
      <c r="D35" s="71" t="s">
        <v>147</v>
      </c>
      <c r="E35" s="71">
        <v>0</v>
      </c>
      <c r="F35" s="71">
        <v>0</v>
      </c>
      <c r="G35" s="71">
        <v>0</v>
      </c>
      <c r="H35" s="71"/>
      <c r="I35" s="71"/>
      <c r="J35" s="71"/>
      <c r="K35" s="71"/>
      <c r="L35" s="71"/>
      <c r="M35" s="71"/>
      <c r="N35" s="71"/>
      <c r="O35" s="71"/>
      <c r="P35" s="71"/>
      <c r="Q35" s="71"/>
      <c r="R35" s="71"/>
      <c r="S35" s="86" t="s">
        <v>1077</v>
      </c>
      <c r="T35" s="650" t="s">
        <v>1084</v>
      </c>
      <c r="U35" s="650" t="s">
        <v>195</v>
      </c>
      <c r="V35" s="132" t="s">
        <v>41</v>
      </c>
    </row>
    <row r="36" ht="20.1" customHeight="1" spans="1:22">
      <c r="A36" s="74">
        <v>27</v>
      </c>
      <c r="B36" s="74" t="s">
        <v>267</v>
      </c>
      <c r="C36" s="74" t="s">
        <v>52</v>
      </c>
      <c r="D36" s="71" t="s">
        <v>194</v>
      </c>
      <c r="E36" s="71">
        <f t="shared" ref="E36:G36" si="10">E37+E47</f>
        <v>2100</v>
      </c>
      <c r="F36" s="71">
        <f t="shared" si="10"/>
        <v>460</v>
      </c>
      <c r="G36" s="71">
        <f t="shared" si="10"/>
        <v>460</v>
      </c>
      <c r="H36" s="71">
        <v>2018</v>
      </c>
      <c r="I36" s="71">
        <v>2020</v>
      </c>
      <c r="J36" s="71"/>
      <c r="K36" s="71"/>
      <c r="L36" s="71"/>
      <c r="M36" s="71"/>
      <c r="N36" s="71"/>
      <c r="O36" s="71"/>
      <c r="P36" s="71"/>
      <c r="Q36" s="71"/>
      <c r="R36" s="71"/>
      <c r="S36" s="86" t="s">
        <v>1077</v>
      </c>
      <c r="T36" s="650" t="s">
        <v>1084</v>
      </c>
      <c r="U36" s="650" t="s">
        <v>195</v>
      </c>
      <c r="V36" s="132" t="s">
        <v>41</v>
      </c>
    </row>
    <row r="37" ht="20.1" customHeight="1" spans="1:22">
      <c r="A37" s="74"/>
      <c r="B37" s="74" t="s">
        <v>1085</v>
      </c>
      <c r="C37" s="74"/>
      <c r="D37" s="71" t="s">
        <v>194</v>
      </c>
      <c r="E37" s="71">
        <v>300</v>
      </c>
      <c r="F37" s="71">
        <v>210</v>
      </c>
      <c r="G37" s="71">
        <v>210</v>
      </c>
      <c r="H37" s="71">
        <v>2018</v>
      </c>
      <c r="I37" s="71">
        <v>2020</v>
      </c>
      <c r="J37" s="71"/>
      <c r="K37" s="71"/>
      <c r="L37" s="71"/>
      <c r="M37" s="71"/>
      <c r="N37" s="71"/>
      <c r="O37" s="71"/>
      <c r="P37" s="71"/>
      <c r="Q37" s="71"/>
      <c r="R37" s="71"/>
      <c r="S37" s="86" t="s">
        <v>1077</v>
      </c>
      <c r="T37" s="650" t="s">
        <v>1084</v>
      </c>
      <c r="U37" s="650" t="s">
        <v>195</v>
      </c>
      <c r="V37" s="132" t="s">
        <v>41</v>
      </c>
    </row>
    <row r="38" ht="20.1" customHeight="1" spans="1:22">
      <c r="A38" s="74"/>
      <c r="B38" s="71" t="s">
        <v>1086</v>
      </c>
      <c r="C38" s="74"/>
      <c r="D38" s="71" t="s">
        <v>194</v>
      </c>
      <c r="E38" s="71">
        <v>50</v>
      </c>
      <c r="F38" s="71">
        <v>35</v>
      </c>
      <c r="G38" s="71">
        <v>35</v>
      </c>
      <c r="H38" s="71">
        <v>2018</v>
      </c>
      <c r="I38" s="71">
        <v>2020</v>
      </c>
      <c r="J38" s="71"/>
      <c r="K38" s="71"/>
      <c r="L38" s="71"/>
      <c r="M38" s="71"/>
      <c r="N38" s="71"/>
      <c r="O38" s="71"/>
      <c r="P38" s="71"/>
      <c r="Q38" s="71"/>
      <c r="R38" s="71"/>
      <c r="S38" s="86" t="s">
        <v>1077</v>
      </c>
      <c r="T38" s="650" t="s">
        <v>1084</v>
      </c>
      <c r="U38" s="650"/>
      <c r="V38" s="132"/>
    </row>
    <row r="39" ht="20.1" customHeight="1" spans="1:22">
      <c r="A39" s="74"/>
      <c r="B39" s="71" t="s">
        <v>1087</v>
      </c>
      <c r="C39" s="74"/>
      <c r="D39" s="71" t="s">
        <v>194</v>
      </c>
      <c r="E39" s="71">
        <v>0</v>
      </c>
      <c r="F39" s="71">
        <v>0</v>
      </c>
      <c r="G39" s="71">
        <v>0</v>
      </c>
      <c r="H39" s="71">
        <v>2018</v>
      </c>
      <c r="I39" s="71">
        <v>2020</v>
      </c>
      <c r="J39" s="71"/>
      <c r="K39" s="71"/>
      <c r="L39" s="71"/>
      <c r="M39" s="71"/>
      <c r="N39" s="71"/>
      <c r="O39" s="71"/>
      <c r="P39" s="71"/>
      <c r="Q39" s="71"/>
      <c r="R39" s="71"/>
      <c r="S39" s="86" t="s">
        <v>1077</v>
      </c>
      <c r="T39" s="650" t="s">
        <v>1084</v>
      </c>
      <c r="U39" s="650"/>
      <c r="V39" s="132"/>
    </row>
    <row r="40" ht="20.1" customHeight="1" spans="1:22">
      <c r="A40" s="74"/>
      <c r="B40" s="71" t="s">
        <v>1088</v>
      </c>
      <c r="C40" s="74"/>
      <c r="D40" s="71" t="s">
        <v>194</v>
      </c>
      <c r="E40" s="71">
        <v>50</v>
      </c>
      <c r="F40" s="71">
        <v>35</v>
      </c>
      <c r="G40" s="71">
        <v>35</v>
      </c>
      <c r="H40" s="71">
        <v>2018</v>
      </c>
      <c r="I40" s="71">
        <v>2020</v>
      </c>
      <c r="J40" s="71"/>
      <c r="K40" s="71"/>
      <c r="L40" s="71"/>
      <c r="M40" s="71"/>
      <c r="N40" s="71"/>
      <c r="O40" s="71"/>
      <c r="P40" s="71"/>
      <c r="Q40" s="71"/>
      <c r="R40" s="71"/>
      <c r="S40" s="86" t="s">
        <v>1077</v>
      </c>
      <c r="T40" s="650" t="s">
        <v>1084</v>
      </c>
      <c r="U40" s="650"/>
      <c r="V40" s="132"/>
    </row>
    <row r="41" ht="20.1" customHeight="1" spans="1:22">
      <c r="A41" s="74"/>
      <c r="B41" s="71" t="s">
        <v>1089</v>
      </c>
      <c r="C41" s="74"/>
      <c r="D41" s="71" t="s">
        <v>194</v>
      </c>
      <c r="E41" s="71">
        <v>50</v>
      </c>
      <c r="F41" s="71">
        <v>35</v>
      </c>
      <c r="G41" s="71">
        <v>35</v>
      </c>
      <c r="H41" s="71">
        <v>2018</v>
      </c>
      <c r="I41" s="71">
        <v>2020</v>
      </c>
      <c r="J41" s="71"/>
      <c r="K41" s="71"/>
      <c r="L41" s="71"/>
      <c r="M41" s="71"/>
      <c r="N41" s="71"/>
      <c r="O41" s="71"/>
      <c r="P41" s="71"/>
      <c r="Q41" s="71"/>
      <c r="R41" s="71"/>
      <c r="S41" s="86" t="s">
        <v>1077</v>
      </c>
      <c r="T41" s="650" t="s">
        <v>1084</v>
      </c>
      <c r="U41" s="650"/>
      <c r="V41" s="132"/>
    </row>
    <row r="42" ht="20.1" customHeight="1" spans="1:22">
      <c r="A42" s="74"/>
      <c r="B42" s="71" t="s">
        <v>1090</v>
      </c>
      <c r="C42" s="74"/>
      <c r="D42" s="71" t="s">
        <v>194</v>
      </c>
      <c r="E42" s="71">
        <v>0</v>
      </c>
      <c r="F42" s="71">
        <v>0</v>
      </c>
      <c r="G42" s="71">
        <v>0</v>
      </c>
      <c r="H42" s="71">
        <v>2018</v>
      </c>
      <c r="I42" s="71">
        <v>2020</v>
      </c>
      <c r="J42" s="71"/>
      <c r="K42" s="71"/>
      <c r="L42" s="71"/>
      <c r="M42" s="71"/>
      <c r="N42" s="71"/>
      <c r="O42" s="71"/>
      <c r="P42" s="71"/>
      <c r="Q42" s="71"/>
      <c r="R42" s="71"/>
      <c r="S42" s="86" t="s">
        <v>1077</v>
      </c>
      <c r="T42" s="650" t="s">
        <v>1084</v>
      </c>
      <c r="U42" s="650"/>
      <c r="V42" s="132"/>
    </row>
    <row r="43" ht="20.1" customHeight="1" spans="1:22">
      <c r="A43" s="74"/>
      <c r="B43" s="71" t="s">
        <v>1091</v>
      </c>
      <c r="C43" s="74"/>
      <c r="D43" s="71" t="s">
        <v>194</v>
      </c>
      <c r="E43" s="71">
        <v>50</v>
      </c>
      <c r="F43" s="71">
        <v>35</v>
      </c>
      <c r="G43" s="71">
        <v>35</v>
      </c>
      <c r="H43" s="71">
        <v>2018</v>
      </c>
      <c r="I43" s="71">
        <v>2020</v>
      </c>
      <c r="J43" s="71"/>
      <c r="K43" s="71"/>
      <c r="L43" s="71"/>
      <c r="M43" s="71"/>
      <c r="N43" s="71"/>
      <c r="O43" s="71"/>
      <c r="P43" s="71"/>
      <c r="Q43" s="71"/>
      <c r="R43" s="71"/>
      <c r="S43" s="86" t="s">
        <v>1077</v>
      </c>
      <c r="T43" s="650" t="s">
        <v>1084</v>
      </c>
      <c r="U43" s="650"/>
      <c r="V43" s="132"/>
    </row>
    <row r="44" ht="20.1" customHeight="1" spans="1:22">
      <c r="A44" s="74"/>
      <c r="B44" s="71" t="s">
        <v>1092</v>
      </c>
      <c r="C44" s="74"/>
      <c r="D44" s="71" t="s">
        <v>194</v>
      </c>
      <c r="E44" s="71">
        <v>0</v>
      </c>
      <c r="F44" s="71">
        <v>0</v>
      </c>
      <c r="G44" s="71">
        <v>0</v>
      </c>
      <c r="H44" s="71">
        <v>2018</v>
      </c>
      <c r="I44" s="71">
        <v>2020</v>
      </c>
      <c r="J44" s="71"/>
      <c r="K44" s="71"/>
      <c r="L44" s="71"/>
      <c r="M44" s="71"/>
      <c r="N44" s="71"/>
      <c r="O44" s="71"/>
      <c r="P44" s="71"/>
      <c r="Q44" s="71"/>
      <c r="R44" s="71"/>
      <c r="S44" s="86" t="s">
        <v>1077</v>
      </c>
      <c r="T44" s="650" t="s">
        <v>1084</v>
      </c>
      <c r="U44" s="650"/>
      <c r="V44" s="132"/>
    </row>
    <row r="45" ht="20.1" customHeight="1" spans="1:22">
      <c r="A45" s="74"/>
      <c r="B45" s="71" t="s">
        <v>1093</v>
      </c>
      <c r="C45" s="74"/>
      <c r="D45" s="71" t="s">
        <v>194</v>
      </c>
      <c r="E45" s="71">
        <v>50</v>
      </c>
      <c r="F45" s="71">
        <v>35</v>
      </c>
      <c r="G45" s="71">
        <v>35</v>
      </c>
      <c r="H45" s="71">
        <v>2018</v>
      </c>
      <c r="I45" s="71">
        <v>2020</v>
      </c>
      <c r="J45" s="71"/>
      <c r="K45" s="71"/>
      <c r="L45" s="71"/>
      <c r="M45" s="71"/>
      <c r="N45" s="71"/>
      <c r="O45" s="71"/>
      <c r="P45" s="71"/>
      <c r="Q45" s="71"/>
      <c r="R45" s="71"/>
      <c r="S45" s="86" t="s">
        <v>1077</v>
      </c>
      <c r="T45" s="650" t="s">
        <v>1084</v>
      </c>
      <c r="U45" s="650"/>
      <c r="V45" s="132"/>
    </row>
    <row r="46" ht="20.1" customHeight="1" spans="1:22">
      <c r="A46" s="74"/>
      <c r="B46" s="71" t="s">
        <v>1094</v>
      </c>
      <c r="C46" s="74"/>
      <c r="D46" s="71" t="s">
        <v>194</v>
      </c>
      <c r="E46" s="71">
        <v>50</v>
      </c>
      <c r="F46" s="71">
        <v>35</v>
      </c>
      <c r="G46" s="71">
        <v>35</v>
      </c>
      <c r="H46" s="71">
        <v>2018</v>
      </c>
      <c r="I46" s="71">
        <v>2020</v>
      </c>
      <c r="J46" s="71"/>
      <c r="K46" s="71"/>
      <c r="L46" s="71"/>
      <c r="M46" s="71"/>
      <c r="N46" s="71"/>
      <c r="O46" s="71"/>
      <c r="P46" s="71"/>
      <c r="Q46" s="71"/>
      <c r="R46" s="71"/>
      <c r="S46" s="86" t="s">
        <v>1077</v>
      </c>
      <c r="T46" s="650" t="s">
        <v>1084</v>
      </c>
      <c r="U46" s="650"/>
      <c r="V46" s="132"/>
    </row>
    <row r="47" ht="20.1" customHeight="1" spans="1:22">
      <c r="A47" s="74"/>
      <c r="B47" s="74" t="s">
        <v>1095</v>
      </c>
      <c r="C47" s="74"/>
      <c r="D47" s="71" t="s">
        <v>194</v>
      </c>
      <c r="E47" s="71">
        <v>1800</v>
      </c>
      <c r="F47" s="71">
        <v>250</v>
      </c>
      <c r="G47" s="71">
        <v>250</v>
      </c>
      <c r="H47" s="71">
        <v>2018</v>
      </c>
      <c r="I47" s="71">
        <v>2020</v>
      </c>
      <c r="J47" s="71"/>
      <c r="K47" s="71"/>
      <c r="L47" s="71"/>
      <c r="M47" s="71"/>
      <c r="N47" s="71"/>
      <c r="O47" s="71"/>
      <c r="P47" s="71"/>
      <c r="Q47" s="71"/>
      <c r="R47" s="71"/>
      <c r="S47" s="86" t="s">
        <v>1077</v>
      </c>
      <c r="T47" s="650" t="s">
        <v>1084</v>
      </c>
      <c r="U47" s="650"/>
      <c r="V47" s="132"/>
    </row>
    <row r="48" ht="20.1" customHeight="1" spans="1:22">
      <c r="A48" s="74"/>
      <c r="B48" s="71" t="s">
        <v>1086</v>
      </c>
      <c r="C48" s="74"/>
      <c r="D48" s="71" t="s">
        <v>194</v>
      </c>
      <c r="E48" s="71">
        <v>170</v>
      </c>
      <c r="F48" s="71">
        <v>30</v>
      </c>
      <c r="G48" s="71">
        <v>30</v>
      </c>
      <c r="H48" s="71">
        <v>2018</v>
      </c>
      <c r="I48" s="71">
        <v>2020</v>
      </c>
      <c r="J48" s="71"/>
      <c r="K48" s="71"/>
      <c r="L48" s="71"/>
      <c r="M48" s="71"/>
      <c r="N48" s="71"/>
      <c r="O48" s="71"/>
      <c r="P48" s="71"/>
      <c r="Q48" s="71"/>
      <c r="R48" s="71"/>
      <c r="S48" s="86" t="s">
        <v>1077</v>
      </c>
      <c r="T48" s="650" t="s">
        <v>1084</v>
      </c>
      <c r="U48" s="650"/>
      <c r="V48" s="132"/>
    </row>
    <row r="49" ht="20.1" customHeight="1" spans="1:22">
      <c r="A49" s="74"/>
      <c r="B49" s="71" t="s">
        <v>1087</v>
      </c>
      <c r="C49" s="74"/>
      <c r="D49" s="71" t="s">
        <v>194</v>
      </c>
      <c r="E49" s="71">
        <v>280</v>
      </c>
      <c r="F49" s="71">
        <v>27</v>
      </c>
      <c r="G49" s="71">
        <v>27</v>
      </c>
      <c r="H49" s="71">
        <v>2018</v>
      </c>
      <c r="I49" s="71">
        <v>2020</v>
      </c>
      <c r="J49" s="71"/>
      <c r="K49" s="71"/>
      <c r="L49" s="71"/>
      <c r="M49" s="71"/>
      <c r="N49" s="71"/>
      <c r="O49" s="71"/>
      <c r="P49" s="71"/>
      <c r="Q49" s="71"/>
      <c r="R49" s="71"/>
      <c r="S49" s="86" t="s">
        <v>1077</v>
      </c>
      <c r="T49" s="650" t="s">
        <v>1084</v>
      </c>
      <c r="U49" s="650"/>
      <c r="V49" s="132"/>
    </row>
    <row r="50" ht="20.1" customHeight="1" spans="1:22">
      <c r="A50" s="74"/>
      <c r="B50" s="71" t="s">
        <v>1088</v>
      </c>
      <c r="C50" s="74"/>
      <c r="D50" s="71" t="s">
        <v>194</v>
      </c>
      <c r="E50" s="71">
        <v>200</v>
      </c>
      <c r="F50" s="71">
        <v>30</v>
      </c>
      <c r="G50" s="71">
        <v>30</v>
      </c>
      <c r="H50" s="71">
        <v>2018</v>
      </c>
      <c r="I50" s="71">
        <v>2020</v>
      </c>
      <c r="J50" s="71"/>
      <c r="K50" s="71"/>
      <c r="L50" s="71"/>
      <c r="M50" s="71"/>
      <c r="N50" s="71"/>
      <c r="O50" s="71"/>
      <c r="P50" s="71"/>
      <c r="Q50" s="71"/>
      <c r="R50" s="71"/>
      <c r="S50" s="86" t="s">
        <v>1077</v>
      </c>
      <c r="T50" s="650" t="s">
        <v>1084</v>
      </c>
      <c r="U50" s="650"/>
      <c r="V50" s="132"/>
    </row>
    <row r="51" ht="20.1" customHeight="1" spans="1:22">
      <c r="A51" s="74"/>
      <c r="B51" s="71" t="s">
        <v>1089</v>
      </c>
      <c r="C51" s="74"/>
      <c r="D51" s="71" t="s">
        <v>194</v>
      </c>
      <c r="E51" s="71">
        <v>190</v>
      </c>
      <c r="F51" s="71">
        <v>27</v>
      </c>
      <c r="G51" s="71">
        <v>27</v>
      </c>
      <c r="H51" s="71">
        <v>2018</v>
      </c>
      <c r="I51" s="71">
        <v>2020</v>
      </c>
      <c r="J51" s="71"/>
      <c r="K51" s="71"/>
      <c r="L51" s="71"/>
      <c r="M51" s="71"/>
      <c r="N51" s="71"/>
      <c r="O51" s="71"/>
      <c r="P51" s="71"/>
      <c r="Q51" s="71"/>
      <c r="R51" s="71"/>
      <c r="S51" s="86" t="s">
        <v>1077</v>
      </c>
      <c r="T51" s="650" t="s">
        <v>1084</v>
      </c>
      <c r="U51" s="650"/>
      <c r="V51" s="132"/>
    </row>
    <row r="52" ht="20.1" customHeight="1" spans="1:22">
      <c r="A52" s="74"/>
      <c r="B52" s="71" t="s">
        <v>1090</v>
      </c>
      <c r="C52" s="74"/>
      <c r="D52" s="71" t="s">
        <v>194</v>
      </c>
      <c r="E52" s="71">
        <v>190</v>
      </c>
      <c r="F52" s="71">
        <v>20</v>
      </c>
      <c r="G52" s="71">
        <v>20</v>
      </c>
      <c r="H52" s="71">
        <v>2018</v>
      </c>
      <c r="I52" s="71">
        <v>2020</v>
      </c>
      <c r="J52" s="71"/>
      <c r="K52" s="71"/>
      <c r="L52" s="71"/>
      <c r="M52" s="71"/>
      <c r="N52" s="71"/>
      <c r="O52" s="71"/>
      <c r="P52" s="71"/>
      <c r="Q52" s="71"/>
      <c r="R52" s="71"/>
      <c r="S52" s="86" t="s">
        <v>1077</v>
      </c>
      <c r="T52" s="650" t="s">
        <v>1084</v>
      </c>
      <c r="U52" s="650"/>
      <c r="V52" s="132"/>
    </row>
    <row r="53" ht="20.1" customHeight="1" spans="1:22">
      <c r="A53" s="74"/>
      <c r="B53" s="71" t="s">
        <v>1091</v>
      </c>
      <c r="C53" s="74"/>
      <c r="D53" s="71" t="s">
        <v>194</v>
      </c>
      <c r="E53" s="71">
        <v>190</v>
      </c>
      <c r="F53" s="71">
        <v>31</v>
      </c>
      <c r="G53" s="71">
        <v>31</v>
      </c>
      <c r="H53" s="71">
        <v>2018</v>
      </c>
      <c r="I53" s="71">
        <v>2020</v>
      </c>
      <c r="J53" s="71"/>
      <c r="K53" s="71"/>
      <c r="L53" s="71"/>
      <c r="M53" s="71"/>
      <c r="N53" s="71"/>
      <c r="O53" s="71"/>
      <c r="P53" s="71"/>
      <c r="Q53" s="71"/>
      <c r="R53" s="71"/>
      <c r="S53" s="86" t="s">
        <v>1077</v>
      </c>
      <c r="T53" s="650" t="s">
        <v>1084</v>
      </c>
      <c r="U53" s="650"/>
      <c r="V53" s="132"/>
    </row>
    <row r="54" ht="20.1" customHeight="1" spans="1:22">
      <c r="A54" s="74"/>
      <c r="B54" s="71" t="s">
        <v>1092</v>
      </c>
      <c r="C54" s="74"/>
      <c r="D54" s="71" t="s">
        <v>194</v>
      </c>
      <c r="E54" s="71">
        <v>210</v>
      </c>
      <c r="F54" s="71">
        <v>27</v>
      </c>
      <c r="G54" s="71">
        <v>27</v>
      </c>
      <c r="H54" s="71">
        <v>2018</v>
      </c>
      <c r="I54" s="71">
        <v>2020</v>
      </c>
      <c r="J54" s="71"/>
      <c r="K54" s="71"/>
      <c r="L54" s="71"/>
      <c r="M54" s="71"/>
      <c r="N54" s="71"/>
      <c r="O54" s="71"/>
      <c r="P54" s="71"/>
      <c r="Q54" s="71"/>
      <c r="R54" s="71"/>
      <c r="S54" s="86" t="s">
        <v>1077</v>
      </c>
      <c r="T54" s="650" t="s">
        <v>1084</v>
      </c>
      <c r="U54" s="650"/>
      <c r="V54" s="132"/>
    </row>
    <row r="55" ht="20.1" customHeight="1" spans="1:22">
      <c r="A55" s="74"/>
      <c r="B55" s="71" t="s">
        <v>1093</v>
      </c>
      <c r="C55" s="74"/>
      <c r="D55" s="71" t="s">
        <v>194</v>
      </c>
      <c r="E55" s="71">
        <v>200</v>
      </c>
      <c r="F55" s="71">
        <v>28</v>
      </c>
      <c r="G55" s="71">
        <v>28</v>
      </c>
      <c r="H55" s="71">
        <v>2018</v>
      </c>
      <c r="I55" s="71">
        <v>2020</v>
      </c>
      <c r="J55" s="71"/>
      <c r="K55" s="71"/>
      <c r="L55" s="71"/>
      <c r="M55" s="71"/>
      <c r="N55" s="71"/>
      <c r="O55" s="71"/>
      <c r="P55" s="71"/>
      <c r="Q55" s="71"/>
      <c r="R55" s="71"/>
      <c r="S55" s="86" t="s">
        <v>1077</v>
      </c>
      <c r="T55" s="650" t="s">
        <v>1084</v>
      </c>
      <c r="U55" s="650"/>
      <c r="V55" s="132"/>
    </row>
    <row r="56" ht="20.1" customHeight="1" spans="1:22">
      <c r="A56" s="74"/>
      <c r="B56" s="71" t="s">
        <v>1094</v>
      </c>
      <c r="C56" s="74"/>
      <c r="D56" s="71" t="s">
        <v>194</v>
      </c>
      <c r="E56" s="71">
        <v>170</v>
      </c>
      <c r="F56" s="71">
        <v>30</v>
      </c>
      <c r="G56" s="71">
        <v>30</v>
      </c>
      <c r="H56" s="71">
        <v>2018</v>
      </c>
      <c r="I56" s="71">
        <v>2020</v>
      </c>
      <c r="J56" s="71"/>
      <c r="K56" s="71"/>
      <c r="L56" s="71"/>
      <c r="M56" s="71"/>
      <c r="N56" s="71"/>
      <c r="O56" s="71"/>
      <c r="P56" s="71"/>
      <c r="Q56" s="71"/>
      <c r="R56" s="71"/>
      <c r="S56" s="86" t="s">
        <v>1077</v>
      </c>
      <c r="T56" s="650" t="s">
        <v>1084</v>
      </c>
      <c r="U56" s="650"/>
      <c r="V56" s="132"/>
    </row>
    <row r="57" ht="20.1" customHeight="1" spans="1:22">
      <c r="A57" s="74"/>
      <c r="B57" s="74" t="s">
        <v>268</v>
      </c>
      <c r="C57" s="81" t="s">
        <v>320</v>
      </c>
      <c r="D57" s="71" t="s">
        <v>147</v>
      </c>
      <c r="E57" s="71">
        <f t="shared" ref="E57:G57" si="11">E58+E59+E69+E70+E71+E72+E73+E74+E75+E76+E77+E78+E79+E80</f>
        <v>405</v>
      </c>
      <c r="F57" s="71">
        <f t="shared" si="11"/>
        <v>382</v>
      </c>
      <c r="G57" s="71">
        <f t="shared" si="11"/>
        <v>382</v>
      </c>
      <c r="H57" s="71">
        <v>2018</v>
      </c>
      <c r="I57" s="71">
        <v>2020</v>
      </c>
      <c r="J57" s="71">
        <f t="shared" ref="J57:R57" si="12">J59+J69+J70+J71+J72+J73+J74+J75+J76+J77+J78+J79+J80</f>
        <v>287.028</v>
      </c>
      <c r="K57" s="71">
        <f t="shared" si="12"/>
        <v>19.932</v>
      </c>
      <c r="L57" s="71">
        <f t="shared" si="12"/>
        <v>133.548</v>
      </c>
      <c r="M57" s="71">
        <f t="shared" si="12"/>
        <v>133.548</v>
      </c>
      <c r="N57" s="71">
        <f t="shared" si="12"/>
        <v>21.3</v>
      </c>
      <c r="O57" s="71">
        <f t="shared" si="12"/>
        <v>0</v>
      </c>
      <c r="P57" s="71">
        <f t="shared" si="12"/>
        <v>154.9344</v>
      </c>
      <c r="Q57" s="71">
        <f t="shared" si="12"/>
        <v>110.7936</v>
      </c>
      <c r="R57" s="71">
        <f t="shared" si="12"/>
        <v>0</v>
      </c>
      <c r="S57" s="86"/>
      <c r="T57" s="650"/>
      <c r="U57" s="81" t="s">
        <v>320</v>
      </c>
      <c r="V57" s="132" t="s">
        <v>41</v>
      </c>
    </row>
    <row r="58" ht="20.1" customHeight="1" spans="1:22">
      <c r="A58" s="74">
        <v>29</v>
      </c>
      <c r="B58" s="74" t="s">
        <v>269</v>
      </c>
      <c r="C58" s="81" t="s">
        <v>320</v>
      </c>
      <c r="D58" s="71" t="s">
        <v>147</v>
      </c>
      <c r="E58" s="71"/>
      <c r="F58" s="71"/>
      <c r="G58" s="71"/>
      <c r="H58" s="71"/>
      <c r="I58" s="71"/>
      <c r="J58" s="71"/>
      <c r="K58" s="71"/>
      <c r="L58" s="71"/>
      <c r="M58" s="71"/>
      <c r="N58" s="71"/>
      <c r="O58" s="71"/>
      <c r="P58" s="71"/>
      <c r="Q58" s="71"/>
      <c r="R58" s="71"/>
      <c r="S58" s="86"/>
      <c r="T58" s="650"/>
      <c r="U58" s="650" t="s">
        <v>201</v>
      </c>
      <c r="V58" s="132" t="s">
        <v>41</v>
      </c>
    </row>
    <row r="59" ht="20.1" customHeight="1" spans="1:22">
      <c r="A59" s="74">
        <v>30</v>
      </c>
      <c r="B59" s="74" t="s">
        <v>270</v>
      </c>
      <c r="C59" s="81" t="s">
        <v>320</v>
      </c>
      <c r="D59" s="71" t="s">
        <v>147</v>
      </c>
      <c r="E59" s="71">
        <v>10</v>
      </c>
      <c r="F59" s="71">
        <v>10</v>
      </c>
      <c r="G59" s="71">
        <v>10</v>
      </c>
      <c r="H59" s="71">
        <v>2018</v>
      </c>
      <c r="I59" s="71">
        <v>2020</v>
      </c>
      <c r="J59" s="71">
        <f t="shared" ref="J59:J68" si="13">K59+L59+M59</f>
        <v>10.8</v>
      </c>
      <c r="K59" s="71">
        <v>3.6</v>
      </c>
      <c r="L59" s="71">
        <v>3.6</v>
      </c>
      <c r="M59" s="71">
        <v>3.6</v>
      </c>
      <c r="N59" s="71">
        <v>10.8</v>
      </c>
      <c r="O59" s="71"/>
      <c r="P59" s="71"/>
      <c r="Q59" s="71"/>
      <c r="R59" s="71"/>
      <c r="S59" s="86" t="s">
        <v>1096</v>
      </c>
      <c r="T59" s="650" t="s">
        <v>1097</v>
      </c>
      <c r="U59" s="650" t="s">
        <v>271</v>
      </c>
      <c r="V59" s="132" t="s">
        <v>41</v>
      </c>
    </row>
    <row r="60" ht="20.1" customHeight="1" spans="1:22">
      <c r="A60" s="74"/>
      <c r="B60" s="71" t="s">
        <v>1086</v>
      </c>
      <c r="C60" s="81"/>
      <c r="D60" s="71" t="s">
        <v>147</v>
      </c>
      <c r="E60" s="71">
        <v>2</v>
      </c>
      <c r="F60" s="71">
        <v>2</v>
      </c>
      <c r="G60" s="71">
        <v>2</v>
      </c>
      <c r="H60" s="71">
        <v>2018</v>
      </c>
      <c r="I60" s="71">
        <v>2020</v>
      </c>
      <c r="J60" s="71">
        <f t="shared" si="13"/>
        <v>0.78</v>
      </c>
      <c r="K60" s="71">
        <v>0.26</v>
      </c>
      <c r="L60" s="71">
        <v>0.26</v>
      </c>
      <c r="M60" s="71">
        <v>0.26</v>
      </c>
      <c r="N60" s="71">
        <f t="shared" ref="N60:N68" si="14">J60</f>
        <v>0.78</v>
      </c>
      <c r="O60" s="71"/>
      <c r="P60" s="71"/>
      <c r="Q60" s="71"/>
      <c r="R60" s="71"/>
      <c r="S60" s="86" t="s">
        <v>1096</v>
      </c>
      <c r="T60" s="650" t="s">
        <v>1097</v>
      </c>
      <c r="U60" s="650"/>
      <c r="V60" s="132"/>
    </row>
    <row r="61" ht="20.1" customHeight="1" spans="1:22">
      <c r="A61" s="74"/>
      <c r="B61" s="71" t="s">
        <v>1087</v>
      </c>
      <c r="C61" s="81"/>
      <c r="D61" s="71" t="s">
        <v>147</v>
      </c>
      <c r="E61" s="71">
        <v>1</v>
      </c>
      <c r="F61" s="71">
        <v>1</v>
      </c>
      <c r="G61" s="71">
        <v>1</v>
      </c>
      <c r="H61" s="71">
        <v>2018</v>
      </c>
      <c r="I61" s="71">
        <v>2020</v>
      </c>
      <c r="J61" s="71">
        <f t="shared" si="13"/>
        <v>1.38</v>
      </c>
      <c r="K61" s="71">
        <v>0.46</v>
      </c>
      <c r="L61" s="71">
        <v>0.46</v>
      </c>
      <c r="M61" s="71">
        <v>0.46</v>
      </c>
      <c r="N61" s="71">
        <f t="shared" si="14"/>
        <v>1.38</v>
      </c>
      <c r="O61" s="71"/>
      <c r="P61" s="71"/>
      <c r="Q61" s="71"/>
      <c r="R61" s="71"/>
      <c r="S61" s="86" t="s">
        <v>1096</v>
      </c>
      <c r="T61" s="650" t="s">
        <v>1097</v>
      </c>
      <c r="U61" s="650"/>
      <c r="V61" s="132"/>
    </row>
    <row r="62" ht="20.1" customHeight="1" spans="1:22">
      <c r="A62" s="74"/>
      <c r="B62" s="71" t="s">
        <v>1088</v>
      </c>
      <c r="C62" s="81"/>
      <c r="D62" s="71" t="s">
        <v>147</v>
      </c>
      <c r="E62" s="71">
        <v>1</v>
      </c>
      <c r="F62" s="71">
        <v>1</v>
      </c>
      <c r="G62" s="71">
        <v>1</v>
      </c>
      <c r="H62" s="71">
        <v>2018</v>
      </c>
      <c r="I62" s="71">
        <v>2020</v>
      </c>
      <c r="J62" s="71">
        <f t="shared" si="13"/>
        <v>2.1</v>
      </c>
      <c r="K62" s="71">
        <v>0.7</v>
      </c>
      <c r="L62" s="71">
        <v>0.7</v>
      </c>
      <c r="M62" s="71">
        <v>0.7</v>
      </c>
      <c r="N62" s="71">
        <f t="shared" si="14"/>
        <v>2.1</v>
      </c>
      <c r="O62" s="71"/>
      <c r="P62" s="71"/>
      <c r="Q62" s="71"/>
      <c r="R62" s="71"/>
      <c r="S62" s="86" t="s">
        <v>1096</v>
      </c>
      <c r="T62" s="650" t="s">
        <v>1097</v>
      </c>
      <c r="U62" s="650"/>
      <c r="V62" s="132"/>
    </row>
    <row r="63" ht="20.1" customHeight="1" spans="1:22">
      <c r="A63" s="74"/>
      <c r="B63" s="71" t="s">
        <v>1089</v>
      </c>
      <c r="C63" s="81"/>
      <c r="D63" s="71" t="s">
        <v>147</v>
      </c>
      <c r="E63" s="71">
        <v>1</v>
      </c>
      <c r="F63" s="71">
        <v>1</v>
      </c>
      <c r="G63" s="71">
        <v>1</v>
      </c>
      <c r="H63" s="71">
        <v>2018</v>
      </c>
      <c r="I63" s="71">
        <v>2020</v>
      </c>
      <c r="J63" s="71">
        <f t="shared" si="13"/>
        <v>1.08</v>
      </c>
      <c r="K63" s="71">
        <v>0.36</v>
      </c>
      <c r="L63" s="71">
        <v>0.36</v>
      </c>
      <c r="M63" s="71">
        <v>0.36</v>
      </c>
      <c r="N63" s="71">
        <f t="shared" si="14"/>
        <v>1.08</v>
      </c>
      <c r="O63" s="71"/>
      <c r="P63" s="71"/>
      <c r="Q63" s="71"/>
      <c r="R63" s="71"/>
      <c r="S63" s="86" t="s">
        <v>1096</v>
      </c>
      <c r="T63" s="650" t="s">
        <v>1097</v>
      </c>
      <c r="U63" s="650"/>
      <c r="V63" s="132"/>
    </row>
    <row r="64" ht="20.1" customHeight="1" spans="1:22">
      <c r="A64" s="74"/>
      <c r="B64" s="71" t="s">
        <v>1090</v>
      </c>
      <c r="C64" s="81"/>
      <c r="D64" s="71" t="s">
        <v>147</v>
      </c>
      <c r="E64" s="71">
        <v>2</v>
      </c>
      <c r="F64" s="71">
        <v>2</v>
      </c>
      <c r="G64" s="71">
        <v>2</v>
      </c>
      <c r="H64" s="71">
        <v>2018</v>
      </c>
      <c r="I64" s="71">
        <v>2020</v>
      </c>
      <c r="J64" s="71">
        <f t="shared" si="13"/>
        <v>1.74</v>
      </c>
      <c r="K64" s="71">
        <v>0.58</v>
      </c>
      <c r="L64" s="71">
        <v>0.58</v>
      </c>
      <c r="M64" s="71">
        <v>0.58</v>
      </c>
      <c r="N64" s="71">
        <f t="shared" si="14"/>
        <v>1.74</v>
      </c>
      <c r="O64" s="71"/>
      <c r="P64" s="71"/>
      <c r="Q64" s="71"/>
      <c r="R64" s="71"/>
      <c r="S64" s="86" t="s">
        <v>1096</v>
      </c>
      <c r="T64" s="650" t="s">
        <v>1097</v>
      </c>
      <c r="U64" s="650"/>
      <c r="V64" s="132"/>
    </row>
    <row r="65" ht="20.1" customHeight="1" spans="1:22">
      <c r="A65" s="74"/>
      <c r="B65" s="71" t="s">
        <v>1091</v>
      </c>
      <c r="C65" s="81"/>
      <c r="D65" s="71" t="s">
        <v>147</v>
      </c>
      <c r="E65" s="71">
        <v>1</v>
      </c>
      <c r="F65" s="71">
        <v>1</v>
      </c>
      <c r="G65" s="71">
        <v>1</v>
      </c>
      <c r="H65" s="71">
        <v>2018</v>
      </c>
      <c r="I65" s="71">
        <v>2020</v>
      </c>
      <c r="J65" s="71">
        <f t="shared" si="13"/>
        <v>0.69</v>
      </c>
      <c r="K65" s="71">
        <v>0.23</v>
      </c>
      <c r="L65" s="71">
        <v>0.23</v>
      </c>
      <c r="M65" s="71">
        <v>0.23</v>
      </c>
      <c r="N65" s="71">
        <f t="shared" si="14"/>
        <v>0.69</v>
      </c>
      <c r="O65" s="71"/>
      <c r="P65" s="71"/>
      <c r="Q65" s="71"/>
      <c r="R65" s="71"/>
      <c r="S65" s="86" t="s">
        <v>1096</v>
      </c>
      <c r="T65" s="650" t="s">
        <v>1097</v>
      </c>
      <c r="U65" s="650"/>
      <c r="V65" s="132"/>
    </row>
    <row r="66" ht="20.1" customHeight="1" spans="1:22">
      <c r="A66" s="74"/>
      <c r="B66" s="71" t="s">
        <v>1092</v>
      </c>
      <c r="C66" s="81"/>
      <c r="D66" s="71" t="s">
        <v>147</v>
      </c>
      <c r="E66" s="71">
        <v>0</v>
      </c>
      <c r="F66" s="71">
        <v>0</v>
      </c>
      <c r="G66" s="71">
        <v>0</v>
      </c>
      <c r="H66" s="71">
        <v>2018</v>
      </c>
      <c r="I66" s="71">
        <v>2020</v>
      </c>
      <c r="J66" s="71">
        <f t="shared" si="13"/>
        <v>0</v>
      </c>
      <c r="K66" s="71">
        <f t="shared" ref="K66:M66" si="15">E66*0.03</f>
        <v>0</v>
      </c>
      <c r="L66" s="71">
        <f t="shared" si="15"/>
        <v>0</v>
      </c>
      <c r="M66" s="71">
        <f t="shared" si="15"/>
        <v>0</v>
      </c>
      <c r="N66" s="71">
        <f t="shared" si="14"/>
        <v>0</v>
      </c>
      <c r="O66" s="71"/>
      <c r="P66" s="71"/>
      <c r="Q66" s="71"/>
      <c r="R66" s="71"/>
      <c r="S66" s="86" t="s">
        <v>1096</v>
      </c>
      <c r="T66" s="650" t="s">
        <v>1097</v>
      </c>
      <c r="U66" s="650"/>
      <c r="V66" s="132"/>
    </row>
    <row r="67" ht="20.1" customHeight="1" spans="1:22">
      <c r="A67" s="74"/>
      <c r="B67" s="71" t="s">
        <v>1093</v>
      </c>
      <c r="C67" s="81"/>
      <c r="D67" s="71" t="s">
        <v>147</v>
      </c>
      <c r="E67" s="71">
        <v>1</v>
      </c>
      <c r="F67" s="71">
        <v>1</v>
      </c>
      <c r="G67" s="71">
        <v>1</v>
      </c>
      <c r="H67" s="71">
        <v>2018</v>
      </c>
      <c r="I67" s="71">
        <v>2020</v>
      </c>
      <c r="J67" s="71">
        <f t="shared" si="13"/>
        <v>2.31</v>
      </c>
      <c r="K67" s="71">
        <v>1.01</v>
      </c>
      <c r="L67" s="71">
        <v>0.65</v>
      </c>
      <c r="M67" s="71">
        <v>0.65</v>
      </c>
      <c r="N67" s="71">
        <f t="shared" si="14"/>
        <v>2.31</v>
      </c>
      <c r="O67" s="71"/>
      <c r="P67" s="71"/>
      <c r="Q67" s="71"/>
      <c r="R67" s="71"/>
      <c r="S67" s="86" t="s">
        <v>1096</v>
      </c>
      <c r="T67" s="650" t="s">
        <v>1097</v>
      </c>
      <c r="U67" s="650"/>
      <c r="V67" s="132"/>
    </row>
    <row r="68" ht="20.1" customHeight="1" spans="1:22">
      <c r="A68" s="74"/>
      <c r="B68" s="71" t="s">
        <v>1094</v>
      </c>
      <c r="C68" s="81"/>
      <c r="D68" s="71" t="s">
        <v>147</v>
      </c>
      <c r="E68" s="71">
        <v>1</v>
      </c>
      <c r="F68" s="71">
        <v>1</v>
      </c>
      <c r="G68" s="71">
        <v>1</v>
      </c>
      <c r="H68" s="71">
        <v>2018</v>
      </c>
      <c r="I68" s="71">
        <v>2020</v>
      </c>
      <c r="J68" s="71">
        <f t="shared" si="13"/>
        <v>0.72</v>
      </c>
      <c r="K68" s="71">
        <v>0</v>
      </c>
      <c r="L68" s="71">
        <v>0.36</v>
      </c>
      <c r="M68" s="71">
        <v>0.36</v>
      </c>
      <c r="N68" s="71">
        <f t="shared" si="14"/>
        <v>0.72</v>
      </c>
      <c r="O68" s="71"/>
      <c r="P68" s="71"/>
      <c r="Q68" s="71"/>
      <c r="R68" s="71"/>
      <c r="S68" s="86" t="s">
        <v>1096</v>
      </c>
      <c r="T68" s="650" t="s">
        <v>1097</v>
      </c>
      <c r="U68" s="650"/>
      <c r="V68" s="132"/>
    </row>
    <row r="69" ht="20.1" customHeight="1" spans="1:22">
      <c r="A69" s="74">
        <v>31</v>
      </c>
      <c r="B69" s="74" t="s">
        <v>272</v>
      </c>
      <c r="C69" s="81" t="s">
        <v>320</v>
      </c>
      <c r="D69" s="71" t="s">
        <v>147</v>
      </c>
      <c r="E69" s="71">
        <v>268</v>
      </c>
      <c r="F69" s="71">
        <v>268</v>
      </c>
      <c r="G69" s="71">
        <v>268</v>
      </c>
      <c r="H69" s="71">
        <v>2019</v>
      </c>
      <c r="I69" s="71">
        <v>2020</v>
      </c>
      <c r="J69" s="71">
        <v>128.64</v>
      </c>
      <c r="K69" s="71"/>
      <c r="L69" s="71">
        <v>64.32</v>
      </c>
      <c r="M69" s="71">
        <v>64.32</v>
      </c>
      <c r="N69" s="71"/>
      <c r="O69" s="71"/>
      <c r="P69" s="71">
        <v>128.64</v>
      </c>
      <c r="Q69" s="71"/>
      <c r="R69" s="71"/>
      <c r="S69" s="650" t="s">
        <v>1098</v>
      </c>
      <c r="T69" s="650" t="s">
        <v>1099</v>
      </c>
      <c r="U69" s="81" t="s">
        <v>273</v>
      </c>
      <c r="V69" s="132" t="s">
        <v>41</v>
      </c>
    </row>
    <row r="70" ht="20.1" customHeight="1" spans="1:22">
      <c r="A70" s="74">
        <v>32</v>
      </c>
      <c r="B70" s="74" t="s">
        <v>274</v>
      </c>
      <c r="C70" s="81" t="s">
        <v>320</v>
      </c>
      <c r="D70" s="71" t="s">
        <v>147</v>
      </c>
      <c r="E70" s="71">
        <v>21</v>
      </c>
      <c r="F70" s="71">
        <v>21</v>
      </c>
      <c r="G70" s="71">
        <v>21</v>
      </c>
      <c r="H70" s="71">
        <v>2019</v>
      </c>
      <c r="I70" s="71">
        <v>2020</v>
      </c>
      <c r="J70" s="71">
        <v>25.2</v>
      </c>
      <c r="K70" s="71"/>
      <c r="L70" s="71">
        <v>12.6</v>
      </c>
      <c r="M70" s="71">
        <v>12.6</v>
      </c>
      <c r="N70" s="71"/>
      <c r="O70" s="71"/>
      <c r="P70" s="71">
        <v>25.2</v>
      </c>
      <c r="Q70" s="71"/>
      <c r="R70" s="71"/>
      <c r="S70" s="650" t="s">
        <v>1067</v>
      </c>
      <c r="T70" s="650" t="s">
        <v>1100</v>
      </c>
      <c r="U70" s="650" t="s">
        <v>275</v>
      </c>
      <c r="V70" s="132" t="s">
        <v>1101</v>
      </c>
    </row>
    <row r="71" ht="20.1" customHeight="1" spans="1:22">
      <c r="A71" s="74">
        <v>33</v>
      </c>
      <c r="B71" s="74" t="s">
        <v>276</v>
      </c>
      <c r="C71" s="81" t="s">
        <v>320</v>
      </c>
      <c r="D71" s="71" t="s">
        <v>147</v>
      </c>
      <c r="E71" s="71">
        <v>26</v>
      </c>
      <c r="F71" s="71">
        <v>3</v>
      </c>
      <c r="G71" s="71">
        <v>3</v>
      </c>
      <c r="H71" s="71">
        <v>2018</v>
      </c>
      <c r="I71" s="71">
        <v>2018</v>
      </c>
      <c r="J71" s="71">
        <f t="shared" ref="J71:J73" si="16">K71+L71+M71</f>
        <v>10.5</v>
      </c>
      <c r="K71" s="71">
        <f>13*0.3</f>
        <v>3.9</v>
      </c>
      <c r="L71" s="71">
        <f>11*0.3</f>
        <v>3.3</v>
      </c>
      <c r="M71" s="71">
        <f>11*0.3</f>
        <v>3.3</v>
      </c>
      <c r="N71" s="71">
        <f>J71</f>
        <v>10.5</v>
      </c>
      <c r="O71" s="71"/>
      <c r="P71" s="71"/>
      <c r="Q71" s="71"/>
      <c r="R71" s="71"/>
      <c r="S71" s="650" t="s">
        <v>1067</v>
      </c>
      <c r="T71" s="650" t="s">
        <v>1102</v>
      </c>
      <c r="U71" s="650" t="s">
        <v>277</v>
      </c>
      <c r="V71" s="132" t="s">
        <v>41</v>
      </c>
    </row>
    <row r="72" ht="20.1" customHeight="1" spans="1:22">
      <c r="A72" s="74"/>
      <c r="B72" s="74" t="s">
        <v>1103</v>
      </c>
      <c r="C72" s="81"/>
      <c r="D72" s="71" t="s">
        <v>147</v>
      </c>
      <c r="E72" s="71">
        <v>6</v>
      </c>
      <c r="F72" s="71">
        <v>6</v>
      </c>
      <c r="G72" s="71">
        <v>6</v>
      </c>
      <c r="H72" s="71">
        <v>2018</v>
      </c>
      <c r="I72" s="71">
        <v>2020</v>
      </c>
      <c r="J72" s="71">
        <f t="shared" si="16"/>
        <v>8.3916</v>
      </c>
      <c r="K72" s="71">
        <v>0.9324</v>
      </c>
      <c r="L72" s="71">
        <v>3.7296</v>
      </c>
      <c r="M72" s="71">
        <v>3.7296</v>
      </c>
      <c r="N72" s="71"/>
      <c r="O72" s="71"/>
      <c r="P72" s="71">
        <v>0.2736</v>
      </c>
      <c r="Q72" s="71">
        <f t="shared" ref="Q72:Q78" si="17">J72-P72</f>
        <v>8.118</v>
      </c>
      <c r="R72" s="71"/>
      <c r="S72" s="650" t="s">
        <v>1077</v>
      </c>
      <c r="T72" s="650" t="s">
        <v>1104</v>
      </c>
      <c r="U72" s="650"/>
      <c r="V72" s="132" t="s">
        <v>1079</v>
      </c>
    </row>
    <row r="73" ht="20.1" customHeight="1" spans="1:22">
      <c r="A73" s="74"/>
      <c r="B73" s="74" t="s">
        <v>1105</v>
      </c>
      <c r="C73" s="81"/>
      <c r="D73" s="71" t="s">
        <v>147</v>
      </c>
      <c r="E73" s="71">
        <v>6</v>
      </c>
      <c r="F73" s="71">
        <v>6</v>
      </c>
      <c r="G73" s="71">
        <v>6</v>
      </c>
      <c r="H73" s="71">
        <v>2018</v>
      </c>
      <c r="I73" s="71">
        <v>2020</v>
      </c>
      <c r="J73" s="71">
        <f t="shared" si="16"/>
        <v>8.3916</v>
      </c>
      <c r="K73" s="71">
        <v>0.9324</v>
      </c>
      <c r="L73" s="71">
        <v>3.7296</v>
      </c>
      <c r="M73" s="71">
        <v>3.7296</v>
      </c>
      <c r="N73" s="71"/>
      <c r="O73" s="71"/>
      <c r="P73" s="71">
        <v>0.2736</v>
      </c>
      <c r="Q73" s="71">
        <f t="shared" si="17"/>
        <v>8.118</v>
      </c>
      <c r="R73" s="71"/>
      <c r="S73" s="650" t="s">
        <v>1077</v>
      </c>
      <c r="T73" s="650" t="s">
        <v>1104</v>
      </c>
      <c r="U73" s="650"/>
      <c r="V73" s="132" t="s">
        <v>1079</v>
      </c>
    </row>
    <row r="74" ht="20.1" customHeight="1" spans="1:22">
      <c r="A74" s="74"/>
      <c r="B74" s="74" t="s">
        <v>1106</v>
      </c>
      <c r="C74" s="81"/>
      <c r="D74" s="71" t="s">
        <v>147</v>
      </c>
      <c r="E74" s="71">
        <v>7</v>
      </c>
      <c r="F74" s="71">
        <v>7</v>
      </c>
      <c r="G74" s="71">
        <v>7</v>
      </c>
      <c r="H74" s="71">
        <v>2018</v>
      </c>
      <c r="I74" s="71">
        <v>2020</v>
      </c>
      <c r="J74" s="71">
        <v>9.7902</v>
      </c>
      <c r="K74" s="71">
        <v>1.0878</v>
      </c>
      <c r="L74" s="71">
        <v>4.3512</v>
      </c>
      <c r="M74" s="71">
        <v>4.3512</v>
      </c>
      <c r="N74" s="71"/>
      <c r="O74" s="71"/>
      <c r="P74" s="71">
        <v>0.3192</v>
      </c>
      <c r="Q74" s="71">
        <v>9.471</v>
      </c>
      <c r="R74" s="71"/>
      <c r="S74" s="650" t="s">
        <v>1077</v>
      </c>
      <c r="T74" s="650" t="s">
        <v>1104</v>
      </c>
      <c r="U74" s="650"/>
      <c r="V74" s="132" t="s">
        <v>1107</v>
      </c>
    </row>
    <row r="75" ht="20.1" customHeight="1" spans="1:22">
      <c r="A75" s="74"/>
      <c r="B75" s="74" t="s">
        <v>1108</v>
      </c>
      <c r="C75" s="81"/>
      <c r="D75" s="71"/>
      <c r="E75" s="71"/>
      <c r="F75" s="71"/>
      <c r="G75" s="71"/>
      <c r="H75" s="71"/>
      <c r="I75" s="71"/>
      <c r="J75" s="71"/>
      <c r="K75" s="71"/>
      <c r="L75" s="71"/>
      <c r="M75" s="71"/>
      <c r="N75" s="71"/>
      <c r="O75" s="71"/>
      <c r="P75" s="71"/>
      <c r="Q75" s="71"/>
      <c r="R75" s="71"/>
      <c r="S75" s="650" t="s">
        <v>1077</v>
      </c>
      <c r="T75" s="650" t="s">
        <v>1104</v>
      </c>
      <c r="U75" s="650"/>
      <c r="V75" s="132" t="s">
        <v>1107</v>
      </c>
    </row>
    <row r="76" ht="20.1" customHeight="1" spans="1:22">
      <c r="A76" s="74"/>
      <c r="B76" s="74" t="s">
        <v>1109</v>
      </c>
      <c r="C76" s="81"/>
      <c r="D76" s="71" t="s">
        <v>147</v>
      </c>
      <c r="E76" s="71">
        <v>44</v>
      </c>
      <c r="F76" s="71">
        <v>44</v>
      </c>
      <c r="G76" s="71">
        <v>44</v>
      </c>
      <c r="H76" s="71">
        <v>2018</v>
      </c>
      <c r="I76" s="71">
        <v>2020</v>
      </c>
      <c r="J76" s="71">
        <f t="shared" ref="J76:J78" si="18">K76+L76+M76</f>
        <v>61.5384</v>
      </c>
      <c r="K76" s="71">
        <v>6.8376</v>
      </c>
      <c r="L76" s="71">
        <v>27.3504</v>
      </c>
      <c r="M76" s="71">
        <v>27.3504</v>
      </c>
      <c r="N76" s="71"/>
      <c r="O76" s="71"/>
      <c r="P76" s="71">
        <f>P75*G76</f>
        <v>0</v>
      </c>
      <c r="Q76" s="71">
        <f t="shared" si="17"/>
        <v>61.5384</v>
      </c>
      <c r="R76" s="71"/>
      <c r="S76" s="650" t="s">
        <v>1077</v>
      </c>
      <c r="T76" s="650" t="s">
        <v>1104</v>
      </c>
      <c r="U76" s="650"/>
      <c r="V76" s="132" t="s">
        <v>1079</v>
      </c>
    </row>
    <row r="77" ht="20.1" customHeight="1" spans="1:22">
      <c r="A77" s="74"/>
      <c r="B77" s="74" t="s">
        <v>1110</v>
      </c>
      <c r="C77" s="81"/>
      <c r="D77" s="71" t="s">
        <v>147</v>
      </c>
      <c r="E77" s="71">
        <v>7</v>
      </c>
      <c r="F77" s="71">
        <v>7</v>
      </c>
      <c r="G77" s="71">
        <v>7</v>
      </c>
      <c r="H77" s="71">
        <v>2018</v>
      </c>
      <c r="I77" s="71">
        <v>2020</v>
      </c>
      <c r="J77" s="71">
        <f t="shared" si="18"/>
        <v>9.7902</v>
      </c>
      <c r="K77" s="71">
        <v>1.0878</v>
      </c>
      <c r="L77" s="71">
        <v>4.3512</v>
      </c>
      <c r="M77" s="71">
        <v>4.3512</v>
      </c>
      <c r="N77" s="71"/>
      <c r="O77" s="71"/>
      <c r="P77" s="71">
        <f>P75*G77</f>
        <v>0</v>
      </c>
      <c r="Q77" s="71">
        <f t="shared" si="17"/>
        <v>9.7902</v>
      </c>
      <c r="R77" s="71"/>
      <c r="S77" s="650" t="s">
        <v>1077</v>
      </c>
      <c r="T77" s="650" t="s">
        <v>1104</v>
      </c>
      <c r="U77" s="650"/>
      <c r="V77" s="132" t="s">
        <v>1079</v>
      </c>
    </row>
    <row r="78" ht="20.1" customHeight="1" spans="1:22">
      <c r="A78" s="74"/>
      <c r="B78" s="74" t="s">
        <v>1111</v>
      </c>
      <c r="C78" s="81"/>
      <c r="D78" s="71" t="s">
        <v>147</v>
      </c>
      <c r="E78" s="71">
        <v>5</v>
      </c>
      <c r="F78" s="71">
        <v>5</v>
      </c>
      <c r="G78" s="71">
        <v>5</v>
      </c>
      <c r="H78" s="71">
        <v>2018</v>
      </c>
      <c r="I78" s="71">
        <v>2020</v>
      </c>
      <c r="J78" s="71">
        <f t="shared" si="18"/>
        <v>6.993</v>
      </c>
      <c r="K78" s="71">
        <v>0.777</v>
      </c>
      <c r="L78" s="71">
        <v>3.108</v>
      </c>
      <c r="M78" s="71">
        <v>3.108</v>
      </c>
      <c r="N78" s="71"/>
      <c r="O78" s="71"/>
      <c r="P78" s="71">
        <f>P75*G78</f>
        <v>0</v>
      </c>
      <c r="Q78" s="71">
        <f t="shared" si="17"/>
        <v>6.993</v>
      </c>
      <c r="R78" s="71"/>
      <c r="S78" s="650" t="s">
        <v>1077</v>
      </c>
      <c r="T78" s="650" t="s">
        <v>1104</v>
      </c>
      <c r="U78" s="650"/>
      <c r="V78" s="132" t="s">
        <v>1079</v>
      </c>
    </row>
    <row r="79" ht="20.1" customHeight="1" spans="1:22">
      <c r="A79" s="74"/>
      <c r="B79" s="74" t="s">
        <v>1112</v>
      </c>
      <c r="C79" s="81"/>
      <c r="D79" s="71"/>
      <c r="E79" s="71"/>
      <c r="F79" s="71"/>
      <c r="G79" s="71"/>
      <c r="H79" s="71"/>
      <c r="I79" s="71"/>
      <c r="J79" s="71"/>
      <c r="K79" s="71"/>
      <c r="L79" s="71"/>
      <c r="M79" s="71"/>
      <c r="N79" s="71"/>
      <c r="O79" s="71"/>
      <c r="P79" s="71"/>
      <c r="Q79" s="71"/>
      <c r="R79" s="71"/>
      <c r="S79" s="650" t="s">
        <v>1077</v>
      </c>
      <c r="T79" s="650" t="s">
        <v>1104</v>
      </c>
      <c r="U79" s="650"/>
      <c r="V79" s="132" t="s">
        <v>1107</v>
      </c>
    </row>
    <row r="80" ht="20.1" customHeight="1" spans="1:22">
      <c r="A80" s="74"/>
      <c r="B80" s="74" t="s">
        <v>1113</v>
      </c>
      <c r="C80" s="81"/>
      <c r="D80" s="71" t="s">
        <v>147</v>
      </c>
      <c r="E80" s="71">
        <v>5</v>
      </c>
      <c r="F80" s="71">
        <v>5</v>
      </c>
      <c r="G80" s="71">
        <v>5</v>
      </c>
      <c r="H80" s="71">
        <v>2018</v>
      </c>
      <c r="I80" s="71">
        <v>2020</v>
      </c>
      <c r="J80" s="71">
        <v>6.993</v>
      </c>
      <c r="K80" s="71">
        <v>0.777</v>
      </c>
      <c r="L80" s="71">
        <v>3.108</v>
      </c>
      <c r="M80" s="71">
        <v>3.108</v>
      </c>
      <c r="N80" s="71"/>
      <c r="O80" s="71"/>
      <c r="P80" s="71">
        <v>0.228</v>
      </c>
      <c r="Q80" s="71">
        <f>J80-P80</f>
        <v>6.765</v>
      </c>
      <c r="R80" s="71"/>
      <c r="S80" s="650" t="s">
        <v>1077</v>
      </c>
      <c r="T80" s="650" t="s">
        <v>1104</v>
      </c>
      <c r="U80" s="650"/>
      <c r="V80" s="132" t="s">
        <v>1107</v>
      </c>
    </row>
    <row r="81" ht="20.1" customHeight="1" spans="1:22">
      <c r="A81" s="74">
        <v>34</v>
      </c>
      <c r="B81" s="81" t="s">
        <v>857</v>
      </c>
      <c r="C81" s="81" t="s">
        <v>320</v>
      </c>
      <c r="D81" s="71" t="s">
        <v>320</v>
      </c>
      <c r="E81" s="71"/>
      <c r="F81" s="71"/>
      <c r="G81" s="71"/>
      <c r="H81" s="71">
        <v>2018</v>
      </c>
      <c r="I81" s="71">
        <v>2020</v>
      </c>
      <c r="J81" s="71">
        <f t="shared" ref="J81:R81" si="19">SUM(J82,J96,J104,J105,J115,J116)</f>
        <v>2939.31</v>
      </c>
      <c r="K81" s="71">
        <f t="shared" si="19"/>
        <v>1695.68</v>
      </c>
      <c r="L81" s="71">
        <f t="shared" si="19"/>
        <v>1210.18</v>
      </c>
      <c r="M81" s="71">
        <f t="shared" si="19"/>
        <v>33.45</v>
      </c>
      <c r="N81" s="71">
        <f t="shared" si="19"/>
        <v>0</v>
      </c>
      <c r="O81" s="71">
        <f t="shared" si="19"/>
        <v>2677.15</v>
      </c>
      <c r="P81" s="71">
        <f t="shared" si="19"/>
        <v>14.16</v>
      </c>
      <c r="Q81" s="71">
        <f t="shared" si="19"/>
        <v>248</v>
      </c>
      <c r="R81" s="71">
        <f t="shared" si="19"/>
        <v>0</v>
      </c>
      <c r="S81" s="81"/>
      <c r="T81" s="81"/>
      <c r="U81" s="81" t="s">
        <v>320</v>
      </c>
      <c r="V81" s="132" t="s">
        <v>41</v>
      </c>
    </row>
    <row r="82" ht="20.1" customHeight="1" spans="1:22">
      <c r="A82" s="74">
        <v>35</v>
      </c>
      <c r="B82" s="74" t="s">
        <v>42</v>
      </c>
      <c r="C82" s="74"/>
      <c r="D82" s="71" t="s">
        <v>45</v>
      </c>
      <c r="E82" s="71">
        <f t="shared" ref="E82:G82" si="20">E83+E95</f>
        <v>10458.72</v>
      </c>
      <c r="F82" s="71">
        <f t="shared" si="20"/>
        <v>3940</v>
      </c>
      <c r="G82" s="71">
        <f t="shared" si="20"/>
        <v>13948</v>
      </c>
      <c r="H82" s="71">
        <v>2018</v>
      </c>
      <c r="I82" s="71">
        <v>2020</v>
      </c>
      <c r="J82" s="71">
        <f t="shared" ref="J82:M82" si="21">J83+J95</f>
        <v>0</v>
      </c>
      <c r="K82" s="71">
        <f t="shared" si="21"/>
        <v>0</v>
      </c>
      <c r="L82" s="71">
        <f t="shared" si="21"/>
        <v>0</v>
      </c>
      <c r="M82" s="71">
        <f t="shared" si="21"/>
        <v>0</v>
      </c>
      <c r="N82" s="71"/>
      <c r="O82" s="71"/>
      <c r="P82" s="71"/>
      <c r="Q82" s="71"/>
      <c r="R82" s="71"/>
      <c r="S82" s="87"/>
      <c r="T82" s="87"/>
      <c r="U82" s="81"/>
      <c r="V82" s="132" t="s">
        <v>41</v>
      </c>
    </row>
    <row r="83" ht="20.1" customHeight="1" spans="1:22">
      <c r="A83" s="74">
        <v>36</v>
      </c>
      <c r="B83" s="74" t="s">
        <v>1114</v>
      </c>
      <c r="C83" s="74" t="s">
        <v>52</v>
      </c>
      <c r="D83" s="71" t="s">
        <v>45</v>
      </c>
      <c r="E83" s="71">
        <f t="shared" ref="E83:G83" si="22">SUM(E84:E94)</f>
        <v>10458.72</v>
      </c>
      <c r="F83" s="71">
        <f t="shared" si="22"/>
        <v>3940</v>
      </c>
      <c r="G83" s="71">
        <f t="shared" si="22"/>
        <v>13948</v>
      </c>
      <c r="H83" s="71">
        <v>2018</v>
      </c>
      <c r="I83" s="71">
        <v>2020</v>
      </c>
      <c r="J83" s="71">
        <f>K83+L83+M83</f>
        <v>0</v>
      </c>
      <c r="K83" s="71">
        <f t="shared" ref="K83:M83" si="23">SUM(K84:K94)</f>
        <v>0</v>
      </c>
      <c r="L83" s="71">
        <f t="shared" si="23"/>
        <v>0</v>
      </c>
      <c r="M83" s="71">
        <f t="shared" si="23"/>
        <v>0</v>
      </c>
      <c r="N83" s="71"/>
      <c r="O83" s="71"/>
      <c r="P83" s="71"/>
      <c r="Q83" s="71"/>
      <c r="R83" s="71"/>
      <c r="S83" s="650" t="s">
        <v>1096</v>
      </c>
      <c r="T83" s="650" t="s">
        <v>1115</v>
      </c>
      <c r="U83" s="81"/>
      <c r="V83" s="132" t="s">
        <v>41</v>
      </c>
    </row>
    <row r="84" ht="20.1" customHeight="1" spans="1:27">
      <c r="A84" s="74"/>
      <c r="B84" s="74" t="s">
        <v>861</v>
      </c>
      <c r="C84" s="74" t="s">
        <v>52</v>
      </c>
      <c r="D84" s="71" t="s">
        <v>45</v>
      </c>
      <c r="E84" s="71">
        <v>5484.97</v>
      </c>
      <c r="F84" s="71">
        <v>2304</v>
      </c>
      <c r="G84" s="71">
        <v>8120</v>
      </c>
      <c r="H84" s="71">
        <v>2018</v>
      </c>
      <c r="I84" s="71">
        <v>2020</v>
      </c>
      <c r="J84" s="71"/>
      <c r="K84" s="71"/>
      <c r="L84" s="71"/>
      <c r="M84" s="71"/>
      <c r="N84" s="71"/>
      <c r="O84" s="71"/>
      <c r="P84" s="71"/>
      <c r="Q84" s="71"/>
      <c r="R84" s="71"/>
      <c r="S84" s="650" t="s">
        <v>1096</v>
      </c>
      <c r="T84" s="650" t="s">
        <v>1115</v>
      </c>
      <c r="U84" s="81"/>
      <c r="V84" s="132" t="s">
        <v>41</v>
      </c>
      <c r="W84" s="620"/>
      <c r="X84" s="620"/>
      <c r="Y84" s="620"/>
      <c r="Z84" s="620"/>
      <c r="AA84" s="620"/>
    </row>
    <row r="85" ht="20.1" customHeight="1" spans="1:27">
      <c r="A85" s="74"/>
      <c r="B85" s="74" t="s">
        <v>860</v>
      </c>
      <c r="C85" s="74" t="s">
        <v>52</v>
      </c>
      <c r="D85" s="71" t="s">
        <v>45</v>
      </c>
      <c r="E85" s="71">
        <v>1283.25</v>
      </c>
      <c r="F85" s="71">
        <v>1143</v>
      </c>
      <c r="G85" s="71">
        <v>4056</v>
      </c>
      <c r="H85" s="71">
        <v>2018</v>
      </c>
      <c r="I85" s="71">
        <v>2020</v>
      </c>
      <c r="J85" s="71"/>
      <c r="K85" s="71"/>
      <c r="L85" s="71"/>
      <c r="M85" s="71"/>
      <c r="N85" s="71"/>
      <c r="O85" s="71"/>
      <c r="P85" s="71"/>
      <c r="Q85" s="71"/>
      <c r="R85" s="71"/>
      <c r="S85" s="650" t="s">
        <v>1096</v>
      </c>
      <c r="T85" s="650" t="s">
        <v>1115</v>
      </c>
      <c r="U85" s="81"/>
      <c r="V85" s="132" t="s">
        <v>41</v>
      </c>
      <c r="W85" s="620"/>
      <c r="X85" s="620"/>
      <c r="Y85" s="620"/>
      <c r="Z85" s="620"/>
      <c r="AA85" s="620"/>
    </row>
    <row r="86" ht="20.1" customHeight="1" spans="1:27">
      <c r="A86" s="74"/>
      <c r="B86" s="74" t="s">
        <v>1116</v>
      </c>
      <c r="C86" s="74" t="s">
        <v>52</v>
      </c>
      <c r="D86" s="71" t="s">
        <v>45</v>
      </c>
      <c r="E86" s="71">
        <v>83.5</v>
      </c>
      <c r="F86" s="71">
        <v>47</v>
      </c>
      <c r="G86" s="71">
        <v>171</v>
      </c>
      <c r="H86" s="71">
        <v>2018</v>
      </c>
      <c r="I86" s="71">
        <v>2020</v>
      </c>
      <c r="J86" s="71"/>
      <c r="K86" s="71"/>
      <c r="L86" s="71"/>
      <c r="M86" s="71"/>
      <c r="N86" s="71"/>
      <c r="O86" s="71"/>
      <c r="P86" s="71"/>
      <c r="Q86" s="71"/>
      <c r="R86" s="71"/>
      <c r="S86" s="650" t="s">
        <v>1096</v>
      </c>
      <c r="T86" s="650" t="s">
        <v>1115</v>
      </c>
      <c r="U86" s="81"/>
      <c r="V86" s="132" t="s">
        <v>41</v>
      </c>
      <c r="W86" s="620"/>
      <c r="X86" s="620"/>
      <c r="Y86" s="620"/>
      <c r="Z86" s="620"/>
      <c r="AA86" s="620"/>
    </row>
    <row r="87" ht="20.1" customHeight="1" spans="1:27">
      <c r="A87" s="74"/>
      <c r="B87" s="74" t="s">
        <v>867</v>
      </c>
      <c r="C87" s="74" t="s">
        <v>52</v>
      </c>
      <c r="D87" s="71" t="s">
        <v>45</v>
      </c>
      <c r="E87" s="71">
        <v>540.6</v>
      </c>
      <c r="F87" s="71">
        <v>249</v>
      </c>
      <c r="G87" s="71">
        <v>870</v>
      </c>
      <c r="H87" s="71">
        <v>2018</v>
      </c>
      <c r="I87" s="71">
        <v>2020</v>
      </c>
      <c r="J87" s="71"/>
      <c r="K87" s="71"/>
      <c r="L87" s="71"/>
      <c r="M87" s="71"/>
      <c r="N87" s="71"/>
      <c r="O87" s="71"/>
      <c r="P87" s="71"/>
      <c r="Q87" s="71"/>
      <c r="R87" s="71"/>
      <c r="S87" s="650" t="s">
        <v>1096</v>
      </c>
      <c r="T87" s="650" t="s">
        <v>1115</v>
      </c>
      <c r="U87" s="81"/>
      <c r="V87" s="132" t="s">
        <v>41</v>
      </c>
      <c r="W87" s="620"/>
      <c r="X87" s="620"/>
      <c r="Y87" s="620"/>
      <c r="Z87" s="620"/>
      <c r="AA87" s="620"/>
    </row>
    <row r="88" ht="20.1" customHeight="1" spans="1:27">
      <c r="A88" s="74"/>
      <c r="B88" s="74" t="s">
        <v>1117</v>
      </c>
      <c r="C88" s="74" t="s">
        <v>52</v>
      </c>
      <c r="D88" s="71" t="s">
        <v>45</v>
      </c>
      <c r="E88" s="71">
        <v>34</v>
      </c>
      <c r="F88" s="71">
        <v>16</v>
      </c>
      <c r="G88" s="71">
        <v>56</v>
      </c>
      <c r="H88" s="71">
        <v>2018</v>
      </c>
      <c r="I88" s="71">
        <v>2020</v>
      </c>
      <c r="J88" s="71"/>
      <c r="K88" s="71"/>
      <c r="L88" s="71"/>
      <c r="M88" s="71"/>
      <c r="N88" s="71"/>
      <c r="O88" s="71"/>
      <c r="P88" s="71"/>
      <c r="Q88" s="71"/>
      <c r="R88" s="71"/>
      <c r="S88" s="650" t="s">
        <v>1096</v>
      </c>
      <c r="T88" s="650" t="s">
        <v>1115</v>
      </c>
      <c r="U88" s="81"/>
      <c r="V88" s="132" t="s">
        <v>41</v>
      </c>
      <c r="W88" s="620"/>
      <c r="X88" s="620"/>
      <c r="Y88" s="620"/>
      <c r="Z88" s="620"/>
      <c r="AA88" s="620"/>
    </row>
    <row r="89" ht="20.1" customHeight="1" spans="1:27">
      <c r="A89" s="74"/>
      <c r="B89" s="74" t="s">
        <v>1118</v>
      </c>
      <c r="C89" s="74" t="s">
        <v>52</v>
      </c>
      <c r="D89" s="71" t="s">
        <v>45</v>
      </c>
      <c r="E89" s="71">
        <v>593.1</v>
      </c>
      <c r="F89" s="71">
        <v>116</v>
      </c>
      <c r="G89" s="71">
        <v>412</v>
      </c>
      <c r="H89" s="71">
        <v>2018</v>
      </c>
      <c r="I89" s="71">
        <v>2020</v>
      </c>
      <c r="J89" s="71"/>
      <c r="K89" s="71"/>
      <c r="L89" s="71"/>
      <c r="M89" s="71"/>
      <c r="N89" s="71"/>
      <c r="O89" s="71"/>
      <c r="P89" s="71"/>
      <c r="Q89" s="71"/>
      <c r="R89" s="71"/>
      <c r="S89" s="650" t="s">
        <v>1096</v>
      </c>
      <c r="T89" s="650" t="s">
        <v>1115</v>
      </c>
      <c r="U89" s="81"/>
      <c r="V89" s="132" t="s">
        <v>41</v>
      </c>
      <c r="W89" s="620"/>
      <c r="X89" s="620"/>
      <c r="Y89" s="620"/>
      <c r="Z89" s="620"/>
      <c r="AA89" s="620"/>
    </row>
    <row r="90" ht="20.1" customHeight="1" spans="1:22">
      <c r="A90" s="74"/>
      <c r="B90" s="74" t="s">
        <v>1119</v>
      </c>
      <c r="C90" s="74" t="s">
        <v>52</v>
      </c>
      <c r="D90" s="71" t="s">
        <v>45</v>
      </c>
      <c r="E90" s="71">
        <v>22.5</v>
      </c>
      <c r="F90" s="71">
        <v>6</v>
      </c>
      <c r="G90" s="71">
        <v>24</v>
      </c>
      <c r="H90" s="71">
        <v>2018</v>
      </c>
      <c r="I90" s="71">
        <v>2020</v>
      </c>
      <c r="J90" s="71"/>
      <c r="K90" s="71"/>
      <c r="L90" s="71"/>
      <c r="M90" s="71"/>
      <c r="N90" s="71"/>
      <c r="O90" s="71"/>
      <c r="P90" s="71"/>
      <c r="Q90" s="71"/>
      <c r="R90" s="71"/>
      <c r="S90" s="650" t="s">
        <v>1096</v>
      </c>
      <c r="T90" s="650" t="s">
        <v>1115</v>
      </c>
      <c r="U90" s="81"/>
      <c r="V90" s="132" t="s">
        <v>41</v>
      </c>
    </row>
    <row r="91" ht="20.1" customHeight="1" spans="1:22">
      <c r="A91" s="74"/>
      <c r="B91" s="74" t="s">
        <v>862</v>
      </c>
      <c r="C91" s="74" t="s">
        <v>52</v>
      </c>
      <c r="D91" s="71" t="s">
        <v>45</v>
      </c>
      <c r="E91" s="71">
        <v>97</v>
      </c>
      <c r="F91" s="71">
        <v>19</v>
      </c>
      <c r="G91" s="71">
        <v>82</v>
      </c>
      <c r="H91" s="71">
        <v>2018</v>
      </c>
      <c r="I91" s="71">
        <v>2020</v>
      </c>
      <c r="J91" s="71"/>
      <c r="K91" s="71"/>
      <c r="L91" s="71"/>
      <c r="M91" s="71"/>
      <c r="N91" s="71"/>
      <c r="O91" s="71"/>
      <c r="P91" s="71"/>
      <c r="Q91" s="71"/>
      <c r="R91" s="71"/>
      <c r="S91" s="650" t="s">
        <v>1096</v>
      </c>
      <c r="T91" s="650" t="s">
        <v>1115</v>
      </c>
      <c r="U91" s="81"/>
      <c r="V91" s="132" t="s">
        <v>41</v>
      </c>
    </row>
    <row r="92" ht="20.1" customHeight="1" spans="1:22">
      <c r="A92" s="74"/>
      <c r="B92" s="74" t="s">
        <v>1120</v>
      </c>
      <c r="C92" s="74" t="s">
        <v>52</v>
      </c>
      <c r="D92" s="71" t="s">
        <v>45</v>
      </c>
      <c r="E92" s="71">
        <v>288</v>
      </c>
      <c r="F92" s="71">
        <v>20</v>
      </c>
      <c r="G92" s="71">
        <v>80</v>
      </c>
      <c r="H92" s="71">
        <v>2018</v>
      </c>
      <c r="I92" s="71">
        <v>2020</v>
      </c>
      <c r="J92" s="71"/>
      <c r="K92" s="71"/>
      <c r="L92" s="71"/>
      <c r="M92" s="71"/>
      <c r="N92" s="71"/>
      <c r="O92" s="71"/>
      <c r="P92" s="71"/>
      <c r="Q92" s="71"/>
      <c r="R92" s="71"/>
      <c r="S92" s="650" t="s">
        <v>1096</v>
      </c>
      <c r="T92" s="650" t="s">
        <v>1115</v>
      </c>
      <c r="U92" s="81"/>
      <c r="V92" s="132" t="s">
        <v>41</v>
      </c>
    </row>
    <row r="93" ht="20.1" customHeight="1" spans="1:22">
      <c r="A93" s="74"/>
      <c r="B93" s="74" t="s">
        <v>1121</v>
      </c>
      <c r="C93" s="74" t="s">
        <v>52</v>
      </c>
      <c r="D93" s="71" t="s">
        <v>45</v>
      </c>
      <c r="E93" s="651">
        <v>31.8</v>
      </c>
      <c r="F93" s="71">
        <v>5</v>
      </c>
      <c r="G93" s="71">
        <v>23</v>
      </c>
      <c r="H93" s="71">
        <v>2018</v>
      </c>
      <c r="I93" s="71">
        <v>2020</v>
      </c>
      <c r="J93" s="71"/>
      <c r="K93" s="71"/>
      <c r="L93" s="71"/>
      <c r="M93" s="71"/>
      <c r="N93" s="71"/>
      <c r="O93" s="71"/>
      <c r="P93" s="71"/>
      <c r="Q93" s="71"/>
      <c r="R93" s="71"/>
      <c r="S93" s="650" t="s">
        <v>1096</v>
      </c>
      <c r="T93" s="650" t="s">
        <v>1115</v>
      </c>
      <c r="U93" s="81"/>
      <c r="V93" s="132" t="s">
        <v>41</v>
      </c>
    </row>
    <row r="94" ht="20.1" customHeight="1" spans="1:22">
      <c r="A94" s="74"/>
      <c r="B94" s="74" t="s">
        <v>1122</v>
      </c>
      <c r="C94" s="74" t="s">
        <v>52</v>
      </c>
      <c r="D94" s="71" t="s">
        <v>560</v>
      </c>
      <c r="E94" s="71">
        <v>2000</v>
      </c>
      <c r="F94" s="71">
        <v>15</v>
      </c>
      <c r="G94" s="71">
        <v>54</v>
      </c>
      <c r="H94" s="71">
        <v>2018</v>
      </c>
      <c r="I94" s="71">
        <v>2020</v>
      </c>
      <c r="J94" s="71"/>
      <c r="K94" s="71"/>
      <c r="L94" s="71"/>
      <c r="M94" s="71"/>
      <c r="N94" s="71"/>
      <c r="O94" s="71"/>
      <c r="P94" s="71"/>
      <c r="Q94" s="71"/>
      <c r="R94" s="71"/>
      <c r="S94" s="650" t="s">
        <v>1096</v>
      </c>
      <c r="T94" s="650" t="s">
        <v>1115</v>
      </c>
      <c r="U94" s="81"/>
      <c r="V94" s="132"/>
    </row>
    <row r="95" ht="20.1" customHeight="1" spans="1:22">
      <c r="A95" s="74">
        <v>37</v>
      </c>
      <c r="B95" s="74" t="s">
        <v>1123</v>
      </c>
      <c r="C95" s="74" t="s">
        <v>1124</v>
      </c>
      <c r="D95" s="71" t="s">
        <v>45</v>
      </c>
      <c r="E95" s="71"/>
      <c r="F95" s="71"/>
      <c r="G95" s="71"/>
      <c r="H95" s="71"/>
      <c r="I95" s="71"/>
      <c r="J95" s="71"/>
      <c r="K95" s="71"/>
      <c r="L95" s="71"/>
      <c r="M95" s="71"/>
      <c r="N95" s="71"/>
      <c r="O95" s="71"/>
      <c r="P95" s="71"/>
      <c r="Q95" s="71"/>
      <c r="R95" s="71"/>
      <c r="S95" s="87"/>
      <c r="T95" s="87"/>
      <c r="U95" s="134" t="s">
        <v>43</v>
      </c>
      <c r="V95" s="132"/>
    </row>
    <row r="96" ht="20.1" customHeight="1" spans="1:22">
      <c r="A96" s="74">
        <v>38</v>
      </c>
      <c r="B96" s="74" t="s">
        <v>130</v>
      </c>
      <c r="C96" s="74"/>
      <c r="D96" s="71"/>
      <c r="E96" s="71">
        <f t="shared" ref="E96:G96" si="24">E97+E102</f>
        <v>23948</v>
      </c>
      <c r="F96" s="71">
        <f t="shared" si="24"/>
        <v>1788</v>
      </c>
      <c r="G96" s="71">
        <f t="shared" si="24"/>
        <v>6553</v>
      </c>
      <c r="H96" s="71">
        <v>2018</v>
      </c>
      <c r="I96" s="71">
        <v>2020</v>
      </c>
      <c r="J96" s="71">
        <f>K96+L96+M96</f>
        <v>163</v>
      </c>
      <c r="K96" s="71">
        <f>K97+K102</f>
        <v>163</v>
      </c>
      <c r="L96" s="71"/>
      <c r="M96" s="71"/>
      <c r="N96" s="71"/>
      <c r="O96" s="71"/>
      <c r="P96" s="71"/>
      <c r="Q96" s="71">
        <f>Q97+Q102</f>
        <v>163</v>
      </c>
      <c r="R96" s="71"/>
      <c r="S96" s="87"/>
      <c r="T96" s="87"/>
      <c r="U96" s="87"/>
      <c r="V96" s="132" t="s">
        <v>41</v>
      </c>
    </row>
    <row r="97" ht="20.1" customHeight="1" spans="1:22">
      <c r="A97" s="74">
        <v>39</v>
      </c>
      <c r="B97" s="74" t="s">
        <v>1125</v>
      </c>
      <c r="C97" s="74" t="s">
        <v>52</v>
      </c>
      <c r="D97" s="71" t="s">
        <v>131</v>
      </c>
      <c r="E97" s="71">
        <f>E98+E99+E100</f>
        <v>23328</v>
      </c>
      <c r="F97" s="71">
        <f>F98+F99+F100+F101</f>
        <v>1385</v>
      </c>
      <c r="G97" s="71">
        <f>G98+G99+G100+G101</f>
        <v>5041</v>
      </c>
      <c r="H97" s="71">
        <v>2018</v>
      </c>
      <c r="I97" s="71">
        <v>2020</v>
      </c>
      <c r="J97" s="71"/>
      <c r="K97" s="71"/>
      <c r="L97" s="71"/>
      <c r="M97" s="71"/>
      <c r="N97" s="71"/>
      <c r="O97" s="71"/>
      <c r="P97" s="71"/>
      <c r="Q97" s="71"/>
      <c r="R97" s="71"/>
      <c r="S97" s="650" t="s">
        <v>1096</v>
      </c>
      <c r="T97" s="650" t="s">
        <v>1126</v>
      </c>
      <c r="U97" s="87"/>
      <c r="V97" s="132" t="s">
        <v>41</v>
      </c>
    </row>
    <row r="98" ht="20.1" customHeight="1" spans="1:27">
      <c r="A98" s="74"/>
      <c r="B98" s="74" t="s">
        <v>879</v>
      </c>
      <c r="C98" s="74" t="s">
        <v>52</v>
      </c>
      <c r="D98" s="71" t="s">
        <v>131</v>
      </c>
      <c r="E98" s="71">
        <v>218</v>
      </c>
      <c r="F98" s="71">
        <f>161+22</f>
        <v>183</v>
      </c>
      <c r="G98" s="71">
        <v>556</v>
      </c>
      <c r="H98" s="71">
        <v>2018</v>
      </c>
      <c r="I98" s="71">
        <v>2020</v>
      </c>
      <c r="J98" s="71"/>
      <c r="K98" s="71"/>
      <c r="L98" s="71"/>
      <c r="M98" s="71"/>
      <c r="N98" s="71"/>
      <c r="O98" s="71"/>
      <c r="P98" s="71"/>
      <c r="Q98" s="71"/>
      <c r="R98" s="71"/>
      <c r="S98" s="650" t="s">
        <v>1096</v>
      </c>
      <c r="T98" s="650" t="s">
        <v>1126</v>
      </c>
      <c r="U98" s="87"/>
      <c r="V98" s="132" t="s">
        <v>41</v>
      </c>
      <c r="W98" s="621"/>
      <c r="X98" s="621"/>
      <c r="Y98" s="621"/>
      <c r="Z98" s="654"/>
      <c r="AA98" s="654"/>
    </row>
    <row r="99" ht="20.1" customHeight="1" spans="1:27">
      <c r="A99" s="74"/>
      <c r="B99" s="74" t="s">
        <v>878</v>
      </c>
      <c r="C99" s="74" t="s">
        <v>52</v>
      </c>
      <c r="D99" s="71" t="s">
        <v>131</v>
      </c>
      <c r="E99" s="71">
        <v>3232</v>
      </c>
      <c r="F99" s="71">
        <v>654</v>
      </c>
      <c r="G99" s="71">
        <f>2493+93</f>
        <v>2586</v>
      </c>
      <c r="H99" s="71">
        <v>2018</v>
      </c>
      <c r="I99" s="71">
        <v>2020</v>
      </c>
      <c r="J99" s="71"/>
      <c r="K99" s="71"/>
      <c r="L99" s="71"/>
      <c r="M99" s="71"/>
      <c r="N99" s="71"/>
      <c r="O99" s="71"/>
      <c r="P99" s="71"/>
      <c r="Q99" s="71"/>
      <c r="R99" s="71"/>
      <c r="S99" s="650" t="s">
        <v>1096</v>
      </c>
      <c r="T99" s="650" t="s">
        <v>1126</v>
      </c>
      <c r="U99" s="87"/>
      <c r="V99" s="132" t="s">
        <v>41</v>
      </c>
      <c r="W99" s="621"/>
      <c r="X99" s="621"/>
      <c r="Y99" s="621"/>
      <c r="Z99" s="654"/>
      <c r="AA99" s="654"/>
    </row>
    <row r="100" ht="20.1" customHeight="1" spans="1:22">
      <c r="A100" s="74"/>
      <c r="B100" s="74" t="s">
        <v>876</v>
      </c>
      <c r="C100" s="74" t="s">
        <v>52</v>
      </c>
      <c r="D100" s="71" t="s">
        <v>131</v>
      </c>
      <c r="E100" s="71">
        <f>16548+3330</f>
        <v>19878</v>
      </c>
      <c r="F100" s="71">
        <f>518+29</f>
        <v>547</v>
      </c>
      <c r="G100" s="71">
        <f>1790+106</f>
        <v>1896</v>
      </c>
      <c r="H100" s="71">
        <v>2018</v>
      </c>
      <c r="I100" s="71">
        <v>2020</v>
      </c>
      <c r="J100" s="71"/>
      <c r="K100" s="71"/>
      <c r="L100" s="71"/>
      <c r="M100" s="71"/>
      <c r="N100" s="71"/>
      <c r="O100" s="71"/>
      <c r="P100" s="71"/>
      <c r="Q100" s="71"/>
      <c r="R100" s="71"/>
      <c r="S100" s="650" t="s">
        <v>1096</v>
      </c>
      <c r="T100" s="650" t="s">
        <v>1126</v>
      </c>
      <c r="U100" s="87"/>
      <c r="V100" s="132" t="s">
        <v>41</v>
      </c>
    </row>
    <row r="101" ht="20.1" customHeight="1" spans="1:22">
      <c r="A101" s="74"/>
      <c r="B101" s="74" t="s">
        <v>1127</v>
      </c>
      <c r="C101" s="74" t="s">
        <v>52</v>
      </c>
      <c r="D101" s="71" t="s">
        <v>1128</v>
      </c>
      <c r="E101" s="71">
        <v>30</v>
      </c>
      <c r="F101" s="71">
        <v>1</v>
      </c>
      <c r="G101" s="71">
        <v>3</v>
      </c>
      <c r="H101" s="71">
        <v>2018</v>
      </c>
      <c r="I101" s="71">
        <v>2020</v>
      </c>
      <c r="J101" s="71"/>
      <c r="K101" s="71"/>
      <c r="L101" s="71"/>
      <c r="M101" s="71"/>
      <c r="N101" s="71"/>
      <c r="O101" s="71"/>
      <c r="P101" s="71"/>
      <c r="Q101" s="71"/>
      <c r="R101" s="71"/>
      <c r="S101" s="650" t="s">
        <v>1096</v>
      </c>
      <c r="T101" s="650" t="s">
        <v>1126</v>
      </c>
      <c r="U101" s="87"/>
      <c r="V101" s="132" t="s">
        <v>41</v>
      </c>
    </row>
    <row r="102" ht="24" spans="1:22">
      <c r="A102" s="74">
        <v>40</v>
      </c>
      <c r="B102" s="74" t="s">
        <v>1129</v>
      </c>
      <c r="C102" s="74" t="s">
        <v>1124</v>
      </c>
      <c r="D102" s="71" t="s">
        <v>1130</v>
      </c>
      <c r="E102" s="71">
        <v>620</v>
      </c>
      <c r="F102" s="71">
        <f t="shared" ref="F102:I102" si="25">F103</f>
        <v>403</v>
      </c>
      <c r="G102" s="71">
        <f t="shared" si="25"/>
        <v>1512</v>
      </c>
      <c r="H102" s="71">
        <f t="shared" si="25"/>
        <v>2018</v>
      </c>
      <c r="I102" s="71">
        <f t="shared" si="25"/>
        <v>2020</v>
      </c>
      <c r="J102" s="71">
        <f>K102+L102+M102</f>
        <v>163</v>
      </c>
      <c r="K102" s="71">
        <f>K103</f>
        <v>163</v>
      </c>
      <c r="L102" s="71"/>
      <c r="M102" s="71"/>
      <c r="N102" s="71"/>
      <c r="O102" s="71"/>
      <c r="P102" s="71"/>
      <c r="Q102" s="71">
        <f>J102</f>
        <v>163</v>
      </c>
      <c r="R102" s="71"/>
      <c r="S102" s="87"/>
      <c r="T102" s="87"/>
      <c r="U102" s="134" t="s">
        <v>43</v>
      </c>
      <c r="V102" s="132"/>
    </row>
    <row r="103" ht="36" spans="1:22">
      <c r="A103" s="74"/>
      <c r="B103" s="74" t="s">
        <v>1131</v>
      </c>
      <c r="C103" s="74" t="s">
        <v>52</v>
      </c>
      <c r="D103" s="71" t="s">
        <v>134</v>
      </c>
      <c r="E103" s="71" t="s">
        <v>1132</v>
      </c>
      <c r="F103" s="71">
        <v>403</v>
      </c>
      <c r="G103" s="71">
        <v>1512</v>
      </c>
      <c r="H103" s="71">
        <v>2018</v>
      </c>
      <c r="I103" s="71">
        <v>2020</v>
      </c>
      <c r="J103" s="71">
        <v>163</v>
      </c>
      <c r="K103" s="71">
        <v>163</v>
      </c>
      <c r="L103" s="71"/>
      <c r="M103" s="71"/>
      <c r="N103" s="71"/>
      <c r="O103" s="71"/>
      <c r="P103" s="71"/>
      <c r="Q103" s="71">
        <v>163</v>
      </c>
      <c r="R103" s="71"/>
      <c r="S103" s="134" t="s">
        <v>1096</v>
      </c>
      <c r="T103" s="134" t="s">
        <v>1126</v>
      </c>
      <c r="U103" s="134" t="s">
        <v>160</v>
      </c>
      <c r="V103" s="132" t="s">
        <v>1079</v>
      </c>
    </row>
    <row r="104" ht="48" spans="1:22">
      <c r="A104" s="74">
        <v>41</v>
      </c>
      <c r="B104" s="74" t="s">
        <v>146</v>
      </c>
      <c r="C104" s="74" t="s">
        <v>52</v>
      </c>
      <c r="D104" s="71" t="s">
        <v>1130</v>
      </c>
      <c r="E104" s="71"/>
      <c r="F104" s="71"/>
      <c r="G104" s="71"/>
      <c r="H104" s="71"/>
      <c r="I104" s="71"/>
      <c r="J104" s="71"/>
      <c r="K104" s="71"/>
      <c r="L104" s="71"/>
      <c r="M104" s="71"/>
      <c r="N104" s="71"/>
      <c r="O104" s="71"/>
      <c r="P104" s="71"/>
      <c r="Q104" s="71"/>
      <c r="R104" s="71"/>
      <c r="S104" s="87"/>
      <c r="T104" s="87"/>
      <c r="U104" s="134" t="s">
        <v>1133</v>
      </c>
      <c r="V104" s="132" t="s">
        <v>41</v>
      </c>
    </row>
    <row r="105" ht="24" spans="1:22">
      <c r="A105" s="74">
        <v>42</v>
      </c>
      <c r="B105" s="142" t="s">
        <v>893</v>
      </c>
      <c r="C105" s="74" t="s">
        <v>52</v>
      </c>
      <c r="D105" s="71" t="s">
        <v>150</v>
      </c>
      <c r="E105" s="71"/>
      <c r="F105" s="71">
        <f>SUM(F106:F114)</f>
        <v>1343</v>
      </c>
      <c r="G105" s="71">
        <f>SUM(G106:G114)</f>
        <v>4886</v>
      </c>
      <c r="H105" s="71">
        <v>2018</v>
      </c>
      <c r="I105" s="71">
        <v>2020</v>
      </c>
      <c r="J105" s="71">
        <f t="shared" ref="J105:R105" si="26">J106+J107+J108+J109+J110+J111+J112+J113+J114</f>
        <v>432.1</v>
      </c>
      <c r="K105" s="71">
        <f t="shared" si="26"/>
        <v>348.6</v>
      </c>
      <c r="L105" s="71">
        <f t="shared" si="26"/>
        <v>83.5</v>
      </c>
      <c r="M105" s="71">
        <f t="shared" si="26"/>
        <v>0</v>
      </c>
      <c r="N105" s="71">
        <f t="shared" si="26"/>
        <v>0</v>
      </c>
      <c r="O105" s="71">
        <f t="shared" si="26"/>
        <v>347.1</v>
      </c>
      <c r="P105" s="71">
        <f t="shared" si="26"/>
        <v>0</v>
      </c>
      <c r="Q105" s="71">
        <f t="shared" si="26"/>
        <v>85</v>
      </c>
      <c r="R105" s="71">
        <f t="shared" si="26"/>
        <v>0</v>
      </c>
      <c r="S105" s="650"/>
      <c r="T105" s="650"/>
      <c r="U105" s="134" t="s">
        <v>43</v>
      </c>
      <c r="V105" s="132" t="s">
        <v>41</v>
      </c>
    </row>
    <row r="106" spans="1:22">
      <c r="A106" s="74"/>
      <c r="B106" s="142" t="s">
        <v>1134</v>
      </c>
      <c r="C106" s="74" t="s">
        <v>52</v>
      </c>
      <c r="D106" s="71" t="s">
        <v>45</v>
      </c>
      <c r="E106" s="71">
        <v>200</v>
      </c>
      <c r="F106" s="71">
        <v>191</v>
      </c>
      <c r="G106" s="71">
        <v>705</v>
      </c>
      <c r="H106" s="71">
        <v>2018</v>
      </c>
      <c r="I106" s="71">
        <v>2019</v>
      </c>
      <c r="J106" s="71">
        <v>85</v>
      </c>
      <c r="K106" s="71">
        <v>60</v>
      </c>
      <c r="L106" s="71">
        <v>25</v>
      </c>
      <c r="M106" s="71"/>
      <c r="N106" s="71"/>
      <c r="O106" s="71"/>
      <c r="P106" s="71"/>
      <c r="Q106" s="71">
        <v>85</v>
      </c>
      <c r="R106" s="71"/>
      <c r="S106" s="650" t="s">
        <v>1096</v>
      </c>
      <c r="T106" s="650" t="s">
        <v>1126</v>
      </c>
      <c r="U106" s="134" t="s">
        <v>43</v>
      </c>
      <c r="V106" s="132"/>
    </row>
    <row r="107" ht="24" spans="1:22">
      <c r="A107" s="74"/>
      <c r="B107" s="142" t="s">
        <v>1135</v>
      </c>
      <c r="C107" s="74" t="s">
        <v>52</v>
      </c>
      <c r="D107" s="71" t="s">
        <v>384</v>
      </c>
      <c r="E107" s="71">
        <v>190</v>
      </c>
      <c r="F107" s="71">
        <v>190</v>
      </c>
      <c r="G107" s="71">
        <v>710</v>
      </c>
      <c r="H107" s="71">
        <v>2019</v>
      </c>
      <c r="I107" s="71">
        <v>2019</v>
      </c>
      <c r="J107" s="71">
        <v>58.5</v>
      </c>
      <c r="K107" s="71"/>
      <c r="L107" s="71">
        <v>58.5</v>
      </c>
      <c r="M107" s="71"/>
      <c r="N107" s="71"/>
      <c r="O107" s="71">
        <v>58.5</v>
      </c>
      <c r="P107" s="71"/>
      <c r="Q107" s="71"/>
      <c r="R107" s="71"/>
      <c r="S107" s="650" t="s">
        <v>1096</v>
      </c>
      <c r="T107" s="650" t="s">
        <v>1126</v>
      </c>
      <c r="U107" s="134" t="s">
        <v>43</v>
      </c>
      <c r="V107" s="132" t="s">
        <v>1136</v>
      </c>
    </row>
    <row r="108" ht="24" spans="1:22">
      <c r="A108" s="74"/>
      <c r="B108" s="142" t="s">
        <v>1137</v>
      </c>
      <c r="C108" s="74" t="s">
        <v>52</v>
      </c>
      <c r="D108" s="71" t="s">
        <v>134</v>
      </c>
      <c r="E108" s="71">
        <v>20</v>
      </c>
      <c r="F108" s="71">
        <v>10</v>
      </c>
      <c r="G108" s="71">
        <v>23</v>
      </c>
      <c r="H108" s="71">
        <v>2018</v>
      </c>
      <c r="I108" s="71">
        <v>2020</v>
      </c>
      <c r="J108" s="71">
        <v>3</v>
      </c>
      <c r="K108" s="71">
        <v>3</v>
      </c>
      <c r="L108" s="71"/>
      <c r="M108" s="71"/>
      <c r="N108" s="71"/>
      <c r="O108" s="71">
        <v>3</v>
      </c>
      <c r="P108" s="71"/>
      <c r="Q108" s="71"/>
      <c r="R108" s="71"/>
      <c r="S108" s="650" t="s">
        <v>1096</v>
      </c>
      <c r="T108" s="650" t="s">
        <v>1126</v>
      </c>
      <c r="U108" s="134" t="s">
        <v>43</v>
      </c>
      <c r="V108" s="132" t="s">
        <v>1079</v>
      </c>
    </row>
    <row r="109" ht="78.75" spans="1:22">
      <c r="A109" s="74"/>
      <c r="B109" s="142" t="s">
        <v>1138</v>
      </c>
      <c r="C109" s="74" t="s">
        <v>52</v>
      </c>
      <c r="D109" s="71" t="s">
        <v>384</v>
      </c>
      <c r="E109" s="71">
        <v>217</v>
      </c>
      <c r="F109" s="71">
        <v>217</v>
      </c>
      <c r="G109" s="71">
        <v>759</v>
      </c>
      <c r="H109" s="71">
        <v>2018</v>
      </c>
      <c r="I109" s="71">
        <v>2020</v>
      </c>
      <c r="J109" s="71">
        <v>65.1</v>
      </c>
      <c r="K109" s="71">
        <v>65.1</v>
      </c>
      <c r="L109" s="71"/>
      <c r="M109" s="71"/>
      <c r="N109" s="71"/>
      <c r="O109" s="71">
        <v>65.1</v>
      </c>
      <c r="P109" s="71"/>
      <c r="Q109" s="71"/>
      <c r="R109" s="71"/>
      <c r="S109" s="650" t="s">
        <v>1096</v>
      </c>
      <c r="T109" s="650" t="s">
        <v>1115</v>
      </c>
      <c r="U109" s="134" t="s">
        <v>43</v>
      </c>
      <c r="V109" s="132" t="s">
        <v>1139</v>
      </c>
    </row>
    <row r="110" ht="78.75" spans="1:22">
      <c r="A110" s="74"/>
      <c r="B110" s="142" t="s">
        <v>1140</v>
      </c>
      <c r="C110" s="74" t="s">
        <v>52</v>
      </c>
      <c r="D110" s="71" t="s">
        <v>384</v>
      </c>
      <c r="E110" s="71">
        <v>157</v>
      </c>
      <c r="F110" s="71">
        <v>157</v>
      </c>
      <c r="G110" s="71">
        <v>581</v>
      </c>
      <c r="H110" s="71">
        <v>2018</v>
      </c>
      <c r="I110" s="71">
        <v>2020</v>
      </c>
      <c r="J110" s="71">
        <v>47.1</v>
      </c>
      <c r="K110" s="71">
        <v>47.1</v>
      </c>
      <c r="L110" s="71"/>
      <c r="M110" s="71"/>
      <c r="N110" s="71"/>
      <c r="O110" s="71">
        <v>47.1</v>
      </c>
      <c r="P110" s="71"/>
      <c r="Q110" s="71"/>
      <c r="R110" s="71"/>
      <c r="S110" s="650" t="s">
        <v>1096</v>
      </c>
      <c r="T110" s="650" t="s">
        <v>1115</v>
      </c>
      <c r="U110" s="134" t="s">
        <v>43</v>
      </c>
      <c r="V110" s="132" t="s">
        <v>1141</v>
      </c>
    </row>
    <row r="111" ht="78.75" spans="1:22">
      <c r="A111" s="74"/>
      <c r="B111" s="142" t="s">
        <v>1142</v>
      </c>
      <c r="C111" s="74" t="s">
        <v>52</v>
      </c>
      <c r="D111" s="71" t="s">
        <v>384</v>
      </c>
      <c r="E111" s="71">
        <v>132</v>
      </c>
      <c r="F111" s="71">
        <v>132</v>
      </c>
      <c r="G111" s="71">
        <v>495</v>
      </c>
      <c r="H111" s="71">
        <v>2018</v>
      </c>
      <c r="I111" s="71">
        <v>2020</v>
      </c>
      <c r="J111" s="71">
        <v>39.6</v>
      </c>
      <c r="K111" s="71">
        <v>39.6</v>
      </c>
      <c r="L111" s="71"/>
      <c r="M111" s="71"/>
      <c r="N111" s="71"/>
      <c r="O111" s="71">
        <f>J111</f>
        <v>39.6</v>
      </c>
      <c r="P111" s="71"/>
      <c r="Q111" s="71"/>
      <c r="R111" s="71"/>
      <c r="S111" s="650" t="s">
        <v>1096</v>
      </c>
      <c r="T111" s="650" t="s">
        <v>1115</v>
      </c>
      <c r="U111" s="134" t="s">
        <v>43</v>
      </c>
      <c r="V111" s="132" t="s">
        <v>1143</v>
      </c>
    </row>
    <row r="112" ht="78.75" spans="1:22">
      <c r="A112" s="74"/>
      <c r="B112" s="142" t="s">
        <v>1144</v>
      </c>
      <c r="C112" s="74" t="s">
        <v>52</v>
      </c>
      <c r="D112" s="71" t="s">
        <v>384</v>
      </c>
      <c r="E112" s="71">
        <v>131</v>
      </c>
      <c r="F112" s="71">
        <v>131</v>
      </c>
      <c r="G112" s="71">
        <v>451</v>
      </c>
      <c r="H112" s="71">
        <v>2018</v>
      </c>
      <c r="I112" s="71">
        <v>2020</v>
      </c>
      <c r="J112" s="71">
        <v>39.3</v>
      </c>
      <c r="K112" s="71">
        <v>39.3</v>
      </c>
      <c r="L112" s="71"/>
      <c r="M112" s="71"/>
      <c r="N112" s="71"/>
      <c r="O112" s="71">
        <v>39.3</v>
      </c>
      <c r="P112" s="71"/>
      <c r="Q112" s="71"/>
      <c r="R112" s="71"/>
      <c r="S112" s="650" t="s">
        <v>1096</v>
      </c>
      <c r="T112" s="650" t="s">
        <v>1115</v>
      </c>
      <c r="U112" s="134" t="s">
        <v>43</v>
      </c>
      <c r="V112" s="132" t="s">
        <v>1145</v>
      </c>
    </row>
    <row r="113" ht="78.75" spans="1:22">
      <c r="A113" s="74"/>
      <c r="B113" s="142" t="s">
        <v>1146</v>
      </c>
      <c r="C113" s="74" t="s">
        <v>52</v>
      </c>
      <c r="D113" s="71" t="s">
        <v>384</v>
      </c>
      <c r="E113" s="71">
        <v>164</v>
      </c>
      <c r="F113" s="71">
        <v>164</v>
      </c>
      <c r="G113" s="71">
        <v>597</v>
      </c>
      <c r="H113" s="71">
        <v>2018</v>
      </c>
      <c r="I113" s="71">
        <v>2020</v>
      </c>
      <c r="J113" s="71">
        <v>49.2</v>
      </c>
      <c r="K113" s="71">
        <v>49.2</v>
      </c>
      <c r="L113" s="71"/>
      <c r="M113" s="71"/>
      <c r="N113" s="71"/>
      <c r="O113" s="71">
        <v>49.2</v>
      </c>
      <c r="P113" s="71"/>
      <c r="Q113" s="71"/>
      <c r="R113" s="71"/>
      <c r="S113" s="650" t="s">
        <v>1096</v>
      </c>
      <c r="T113" s="650" t="s">
        <v>1115</v>
      </c>
      <c r="U113" s="134" t="s">
        <v>43</v>
      </c>
      <c r="V113" s="132" t="s">
        <v>1147</v>
      </c>
    </row>
    <row r="114" ht="78.75" spans="1:22">
      <c r="A114" s="74"/>
      <c r="B114" s="142" t="s">
        <v>1148</v>
      </c>
      <c r="C114" s="74" t="s">
        <v>52</v>
      </c>
      <c r="D114" s="71" t="s">
        <v>384</v>
      </c>
      <c r="E114" s="71">
        <v>151</v>
      </c>
      <c r="F114" s="71">
        <v>151</v>
      </c>
      <c r="G114" s="71">
        <v>565</v>
      </c>
      <c r="H114" s="71">
        <v>2018</v>
      </c>
      <c r="I114" s="71">
        <v>2020</v>
      </c>
      <c r="J114" s="71">
        <v>45.3</v>
      </c>
      <c r="K114" s="71">
        <v>45.3</v>
      </c>
      <c r="L114" s="71"/>
      <c r="M114" s="71"/>
      <c r="N114" s="71"/>
      <c r="O114" s="71">
        <v>45.3</v>
      </c>
      <c r="P114" s="71"/>
      <c r="Q114" s="71"/>
      <c r="R114" s="71"/>
      <c r="S114" s="650" t="s">
        <v>1096</v>
      </c>
      <c r="T114" s="650" t="s">
        <v>1115</v>
      </c>
      <c r="U114" s="134" t="s">
        <v>43</v>
      </c>
      <c r="V114" s="132" t="s">
        <v>1149</v>
      </c>
    </row>
    <row r="115" ht="20.1" customHeight="1" spans="1:22">
      <c r="A115" s="74">
        <v>43</v>
      </c>
      <c r="B115" s="142" t="s">
        <v>158</v>
      </c>
      <c r="C115" s="74" t="s">
        <v>52</v>
      </c>
      <c r="D115" s="71" t="s">
        <v>163</v>
      </c>
      <c r="E115" s="71">
        <v>1091.02</v>
      </c>
      <c r="F115" s="71">
        <v>353</v>
      </c>
      <c r="G115" s="71">
        <v>1235</v>
      </c>
      <c r="H115" s="71">
        <v>2018</v>
      </c>
      <c r="I115" s="71">
        <v>2020</v>
      </c>
      <c r="J115" s="89">
        <f t="shared" ref="J115:J125" si="27">K115+L115+M115</f>
        <v>65.05</v>
      </c>
      <c r="K115" s="89">
        <v>9.92</v>
      </c>
      <c r="L115" s="89">
        <v>21.68</v>
      </c>
      <c r="M115" s="89">
        <v>33.45</v>
      </c>
      <c r="N115" s="89"/>
      <c r="O115" s="89">
        <f t="shared" ref="O115:O125" si="28">J115</f>
        <v>65.05</v>
      </c>
      <c r="P115" s="89"/>
      <c r="Q115" s="89"/>
      <c r="R115" s="89"/>
      <c r="S115" s="650" t="s">
        <v>1098</v>
      </c>
      <c r="T115" s="650" t="s">
        <v>1150</v>
      </c>
      <c r="U115" s="134" t="s">
        <v>160</v>
      </c>
      <c r="V115" s="132"/>
    </row>
    <row r="116" s="63" customFormat="1" ht="23.25" customHeight="1" spans="1:22">
      <c r="A116" s="76"/>
      <c r="B116" s="81" t="s">
        <v>897</v>
      </c>
      <c r="C116" s="76"/>
      <c r="D116" s="76"/>
      <c r="E116" s="76">
        <f>SUM(E117:E125)</f>
        <v>394180</v>
      </c>
      <c r="F116" s="76">
        <f t="shared" ref="F116:R116" si="29">F117+F126</f>
        <v>1319</v>
      </c>
      <c r="G116" s="76">
        <f t="shared" si="29"/>
        <v>4778</v>
      </c>
      <c r="H116" s="71">
        <v>2018</v>
      </c>
      <c r="I116" s="71">
        <v>2019</v>
      </c>
      <c r="J116" s="76">
        <f t="shared" si="29"/>
        <v>2279.16</v>
      </c>
      <c r="K116" s="76">
        <f t="shared" si="29"/>
        <v>1174.16</v>
      </c>
      <c r="L116" s="76">
        <f t="shared" si="29"/>
        <v>1105</v>
      </c>
      <c r="M116" s="76">
        <f t="shared" si="29"/>
        <v>0</v>
      </c>
      <c r="N116" s="76">
        <f t="shared" si="29"/>
        <v>0</v>
      </c>
      <c r="O116" s="76">
        <f t="shared" si="29"/>
        <v>2265</v>
      </c>
      <c r="P116" s="76">
        <f t="shared" si="29"/>
        <v>14.16</v>
      </c>
      <c r="Q116" s="76">
        <f t="shared" si="29"/>
        <v>0</v>
      </c>
      <c r="R116" s="76">
        <f t="shared" si="29"/>
        <v>0</v>
      </c>
      <c r="S116" s="76"/>
      <c r="T116" s="76"/>
      <c r="U116" s="76"/>
      <c r="V116" s="653"/>
    </row>
    <row r="117" ht="20.1" customHeight="1" spans="1:22">
      <c r="A117" s="74">
        <v>63</v>
      </c>
      <c r="B117" s="142" t="s">
        <v>1151</v>
      </c>
      <c r="C117" s="74" t="s">
        <v>1124</v>
      </c>
      <c r="D117" s="71" t="s">
        <v>560</v>
      </c>
      <c r="E117" s="71">
        <v>197090</v>
      </c>
      <c r="F117" s="71">
        <v>1121</v>
      </c>
      <c r="G117" s="71">
        <v>4069</v>
      </c>
      <c r="H117" s="71">
        <v>2018</v>
      </c>
      <c r="I117" s="71">
        <v>2019</v>
      </c>
      <c r="J117" s="515">
        <f t="shared" ref="J117:R117" si="30">SUM(J118:J125)</f>
        <v>2165</v>
      </c>
      <c r="K117" s="515">
        <f t="shared" si="30"/>
        <v>1060</v>
      </c>
      <c r="L117" s="515">
        <f t="shared" si="30"/>
        <v>1105</v>
      </c>
      <c r="M117" s="515">
        <f t="shared" si="30"/>
        <v>0</v>
      </c>
      <c r="N117" s="515">
        <f t="shared" si="30"/>
        <v>0</v>
      </c>
      <c r="O117" s="515">
        <f t="shared" si="30"/>
        <v>2165</v>
      </c>
      <c r="P117" s="515">
        <f t="shared" si="30"/>
        <v>0</v>
      </c>
      <c r="Q117" s="515">
        <f t="shared" si="30"/>
        <v>0</v>
      </c>
      <c r="R117" s="515">
        <f t="shared" si="30"/>
        <v>0</v>
      </c>
      <c r="S117" s="134" t="s">
        <v>1098</v>
      </c>
      <c r="T117" s="134" t="s">
        <v>1152</v>
      </c>
      <c r="U117" s="134" t="s">
        <v>1153</v>
      </c>
      <c r="V117" s="132" t="s">
        <v>41</v>
      </c>
    </row>
    <row r="118" ht="20.1" customHeight="1" spans="1:22">
      <c r="A118" s="74"/>
      <c r="B118" s="142" t="s">
        <v>1154</v>
      </c>
      <c r="C118" s="74" t="s">
        <v>1124</v>
      </c>
      <c r="D118" s="71" t="s">
        <v>560</v>
      </c>
      <c r="E118" s="71">
        <v>52703.9681598897</v>
      </c>
      <c r="F118" s="71">
        <v>66</v>
      </c>
      <c r="G118" s="71">
        <v>235</v>
      </c>
      <c r="H118" s="71">
        <v>2018</v>
      </c>
      <c r="I118" s="71">
        <v>2019</v>
      </c>
      <c r="J118" s="652">
        <f t="shared" si="27"/>
        <v>579</v>
      </c>
      <c r="K118" s="71">
        <v>345</v>
      </c>
      <c r="L118" s="71">
        <v>234</v>
      </c>
      <c r="M118" s="71"/>
      <c r="N118" s="71"/>
      <c r="O118" s="71">
        <f t="shared" si="28"/>
        <v>579</v>
      </c>
      <c r="P118" s="71"/>
      <c r="Q118" s="71"/>
      <c r="R118" s="71"/>
      <c r="S118" s="134" t="s">
        <v>1098</v>
      </c>
      <c r="T118" s="134" t="s">
        <v>1152</v>
      </c>
      <c r="U118" s="134" t="s">
        <v>1153</v>
      </c>
      <c r="V118" s="132" t="s">
        <v>41</v>
      </c>
    </row>
    <row r="119" ht="20.1" customHeight="1" spans="1:22">
      <c r="A119" s="74"/>
      <c r="B119" s="142" t="s">
        <v>1155</v>
      </c>
      <c r="C119" s="74" t="s">
        <v>1124</v>
      </c>
      <c r="D119" s="71" t="s">
        <v>560</v>
      </c>
      <c r="E119" s="71">
        <v>47645.4157202592</v>
      </c>
      <c r="F119" s="71">
        <v>155</v>
      </c>
      <c r="G119" s="71">
        <v>575</v>
      </c>
      <c r="H119" s="71">
        <v>2018</v>
      </c>
      <c r="I119" s="71">
        <v>2019</v>
      </c>
      <c r="J119" s="652">
        <f t="shared" si="27"/>
        <v>351</v>
      </c>
      <c r="K119" s="71">
        <v>17</v>
      </c>
      <c r="L119" s="71">
        <v>334</v>
      </c>
      <c r="M119" s="71"/>
      <c r="N119" s="71"/>
      <c r="O119" s="71">
        <f t="shared" si="28"/>
        <v>351</v>
      </c>
      <c r="P119" s="71"/>
      <c r="Q119" s="71"/>
      <c r="R119" s="71"/>
      <c r="S119" s="134" t="s">
        <v>1098</v>
      </c>
      <c r="T119" s="134" t="s">
        <v>1152</v>
      </c>
      <c r="U119" s="134" t="s">
        <v>1153</v>
      </c>
      <c r="V119" s="132" t="s">
        <v>41</v>
      </c>
    </row>
    <row r="120" ht="20.1" customHeight="1" spans="1:22">
      <c r="A120" s="74"/>
      <c r="B120" s="142" t="s">
        <v>1156</v>
      </c>
      <c r="C120" s="74" t="s">
        <v>1124</v>
      </c>
      <c r="D120" s="71" t="s">
        <v>560</v>
      </c>
      <c r="E120" s="71">
        <v>12484.370526771</v>
      </c>
      <c r="F120" s="71">
        <v>37</v>
      </c>
      <c r="G120" s="71">
        <v>145</v>
      </c>
      <c r="H120" s="71">
        <v>2018</v>
      </c>
      <c r="I120" s="71">
        <v>2019</v>
      </c>
      <c r="J120" s="652">
        <f t="shared" si="27"/>
        <v>137</v>
      </c>
      <c r="K120" s="71">
        <v>49</v>
      </c>
      <c r="L120" s="71">
        <v>88</v>
      </c>
      <c r="M120" s="71"/>
      <c r="N120" s="71"/>
      <c r="O120" s="71">
        <f t="shared" si="28"/>
        <v>137</v>
      </c>
      <c r="P120" s="71"/>
      <c r="Q120" s="71"/>
      <c r="R120" s="71"/>
      <c r="S120" s="134" t="s">
        <v>1098</v>
      </c>
      <c r="T120" s="134" t="s">
        <v>1152</v>
      </c>
      <c r="U120" s="134" t="s">
        <v>1153</v>
      </c>
      <c r="V120" s="132" t="s">
        <v>41</v>
      </c>
    </row>
    <row r="121" ht="20.1" customHeight="1" spans="1:22">
      <c r="A121" s="74"/>
      <c r="B121" s="142" t="s">
        <v>1157</v>
      </c>
      <c r="C121" s="74" t="s">
        <v>1124</v>
      </c>
      <c r="D121" s="71" t="s">
        <v>560</v>
      </c>
      <c r="E121" s="101">
        <v>17672.7927974907</v>
      </c>
      <c r="F121" s="101">
        <v>123</v>
      </c>
      <c r="G121" s="101">
        <v>414</v>
      </c>
      <c r="H121" s="71">
        <v>2018</v>
      </c>
      <c r="I121" s="71">
        <v>2019</v>
      </c>
      <c r="J121" s="652">
        <f t="shared" si="27"/>
        <v>194</v>
      </c>
      <c r="K121" s="71">
        <v>185</v>
      </c>
      <c r="L121" s="71">
        <v>9</v>
      </c>
      <c r="M121" s="71"/>
      <c r="N121" s="71"/>
      <c r="O121" s="71">
        <f t="shared" si="28"/>
        <v>194</v>
      </c>
      <c r="P121" s="71"/>
      <c r="Q121" s="71"/>
      <c r="R121" s="71"/>
      <c r="S121" s="134" t="s">
        <v>1098</v>
      </c>
      <c r="T121" s="134" t="s">
        <v>1152</v>
      </c>
      <c r="U121" s="134" t="s">
        <v>1153</v>
      </c>
      <c r="V121" s="132" t="s">
        <v>41</v>
      </c>
    </row>
    <row r="122" ht="20.1" customHeight="1" spans="1:22">
      <c r="A122" s="74"/>
      <c r="B122" s="142" t="s">
        <v>1158</v>
      </c>
      <c r="C122" s="74" t="s">
        <v>1124</v>
      </c>
      <c r="D122" s="71" t="s">
        <v>560</v>
      </c>
      <c r="E122" s="71">
        <v>14512.5656483007</v>
      </c>
      <c r="F122" s="71">
        <v>213</v>
      </c>
      <c r="G122" s="71">
        <v>718</v>
      </c>
      <c r="H122" s="71">
        <v>2018</v>
      </c>
      <c r="I122" s="71">
        <v>2019</v>
      </c>
      <c r="J122" s="652">
        <f t="shared" si="27"/>
        <v>160</v>
      </c>
      <c r="K122" s="71">
        <v>160</v>
      </c>
      <c r="L122" s="71"/>
      <c r="M122" s="71"/>
      <c r="N122" s="71"/>
      <c r="O122" s="71">
        <f t="shared" si="28"/>
        <v>160</v>
      </c>
      <c r="P122" s="71"/>
      <c r="Q122" s="71"/>
      <c r="R122" s="71"/>
      <c r="S122" s="134" t="s">
        <v>1098</v>
      </c>
      <c r="T122" s="134" t="s">
        <v>1152</v>
      </c>
      <c r="U122" s="134" t="s">
        <v>1153</v>
      </c>
      <c r="V122" s="132" t="s">
        <v>41</v>
      </c>
    </row>
    <row r="123" ht="20.1" customHeight="1" spans="1:22">
      <c r="A123" s="74"/>
      <c r="B123" s="142" t="s">
        <v>1159</v>
      </c>
      <c r="C123" s="74" t="s">
        <v>1124</v>
      </c>
      <c r="D123" s="71" t="s">
        <v>560</v>
      </c>
      <c r="E123" s="71">
        <v>4832.28761127279</v>
      </c>
      <c r="F123" s="71">
        <v>191</v>
      </c>
      <c r="G123" s="71">
        <v>704</v>
      </c>
      <c r="H123" s="71">
        <v>2019</v>
      </c>
      <c r="I123" s="71">
        <v>2019</v>
      </c>
      <c r="J123" s="652">
        <f t="shared" si="27"/>
        <v>53</v>
      </c>
      <c r="K123" s="71"/>
      <c r="L123" s="71">
        <v>53</v>
      </c>
      <c r="M123" s="71"/>
      <c r="N123" s="71"/>
      <c r="O123" s="71">
        <f t="shared" si="28"/>
        <v>53</v>
      </c>
      <c r="P123" s="71"/>
      <c r="Q123" s="71"/>
      <c r="R123" s="71"/>
      <c r="S123" s="134" t="s">
        <v>1098</v>
      </c>
      <c r="T123" s="134" t="s">
        <v>1152</v>
      </c>
      <c r="U123" s="134" t="s">
        <v>1153</v>
      </c>
      <c r="V123" s="132" t="s">
        <v>41</v>
      </c>
    </row>
    <row r="124" ht="20.1" customHeight="1" spans="1:22">
      <c r="A124" s="74"/>
      <c r="B124" s="142" t="s">
        <v>1160</v>
      </c>
      <c r="C124" s="74" t="s">
        <v>1124</v>
      </c>
      <c r="D124" s="71" t="s">
        <v>560</v>
      </c>
      <c r="E124" s="71">
        <v>12000</v>
      </c>
      <c r="F124" s="71">
        <v>94</v>
      </c>
      <c r="G124" s="71">
        <v>327</v>
      </c>
      <c r="H124" s="71">
        <v>2018</v>
      </c>
      <c r="I124" s="71">
        <v>2019</v>
      </c>
      <c r="J124" s="652">
        <f t="shared" si="27"/>
        <v>304</v>
      </c>
      <c r="K124" s="71">
        <v>304</v>
      </c>
      <c r="L124" s="71"/>
      <c r="M124" s="71"/>
      <c r="N124" s="71"/>
      <c r="O124" s="71">
        <f t="shared" si="28"/>
        <v>304</v>
      </c>
      <c r="P124" s="71"/>
      <c r="Q124" s="71"/>
      <c r="R124" s="71"/>
      <c r="S124" s="134" t="s">
        <v>1098</v>
      </c>
      <c r="T124" s="134" t="s">
        <v>1152</v>
      </c>
      <c r="U124" s="134" t="s">
        <v>1153</v>
      </c>
      <c r="V124" s="132" t="s">
        <v>41</v>
      </c>
    </row>
    <row r="125" ht="20.1" customHeight="1" spans="1:22">
      <c r="A125" s="74"/>
      <c r="B125" s="142" t="s">
        <v>1161</v>
      </c>
      <c r="C125" s="74" t="s">
        <v>1124</v>
      </c>
      <c r="D125" s="71" t="s">
        <v>560</v>
      </c>
      <c r="E125" s="71">
        <v>35238.599536016</v>
      </c>
      <c r="F125" s="71">
        <v>242</v>
      </c>
      <c r="G125" s="71">
        <v>951</v>
      </c>
      <c r="H125" s="71">
        <v>2019</v>
      </c>
      <c r="I125" s="71">
        <v>2019</v>
      </c>
      <c r="J125" s="652">
        <f t="shared" si="27"/>
        <v>387</v>
      </c>
      <c r="K125" s="71"/>
      <c r="L125" s="71">
        <v>387</v>
      </c>
      <c r="M125" s="71"/>
      <c r="N125" s="71"/>
      <c r="O125" s="71">
        <f t="shared" si="28"/>
        <v>387</v>
      </c>
      <c r="P125" s="71"/>
      <c r="Q125" s="71"/>
      <c r="R125" s="71"/>
      <c r="S125" s="134" t="s">
        <v>1098</v>
      </c>
      <c r="T125" s="134" t="s">
        <v>1152</v>
      </c>
      <c r="U125" s="134" t="s">
        <v>1153</v>
      </c>
      <c r="V125" s="132" t="s">
        <v>41</v>
      </c>
    </row>
    <row r="126" ht="20.1" customHeight="1" spans="1:22">
      <c r="A126" s="74"/>
      <c r="B126" s="142" t="s">
        <v>1162</v>
      </c>
      <c r="C126" s="74"/>
      <c r="D126" s="71"/>
      <c r="E126" s="71"/>
      <c r="F126" s="71">
        <f>F127+F128+F129</f>
        <v>198</v>
      </c>
      <c r="G126" s="71">
        <f>G127+G128+G129</f>
        <v>709</v>
      </c>
      <c r="H126" s="71">
        <v>2018</v>
      </c>
      <c r="I126" s="71">
        <v>2018</v>
      </c>
      <c r="J126" s="71">
        <f t="shared" ref="J126:R126" si="31">J127+J128+J129+J130</f>
        <v>114.16</v>
      </c>
      <c r="K126" s="71">
        <f t="shared" si="31"/>
        <v>114.16</v>
      </c>
      <c r="L126" s="71">
        <f t="shared" si="31"/>
        <v>0</v>
      </c>
      <c r="M126" s="71">
        <f t="shared" si="31"/>
        <v>0</v>
      </c>
      <c r="N126" s="71">
        <f t="shared" si="31"/>
        <v>0</v>
      </c>
      <c r="O126" s="71">
        <f t="shared" si="31"/>
        <v>100</v>
      </c>
      <c r="P126" s="71">
        <f t="shared" si="31"/>
        <v>14.16</v>
      </c>
      <c r="Q126" s="71">
        <f t="shared" si="31"/>
        <v>0</v>
      </c>
      <c r="R126" s="71">
        <f t="shared" si="31"/>
        <v>0</v>
      </c>
      <c r="S126" s="134"/>
      <c r="T126" s="134"/>
      <c r="U126" s="134"/>
      <c r="V126" s="132"/>
    </row>
    <row r="127" ht="24" spans="1:22">
      <c r="A127" s="74"/>
      <c r="B127" s="142" t="s">
        <v>1163</v>
      </c>
      <c r="C127" s="74" t="s">
        <v>52</v>
      </c>
      <c r="D127" s="71" t="s">
        <v>150</v>
      </c>
      <c r="E127" s="71">
        <v>1</v>
      </c>
      <c r="F127" s="71">
        <v>165</v>
      </c>
      <c r="G127" s="71">
        <v>585</v>
      </c>
      <c r="H127" s="71">
        <v>2018</v>
      </c>
      <c r="I127" s="71">
        <v>2018</v>
      </c>
      <c r="J127" s="71">
        <v>14.16</v>
      </c>
      <c r="K127" s="71">
        <v>14.16</v>
      </c>
      <c r="L127" s="71"/>
      <c r="M127" s="71"/>
      <c r="N127" s="71"/>
      <c r="O127" s="71"/>
      <c r="P127" s="71">
        <v>14.16</v>
      </c>
      <c r="Q127" s="71"/>
      <c r="R127" s="71"/>
      <c r="S127" s="134" t="s">
        <v>1098</v>
      </c>
      <c r="T127" s="134" t="s">
        <v>1099</v>
      </c>
      <c r="U127" s="134" t="s">
        <v>1164</v>
      </c>
      <c r="V127" s="132" t="s">
        <v>1165</v>
      </c>
    </row>
    <row r="128" ht="24" spans="1:22">
      <c r="A128" s="74"/>
      <c r="B128" s="142" t="s">
        <v>1166</v>
      </c>
      <c r="C128" s="74" t="s">
        <v>1124</v>
      </c>
      <c r="D128" s="71" t="s">
        <v>192</v>
      </c>
      <c r="E128" s="71">
        <v>1.065</v>
      </c>
      <c r="F128" s="71">
        <v>10</v>
      </c>
      <c r="G128" s="71">
        <v>38</v>
      </c>
      <c r="H128" s="71">
        <v>2018</v>
      </c>
      <c r="I128" s="71">
        <v>2018</v>
      </c>
      <c r="J128" s="71">
        <v>50</v>
      </c>
      <c r="K128" s="71">
        <v>50</v>
      </c>
      <c r="L128" s="71"/>
      <c r="M128" s="71"/>
      <c r="N128" s="71"/>
      <c r="O128" s="71">
        <v>50</v>
      </c>
      <c r="P128" s="71"/>
      <c r="Q128" s="71"/>
      <c r="R128" s="71"/>
      <c r="S128" s="134" t="s">
        <v>1098</v>
      </c>
      <c r="T128" s="134" t="s">
        <v>1099</v>
      </c>
      <c r="U128" s="134" t="s">
        <v>578</v>
      </c>
      <c r="V128" s="132" t="s">
        <v>1079</v>
      </c>
    </row>
    <row r="129" ht="24" spans="1:22">
      <c r="A129" s="74"/>
      <c r="B129" s="142" t="s">
        <v>1167</v>
      </c>
      <c r="C129" s="74" t="s">
        <v>1124</v>
      </c>
      <c r="D129" s="71" t="s">
        <v>192</v>
      </c>
      <c r="E129" s="71">
        <v>1</v>
      </c>
      <c r="F129" s="71">
        <v>23</v>
      </c>
      <c r="G129" s="71">
        <v>86</v>
      </c>
      <c r="H129" s="71">
        <v>2018</v>
      </c>
      <c r="I129" s="71">
        <v>2018</v>
      </c>
      <c r="J129" s="71">
        <v>40</v>
      </c>
      <c r="K129" s="71">
        <v>40</v>
      </c>
      <c r="L129" s="71"/>
      <c r="M129" s="71"/>
      <c r="N129" s="71"/>
      <c r="O129" s="71">
        <v>40</v>
      </c>
      <c r="P129" s="71"/>
      <c r="Q129" s="71"/>
      <c r="R129" s="71"/>
      <c r="S129" s="134" t="s">
        <v>1098</v>
      </c>
      <c r="T129" s="134" t="s">
        <v>1099</v>
      </c>
      <c r="U129" s="134" t="s">
        <v>578</v>
      </c>
      <c r="V129" s="132" t="s">
        <v>1165</v>
      </c>
    </row>
    <row r="130" ht="24" spans="1:22">
      <c r="A130" s="74"/>
      <c r="B130" s="142" t="s">
        <v>1168</v>
      </c>
      <c r="C130" s="74" t="s">
        <v>1124</v>
      </c>
      <c r="D130" s="71" t="s">
        <v>150</v>
      </c>
      <c r="E130" s="71">
        <v>1</v>
      </c>
      <c r="F130" s="71">
        <v>29</v>
      </c>
      <c r="G130" s="71">
        <v>90</v>
      </c>
      <c r="H130" s="71">
        <v>2018</v>
      </c>
      <c r="I130" s="71">
        <v>2018</v>
      </c>
      <c r="J130" s="71">
        <v>10</v>
      </c>
      <c r="K130" s="71">
        <v>10</v>
      </c>
      <c r="L130" s="71"/>
      <c r="M130" s="71"/>
      <c r="N130" s="71"/>
      <c r="O130" s="71">
        <f>J130</f>
        <v>10</v>
      </c>
      <c r="P130" s="71"/>
      <c r="Q130" s="71"/>
      <c r="R130" s="71"/>
      <c r="S130" s="134"/>
      <c r="T130" s="134"/>
      <c r="U130" s="134"/>
      <c r="V130" s="132"/>
    </row>
    <row r="131" s="619" customFormat="1" ht="20.1" customHeight="1" spans="1:22">
      <c r="A131" s="74">
        <v>44</v>
      </c>
      <c r="B131" s="81" t="s">
        <v>916</v>
      </c>
      <c r="C131" s="81" t="s">
        <v>320</v>
      </c>
      <c r="D131" s="71" t="s">
        <v>320</v>
      </c>
      <c r="E131" s="71"/>
      <c r="F131" s="71">
        <f>F132+F136+F137+F147+F148</f>
        <v>128</v>
      </c>
      <c r="G131" s="71">
        <f>G132+G136+G137+G147+G148</f>
        <v>329</v>
      </c>
      <c r="H131" s="71">
        <v>2018</v>
      </c>
      <c r="I131" s="71">
        <v>2020</v>
      </c>
      <c r="J131" s="71">
        <f t="shared" ref="J131:R131" si="32">J132+J137</f>
        <v>1715.2</v>
      </c>
      <c r="K131" s="71">
        <f t="shared" si="32"/>
        <v>518.4</v>
      </c>
      <c r="L131" s="71">
        <f t="shared" si="32"/>
        <v>518.4</v>
      </c>
      <c r="M131" s="71">
        <f t="shared" si="32"/>
        <v>678.4</v>
      </c>
      <c r="N131" s="71">
        <f t="shared" si="32"/>
        <v>1715.2</v>
      </c>
      <c r="O131" s="71">
        <f t="shared" si="32"/>
        <v>0</v>
      </c>
      <c r="P131" s="71">
        <f t="shared" si="32"/>
        <v>0</v>
      </c>
      <c r="Q131" s="71">
        <f t="shared" si="32"/>
        <v>0</v>
      </c>
      <c r="R131" s="71">
        <f t="shared" si="32"/>
        <v>0</v>
      </c>
      <c r="S131" s="87"/>
      <c r="T131" s="87"/>
      <c r="U131" s="81" t="s">
        <v>320</v>
      </c>
      <c r="V131" s="132" t="s">
        <v>41</v>
      </c>
    </row>
    <row r="132" ht="20.1" customHeight="1" spans="1:22">
      <c r="A132" s="74">
        <v>45</v>
      </c>
      <c r="B132" s="74" t="s">
        <v>917</v>
      </c>
      <c r="C132" s="81" t="s">
        <v>320</v>
      </c>
      <c r="D132" s="71" t="s">
        <v>45</v>
      </c>
      <c r="E132" s="71">
        <f t="shared" ref="E132:G132" si="33">E133+E134+E135</f>
        <v>10000</v>
      </c>
      <c r="F132" s="71">
        <f t="shared" si="33"/>
        <v>80</v>
      </c>
      <c r="G132" s="71">
        <f t="shared" si="33"/>
        <v>281</v>
      </c>
      <c r="H132" s="71">
        <v>2018</v>
      </c>
      <c r="I132" s="71">
        <v>2018</v>
      </c>
      <c r="J132" s="71">
        <f t="shared" ref="J132:J135" si="34">K132+L132+M132</f>
        <v>1600</v>
      </c>
      <c r="K132" s="71">
        <f t="shared" ref="K132:N132" si="35">K133+K134+K135</f>
        <v>480</v>
      </c>
      <c r="L132" s="71">
        <f t="shared" si="35"/>
        <v>480</v>
      </c>
      <c r="M132" s="71">
        <f t="shared" si="35"/>
        <v>640</v>
      </c>
      <c r="N132" s="71">
        <f t="shared" si="35"/>
        <v>1600</v>
      </c>
      <c r="O132" s="71"/>
      <c r="P132" s="71"/>
      <c r="Q132" s="71"/>
      <c r="R132" s="71"/>
      <c r="S132" s="86" t="s">
        <v>1096</v>
      </c>
      <c r="T132" s="86" t="s">
        <v>1169</v>
      </c>
      <c r="U132" s="134" t="s">
        <v>417</v>
      </c>
      <c r="V132" s="132" t="s">
        <v>41</v>
      </c>
    </row>
    <row r="133" ht="20.1" customHeight="1" spans="1:22">
      <c r="A133" s="74"/>
      <c r="B133" s="74" t="s">
        <v>1170</v>
      </c>
      <c r="C133" s="28"/>
      <c r="D133" s="71" t="s">
        <v>45</v>
      </c>
      <c r="E133" s="71">
        <v>3000</v>
      </c>
      <c r="F133" s="101">
        <v>23</v>
      </c>
      <c r="G133" s="101">
        <v>81</v>
      </c>
      <c r="H133" s="71">
        <v>2018</v>
      </c>
      <c r="I133" s="71">
        <v>2018</v>
      </c>
      <c r="J133" s="71">
        <f t="shared" si="34"/>
        <v>480</v>
      </c>
      <c r="K133" s="71">
        <v>480</v>
      </c>
      <c r="L133" s="71"/>
      <c r="M133" s="71"/>
      <c r="N133" s="76">
        <f t="shared" ref="N133:N135" si="36">J133</f>
        <v>480</v>
      </c>
      <c r="O133" s="76"/>
      <c r="P133" s="76"/>
      <c r="Q133" s="76"/>
      <c r="R133" s="76"/>
      <c r="S133" s="86" t="s">
        <v>1096</v>
      </c>
      <c r="T133" s="86" t="s">
        <v>1169</v>
      </c>
      <c r="U133" s="86" t="s">
        <v>417</v>
      </c>
      <c r="V133" s="132"/>
    </row>
    <row r="134" ht="20.1" customHeight="1" spans="1:22">
      <c r="A134" s="74"/>
      <c r="B134" s="74" t="s">
        <v>1171</v>
      </c>
      <c r="C134" s="28"/>
      <c r="D134" s="71" t="s">
        <v>45</v>
      </c>
      <c r="E134" s="71">
        <v>3000</v>
      </c>
      <c r="F134" s="101">
        <v>23</v>
      </c>
      <c r="G134" s="101">
        <v>81</v>
      </c>
      <c r="H134" s="71">
        <v>2019</v>
      </c>
      <c r="I134" s="71">
        <v>2019</v>
      </c>
      <c r="J134" s="71">
        <f t="shared" si="34"/>
        <v>480</v>
      </c>
      <c r="K134" s="71"/>
      <c r="L134" s="71">
        <v>480</v>
      </c>
      <c r="M134" s="71"/>
      <c r="N134" s="76">
        <f t="shared" si="36"/>
        <v>480</v>
      </c>
      <c r="O134" s="76"/>
      <c r="P134" s="76"/>
      <c r="Q134" s="76"/>
      <c r="R134" s="76"/>
      <c r="S134" s="86" t="s">
        <v>1096</v>
      </c>
      <c r="T134" s="86" t="s">
        <v>1169</v>
      </c>
      <c r="U134" s="86" t="s">
        <v>417</v>
      </c>
      <c r="V134" s="132"/>
    </row>
    <row r="135" ht="20.1" customHeight="1" spans="1:22">
      <c r="A135" s="74"/>
      <c r="B135" s="74" t="s">
        <v>1172</v>
      </c>
      <c r="C135" s="28"/>
      <c r="D135" s="71" t="s">
        <v>45</v>
      </c>
      <c r="E135" s="71">
        <v>4000</v>
      </c>
      <c r="F135" s="101">
        <v>34</v>
      </c>
      <c r="G135" s="101">
        <v>119</v>
      </c>
      <c r="H135" s="71">
        <v>2020</v>
      </c>
      <c r="I135" s="71">
        <v>2020</v>
      </c>
      <c r="J135" s="71">
        <f t="shared" si="34"/>
        <v>640</v>
      </c>
      <c r="K135" s="71"/>
      <c r="L135" s="71"/>
      <c r="M135" s="71">
        <v>640</v>
      </c>
      <c r="N135" s="76">
        <f t="shared" si="36"/>
        <v>640</v>
      </c>
      <c r="O135" s="76"/>
      <c r="P135" s="76"/>
      <c r="Q135" s="76"/>
      <c r="R135" s="76"/>
      <c r="S135" s="86" t="s">
        <v>1096</v>
      </c>
      <c r="T135" s="86" t="s">
        <v>1169</v>
      </c>
      <c r="U135" s="86" t="s">
        <v>417</v>
      </c>
      <c r="V135" s="132"/>
    </row>
    <row r="136" ht="20.1" customHeight="1" spans="1:22">
      <c r="A136" s="74">
        <v>46</v>
      </c>
      <c r="B136" s="74" t="s">
        <v>919</v>
      </c>
      <c r="C136" s="81" t="s">
        <v>320</v>
      </c>
      <c r="D136" s="71" t="s">
        <v>45</v>
      </c>
      <c r="E136" s="71"/>
      <c r="F136" s="71"/>
      <c r="G136" s="71"/>
      <c r="H136" s="71"/>
      <c r="I136" s="71"/>
      <c r="J136" s="71"/>
      <c r="K136" s="71"/>
      <c r="L136" s="71"/>
      <c r="M136" s="71"/>
      <c r="N136" s="71"/>
      <c r="O136" s="71"/>
      <c r="P136" s="71"/>
      <c r="Q136" s="71"/>
      <c r="R136" s="71"/>
      <c r="S136" s="134"/>
      <c r="T136" s="134"/>
      <c r="U136" s="134" t="s">
        <v>435</v>
      </c>
      <c r="V136" s="132" t="s">
        <v>41</v>
      </c>
    </row>
    <row r="137" ht="20.1" customHeight="1" spans="1:22">
      <c r="A137" s="74">
        <v>47</v>
      </c>
      <c r="B137" s="142" t="s">
        <v>423</v>
      </c>
      <c r="C137" s="81" t="s">
        <v>320</v>
      </c>
      <c r="D137" s="71" t="s">
        <v>147</v>
      </c>
      <c r="E137" s="71">
        <f t="shared" ref="E137:G137" si="37">SUM(E138:E146)</f>
        <v>48</v>
      </c>
      <c r="F137" s="71">
        <f t="shared" si="37"/>
        <v>48</v>
      </c>
      <c r="G137" s="71">
        <f t="shared" si="37"/>
        <v>48</v>
      </c>
      <c r="H137" s="71">
        <v>2018</v>
      </c>
      <c r="I137" s="71">
        <v>2020</v>
      </c>
      <c r="J137" s="71">
        <f t="shared" ref="J137:J146" si="38">K137+L137+M137</f>
        <v>115.2</v>
      </c>
      <c r="K137" s="71">
        <v>38.4</v>
      </c>
      <c r="L137" s="71">
        <v>38.4</v>
      </c>
      <c r="M137" s="71">
        <v>38.4</v>
      </c>
      <c r="N137" s="71">
        <f t="shared" ref="N137:N146" si="39">J137</f>
        <v>115.2</v>
      </c>
      <c r="O137" s="71"/>
      <c r="P137" s="71"/>
      <c r="Q137" s="71"/>
      <c r="R137" s="71"/>
      <c r="S137" s="86" t="s">
        <v>1096</v>
      </c>
      <c r="T137" s="86" t="s">
        <v>1169</v>
      </c>
      <c r="U137" s="134" t="s">
        <v>417</v>
      </c>
      <c r="V137" s="132" t="s">
        <v>41</v>
      </c>
    </row>
    <row r="138" ht="20.1" customHeight="1" spans="1:22">
      <c r="A138" s="74"/>
      <c r="B138" s="74" t="s">
        <v>1086</v>
      </c>
      <c r="C138" s="81"/>
      <c r="D138" s="71" t="s">
        <v>147</v>
      </c>
      <c r="E138" s="71">
        <v>4</v>
      </c>
      <c r="F138" s="71">
        <v>4</v>
      </c>
      <c r="G138" s="71">
        <v>4</v>
      </c>
      <c r="H138" s="71">
        <v>2018</v>
      </c>
      <c r="I138" s="71">
        <v>2018</v>
      </c>
      <c r="J138" s="71">
        <f t="shared" si="38"/>
        <v>9.6</v>
      </c>
      <c r="K138" s="71">
        <f t="shared" ref="K138:K146" si="40">E138*0.8</f>
        <v>3.2</v>
      </c>
      <c r="L138" s="71">
        <f t="shared" ref="L138:L146" si="41">E138*0.8</f>
        <v>3.2</v>
      </c>
      <c r="M138" s="71">
        <f t="shared" ref="M138:M146" si="42">E138*0.8</f>
        <v>3.2</v>
      </c>
      <c r="N138" s="71">
        <f t="shared" si="39"/>
        <v>9.6</v>
      </c>
      <c r="O138" s="71"/>
      <c r="P138" s="71"/>
      <c r="Q138" s="71"/>
      <c r="R138" s="71"/>
      <c r="S138" s="86" t="s">
        <v>1096</v>
      </c>
      <c r="T138" s="86" t="s">
        <v>1169</v>
      </c>
      <c r="U138" s="134" t="s">
        <v>417</v>
      </c>
      <c r="V138" s="132" t="s">
        <v>41</v>
      </c>
    </row>
    <row r="139" ht="20.1" customHeight="1" spans="1:22">
      <c r="A139" s="74"/>
      <c r="B139" s="74" t="s">
        <v>1087</v>
      </c>
      <c r="C139" s="81"/>
      <c r="D139" s="71" t="s">
        <v>147</v>
      </c>
      <c r="E139" s="71">
        <v>4</v>
      </c>
      <c r="F139" s="71">
        <v>4</v>
      </c>
      <c r="G139" s="71">
        <v>4</v>
      </c>
      <c r="H139" s="71">
        <v>2018</v>
      </c>
      <c r="I139" s="71">
        <v>2018</v>
      </c>
      <c r="J139" s="71">
        <f t="shared" si="38"/>
        <v>9.6</v>
      </c>
      <c r="K139" s="71">
        <f t="shared" si="40"/>
        <v>3.2</v>
      </c>
      <c r="L139" s="71">
        <f t="shared" si="41"/>
        <v>3.2</v>
      </c>
      <c r="M139" s="71">
        <f t="shared" si="42"/>
        <v>3.2</v>
      </c>
      <c r="N139" s="71">
        <f t="shared" si="39"/>
        <v>9.6</v>
      </c>
      <c r="O139" s="71"/>
      <c r="P139" s="71"/>
      <c r="Q139" s="71"/>
      <c r="R139" s="71"/>
      <c r="S139" s="86" t="s">
        <v>1096</v>
      </c>
      <c r="T139" s="86" t="s">
        <v>1169</v>
      </c>
      <c r="U139" s="134" t="s">
        <v>417</v>
      </c>
      <c r="V139" s="132" t="s">
        <v>41</v>
      </c>
    </row>
    <row r="140" ht="20.1" customHeight="1" spans="1:22">
      <c r="A140" s="74"/>
      <c r="B140" s="74" t="s">
        <v>1088</v>
      </c>
      <c r="C140" s="81"/>
      <c r="D140" s="71" t="s">
        <v>147</v>
      </c>
      <c r="E140" s="71">
        <v>2</v>
      </c>
      <c r="F140" s="71">
        <v>2</v>
      </c>
      <c r="G140" s="71">
        <v>2</v>
      </c>
      <c r="H140" s="71">
        <v>2018</v>
      </c>
      <c r="I140" s="71">
        <v>2018</v>
      </c>
      <c r="J140" s="71">
        <f t="shared" si="38"/>
        <v>4.8</v>
      </c>
      <c r="K140" s="71">
        <f t="shared" si="40"/>
        <v>1.6</v>
      </c>
      <c r="L140" s="71">
        <f t="shared" si="41"/>
        <v>1.6</v>
      </c>
      <c r="M140" s="71">
        <f t="shared" si="42"/>
        <v>1.6</v>
      </c>
      <c r="N140" s="71">
        <f t="shared" si="39"/>
        <v>4.8</v>
      </c>
      <c r="O140" s="71"/>
      <c r="P140" s="71"/>
      <c r="Q140" s="71"/>
      <c r="R140" s="71"/>
      <c r="S140" s="86" t="s">
        <v>1096</v>
      </c>
      <c r="T140" s="86" t="s">
        <v>1169</v>
      </c>
      <c r="U140" s="134" t="s">
        <v>417</v>
      </c>
      <c r="V140" s="132" t="s">
        <v>41</v>
      </c>
    </row>
    <row r="141" ht="20.1" customHeight="1" spans="1:22">
      <c r="A141" s="74"/>
      <c r="B141" s="74" t="s">
        <v>1089</v>
      </c>
      <c r="C141" s="81"/>
      <c r="D141" s="71" t="s">
        <v>147</v>
      </c>
      <c r="E141" s="71">
        <v>6</v>
      </c>
      <c r="F141" s="71">
        <v>6</v>
      </c>
      <c r="G141" s="71">
        <v>6</v>
      </c>
      <c r="H141" s="71">
        <v>2018</v>
      </c>
      <c r="I141" s="71">
        <v>2018</v>
      </c>
      <c r="J141" s="71">
        <f t="shared" si="38"/>
        <v>14.4</v>
      </c>
      <c r="K141" s="71">
        <f t="shared" si="40"/>
        <v>4.8</v>
      </c>
      <c r="L141" s="71">
        <f t="shared" si="41"/>
        <v>4.8</v>
      </c>
      <c r="M141" s="71">
        <f t="shared" si="42"/>
        <v>4.8</v>
      </c>
      <c r="N141" s="71">
        <f t="shared" si="39"/>
        <v>14.4</v>
      </c>
      <c r="O141" s="71"/>
      <c r="P141" s="71"/>
      <c r="Q141" s="71"/>
      <c r="R141" s="71"/>
      <c r="S141" s="86" t="s">
        <v>1096</v>
      </c>
      <c r="T141" s="86" t="s">
        <v>1169</v>
      </c>
      <c r="U141" s="134" t="s">
        <v>417</v>
      </c>
      <c r="V141" s="132" t="s">
        <v>41</v>
      </c>
    </row>
    <row r="142" ht="20.1" customHeight="1" spans="1:22">
      <c r="A142" s="74"/>
      <c r="B142" s="74" t="s">
        <v>1090</v>
      </c>
      <c r="C142" s="81"/>
      <c r="D142" s="71" t="s">
        <v>147</v>
      </c>
      <c r="E142" s="71">
        <v>6</v>
      </c>
      <c r="F142" s="71">
        <v>6</v>
      </c>
      <c r="G142" s="71">
        <v>6</v>
      </c>
      <c r="H142" s="71">
        <v>2018</v>
      </c>
      <c r="I142" s="71">
        <v>2018</v>
      </c>
      <c r="J142" s="71">
        <f t="shared" si="38"/>
        <v>14.4</v>
      </c>
      <c r="K142" s="71">
        <f t="shared" si="40"/>
        <v>4.8</v>
      </c>
      <c r="L142" s="71">
        <f t="shared" si="41"/>
        <v>4.8</v>
      </c>
      <c r="M142" s="71">
        <f t="shared" si="42"/>
        <v>4.8</v>
      </c>
      <c r="N142" s="71">
        <f t="shared" si="39"/>
        <v>14.4</v>
      </c>
      <c r="O142" s="71"/>
      <c r="P142" s="71"/>
      <c r="Q142" s="71"/>
      <c r="R142" s="71"/>
      <c r="S142" s="86" t="s">
        <v>1096</v>
      </c>
      <c r="T142" s="86" t="s">
        <v>1169</v>
      </c>
      <c r="U142" s="134" t="s">
        <v>417</v>
      </c>
      <c r="V142" s="132" t="s">
        <v>41</v>
      </c>
    </row>
    <row r="143" ht="20.1" customHeight="1" spans="1:22">
      <c r="A143" s="74"/>
      <c r="B143" s="74" t="s">
        <v>1091</v>
      </c>
      <c r="C143" s="81"/>
      <c r="D143" s="71" t="s">
        <v>147</v>
      </c>
      <c r="E143" s="71">
        <v>6</v>
      </c>
      <c r="F143" s="71">
        <v>6</v>
      </c>
      <c r="G143" s="71">
        <v>6</v>
      </c>
      <c r="H143" s="71">
        <v>2018</v>
      </c>
      <c r="I143" s="71">
        <v>2018</v>
      </c>
      <c r="J143" s="71">
        <f t="shared" si="38"/>
        <v>14.4</v>
      </c>
      <c r="K143" s="71">
        <f t="shared" si="40"/>
        <v>4.8</v>
      </c>
      <c r="L143" s="71">
        <f t="shared" si="41"/>
        <v>4.8</v>
      </c>
      <c r="M143" s="71">
        <f t="shared" si="42"/>
        <v>4.8</v>
      </c>
      <c r="N143" s="71">
        <f t="shared" si="39"/>
        <v>14.4</v>
      </c>
      <c r="O143" s="71"/>
      <c r="P143" s="71"/>
      <c r="Q143" s="71"/>
      <c r="R143" s="71"/>
      <c r="S143" s="86" t="s">
        <v>1096</v>
      </c>
      <c r="T143" s="86" t="s">
        <v>1169</v>
      </c>
      <c r="U143" s="134" t="s">
        <v>417</v>
      </c>
      <c r="V143" s="132" t="s">
        <v>41</v>
      </c>
    </row>
    <row r="144" ht="20.1" customHeight="1" spans="1:22">
      <c r="A144" s="74"/>
      <c r="B144" s="74" t="s">
        <v>1092</v>
      </c>
      <c r="C144" s="81"/>
      <c r="D144" s="71" t="s">
        <v>147</v>
      </c>
      <c r="E144" s="71">
        <v>5</v>
      </c>
      <c r="F144" s="71">
        <v>5</v>
      </c>
      <c r="G144" s="71">
        <v>5</v>
      </c>
      <c r="H144" s="71">
        <v>2018</v>
      </c>
      <c r="I144" s="71">
        <v>2018</v>
      </c>
      <c r="J144" s="71">
        <f t="shared" si="38"/>
        <v>12</v>
      </c>
      <c r="K144" s="71">
        <f t="shared" si="40"/>
        <v>4</v>
      </c>
      <c r="L144" s="71">
        <f t="shared" si="41"/>
        <v>4</v>
      </c>
      <c r="M144" s="71">
        <f t="shared" si="42"/>
        <v>4</v>
      </c>
      <c r="N144" s="71">
        <f t="shared" si="39"/>
        <v>12</v>
      </c>
      <c r="O144" s="71"/>
      <c r="P144" s="71"/>
      <c r="Q144" s="71"/>
      <c r="R144" s="71"/>
      <c r="S144" s="86" t="s">
        <v>1096</v>
      </c>
      <c r="T144" s="86" t="s">
        <v>1169</v>
      </c>
      <c r="U144" s="134" t="s">
        <v>417</v>
      </c>
      <c r="V144" s="132" t="s">
        <v>41</v>
      </c>
    </row>
    <row r="145" ht="20.1" customHeight="1" spans="1:22">
      <c r="A145" s="74"/>
      <c r="B145" s="74" t="s">
        <v>1093</v>
      </c>
      <c r="C145" s="81"/>
      <c r="D145" s="71" t="s">
        <v>147</v>
      </c>
      <c r="E145" s="71">
        <v>8</v>
      </c>
      <c r="F145" s="71">
        <v>8</v>
      </c>
      <c r="G145" s="71">
        <v>8</v>
      </c>
      <c r="H145" s="71">
        <v>2018</v>
      </c>
      <c r="I145" s="71">
        <v>2018</v>
      </c>
      <c r="J145" s="71">
        <f t="shared" si="38"/>
        <v>19.2</v>
      </c>
      <c r="K145" s="71">
        <f t="shared" si="40"/>
        <v>6.4</v>
      </c>
      <c r="L145" s="71">
        <f t="shared" si="41"/>
        <v>6.4</v>
      </c>
      <c r="M145" s="71">
        <f t="shared" si="42"/>
        <v>6.4</v>
      </c>
      <c r="N145" s="71">
        <f t="shared" si="39"/>
        <v>19.2</v>
      </c>
      <c r="O145" s="71"/>
      <c r="P145" s="71"/>
      <c r="Q145" s="71"/>
      <c r="R145" s="71"/>
      <c r="S145" s="86" t="s">
        <v>1096</v>
      </c>
      <c r="T145" s="86" t="s">
        <v>1169</v>
      </c>
      <c r="U145" s="134" t="s">
        <v>417</v>
      </c>
      <c r="V145" s="132" t="s">
        <v>41</v>
      </c>
    </row>
    <row r="146" ht="20.1" customHeight="1" spans="1:22">
      <c r="A146" s="74"/>
      <c r="B146" s="74" t="s">
        <v>1094</v>
      </c>
      <c r="C146" s="81"/>
      <c r="D146" s="71" t="s">
        <v>147</v>
      </c>
      <c r="E146" s="71">
        <v>7</v>
      </c>
      <c r="F146" s="71">
        <v>7</v>
      </c>
      <c r="G146" s="71">
        <v>7</v>
      </c>
      <c r="H146" s="71">
        <v>2018</v>
      </c>
      <c r="I146" s="71">
        <v>2018</v>
      </c>
      <c r="J146" s="71">
        <f t="shared" si="38"/>
        <v>16.8</v>
      </c>
      <c r="K146" s="71">
        <f t="shared" si="40"/>
        <v>5.6</v>
      </c>
      <c r="L146" s="71">
        <f t="shared" si="41"/>
        <v>5.6</v>
      </c>
      <c r="M146" s="71">
        <f t="shared" si="42"/>
        <v>5.6</v>
      </c>
      <c r="N146" s="71">
        <f t="shared" si="39"/>
        <v>16.8</v>
      </c>
      <c r="O146" s="71"/>
      <c r="P146" s="71"/>
      <c r="Q146" s="71"/>
      <c r="R146" s="71"/>
      <c r="S146" s="86" t="s">
        <v>1096</v>
      </c>
      <c r="T146" s="86" t="s">
        <v>1169</v>
      </c>
      <c r="U146" s="134" t="s">
        <v>417</v>
      </c>
      <c r="V146" s="132" t="s">
        <v>41</v>
      </c>
    </row>
    <row r="147" ht="20.1" customHeight="1" spans="1:22">
      <c r="A147" s="74">
        <v>48</v>
      </c>
      <c r="B147" s="142" t="s">
        <v>434</v>
      </c>
      <c r="C147" s="81" t="s">
        <v>320</v>
      </c>
      <c r="D147" s="71" t="s">
        <v>147</v>
      </c>
      <c r="E147" s="71"/>
      <c r="F147" s="71"/>
      <c r="G147" s="71"/>
      <c r="H147" s="71"/>
      <c r="I147" s="71"/>
      <c r="J147" s="71"/>
      <c r="K147" s="71"/>
      <c r="L147" s="71"/>
      <c r="M147" s="71"/>
      <c r="N147" s="71"/>
      <c r="O147" s="71"/>
      <c r="P147" s="71"/>
      <c r="Q147" s="71"/>
      <c r="R147" s="71"/>
      <c r="S147" s="87"/>
      <c r="T147" s="87"/>
      <c r="U147" s="134" t="s">
        <v>435</v>
      </c>
      <c r="V147" s="132" t="s">
        <v>41</v>
      </c>
    </row>
    <row r="148" ht="20.1" customHeight="1" spans="1:22">
      <c r="A148" s="74">
        <v>49</v>
      </c>
      <c r="B148" s="74" t="s">
        <v>436</v>
      </c>
      <c r="C148" s="74" t="s">
        <v>52</v>
      </c>
      <c r="D148" s="71" t="s">
        <v>150</v>
      </c>
      <c r="E148" s="71"/>
      <c r="F148" s="71"/>
      <c r="G148" s="71"/>
      <c r="H148" s="71"/>
      <c r="I148" s="71"/>
      <c r="J148" s="71"/>
      <c r="K148" s="71"/>
      <c r="L148" s="71"/>
      <c r="M148" s="71"/>
      <c r="N148" s="71"/>
      <c r="O148" s="71"/>
      <c r="P148" s="71"/>
      <c r="Q148" s="71"/>
      <c r="R148" s="71"/>
      <c r="S148" s="87"/>
      <c r="T148" s="87"/>
      <c r="U148" s="134" t="s">
        <v>417</v>
      </c>
      <c r="V148" s="132" t="s">
        <v>41</v>
      </c>
    </row>
    <row r="149" s="620" customFormat="1" ht="20.1" customHeight="1" spans="1:22">
      <c r="A149" s="74">
        <v>50</v>
      </c>
      <c r="B149" s="81" t="s">
        <v>924</v>
      </c>
      <c r="C149" s="81" t="s">
        <v>320</v>
      </c>
      <c r="D149" s="71" t="s">
        <v>320</v>
      </c>
      <c r="E149" s="71">
        <f t="shared" ref="E149:G149" si="43">E150+E151+E154</f>
        <v>291</v>
      </c>
      <c r="F149" s="71">
        <f t="shared" si="43"/>
        <v>163</v>
      </c>
      <c r="G149" s="71">
        <f t="shared" si="43"/>
        <v>185</v>
      </c>
      <c r="H149" s="71">
        <v>2018</v>
      </c>
      <c r="I149" s="71">
        <v>2020</v>
      </c>
      <c r="J149" s="71">
        <f t="shared" ref="J149:R149" si="44">J150+J151+J154</f>
        <v>206.50164</v>
      </c>
      <c r="K149" s="71">
        <f t="shared" si="44"/>
        <v>66.77</v>
      </c>
      <c r="L149" s="71">
        <f t="shared" si="44"/>
        <v>68.7356</v>
      </c>
      <c r="M149" s="71">
        <f t="shared" si="44"/>
        <v>70.99604</v>
      </c>
      <c r="N149" s="71">
        <f t="shared" si="44"/>
        <v>206.50164</v>
      </c>
      <c r="O149" s="71">
        <f t="shared" si="44"/>
        <v>0</v>
      </c>
      <c r="P149" s="71">
        <f t="shared" si="44"/>
        <v>0</v>
      </c>
      <c r="Q149" s="71">
        <f t="shared" si="44"/>
        <v>0</v>
      </c>
      <c r="R149" s="71">
        <f t="shared" si="44"/>
        <v>0</v>
      </c>
      <c r="S149" s="134" t="s">
        <v>1077</v>
      </c>
      <c r="T149" s="134" t="s">
        <v>1173</v>
      </c>
      <c r="U149" s="134" t="s">
        <v>338</v>
      </c>
      <c r="V149" s="132" t="s">
        <v>41</v>
      </c>
    </row>
    <row r="150" s="621" customFormat="1" ht="20.1" customHeight="1" spans="1:22">
      <c r="A150" s="74">
        <v>51</v>
      </c>
      <c r="B150" s="655" t="s">
        <v>443</v>
      </c>
      <c r="C150" s="81" t="s">
        <v>320</v>
      </c>
      <c r="D150" s="71" t="s">
        <v>384</v>
      </c>
      <c r="E150" s="71">
        <v>43</v>
      </c>
      <c r="F150" s="71">
        <v>43</v>
      </c>
      <c r="G150" s="71">
        <v>65</v>
      </c>
      <c r="H150" s="71">
        <v>2018</v>
      </c>
      <c r="I150" s="71">
        <v>2020</v>
      </c>
      <c r="J150" s="71">
        <v>45.50364</v>
      </c>
      <c r="K150" s="71">
        <v>13.104</v>
      </c>
      <c r="L150" s="71">
        <v>15.0696</v>
      </c>
      <c r="M150" s="71">
        <v>17.33004</v>
      </c>
      <c r="N150" s="71">
        <v>45.50364</v>
      </c>
      <c r="O150" s="71"/>
      <c r="P150" s="71"/>
      <c r="Q150" s="71"/>
      <c r="R150" s="71"/>
      <c r="S150" s="134" t="s">
        <v>1077</v>
      </c>
      <c r="T150" s="134" t="s">
        <v>1173</v>
      </c>
      <c r="U150" s="134" t="s">
        <v>338</v>
      </c>
      <c r="V150" s="132" t="s">
        <v>1174</v>
      </c>
    </row>
    <row r="151" s="621" customFormat="1" ht="20.1" customHeight="1" spans="1:22">
      <c r="A151" s="74">
        <v>52</v>
      </c>
      <c r="B151" s="74" t="s">
        <v>446</v>
      </c>
      <c r="C151" s="81" t="s">
        <v>320</v>
      </c>
      <c r="D151" s="71" t="s">
        <v>147</v>
      </c>
      <c r="E151" s="71">
        <f t="shared" ref="E151:G151" si="45">E152</f>
        <v>56</v>
      </c>
      <c r="F151" s="71">
        <f t="shared" si="45"/>
        <v>12</v>
      </c>
      <c r="G151" s="71">
        <f t="shared" si="45"/>
        <v>12</v>
      </c>
      <c r="H151" s="71">
        <v>2018</v>
      </c>
      <c r="I151" s="71">
        <v>2020</v>
      </c>
      <c r="J151" s="71">
        <v>91.728</v>
      </c>
      <c r="K151" s="71">
        <v>30.576</v>
      </c>
      <c r="L151" s="71">
        <v>30.576</v>
      </c>
      <c r="M151" s="71">
        <v>30.576</v>
      </c>
      <c r="N151" s="71">
        <v>91.728</v>
      </c>
      <c r="O151" s="71"/>
      <c r="P151" s="71"/>
      <c r="Q151" s="71"/>
      <c r="R151" s="71"/>
      <c r="S151" s="134" t="s">
        <v>1077</v>
      </c>
      <c r="T151" s="134" t="s">
        <v>1173</v>
      </c>
      <c r="U151" s="134" t="s">
        <v>338</v>
      </c>
      <c r="V151" s="132" t="s">
        <v>1174</v>
      </c>
    </row>
    <row r="152" s="621" customFormat="1" ht="20.1" customHeight="1" spans="1:22">
      <c r="A152" s="74">
        <v>53</v>
      </c>
      <c r="B152" s="74" t="s">
        <v>447</v>
      </c>
      <c r="C152" s="81" t="s">
        <v>320</v>
      </c>
      <c r="D152" s="71" t="s">
        <v>147</v>
      </c>
      <c r="E152" s="71">
        <v>56</v>
      </c>
      <c r="F152" s="71">
        <v>12</v>
      </c>
      <c r="G152" s="71">
        <v>12</v>
      </c>
      <c r="H152" s="71">
        <v>2018</v>
      </c>
      <c r="I152" s="71">
        <v>2020</v>
      </c>
      <c r="J152" s="71">
        <v>91.728</v>
      </c>
      <c r="K152" s="71">
        <v>30.576</v>
      </c>
      <c r="L152" s="71">
        <v>30.576</v>
      </c>
      <c r="M152" s="71">
        <v>30.576</v>
      </c>
      <c r="N152" s="71">
        <v>91.728</v>
      </c>
      <c r="O152" s="71"/>
      <c r="P152" s="71"/>
      <c r="Q152" s="71"/>
      <c r="R152" s="71"/>
      <c r="S152" s="134" t="s">
        <v>1077</v>
      </c>
      <c r="T152" s="134" t="s">
        <v>1173</v>
      </c>
      <c r="U152" s="134" t="s">
        <v>338</v>
      </c>
      <c r="V152" s="132" t="s">
        <v>1174</v>
      </c>
    </row>
    <row r="153" s="621" customFormat="1" ht="20.1" customHeight="1" spans="1:22">
      <c r="A153" s="74">
        <v>54</v>
      </c>
      <c r="B153" s="74" t="s">
        <v>448</v>
      </c>
      <c r="C153" s="81" t="s">
        <v>320</v>
      </c>
      <c r="D153" s="71" t="s">
        <v>147</v>
      </c>
      <c r="E153" s="71"/>
      <c r="F153" s="71"/>
      <c r="G153" s="71"/>
      <c r="H153" s="71"/>
      <c r="I153" s="71"/>
      <c r="J153" s="71"/>
      <c r="K153" s="71"/>
      <c r="L153" s="71"/>
      <c r="M153" s="71"/>
      <c r="N153" s="71"/>
      <c r="O153" s="71"/>
      <c r="P153" s="71"/>
      <c r="Q153" s="71"/>
      <c r="R153" s="71"/>
      <c r="S153" s="134"/>
      <c r="T153" s="134"/>
      <c r="U153" s="134" t="s">
        <v>338</v>
      </c>
      <c r="V153" s="132"/>
    </row>
    <row r="154" s="621" customFormat="1" ht="20.1" customHeight="1" spans="1:22">
      <c r="A154" s="74">
        <v>55</v>
      </c>
      <c r="B154" s="74" t="s">
        <v>449</v>
      </c>
      <c r="C154" s="81" t="s">
        <v>320</v>
      </c>
      <c r="D154" s="71" t="s">
        <v>147</v>
      </c>
      <c r="E154" s="71">
        <v>192</v>
      </c>
      <c r="F154" s="71">
        <v>108</v>
      </c>
      <c r="G154" s="71">
        <v>108</v>
      </c>
      <c r="H154" s="71">
        <v>2018</v>
      </c>
      <c r="I154" s="71">
        <v>2020</v>
      </c>
      <c r="J154" s="71">
        <v>69.27</v>
      </c>
      <c r="K154" s="71">
        <v>23.09</v>
      </c>
      <c r="L154" s="71">
        <v>23.09</v>
      </c>
      <c r="M154" s="71">
        <v>23.09</v>
      </c>
      <c r="N154" s="71">
        <v>69.27</v>
      </c>
      <c r="O154" s="71"/>
      <c r="P154" s="71"/>
      <c r="Q154" s="71"/>
      <c r="R154" s="71"/>
      <c r="S154" s="134" t="s">
        <v>1077</v>
      </c>
      <c r="T154" s="134" t="s">
        <v>203</v>
      </c>
      <c r="U154" s="134" t="s">
        <v>452</v>
      </c>
      <c r="V154" s="132" t="s">
        <v>1174</v>
      </c>
    </row>
    <row r="155" s="621" customFormat="1" ht="20.1" customHeight="1" spans="1:22">
      <c r="A155" s="74">
        <v>56</v>
      </c>
      <c r="B155" s="74" t="s">
        <v>457</v>
      </c>
      <c r="C155" s="81" t="s">
        <v>320</v>
      </c>
      <c r="D155" s="71"/>
      <c r="E155" s="71"/>
      <c r="F155" s="71"/>
      <c r="G155" s="71"/>
      <c r="H155" s="71"/>
      <c r="I155" s="71"/>
      <c r="J155" s="71"/>
      <c r="K155" s="71"/>
      <c r="L155" s="71"/>
      <c r="M155" s="71"/>
      <c r="N155" s="71"/>
      <c r="O155" s="71"/>
      <c r="P155" s="71"/>
      <c r="Q155" s="71"/>
      <c r="R155" s="71"/>
      <c r="S155" s="134"/>
      <c r="T155" s="134"/>
      <c r="U155" s="81" t="s">
        <v>320</v>
      </c>
      <c r="V155" s="132" t="s">
        <v>41</v>
      </c>
    </row>
    <row r="156" s="621" customFormat="1" ht="20.1" customHeight="1" spans="1:22">
      <c r="A156" s="74">
        <v>57</v>
      </c>
      <c r="B156" s="74" t="s">
        <v>458</v>
      </c>
      <c r="C156" s="81" t="s">
        <v>320</v>
      </c>
      <c r="D156" s="71" t="s">
        <v>147</v>
      </c>
      <c r="E156" s="71"/>
      <c r="F156" s="71"/>
      <c r="G156" s="71"/>
      <c r="H156" s="71"/>
      <c r="I156" s="71"/>
      <c r="J156" s="71"/>
      <c r="K156" s="71"/>
      <c r="L156" s="71"/>
      <c r="M156" s="71"/>
      <c r="N156" s="71"/>
      <c r="O156" s="71"/>
      <c r="P156" s="71"/>
      <c r="Q156" s="71"/>
      <c r="R156" s="71"/>
      <c r="S156" s="134"/>
      <c r="T156" s="134"/>
      <c r="U156" s="134" t="s">
        <v>338</v>
      </c>
      <c r="V156" s="132" t="s">
        <v>41</v>
      </c>
    </row>
    <row r="157" s="621" customFormat="1" ht="20.1" customHeight="1" spans="1:22">
      <c r="A157" s="74">
        <v>58</v>
      </c>
      <c r="B157" s="74" t="s">
        <v>459</v>
      </c>
      <c r="C157" s="81" t="s">
        <v>320</v>
      </c>
      <c r="D157" s="71" t="s">
        <v>147</v>
      </c>
      <c r="E157" s="71"/>
      <c r="F157" s="71"/>
      <c r="G157" s="71"/>
      <c r="H157" s="71"/>
      <c r="I157" s="71"/>
      <c r="J157" s="71"/>
      <c r="K157" s="71"/>
      <c r="L157" s="71"/>
      <c r="M157" s="71"/>
      <c r="N157" s="71"/>
      <c r="O157" s="71"/>
      <c r="P157" s="71"/>
      <c r="Q157" s="71"/>
      <c r="R157" s="71"/>
      <c r="S157" s="134"/>
      <c r="T157" s="134"/>
      <c r="U157" s="134" t="s">
        <v>338</v>
      </c>
      <c r="V157" s="132" t="s">
        <v>41</v>
      </c>
    </row>
    <row r="158" ht="20.1" customHeight="1" spans="1:22">
      <c r="A158" s="74">
        <v>59</v>
      </c>
      <c r="B158" s="633" t="s">
        <v>951</v>
      </c>
      <c r="C158" s="74" t="s">
        <v>320</v>
      </c>
      <c r="D158" s="71" t="s">
        <v>320</v>
      </c>
      <c r="E158" s="71"/>
      <c r="F158" s="71">
        <f>F160+F161+F175+F179+F180+F184+F214+F216+F218+F220</f>
        <v>3331</v>
      </c>
      <c r="G158" s="71">
        <f>G160+G161+G175+G179+G180+G184+G214+G216+G218+G220</f>
        <v>10817</v>
      </c>
      <c r="H158" s="71">
        <v>2018</v>
      </c>
      <c r="I158" s="71">
        <v>2020</v>
      </c>
      <c r="J158" s="657">
        <f t="shared" ref="J158:R158" si="46">J161+J175+J179+J184+J214+J216+J220</f>
        <v>3430.445</v>
      </c>
      <c r="K158" s="657">
        <f t="shared" si="46"/>
        <v>2023.82</v>
      </c>
      <c r="L158" s="657">
        <f t="shared" si="46"/>
        <v>1406.625</v>
      </c>
      <c r="M158" s="657">
        <f t="shared" si="46"/>
        <v>0</v>
      </c>
      <c r="N158" s="657">
        <f t="shared" si="46"/>
        <v>509.675</v>
      </c>
      <c r="O158" s="657">
        <f t="shared" si="46"/>
        <v>1401.82</v>
      </c>
      <c r="P158" s="657">
        <f t="shared" si="46"/>
        <v>568.95</v>
      </c>
      <c r="Q158" s="657">
        <f t="shared" si="46"/>
        <v>950</v>
      </c>
      <c r="R158" s="657">
        <f t="shared" si="46"/>
        <v>0</v>
      </c>
      <c r="S158" s="87"/>
      <c r="T158" s="87"/>
      <c r="U158" s="87"/>
      <c r="V158" s="132" t="s">
        <v>41</v>
      </c>
    </row>
    <row r="159" ht="20.1" customHeight="1" spans="1:22">
      <c r="A159" s="74"/>
      <c r="B159" s="633"/>
      <c r="C159" s="74"/>
      <c r="D159" s="71"/>
      <c r="E159" s="71"/>
      <c r="F159" s="71"/>
      <c r="G159" s="71"/>
      <c r="H159" s="71"/>
      <c r="I159" s="71"/>
      <c r="J159" s="657">
        <f t="shared" ref="J159:Q159" si="47">J160+J161+J175+J179+J180+J184+J214+J216+J218+J220</f>
        <v>3430.445</v>
      </c>
      <c r="K159" s="657">
        <f t="shared" si="47"/>
        <v>2023.82</v>
      </c>
      <c r="L159" s="657">
        <f t="shared" si="47"/>
        <v>1406.625</v>
      </c>
      <c r="M159" s="657">
        <f t="shared" si="47"/>
        <v>0</v>
      </c>
      <c r="N159" s="657">
        <f t="shared" si="47"/>
        <v>509.675</v>
      </c>
      <c r="O159" s="657">
        <f t="shared" si="47"/>
        <v>1401.82</v>
      </c>
      <c r="P159" s="657">
        <f t="shared" si="47"/>
        <v>568.95</v>
      </c>
      <c r="Q159" s="657">
        <f t="shared" si="47"/>
        <v>950</v>
      </c>
      <c r="R159" s="657"/>
      <c r="S159" s="87"/>
      <c r="T159" s="87"/>
      <c r="U159" s="87"/>
      <c r="V159" s="132"/>
    </row>
    <row r="160" ht="20.1" customHeight="1" spans="1:22">
      <c r="A160" s="74">
        <v>60</v>
      </c>
      <c r="B160" s="142" t="s">
        <v>1175</v>
      </c>
      <c r="C160" s="74" t="s">
        <v>320</v>
      </c>
      <c r="D160" s="71" t="s">
        <v>320</v>
      </c>
      <c r="E160" s="71" t="s">
        <v>320</v>
      </c>
      <c r="F160" s="71"/>
      <c r="G160" s="71"/>
      <c r="H160" s="71"/>
      <c r="I160" s="71"/>
      <c r="J160" s="71"/>
      <c r="K160" s="71"/>
      <c r="L160" s="71"/>
      <c r="M160" s="71"/>
      <c r="N160" s="71"/>
      <c r="O160" s="71"/>
      <c r="P160" s="71"/>
      <c r="Q160" s="71"/>
      <c r="R160" s="71"/>
      <c r="S160" s="74"/>
      <c r="T160" s="74"/>
      <c r="U160" s="74"/>
      <c r="V160" s="132" t="s">
        <v>41</v>
      </c>
    </row>
    <row r="161" ht="20.1" customHeight="1" spans="1:22">
      <c r="A161" s="74">
        <v>61</v>
      </c>
      <c r="B161" s="142" t="s">
        <v>462</v>
      </c>
      <c r="C161" s="74" t="s">
        <v>320</v>
      </c>
      <c r="D161" s="71" t="s">
        <v>192</v>
      </c>
      <c r="E161" s="71">
        <f>SUM(E162:E174)</f>
        <v>261.4</v>
      </c>
      <c r="F161" s="71">
        <f t="shared" ref="F161:Q161" si="48">F162</f>
        <v>256</v>
      </c>
      <c r="G161" s="71">
        <f t="shared" si="48"/>
        <v>900</v>
      </c>
      <c r="H161" s="71">
        <v>2018</v>
      </c>
      <c r="I161" s="71">
        <v>2019</v>
      </c>
      <c r="J161" s="71">
        <f>K161+L161+M161</f>
        <v>873</v>
      </c>
      <c r="K161" s="71">
        <f t="shared" si="48"/>
        <v>417</v>
      </c>
      <c r="L161" s="71">
        <f t="shared" si="48"/>
        <v>456</v>
      </c>
      <c r="M161" s="71">
        <f t="shared" si="48"/>
        <v>0</v>
      </c>
      <c r="N161" s="71">
        <f t="shared" si="48"/>
        <v>456</v>
      </c>
      <c r="O161" s="71">
        <f t="shared" si="48"/>
        <v>0</v>
      </c>
      <c r="P161" s="71">
        <f t="shared" si="48"/>
        <v>417</v>
      </c>
      <c r="Q161" s="71">
        <f t="shared" si="48"/>
        <v>0</v>
      </c>
      <c r="R161" s="71"/>
      <c r="S161" s="134"/>
      <c r="T161" s="134"/>
      <c r="U161" s="134" t="s">
        <v>320</v>
      </c>
      <c r="V161" s="132"/>
    </row>
    <row r="162" ht="36" spans="1:22">
      <c r="A162" s="74">
        <v>62</v>
      </c>
      <c r="B162" s="142" t="s">
        <v>464</v>
      </c>
      <c r="C162" s="74" t="s">
        <v>1124</v>
      </c>
      <c r="D162" s="71" t="s">
        <v>192</v>
      </c>
      <c r="E162" s="71">
        <f t="shared" ref="E162:G162" si="49">SUM(E163:E174)</f>
        <v>130.7</v>
      </c>
      <c r="F162" s="71">
        <f t="shared" si="49"/>
        <v>256</v>
      </c>
      <c r="G162" s="71">
        <f t="shared" si="49"/>
        <v>900</v>
      </c>
      <c r="H162" s="71">
        <v>2018</v>
      </c>
      <c r="I162" s="71">
        <v>2019</v>
      </c>
      <c r="J162" s="71">
        <f>K162+L162+M162</f>
        <v>873</v>
      </c>
      <c r="K162" s="71">
        <f t="shared" ref="K162:P162" si="50">SUM(K163:K174)</f>
        <v>417</v>
      </c>
      <c r="L162" s="71">
        <f t="shared" si="50"/>
        <v>456</v>
      </c>
      <c r="M162" s="71"/>
      <c r="N162" s="71">
        <f t="shared" ref="N162:N168" si="51">J162-P162</f>
        <v>456</v>
      </c>
      <c r="O162" s="71"/>
      <c r="P162" s="71">
        <f t="shared" si="50"/>
        <v>417</v>
      </c>
      <c r="Q162" s="71"/>
      <c r="R162" s="71"/>
      <c r="S162" s="134" t="s">
        <v>1096</v>
      </c>
      <c r="T162" s="134" t="s">
        <v>1176</v>
      </c>
      <c r="U162" s="134" t="s">
        <v>271</v>
      </c>
      <c r="V162" s="132"/>
    </row>
    <row r="163" ht="24" spans="1:22">
      <c r="A163" s="74"/>
      <c r="B163" s="142" t="s">
        <v>1177</v>
      </c>
      <c r="C163" s="74" t="s">
        <v>1178</v>
      </c>
      <c r="D163" s="71" t="s">
        <v>192</v>
      </c>
      <c r="E163" s="71">
        <v>16.1</v>
      </c>
      <c r="F163" s="71">
        <v>25</v>
      </c>
      <c r="G163" s="71">
        <v>88</v>
      </c>
      <c r="H163" s="71">
        <v>2018</v>
      </c>
      <c r="I163" s="71">
        <v>2018</v>
      </c>
      <c r="J163" s="71">
        <v>77</v>
      </c>
      <c r="K163" s="71">
        <v>77</v>
      </c>
      <c r="L163" s="651"/>
      <c r="M163" s="71"/>
      <c r="N163" s="71">
        <f t="shared" si="51"/>
        <v>0</v>
      </c>
      <c r="O163" s="71"/>
      <c r="P163" s="71">
        <v>77</v>
      </c>
      <c r="Q163" s="71"/>
      <c r="R163" s="71"/>
      <c r="S163" s="134" t="s">
        <v>1096</v>
      </c>
      <c r="T163" s="134" t="s">
        <v>1176</v>
      </c>
      <c r="U163" s="134" t="s">
        <v>271</v>
      </c>
      <c r="V163" s="132"/>
    </row>
    <row r="164" ht="24" spans="1:22">
      <c r="A164" s="74"/>
      <c r="B164" s="142" t="s">
        <v>1177</v>
      </c>
      <c r="C164" s="74" t="s">
        <v>1178</v>
      </c>
      <c r="D164" s="71" t="s">
        <v>192</v>
      </c>
      <c r="E164" s="71">
        <v>28</v>
      </c>
      <c r="F164" s="71">
        <v>21</v>
      </c>
      <c r="G164" s="71">
        <v>74</v>
      </c>
      <c r="H164" s="71">
        <v>2018</v>
      </c>
      <c r="I164" s="71">
        <v>2018</v>
      </c>
      <c r="J164" s="71">
        <v>135</v>
      </c>
      <c r="K164" s="71">
        <v>135</v>
      </c>
      <c r="L164" s="651"/>
      <c r="M164" s="71"/>
      <c r="N164" s="71">
        <f t="shared" si="51"/>
        <v>0</v>
      </c>
      <c r="O164" s="71"/>
      <c r="P164" s="71">
        <v>135</v>
      </c>
      <c r="Q164" s="71"/>
      <c r="R164" s="71"/>
      <c r="S164" s="134" t="s">
        <v>1096</v>
      </c>
      <c r="T164" s="134" t="s">
        <v>1176</v>
      </c>
      <c r="U164" s="134" t="s">
        <v>271</v>
      </c>
      <c r="V164" s="132"/>
    </row>
    <row r="165" ht="24" spans="1:22">
      <c r="A165" s="74"/>
      <c r="B165" s="142" t="s">
        <v>1179</v>
      </c>
      <c r="C165" s="74" t="s">
        <v>1178</v>
      </c>
      <c r="D165" s="71" t="s">
        <v>192</v>
      </c>
      <c r="E165" s="71">
        <v>13.6</v>
      </c>
      <c r="F165" s="71">
        <v>23</v>
      </c>
      <c r="G165" s="71">
        <v>81</v>
      </c>
      <c r="H165" s="71">
        <v>2018</v>
      </c>
      <c r="I165" s="71">
        <v>2018</v>
      </c>
      <c r="J165" s="71">
        <v>91</v>
      </c>
      <c r="K165" s="71">
        <v>91</v>
      </c>
      <c r="L165" s="651"/>
      <c r="M165" s="71"/>
      <c r="N165" s="71">
        <f t="shared" si="51"/>
        <v>0</v>
      </c>
      <c r="O165" s="71"/>
      <c r="P165" s="71">
        <v>91</v>
      </c>
      <c r="Q165" s="71"/>
      <c r="R165" s="71"/>
      <c r="S165" s="134" t="s">
        <v>1096</v>
      </c>
      <c r="T165" s="134" t="s">
        <v>1176</v>
      </c>
      <c r="U165" s="134" t="s">
        <v>271</v>
      </c>
      <c r="V165" s="132"/>
    </row>
    <row r="166" ht="24" spans="1:22">
      <c r="A166" s="74"/>
      <c r="B166" s="142" t="s">
        <v>1180</v>
      </c>
      <c r="C166" s="74" t="s">
        <v>1178</v>
      </c>
      <c r="D166" s="71" t="s">
        <v>192</v>
      </c>
      <c r="E166" s="71">
        <v>7</v>
      </c>
      <c r="F166" s="71">
        <v>19</v>
      </c>
      <c r="G166" s="71">
        <v>67</v>
      </c>
      <c r="H166" s="71">
        <v>2018</v>
      </c>
      <c r="I166" s="71">
        <v>2018</v>
      </c>
      <c r="J166" s="71">
        <v>47</v>
      </c>
      <c r="K166" s="71">
        <v>47</v>
      </c>
      <c r="L166" s="651"/>
      <c r="M166" s="71"/>
      <c r="N166" s="71">
        <f t="shared" si="51"/>
        <v>0</v>
      </c>
      <c r="O166" s="71"/>
      <c r="P166" s="71">
        <v>47</v>
      </c>
      <c r="Q166" s="71"/>
      <c r="R166" s="71"/>
      <c r="S166" s="134" t="s">
        <v>1096</v>
      </c>
      <c r="T166" s="134" t="s">
        <v>1176</v>
      </c>
      <c r="U166" s="134" t="s">
        <v>271</v>
      </c>
      <c r="V166" s="132"/>
    </row>
    <row r="167" ht="24" spans="1:22">
      <c r="A167" s="74"/>
      <c r="B167" s="142" t="s">
        <v>1181</v>
      </c>
      <c r="C167" s="74" t="s">
        <v>1178</v>
      </c>
      <c r="D167" s="71" t="s">
        <v>192</v>
      </c>
      <c r="E167" s="71">
        <v>8</v>
      </c>
      <c r="F167" s="71">
        <v>20</v>
      </c>
      <c r="G167" s="71">
        <v>70</v>
      </c>
      <c r="H167" s="71">
        <v>2018</v>
      </c>
      <c r="I167" s="71">
        <v>2018</v>
      </c>
      <c r="J167" s="71">
        <v>54</v>
      </c>
      <c r="K167" s="71">
        <v>54</v>
      </c>
      <c r="L167" s="651"/>
      <c r="M167" s="71"/>
      <c r="N167" s="71">
        <f t="shared" si="51"/>
        <v>0</v>
      </c>
      <c r="O167" s="71"/>
      <c r="P167" s="71">
        <v>54</v>
      </c>
      <c r="Q167" s="71"/>
      <c r="R167" s="71"/>
      <c r="S167" s="134" t="s">
        <v>1096</v>
      </c>
      <c r="T167" s="134" t="s">
        <v>1176</v>
      </c>
      <c r="U167" s="134" t="s">
        <v>271</v>
      </c>
      <c r="V167" s="132"/>
    </row>
    <row r="168" ht="24" spans="1:22">
      <c r="A168" s="74"/>
      <c r="B168" s="142" t="s">
        <v>1182</v>
      </c>
      <c r="C168" s="74" t="s">
        <v>1178</v>
      </c>
      <c r="D168" s="71" t="s">
        <v>192</v>
      </c>
      <c r="E168" s="71">
        <v>2</v>
      </c>
      <c r="F168" s="71">
        <v>23</v>
      </c>
      <c r="G168" s="71">
        <v>81</v>
      </c>
      <c r="H168" s="71">
        <v>2018</v>
      </c>
      <c r="I168" s="71">
        <v>2018</v>
      </c>
      <c r="J168" s="71">
        <v>13</v>
      </c>
      <c r="K168" s="71">
        <v>13</v>
      </c>
      <c r="L168" s="651"/>
      <c r="M168" s="71"/>
      <c r="N168" s="71">
        <f t="shared" si="51"/>
        <v>0</v>
      </c>
      <c r="O168" s="71"/>
      <c r="P168" s="71">
        <v>13</v>
      </c>
      <c r="Q168" s="71"/>
      <c r="R168" s="71"/>
      <c r="S168" s="134" t="s">
        <v>1096</v>
      </c>
      <c r="T168" s="134" t="s">
        <v>1176</v>
      </c>
      <c r="U168" s="134" t="s">
        <v>271</v>
      </c>
      <c r="V168" s="132"/>
    </row>
    <row r="169" ht="24" spans="1:22">
      <c r="A169" s="74"/>
      <c r="B169" s="142" t="s">
        <v>1183</v>
      </c>
      <c r="C169" s="74" t="s">
        <v>1178</v>
      </c>
      <c r="D169" s="71" t="s">
        <v>192</v>
      </c>
      <c r="E169" s="71">
        <v>7.9</v>
      </c>
      <c r="F169" s="71">
        <v>26</v>
      </c>
      <c r="G169" s="71">
        <v>91</v>
      </c>
      <c r="H169" s="71">
        <v>2019</v>
      </c>
      <c r="I169" s="71">
        <v>2019</v>
      </c>
      <c r="J169" s="71">
        <f>K169+L169+M169</f>
        <v>60</v>
      </c>
      <c r="K169" s="71"/>
      <c r="L169" s="651">
        <v>60</v>
      </c>
      <c r="M169" s="71"/>
      <c r="N169" s="71"/>
      <c r="O169" s="71">
        <f>J169</f>
        <v>60</v>
      </c>
      <c r="P169" s="71"/>
      <c r="Q169" s="71"/>
      <c r="R169" s="71"/>
      <c r="S169" s="134" t="s">
        <v>1096</v>
      </c>
      <c r="T169" s="134" t="s">
        <v>1176</v>
      </c>
      <c r="U169" s="134" t="s">
        <v>271</v>
      </c>
      <c r="V169" s="132"/>
    </row>
    <row r="170" ht="24" spans="1:22">
      <c r="A170" s="74"/>
      <c r="B170" s="142" t="s">
        <v>1184</v>
      </c>
      <c r="C170" s="74" t="s">
        <v>1178</v>
      </c>
      <c r="D170" s="71" t="s">
        <v>192</v>
      </c>
      <c r="E170" s="71">
        <v>12</v>
      </c>
      <c r="F170" s="71">
        <v>28</v>
      </c>
      <c r="G170" s="71">
        <v>98</v>
      </c>
      <c r="H170" s="71">
        <v>2019</v>
      </c>
      <c r="I170" s="71">
        <v>2019</v>
      </c>
      <c r="J170" s="71">
        <f>K170+L170+M170</f>
        <v>96</v>
      </c>
      <c r="K170" s="71"/>
      <c r="L170" s="651">
        <v>96</v>
      </c>
      <c r="M170" s="71"/>
      <c r="N170" s="71"/>
      <c r="O170" s="71">
        <f>J170</f>
        <v>96</v>
      </c>
      <c r="P170" s="71"/>
      <c r="Q170" s="71"/>
      <c r="R170" s="71"/>
      <c r="S170" s="134" t="s">
        <v>1096</v>
      </c>
      <c r="T170" s="134" t="s">
        <v>1176</v>
      </c>
      <c r="U170" s="134" t="s">
        <v>271</v>
      </c>
      <c r="V170" s="132"/>
    </row>
    <row r="171" ht="24" spans="1:22">
      <c r="A171" s="74"/>
      <c r="B171" s="142" t="s">
        <v>1185</v>
      </c>
      <c r="C171" s="74" t="s">
        <v>1178</v>
      </c>
      <c r="D171" s="71" t="s">
        <v>192</v>
      </c>
      <c r="E171" s="71">
        <v>17.5</v>
      </c>
      <c r="F171" s="71">
        <v>27</v>
      </c>
      <c r="G171" s="71">
        <v>95</v>
      </c>
      <c r="H171" s="71">
        <v>2019</v>
      </c>
      <c r="I171" s="71">
        <v>2019</v>
      </c>
      <c r="J171" s="71">
        <f>K171+L171+M171</f>
        <v>140</v>
      </c>
      <c r="K171" s="71"/>
      <c r="L171" s="651">
        <v>140</v>
      </c>
      <c r="M171" s="71"/>
      <c r="N171" s="71"/>
      <c r="O171" s="71">
        <f>J171</f>
        <v>140</v>
      </c>
      <c r="P171" s="71"/>
      <c r="Q171" s="71"/>
      <c r="R171" s="71"/>
      <c r="S171" s="134" t="s">
        <v>1096</v>
      </c>
      <c r="T171" s="134" t="s">
        <v>1176</v>
      </c>
      <c r="U171" s="134" t="s">
        <v>271</v>
      </c>
      <c r="V171" s="132"/>
    </row>
    <row r="172" ht="24" spans="1:22">
      <c r="A172" s="74"/>
      <c r="B172" s="142" t="s">
        <v>1186</v>
      </c>
      <c r="C172" s="74" t="s">
        <v>1178</v>
      </c>
      <c r="D172" s="71" t="s">
        <v>192</v>
      </c>
      <c r="E172" s="71">
        <v>4.1</v>
      </c>
      <c r="F172" s="71">
        <v>21</v>
      </c>
      <c r="G172" s="71">
        <v>74</v>
      </c>
      <c r="H172" s="71">
        <v>2019</v>
      </c>
      <c r="I172" s="71">
        <v>2019</v>
      </c>
      <c r="J172" s="71">
        <f>K172+L172+M172</f>
        <v>44</v>
      </c>
      <c r="K172" s="71"/>
      <c r="L172" s="651">
        <v>44</v>
      </c>
      <c r="M172" s="71"/>
      <c r="N172" s="71"/>
      <c r="O172" s="71">
        <f>J172</f>
        <v>44</v>
      </c>
      <c r="P172" s="71"/>
      <c r="Q172" s="71"/>
      <c r="R172" s="71"/>
      <c r="S172" s="134" t="s">
        <v>1096</v>
      </c>
      <c r="T172" s="134" t="s">
        <v>1176</v>
      </c>
      <c r="U172" s="134" t="s">
        <v>271</v>
      </c>
      <c r="V172" s="132"/>
    </row>
    <row r="173" ht="24" spans="1:22">
      <c r="A173" s="74"/>
      <c r="B173" s="142" t="s">
        <v>1187</v>
      </c>
      <c r="C173" s="74" t="s">
        <v>1178</v>
      </c>
      <c r="D173" s="71" t="s">
        <v>192</v>
      </c>
      <c r="E173" s="71">
        <v>14.5</v>
      </c>
      <c r="F173" s="71">
        <v>23</v>
      </c>
      <c r="G173" s="71">
        <v>81</v>
      </c>
      <c r="H173" s="71">
        <v>2019</v>
      </c>
      <c r="I173" s="71">
        <v>2019</v>
      </c>
      <c r="J173" s="71">
        <f>K173+L173+M173</f>
        <v>116</v>
      </c>
      <c r="K173" s="71"/>
      <c r="L173" s="651">
        <v>116</v>
      </c>
      <c r="M173" s="71"/>
      <c r="N173" s="71"/>
      <c r="O173" s="71">
        <f>J173</f>
        <v>116</v>
      </c>
      <c r="P173" s="71"/>
      <c r="Q173" s="71"/>
      <c r="R173" s="71"/>
      <c r="S173" s="134" t="s">
        <v>1096</v>
      </c>
      <c r="T173" s="134" t="s">
        <v>1176</v>
      </c>
      <c r="U173" s="134" t="s">
        <v>271</v>
      </c>
      <c r="V173" s="132"/>
    </row>
    <row r="174" ht="20.1" customHeight="1" spans="1:22">
      <c r="A174" s="74"/>
      <c r="B174" s="142"/>
      <c r="C174" s="74"/>
      <c r="D174" s="71"/>
      <c r="E174" s="71"/>
      <c r="F174" s="71"/>
      <c r="G174" s="71"/>
      <c r="H174" s="71"/>
      <c r="I174" s="71"/>
      <c r="J174" s="71"/>
      <c r="K174" s="71"/>
      <c r="L174" s="651"/>
      <c r="M174" s="71"/>
      <c r="N174" s="71"/>
      <c r="O174" s="71"/>
      <c r="P174" s="71"/>
      <c r="Q174" s="71"/>
      <c r="R174" s="71"/>
      <c r="S174" s="134"/>
      <c r="T174" s="134"/>
      <c r="U174" s="134"/>
      <c r="V174" s="132"/>
    </row>
    <row r="175" ht="24" spans="1:22">
      <c r="A175" s="74">
        <v>64</v>
      </c>
      <c r="B175" s="142" t="s">
        <v>495</v>
      </c>
      <c r="C175" s="74" t="s">
        <v>1124</v>
      </c>
      <c r="D175" s="71" t="s">
        <v>496</v>
      </c>
      <c r="E175" s="71">
        <v>3</v>
      </c>
      <c r="F175" s="71">
        <f>F176+F177+F178+F179</f>
        <v>134</v>
      </c>
      <c r="G175" s="71">
        <f>G176+G177+G178+G179</f>
        <v>378</v>
      </c>
      <c r="H175" s="71">
        <v>2018</v>
      </c>
      <c r="I175" s="71">
        <v>2019</v>
      </c>
      <c r="J175" s="71">
        <f>SUM(J176:J178)</f>
        <v>119.95</v>
      </c>
      <c r="K175" s="71">
        <f>SUM(K176:K178)</f>
        <v>119.95</v>
      </c>
      <c r="L175" s="71"/>
      <c r="M175" s="71"/>
      <c r="N175" s="71"/>
      <c r="O175" s="71"/>
      <c r="P175" s="71">
        <v>119.95</v>
      </c>
      <c r="Q175" s="71"/>
      <c r="R175" s="71"/>
      <c r="S175" s="134" t="s">
        <v>1098</v>
      </c>
      <c r="T175" s="134" t="s">
        <v>1099</v>
      </c>
      <c r="U175" s="134" t="s">
        <v>497</v>
      </c>
      <c r="V175" s="132" t="s">
        <v>41</v>
      </c>
    </row>
    <row r="176" ht="24" spans="1:22">
      <c r="A176" s="74"/>
      <c r="B176" s="656" t="s">
        <v>1188</v>
      </c>
      <c r="C176" s="74" t="s">
        <v>1124</v>
      </c>
      <c r="D176" s="71" t="s">
        <v>496</v>
      </c>
      <c r="E176" s="71">
        <v>1</v>
      </c>
      <c r="F176" s="71">
        <v>5</v>
      </c>
      <c r="G176" s="71">
        <v>14</v>
      </c>
      <c r="H176" s="71">
        <v>2018</v>
      </c>
      <c r="I176" s="71">
        <v>2018</v>
      </c>
      <c r="J176" s="71">
        <f t="shared" ref="J176:J178" si="52">K176+L176+M176</f>
        <v>36.89</v>
      </c>
      <c r="K176" s="71">
        <v>36.89</v>
      </c>
      <c r="L176" s="71"/>
      <c r="M176" s="71"/>
      <c r="N176" s="71"/>
      <c r="O176" s="71"/>
      <c r="P176" s="71">
        <v>36.89</v>
      </c>
      <c r="Q176" s="71"/>
      <c r="R176" s="71"/>
      <c r="S176" s="134" t="s">
        <v>1098</v>
      </c>
      <c r="T176" s="134" t="s">
        <v>1099</v>
      </c>
      <c r="U176" s="134" t="s">
        <v>497</v>
      </c>
      <c r="V176" s="132" t="s">
        <v>41</v>
      </c>
    </row>
    <row r="177" ht="24" spans="1:22">
      <c r="A177" s="74"/>
      <c r="B177" s="656" t="s">
        <v>1189</v>
      </c>
      <c r="C177" s="74" t="s">
        <v>1124</v>
      </c>
      <c r="D177" s="71" t="s">
        <v>496</v>
      </c>
      <c r="E177" s="71">
        <v>1</v>
      </c>
      <c r="F177" s="71">
        <v>7</v>
      </c>
      <c r="G177" s="71">
        <v>26</v>
      </c>
      <c r="H177" s="71">
        <v>2018</v>
      </c>
      <c r="I177" s="71">
        <v>2018</v>
      </c>
      <c r="J177" s="71">
        <f t="shared" si="52"/>
        <v>37.6</v>
      </c>
      <c r="K177" s="71">
        <v>37.6</v>
      </c>
      <c r="L177" s="71"/>
      <c r="M177" s="71"/>
      <c r="N177" s="71"/>
      <c r="O177" s="71"/>
      <c r="P177" s="71">
        <v>37.6</v>
      </c>
      <c r="Q177" s="71"/>
      <c r="R177" s="71"/>
      <c r="S177" s="134" t="s">
        <v>1098</v>
      </c>
      <c r="T177" s="134" t="s">
        <v>1099</v>
      </c>
      <c r="U177" s="134" t="s">
        <v>497</v>
      </c>
      <c r="V177" s="132" t="s">
        <v>41</v>
      </c>
    </row>
    <row r="178" ht="24" spans="1:22">
      <c r="A178" s="74"/>
      <c r="B178" s="656" t="s">
        <v>1190</v>
      </c>
      <c r="C178" s="74" t="s">
        <v>1124</v>
      </c>
      <c r="D178" s="71" t="s">
        <v>496</v>
      </c>
      <c r="E178" s="71">
        <v>1</v>
      </c>
      <c r="F178" s="71">
        <v>17</v>
      </c>
      <c r="G178" s="71">
        <v>55</v>
      </c>
      <c r="H178" s="71">
        <v>2018</v>
      </c>
      <c r="I178" s="71">
        <v>2019</v>
      </c>
      <c r="J178" s="71">
        <f t="shared" si="52"/>
        <v>45.46</v>
      </c>
      <c r="K178" s="71">
        <v>45.46</v>
      </c>
      <c r="L178" s="71"/>
      <c r="M178" s="71"/>
      <c r="N178" s="71"/>
      <c r="O178" s="71"/>
      <c r="P178" s="71">
        <v>45.46</v>
      </c>
      <c r="Q178" s="71"/>
      <c r="R178" s="71"/>
      <c r="S178" s="134" t="s">
        <v>1098</v>
      </c>
      <c r="T178" s="134" t="s">
        <v>1099</v>
      </c>
      <c r="U178" s="134" t="s">
        <v>497</v>
      </c>
      <c r="V178" s="132" t="s">
        <v>41</v>
      </c>
    </row>
    <row r="179" ht="24" spans="1:22">
      <c r="A179" s="74">
        <v>65</v>
      </c>
      <c r="B179" s="142" t="s">
        <v>499</v>
      </c>
      <c r="C179" s="74" t="s">
        <v>1124</v>
      </c>
      <c r="D179" s="71" t="s">
        <v>384</v>
      </c>
      <c r="E179" s="71">
        <v>105</v>
      </c>
      <c r="F179" s="71">
        <v>105</v>
      </c>
      <c r="G179" s="71">
        <v>283</v>
      </c>
      <c r="H179" s="71">
        <v>2018</v>
      </c>
      <c r="I179" s="71">
        <v>2019</v>
      </c>
      <c r="J179" s="71">
        <v>3.675</v>
      </c>
      <c r="K179" s="71">
        <v>1.26</v>
      </c>
      <c r="L179" s="71">
        <v>2.415</v>
      </c>
      <c r="M179" s="71"/>
      <c r="N179" s="71">
        <v>3.675</v>
      </c>
      <c r="O179" s="71"/>
      <c r="P179" s="71"/>
      <c r="Q179" s="71"/>
      <c r="R179" s="71"/>
      <c r="S179" s="134" t="s">
        <v>1077</v>
      </c>
      <c r="T179" s="134" t="s">
        <v>1191</v>
      </c>
      <c r="U179" s="134" t="s">
        <v>500</v>
      </c>
      <c r="V179" s="132" t="s">
        <v>1079</v>
      </c>
    </row>
    <row r="180" ht="20.1" customHeight="1" spans="1:22">
      <c r="A180" s="74">
        <v>66</v>
      </c>
      <c r="B180" s="142" t="s">
        <v>501</v>
      </c>
      <c r="C180" s="74" t="s">
        <v>320</v>
      </c>
      <c r="D180" s="71" t="s">
        <v>320</v>
      </c>
      <c r="E180" s="71"/>
      <c r="F180" s="71"/>
      <c r="G180" s="71"/>
      <c r="H180" s="71"/>
      <c r="I180" s="71"/>
      <c r="J180" s="71"/>
      <c r="K180" s="71"/>
      <c r="L180" s="71"/>
      <c r="M180" s="71"/>
      <c r="N180" s="71"/>
      <c r="O180" s="71"/>
      <c r="P180" s="71"/>
      <c r="Q180" s="71"/>
      <c r="R180" s="71"/>
      <c r="S180" s="134"/>
      <c r="T180" s="134"/>
      <c r="U180" s="74" t="s">
        <v>320</v>
      </c>
      <c r="V180" s="132" t="s">
        <v>41</v>
      </c>
    </row>
    <row r="181" ht="24" spans="1:22">
      <c r="A181" s="74">
        <v>67</v>
      </c>
      <c r="B181" s="142" t="s">
        <v>502</v>
      </c>
      <c r="C181" s="74" t="s">
        <v>1124</v>
      </c>
      <c r="D181" s="71" t="s">
        <v>496</v>
      </c>
      <c r="E181" s="71"/>
      <c r="F181" s="71"/>
      <c r="G181" s="71"/>
      <c r="H181" s="71"/>
      <c r="I181" s="71"/>
      <c r="J181" s="71"/>
      <c r="K181" s="71"/>
      <c r="L181" s="71"/>
      <c r="M181" s="71"/>
      <c r="N181" s="71"/>
      <c r="O181" s="71"/>
      <c r="P181" s="71"/>
      <c r="Q181" s="71"/>
      <c r="R181" s="71"/>
      <c r="S181" s="134"/>
      <c r="T181" s="134"/>
      <c r="U181" s="134" t="s">
        <v>497</v>
      </c>
      <c r="V181" s="132" t="s">
        <v>41</v>
      </c>
    </row>
    <row r="182" ht="24" spans="1:22">
      <c r="A182" s="74">
        <v>68</v>
      </c>
      <c r="B182" s="142" t="s">
        <v>503</v>
      </c>
      <c r="C182" s="74" t="s">
        <v>1124</v>
      </c>
      <c r="D182" s="71" t="s">
        <v>496</v>
      </c>
      <c r="E182" s="71"/>
      <c r="F182" s="71"/>
      <c r="G182" s="71"/>
      <c r="H182" s="71"/>
      <c r="I182" s="71"/>
      <c r="J182" s="71"/>
      <c r="K182" s="71"/>
      <c r="L182" s="71"/>
      <c r="M182" s="71"/>
      <c r="N182" s="71"/>
      <c r="O182" s="71"/>
      <c r="P182" s="71"/>
      <c r="Q182" s="71"/>
      <c r="R182" s="71"/>
      <c r="S182" s="134"/>
      <c r="T182" s="134"/>
      <c r="U182" s="134" t="s">
        <v>497</v>
      </c>
      <c r="V182" s="132" t="s">
        <v>41</v>
      </c>
    </row>
    <row r="183" ht="24" spans="1:22">
      <c r="A183" s="74">
        <v>69</v>
      </c>
      <c r="B183" s="142" t="s">
        <v>504</v>
      </c>
      <c r="C183" s="74" t="s">
        <v>1124</v>
      </c>
      <c r="D183" s="71" t="s">
        <v>496</v>
      </c>
      <c r="E183" s="71"/>
      <c r="F183" s="71"/>
      <c r="G183" s="71"/>
      <c r="H183" s="71"/>
      <c r="I183" s="71"/>
      <c r="J183" s="71"/>
      <c r="K183" s="71"/>
      <c r="L183" s="71"/>
      <c r="M183" s="71"/>
      <c r="N183" s="71"/>
      <c r="O183" s="71"/>
      <c r="P183" s="71"/>
      <c r="Q183" s="71"/>
      <c r="R183" s="71"/>
      <c r="S183" s="134"/>
      <c r="T183" s="134"/>
      <c r="U183" s="134" t="s">
        <v>497</v>
      </c>
      <c r="V183" s="132" t="s">
        <v>41</v>
      </c>
    </row>
    <row r="184" ht="24" spans="1:22">
      <c r="A184" s="74">
        <v>70</v>
      </c>
      <c r="B184" s="74" t="s">
        <v>505</v>
      </c>
      <c r="C184" s="74" t="s">
        <v>1124</v>
      </c>
      <c r="D184" s="71" t="s">
        <v>147</v>
      </c>
      <c r="E184" s="71">
        <f t="shared" ref="E184:G184" si="53">SUM(E185:E213)</f>
        <v>9974</v>
      </c>
      <c r="F184" s="71">
        <f t="shared" si="53"/>
        <v>439</v>
      </c>
      <c r="G184" s="71">
        <f t="shared" si="53"/>
        <v>1547</v>
      </c>
      <c r="H184" s="71">
        <v>2018</v>
      </c>
      <c r="I184" s="71">
        <v>2019</v>
      </c>
      <c r="J184" s="71">
        <f t="shared" ref="J184:L184" si="54">SUM(J185:J213)</f>
        <v>1349.82</v>
      </c>
      <c r="K184" s="71">
        <f t="shared" si="54"/>
        <v>443.61</v>
      </c>
      <c r="L184" s="71">
        <f t="shared" si="54"/>
        <v>906.21</v>
      </c>
      <c r="M184" s="71"/>
      <c r="N184" s="71">
        <f>SUM(N185:N213)</f>
        <v>50</v>
      </c>
      <c r="O184" s="71">
        <f>SUM(O185:O213)</f>
        <v>1299.82</v>
      </c>
      <c r="P184" s="71"/>
      <c r="Q184" s="71"/>
      <c r="R184" s="71"/>
      <c r="S184" s="134" t="s">
        <v>1098</v>
      </c>
      <c r="T184" s="134" t="s">
        <v>1100</v>
      </c>
      <c r="U184" s="134" t="s">
        <v>275</v>
      </c>
      <c r="V184" s="132" t="s">
        <v>41</v>
      </c>
    </row>
    <row r="185" ht="24" spans="1:22">
      <c r="A185" s="74"/>
      <c r="B185" s="74" t="s">
        <v>1192</v>
      </c>
      <c r="C185" s="71" t="s">
        <v>52</v>
      </c>
      <c r="D185" s="71" t="s">
        <v>147</v>
      </c>
      <c r="E185" s="404">
        <v>159</v>
      </c>
      <c r="F185" s="147">
        <v>6</v>
      </c>
      <c r="G185" s="147">
        <v>28</v>
      </c>
      <c r="H185" s="147">
        <v>2019</v>
      </c>
      <c r="I185" s="147">
        <v>2019</v>
      </c>
      <c r="J185" s="123">
        <v>54.15</v>
      </c>
      <c r="K185" s="123">
        <v>54.15</v>
      </c>
      <c r="L185" s="71"/>
      <c r="M185" s="71"/>
      <c r="N185" s="71"/>
      <c r="O185" s="71">
        <v>54.15</v>
      </c>
      <c r="P185" s="71"/>
      <c r="Q185" s="71"/>
      <c r="R185" s="71"/>
      <c r="S185" s="134" t="s">
        <v>1098</v>
      </c>
      <c r="T185" s="134" t="s">
        <v>1100</v>
      </c>
      <c r="U185" s="134" t="s">
        <v>275</v>
      </c>
      <c r="V185" s="132" t="s">
        <v>1073</v>
      </c>
    </row>
    <row r="186" ht="24" spans="1:22">
      <c r="A186" s="74"/>
      <c r="B186" s="74" t="s">
        <v>1193</v>
      </c>
      <c r="C186" s="71" t="s">
        <v>52</v>
      </c>
      <c r="D186" s="71" t="s">
        <v>147</v>
      </c>
      <c r="E186" s="404">
        <v>165</v>
      </c>
      <c r="F186" s="147">
        <v>7</v>
      </c>
      <c r="G186" s="147">
        <v>28</v>
      </c>
      <c r="H186" s="147">
        <v>2019</v>
      </c>
      <c r="I186" s="147">
        <v>2019</v>
      </c>
      <c r="J186" s="123">
        <v>23.07</v>
      </c>
      <c r="K186" s="123">
        <v>23.07</v>
      </c>
      <c r="L186" s="381"/>
      <c r="M186" s="381"/>
      <c r="N186" s="381"/>
      <c r="O186" s="381">
        <v>23.07</v>
      </c>
      <c r="P186" s="381"/>
      <c r="Q186" s="381"/>
      <c r="R186" s="381"/>
      <c r="S186" s="142" t="s">
        <v>1098</v>
      </c>
      <c r="T186" s="142" t="s">
        <v>1100</v>
      </c>
      <c r="U186" s="142" t="s">
        <v>275</v>
      </c>
      <c r="V186" s="142" t="s">
        <v>1073</v>
      </c>
    </row>
    <row r="187" ht="24" spans="1:22">
      <c r="A187" s="74"/>
      <c r="B187" s="74" t="s">
        <v>1194</v>
      </c>
      <c r="C187" s="71" t="s">
        <v>52</v>
      </c>
      <c r="D187" s="71" t="s">
        <v>147</v>
      </c>
      <c r="E187" s="404">
        <v>284</v>
      </c>
      <c r="F187" s="147">
        <v>9</v>
      </c>
      <c r="G187" s="147">
        <v>27</v>
      </c>
      <c r="H187" s="147">
        <v>2019</v>
      </c>
      <c r="I187" s="147">
        <v>2019</v>
      </c>
      <c r="J187" s="123">
        <v>14.68</v>
      </c>
      <c r="K187" s="123">
        <v>14.68</v>
      </c>
      <c r="L187" s="381"/>
      <c r="M187" s="381"/>
      <c r="N187" s="381"/>
      <c r="O187" s="381">
        <v>14.68</v>
      </c>
      <c r="P187" s="381"/>
      <c r="Q187" s="381"/>
      <c r="R187" s="381"/>
      <c r="S187" s="142" t="s">
        <v>1098</v>
      </c>
      <c r="T187" s="142" t="s">
        <v>1100</v>
      </c>
      <c r="U187" s="142" t="s">
        <v>275</v>
      </c>
      <c r="V187" s="142" t="s">
        <v>1073</v>
      </c>
    </row>
    <row r="188" ht="24" spans="1:22">
      <c r="A188" s="74"/>
      <c r="B188" s="74" t="s">
        <v>1195</v>
      </c>
      <c r="C188" s="71" t="s">
        <v>52</v>
      </c>
      <c r="D188" s="71" t="s">
        <v>147</v>
      </c>
      <c r="E188" s="404">
        <v>274</v>
      </c>
      <c r="F188" s="147">
        <v>15</v>
      </c>
      <c r="G188" s="147">
        <v>62</v>
      </c>
      <c r="H188" s="147">
        <v>2019</v>
      </c>
      <c r="I188" s="147">
        <v>2019</v>
      </c>
      <c r="J188" s="123">
        <v>34.94</v>
      </c>
      <c r="K188" s="123">
        <v>34.94</v>
      </c>
      <c r="L188" s="381"/>
      <c r="M188" s="381"/>
      <c r="N188" s="381"/>
      <c r="O188" s="381">
        <v>34.94</v>
      </c>
      <c r="P188" s="381"/>
      <c r="Q188" s="381"/>
      <c r="R188" s="381"/>
      <c r="S188" s="142" t="s">
        <v>1098</v>
      </c>
      <c r="T188" s="142" t="s">
        <v>1100</v>
      </c>
      <c r="U188" s="142" t="s">
        <v>275</v>
      </c>
      <c r="V188" s="142" t="s">
        <v>1073</v>
      </c>
    </row>
    <row r="189" ht="24" spans="1:22">
      <c r="A189" s="74"/>
      <c r="B189" s="74" t="s">
        <v>1196</v>
      </c>
      <c r="C189" s="71" t="s">
        <v>52</v>
      </c>
      <c r="D189" s="71" t="s">
        <v>147</v>
      </c>
      <c r="E189" s="404">
        <v>296</v>
      </c>
      <c r="F189" s="147">
        <v>22</v>
      </c>
      <c r="G189" s="147">
        <v>88</v>
      </c>
      <c r="H189" s="147">
        <v>2018</v>
      </c>
      <c r="I189" s="147">
        <v>2018</v>
      </c>
      <c r="J189" s="123">
        <v>17.22</v>
      </c>
      <c r="K189" s="123">
        <v>17.22</v>
      </c>
      <c r="L189" s="381"/>
      <c r="M189" s="381"/>
      <c r="N189" s="381"/>
      <c r="O189" s="381">
        <v>17.22</v>
      </c>
      <c r="P189" s="381"/>
      <c r="Q189" s="381"/>
      <c r="R189" s="381"/>
      <c r="S189" s="142" t="s">
        <v>1098</v>
      </c>
      <c r="T189" s="142" t="s">
        <v>1100</v>
      </c>
      <c r="U189" s="142" t="s">
        <v>275</v>
      </c>
      <c r="V189" s="142" t="s">
        <v>1073</v>
      </c>
    </row>
    <row r="190" ht="24" spans="1:22">
      <c r="A190" s="74"/>
      <c r="B190" s="74" t="s">
        <v>1197</v>
      </c>
      <c r="C190" s="71" t="s">
        <v>162</v>
      </c>
      <c r="D190" s="71" t="s">
        <v>147</v>
      </c>
      <c r="E190" s="404">
        <v>380</v>
      </c>
      <c r="F190" s="147">
        <v>25</v>
      </c>
      <c r="G190" s="147">
        <v>73</v>
      </c>
      <c r="H190" s="147">
        <v>2018</v>
      </c>
      <c r="I190" s="147">
        <v>2019</v>
      </c>
      <c r="J190" s="123">
        <v>78.07</v>
      </c>
      <c r="K190" s="123">
        <v>78.07</v>
      </c>
      <c r="L190" s="381"/>
      <c r="M190" s="381"/>
      <c r="N190" s="381">
        <v>7.54</v>
      </c>
      <c r="O190" s="381">
        <v>70.53</v>
      </c>
      <c r="P190" s="381"/>
      <c r="Q190" s="381"/>
      <c r="R190" s="381"/>
      <c r="S190" s="142" t="s">
        <v>1098</v>
      </c>
      <c r="T190" s="142" t="s">
        <v>1100</v>
      </c>
      <c r="U190" s="142" t="s">
        <v>275</v>
      </c>
      <c r="V190" s="142" t="s">
        <v>1073</v>
      </c>
    </row>
    <row r="191" ht="22.5" spans="1:22">
      <c r="A191" s="74"/>
      <c r="B191" s="132" t="s">
        <v>1198</v>
      </c>
      <c r="C191" s="56" t="s">
        <v>162</v>
      </c>
      <c r="D191" s="56" t="s">
        <v>147</v>
      </c>
      <c r="E191" s="363">
        <v>342</v>
      </c>
      <c r="F191" s="363">
        <v>40</v>
      </c>
      <c r="G191" s="363">
        <v>131</v>
      </c>
      <c r="H191" s="363">
        <v>2019</v>
      </c>
      <c r="I191" s="363">
        <v>2019</v>
      </c>
      <c r="J191" s="658">
        <v>75.56</v>
      </c>
      <c r="K191" s="363">
        <v>75.56</v>
      </c>
      <c r="L191" s="381"/>
      <c r="M191" s="381"/>
      <c r="N191" s="381"/>
      <c r="O191" s="381">
        <v>75.56</v>
      </c>
      <c r="P191" s="381"/>
      <c r="Q191" s="381"/>
      <c r="R191" s="381"/>
      <c r="S191" s="142" t="s">
        <v>1098</v>
      </c>
      <c r="T191" s="142" t="s">
        <v>1100</v>
      </c>
      <c r="U191" s="142" t="s">
        <v>275</v>
      </c>
      <c r="V191" s="142" t="s">
        <v>1073</v>
      </c>
    </row>
    <row r="192" ht="22.5" spans="1:22">
      <c r="A192" s="74"/>
      <c r="B192" s="622" t="s">
        <v>1199</v>
      </c>
      <c r="C192" s="56" t="s">
        <v>52</v>
      </c>
      <c r="D192" s="56" t="s">
        <v>147</v>
      </c>
      <c r="E192" s="363">
        <v>209</v>
      </c>
      <c r="F192" s="363">
        <v>16</v>
      </c>
      <c r="G192" s="363">
        <v>42</v>
      </c>
      <c r="H192" s="363">
        <v>2019</v>
      </c>
      <c r="I192" s="363">
        <v>2019</v>
      </c>
      <c r="J192" s="363">
        <v>48.83</v>
      </c>
      <c r="K192" s="363">
        <v>48.83</v>
      </c>
      <c r="L192" s="381"/>
      <c r="M192" s="381"/>
      <c r="N192" s="381"/>
      <c r="O192" s="381">
        <v>48.83</v>
      </c>
      <c r="P192" s="381"/>
      <c r="Q192" s="381"/>
      <c r="R192" s="381"/>
      <c r="S192" s="142" t="s">
        <v>1098</v>
      </c>
      <c r="T192" s="142" t="s">
        <v>1100</v>
      </c>
      <c r="U192" s="142" t="s">
        <v>275</v>
      </c>
      <c r="V192" s="142" t="s">
        <v>1073</v>
      </c>
    </row>
    <row r="193" ht="24" spans="1:22">
      <c r="A193" s="74"/>
      <c r="B193" s="73" t="s">
        <v>1200</v>
      </c>
      <c r="C193" s="71" t="s">
        <v>162</v>
      </c>
      <c r="D193" s="71" t="s">
        <v>147</v>
      </c>
      <c r="E193" s="147">
        <v>111</v>
      </c>
      <c r="F193" s="147">
        <v>12</v>
      </c>
      <c r="G193" s="147">
        <v>36</v>
      </c>
      <c r="H193" s="363">
        <v>2019</v>
      </c>
      <c r="I193" s="363">
        <v>2019</v>
      </c>
      <c r="J193" s="381">
        <v>17.98</v>
      </c>
      <c r="K193" s="381">
        <v>17.98</v>
      </c>
      <c r="L193" s="147"/>
      <c r="M193" s="381"/>
      <c r="N193" s="381"/>
      <c r="O193" s="381">
        <v>17.98</v>
      </c>
      <c r="P193" s="381"/>
      <c r="Q193" s="381"/>
      <c r="R193" s="381"/>
      <c r="S193" s="142" t="s">
        <v>1098</v>
      </c>
      <c r="T193" s="142" t="s">
        <v>1100</v>
      </c>
      <c r="U193" s="142" t="s">
        <v>275</v>
      </c>
      <c r="V193" s="142" t="s">
        <v>1073</v>
      </c>
    </row>
    <row r="194" ht="24" spans="1:22">
      <c r="A194" s="74"/>
      <c r="B194" s="73" t="s">
        <v>1201</v>
      </c>
      <c r="C194" s="71" t="s">
        <v>52</v>
      </c>
      <c r="D194" s="71" t="s">
        <v>147</v>
      </c>
      <c r="E194" s="147">
        <v>229</v>
      </c>
      <c r="F194" s="147">
        <v>56</v>
      </c>
      <c r="G194" s="147">
        <v>214</v>
      </c>
      <c r="H194" s="363">
        <v>2019</v>
      </c>
      <c r="I194" s="363">
        <v>2019</v>
      </c>
      <c r="J194" s="381">
        <v>20.65</v>
      </c>
      <c r="K194" s="381">
        <v>20.65</v>
      </c>
      <c r="L194" s="147"/>
      <c r="M194" s="381"/>
      <c r="N194" s="381"/>
      <c r="O194" s="381">
        <v>20.65</v>
      </c>
      <c r="P194" s="381"/>
      <c r="Q194" s="381"/>
      <c r="R194" s="381"/>
      <c r="S194" s="142" t="s">
        <v>1098</v>
      </c>
      <c r="T194" s="142" t="s">
        <v>1100</v>
      </c>
      <c r="U194" s="142" t="s">
        <v>275</v>
      </c>
      <c r="V194" s="142" t="s">
        <v>1073</v>
      </c>
    </row>
    <row r="195" ht="24" spans="1:22">
      <c r="A195" s="74"/>
      <c r="B195" s="73" t="s">
        <v>1202</v>
      </c>
      <c r="C195" s="71" t="s">
        <v>52</v>
      </c>
      <c r="D195" s="71" t="s">
        <v>147</v>
      </c>
      <c r="E195" s="147">
        <v>209</v>
      </c>
      <c r="F195" s="147">
        <v>10</v>
      </c>
      <c r="G195" s="147">
        <v>38</v>
      </c>
      <c r="H195" s="363">
        <v>2018</v>
      </c>
      <c r="I195" s="363">
        <v>2018</v>
      </c>
      <c r="J195" s="381">
        <v>42.46</v>
      </c>
      <c r="K195" s="381">
        <v>42.46</v>
      </c>
      <c r="L195" s="147"/>
      <c r="M195" s="381"/>
      <c r="N195" s="381">
        <v>42.46</v>
      </c>
      <c r="O195" s="381"/>
      <c r="P195" s="381"/>
      <c r="Q195" s="381"/>
      <c r="R195" s="381"/>
      <c r="S195" s="142" t="s">
        <v>1098</v>
      </c>
      <c r="T195" s="142" t="s">
        <v>1100</v>
      </c>
      <c r="U195" s="142" t="s">
        <v>275</v>
      </c>
      <c r="V195" s="142" t="s">
        <v>1073</v>
      </c>
    </row>
    <row r="196" ht="24" spans="1:22">
      <c r="A196" s="74"/>
      <c r="B196" s="132" t="s">
        <v>1203</v>
      </c>
      <c r="C196" s="56" t="s">
        <v>409</v>
      </c>
      <c r="D196" s="17" t="s">
        <v>147</v>
      </c>
      <c r="E196" s="363">
        <v>840</v>
      </c>
      <c r="F196" s="363">
        <v>29</v>
      </c>
      <c r="G196" s="363">
        <v>90</v>
      </c>
      <c r="H196" s="363">
        <v>2018</v>
      </c>
      <c r="I196" s="363">
        <v>2018</v>
      </c>
      <c r="J196" s="660">
        <v>5</v>
      </c>
      <c r="K196" s="363">
        <v>5</v>
      </c>
      <c r="L196" s="142"/>
      <c r="M196" s="142"/>
      <c r="N196" s="142"/>
      <c r="O196" s="142">
        <v>5</v>
      </c>
      <c r="P196" s="142"/>
      <c r="Q196" s="142"/>
      <c r="R196" s="142"/>
      <c r="S196" s="134" t="s">
        <v>1098</v>
      </c>
      <c r="T196" s="134" t="s">
        <v>1100</v>
      </c>
      <c r="U196" s="142" t="s">
        <v>275</v>
      </c>
      <c r="V196" s="142" t="s">
        <v>1204</v>
      </c>
    </row>
    <row r="197" spans="1:22">
      <c r="A197" s="74"/>
      <c r="B197" s="622" t="s">
        <v>1205</v>
      </c>
      <c r="C197" s="56" t="s">
        <v>52</v>
      </c>
      <c r="D197" s="17" t="s">
        <v>147</v>
      </c>
      <c r="E197" s="363">
        <v>42</v>
      </c>
      <c r="F197" s="363">
        <v>12</v>
      </c>
      <c r="G197" s="363">
        <v>42</v>
      </c>
      <c r="H197" s="363">
        <v>2018</v>
      </c>
      <c r="I197" s="363">
        <v>2018</v>
      </c>
      <c r="J197" s="363">
        <v>11</v>
      </c>
      <c r="K197" s="363">
        <v>11</v>
      </c>
      <c r="L197" s="142"/>
      <c r="M197" s="142"/>
      <c r="N197" s="142"/>
      <c r="O197" s="142">
        <v>11</v>
      </c>
      <c r="P197" s="142"/>
      <c r="Q197" s="142"/>
      <c r="R197" s="142"/>
      <c r="S197" s="134" t="s">
        <v>1098</v>
      </c>
      <c r="T197" s="134" t="s">
        <v>1100</v>
      </c>
      <c r="U197" s="142" t="s">
        <v>275</v>
      </c>
      <c r="V197" s="142"/>
    </row>
    <row r="198" ht="24" spans="1:22">
      <c r="A198" s="74"/>
      <c r="B198" s="73" t="s">
        <v>1206</v>
      </c>
      <c r="C198" s="71" t="s">
        <v>52</v>
      </c>
      <c r="D198" s="71" t="s">
        <v>147</v>
      </c>
      <c r="E198" s="147">
        <v>257</v>
      </c>
      <c r="F198" s="147">
        <v>6</v>
      </c>
      <c r="G198" s="147">
        <v>22</v>
      </c>
      <c r="H198" s="363">
        <v>2019</v>
      </c>
      <c r="I198" s="363">
        <v>2019</v>
      </c>
      <c r="J198" s="381">
        <f t="shared" ref="J198:J213" si="55">K198+L198+M198</f>
        <v>35.98</v>
      </c>
      <c r="K198" s="381"/>
      <c r="L198" s="147">
        <v>35.98</v>
      </c>
      <c r="M198" s="381"/>
      <c r="N198" s="381"/>
      <c r="O198" s="381">
        <f t="shared" ref="O198:O213" si="56">J198</f>
        <v>35.98</v>
      </c>
      <c r="P198" s="381"/>
      <c r="Q198" s="381"/>
      <c r="R198" s="381"/>
      <c r="S198" s="142" t="s">
        <v>1098</v>
      </c>
      <c r="T198" s="142" t="s">
        <v>1100</v>
      </c>
      <c r="U198" s="142" t="s">
        <v>275</v>
      </c>
      <c r="V198" s="142"/>
    </row>
    <row r="199" ht="24" spans="1:22">
      <c r="A199" s="74"/>
      <c r="B199" s="73" t="s">
        <v>1207</v>
      </c>
      <c r="C199" s="71" t="s">
        <v>52</v>
      </c>
      <c r="D199" s="71" t="s">
        <v>147</v>
      </c>
      <c r="E199" s="147">
        <v>217</v>
      </c>
      <c r="F199" s="147">
        <v>7</v>
      </c>
      <c r="G199" s="147">
        <v>28</v>
      </c>
      <c r="H199" s="363">
        <v>2019</v>
      </c>
      <c r="I199" s="363">
        <v>2019</v>
      </c>
      <c r="J199" s="381">
        <f t="shared" si="55"/>
        <v>30.38</v>
      </c>
      <c r="K199" s="381"/>
      <c r="L199" s="147">
        <v>30.38</v>
      </c>
      <c r="M199" s="381"/>
      <c r="N199" s="381"/>
      <c r="O199" s="381">
        <f t="shared" si="56"/>
        <v>30.38</v>
      </c>
      <c r="P199" s="381"/>
      <c r="Q199" s="381"/>
      <c r="R199" s="381"/>
      <c r="S199" s="142" t="s">
        <v>1098</v>
      </c>
      <c r="T199" s="142" t="s">
        <v>1100</v>
      </c>
      <c r="U199" s="142" t="s">
        <v>275</v>
      </c>
      <c r="V199" s="142"/>
    </row>
    <row r="200" ht="24" spans="1:22">
      <c r="A200" s="74"/>
      <c r="B200" s="73" t="s">
        <v>1208</v>
      </c>
      <c r="C200" s="71" t="s">
        <v>52</v>
      </c>
      <c r="D200" s="71" t="s">
        <v>147</v>
      </c>
      <c r="E200" s="147">
        <v>203</v>
      </c>
      <c r="F200" s="147">
        <v>8</v>
      </c>
      <c r="G200" s="147">
        <v>23</v>
      </c>
      <c r="H200" s="363">
        <v>2019</v>
      </c>
      <c r="I200" s="363">
        <v>2019</v>
      </c>
      <c r="J200" s="381">
        <f t="shared" si="55"/>
        <v>28.42</v>
      </c>
      <c r="K200" s="381"/>
      <c r="L200" s="147">
        <v>28.42</v>
      </c>
      <c r="M200" s="381"/>
      <c r="N200" s="381"/>
      <c r="O200" s="381">
        <f t="shared" si="56"/>
        <v>28.42</v>
      </c>
      <c r="P200" s="381"/>
      <c r="Q200" s="381"/>
      <c r="R200" s="381"/>
      <c r="S200" s="142" t="s">
        <v>1098</v>
      </c>
      <c r="T200" s="142" t="s">
        <v>1100</v>
      </c>
      <c r="U200" s="142" t="s">
        <v>275</v>
      </c>
      <c r="V200" s="142"/>
    </row>
    <row r="201" ht="24" spans="1:22">
      <c r="A201" s="74"/>
      <c r="B201" s="73" t="s">
        <v>1209</v>
      </c>
      <c r="C201" s="71" t="s">
        <v>162</v>
      </c>
      <c r="D201" s="71" t="s">
        <v>147</v>
      </c>
      <c r="E201" s="147">
        <v>3858</v>
      </c>
      <c r="F201" s="147">
        <v>31</v>
      </c>
      <c r="G201" s="147">
        <v>98</v>
      </c>
      <c r="H201" s="363">
        <v>2019</v>
      </c>
      <c r="I201" s="363">
        <v>2019</v>
      </c>
      <c r="J201" s="381">
        <f t="shared" si="55"/>
        <v>540.12</v>
      </c>
      <c r="K201" s="381"/>
      <c r="L201" s="147">
        <v>540.12</v>
      </c>
      <c r="M201" s="381"/>
      <c r="N201" s="381"/>
      <c r="O201" s="381">
        <f t="shared" si="56"/>
        <v>540.12</v>
      </c>
      <c r="P201" s="381"/>
      <c r="Q201" s="381"/>
      <c r="R201" s="381"/>
      <c r="S201" s="142" t="s">
        <v>1098</v>
      </c>
      <c r="T201" s="142" t="s">
        <v>1100</v>
      </c>
      <c r="U201" s="142" t="s">
        <v>275</v>
      </c>
      <c r="V201" s="142"/>
    </row>
    <row r="202" ht="24" spans="2:22">
      <c r="B202" s="73" t="s">
        <v>1210</v>
      </c>
      <c r="C202" s="71" t="s">
        <v>162</v>
      </c>
      <c r="D202" s="71" t="s">
        <v>147</v>
      </c>
      <c r="E202" s="147">
        <v>154</v>
      </c>
      <c r="F202" s="147">
        <v>11</v>
      </c>
      <c r="G202" s="147">
        <v>45</v>
      </c>
      <c r="H202" s="363">
        <v>2019</v>
      </c>
      <c r="I202" s="363">
        <v>2019</v>
      </c>
      <c r="J202" s="381">
        <f t="shared" si="55"/>
        <v>21.56</v>
      </c>
      <c r="K202" s="381"/>
      <c r="L202" s="147">
        <v>21.56</v>
      </c>
      <c r="M202" s="381"/>
      <c r="N202" s="381"/>
      <c r="O202" s="381">
        <f t="shared" si="56"/>
        <v>21.56</v>
      </c>
      <c r="P202" s="381"/>
      <c r="Q202" s="381"/>
      <c r="R202" s="381"/>
      <c r="S202" s="142" t="s">
        <v>1098</v>
      </c>
      <c r="T202" s="142" t="s">
        <v>1100</v>
      </c>
      <c r="U202" s="142" t="s">
        <v>275</v>
      </c>
      <c r="V202" s="142"/>
    </row>
    <row r="203" spans="1:22">
      <c r="A203" s="74"/>
      <c r="B203" s="73" t="s">
        <v>1211</v>
      </c>
      <c r="C203" s="71" t="s">
        <v>162</v>
      </c>
      <c r="D203" s="71" t="s">
        <v>147</v>
      </c>
      <c r="E203" s="147">
        <v>236</v>
      </c>
      <c r="F203" s="147">
        <v>7</v>
      </c>
      <c r="G203" s="147">
        <v>25</v>
      </c>
      <c r="H203" s="363">
        <v>2019</v>
      </c>
      <c r="I203" s="363">
        <v>2019</v>
      </c>
      <c r="J203" s="381">
        <f t="shared" si="55"/>
        <v>33.04</v>
      </c>
      <c r="K203" s="381"/>
      <c r="L203" s="147">
        <v>33.04</v>
      </c>
      <c r="M203" s="381"/>
      <c r="N203" s="381"/>
      <c r="O203" s="381">
        <f t="shared" si="56"/>
        <v>33.04</v>
      </c>
      <c r="P203" s="381"/>
      <c r="Q203" s="381"/>
      <c r="R203" s="381"/>
      <c r="S203" s="142" t="s">
        <v>1098</v>
      </c>
      <c r="T203" s="142" t="s">
        <v>1100</v>
      </c>
      <c r="U203" s="142" t="s">
        <v>275</v>
      </c>
      <c r="V203" s="142"/>
    </row>
    <row r="204" ht="24" spans="1:22">
      <c r="A204" s="74"/>
      <c r="B204" s="73" t="s">
        <v>1212</v>
      </c>
      <c r="C204" s="71" t="s">
        <v>52</v>
      </c>
      <c r="D204" s="71" t="s">
        <v>147</v>
      </c>
      <c r="E204" s="147">
        <v>93</v>
      </c>
      <c r="F204" s="147">
        <v>5</v>
      </c>
      <c r="G204" s="147">
        <v>19</v>
      </c>
      <c r="H204" s="363">
        <v>2019</v>
      </c>
      <c r="I204" s="363">
        <v>2019</v>
      </c>
      <c r="J204" s="381">
        <f t="shared" si="55"/>
        <v>13.02</v>
      </c>
      <c r="K204" s="381"/>
      <c r="L204" s="147">
        <v>13.02</v>
      </c>
      <c r="M204" s="381"/>
      <c r="N204" s="381"/>
      <c r="O204" s="381">
        <f t="shared" si="56"/>
        <v>13.02</v>
      </c>
      <c r="P204" s="381"/>
      <c r="Q204" s="381"/>
      <c r="R204" s="381"/>
      <c r="S204" s="142" t="s">
        <v>1098</v>
      </c>
      <c r="T204" s="142" t="s">
        <v>1100</v>
      </c>
      <c r="U204" s="142" t="s">
        <v>275</v>
      </c>
      <c r="V204" s="142"/>
    </row>
    <row r="205" ht="24" spans="1:22">
      <c r="A205" s="74"/>
      <c r="B205" s="73" t="s">
        <v>1213</v>
      </c>
      <c r="C205" s="71" t="s">
        <v>162</v>
      </c>
      <c r="D205" s="71" t="s">
        <v>147</v>
      </c>
      <c r="E205" s="147">
        <v>127</v>
      </c>
      <c r="F205" s="147">
        <v>7</v>
      </c>
      <c r="G205" s="147">
        <v>27</v>
      </c>
      <c r="H205" s="363">
        <v>2019</v>
      </c>
      <c r="I205" s="363">
        <v>2019</v>
      </c>
      <c r="J205" s="381">
        <f t="shared" si="55"/>
        <v>17.78</v>
      </c>
      <c r="K205" s="381"/>
      <c r="L205" s="147">
        <v>17.78</v>
      </c>
      <c r="M205" s="381"/>
      <c r="N205" s="381"/>
      <c r="O205" s="381">
        <f t="shared" si="56"/>
        <v>17.78</v>
      </c>
      <c r="P205" s="381"/>
      <c r="Q205" s="381"/>
      <c r="R205" s="381"/>
      <c r="S205" s="142" t="s">
        <v>1098</v>
      </c>
      <c r="T205" s="142" t="s">
        <v>1100</v>
      </c>
      <c r="U205" s="142" t="s">
        <v>275</v>
      </c>
      <c r="V205" s="142"/>
    </row>
    <row r="206" ht="24" spans="1:22">
      <c r="A206" s="74"/>
      <c r="B206" s="73" t="s">
        <v>1214</v>
      </c>
      <c r="C206" s="71" t="s">
        <v>52</v>
      </c>
      <c r="D206" s="71" t="s">
        <v>147</v>
      </c>
      <c r="E206" s="147">
        <v>139</v>
      </c>
      <c r="F206" s="147">
        <v>10</v>
      </c>
      <c r="G206" s="147">
        <v>38</v>
      </c>
      <c r="H206" s="363">
        <v>2019</v>
      </c>
      <c r="I206" s="363">
        <v>2019</v>
      </c>
      <c r="J206" s="381">
        <f t="shared" si="55"/>
        <v>19.46</v>
      </c>
      <c r="K206" s="381"/>
      <c r="L206" s="147">
        <v>19.46</v>
      </c>
      <c r="M206" s="381"/>
      <c r="N206" s="381"/>
      <c r="O206" s="381">
        <f t="shared" si="56"/>
        <v>19.46</v>
      </c>
      <c r="P206" s="381"/>
      <c r="Q206" s="381"/>
      <c r="R206" s="381"/>
      <c r="S206" s="142" t="s">
        <v>1098</v>
      </c>
      <c r="T206" s="142" t="s">
        <v>1100</v>
      </c>
      <c r="U206" s="142" t="s">
        <v>275</v>
      </c>
      <c r="V206" s="142"/>
    </row>
    <row r="207" ht="24" spans="1:22">
      <c r="A207" s="74"/>
      <c r="B207" s="73" t="s">
        <v>1215</v>
      </c>
      <c r="C207" s="71" t="s">
        <v>162</v>
      </c>
      <c r="D207" s="71" t="s">
        <v>147</v>
      </c>
      <c r="E207" s="147">
        <v>265</v>
      </c>
      <c r="F207" s="147">
        <v>30</v>
      </c>
      <c r="G207" s="147">
        <v>111</v>
      </c>
      <c r="H207" s="363">
        <v>2019</v>
      </c>
      <c r="I207" s="363">
        <v>2019</v>
      </c>
      <c r="J207" s="381">
        <f t="shared" si="55"/>
        <v>37.1</v>
      </c>
      <c r="K207" s="381"/>
      <c r="L207" s="147">
        <v>37.1</v>
      </c>
      <c r="M207" s="381"/>
      <c r="N207" s="381"/>
      <c r="O207" s="381">
        <f t="shared" si="56"/>
        <v>37.1</v>
      </c>
      <c r="P207" s="381"/>
      <c r="Q207" s="381"/>
      <c r="R207" s="381"/>
      <c r="S207" s="142" t="s">
        <v>1098</v>
      </c>
      <c r="T207" s="142" t="s">
        <v>1100</v>
      </c>
      <c r="U207" s="142" t="s">
        <v>275</v>
      </c>
      <c r="V207" s="142"/>
    </row>
    <row r="208" ht="24" spans="1:22">
      <c r="A208" s="74"/>
      <c r="B208" s="73" t="s">
        <v>1216</v>
      </c>
      <c r="C208" s="71" t="s">
        <v>52</v>
      </c>
      <c r="D208" s="71" t="s">
        <v>147</v>
      </c>
      <c r="E208" s="147">
        <v>77</v>
      </c>
      <c r="F208" s="147">
        <v>9</v>
      </c>
      <c r="G208" s="147">
        <v>40</v>
      </c>
      <c r="H208" s="363">
        <v>2019</v>
      </c>
      <c r="I208" s="363">
        <v>2019</v>
      </c>
      <c r="J208" s="381">
        <f t="shared" si="55"/>
        <v>10.78</v>
      </c>
      <c r="K208" s="381"/>
      <c r="L208" s="147">
        <v>10.78</v>
      </c>
      <c r="M208" s="381"/>
      <c r="N208" s="381"/>
      <c r="O208" s="381">
        <f t="shared" si="56"/>
        <v>10.78</v>
      </c>
      <c r="P208" s="381"/>
      <c r="Q208" s="381"/>
      <c r="R208" s="381"/>
      <c r="S208" s="142" t="s">
        <v>1098</v>
      </c>
      <c r="T208" s="142" t="s">
        <v>1100</v>
      </c>
      <c r="U208" s="142" t="s">
        <v>275</v>
      </c>
      <c r="V208" s="142"/>
    </row>
    <row r="209" ht="24" spans="1:22">
      <c r="A209" s="74"/>
      <c r="B209" s="73" t="s">
        <v>1217</v>
      </c>
      <c r="C209" s="71" t="s">
        <v>52</v>
      </c>
      <c r="D209" s="71" t="s">
        <v>147</v>
      </c>
      <c r="E209" s="147">
        <v>201</v>
      </c>
      <c r="F209" s="147">
        <v>9</v>
      </c>
      <c r="G209" s="147">
        <v>40</v>
      </c>
      <c r="H209" s="363">
        <v>2019</v>
      </c>
      <c r="I209" s="363">
        <v>2019</v>
      </c>
      <c r="J209" s="381">
        <f t="shared" si="55"/>
        <v>28.14</v>
      </c>
      <c r="K209" s="381"/>
      <c r="L209" s="147">
        <v>28.14</v>
      </c>
      <c r="M209" s="381"/>
      <c r="N209" s="381"/>
      <c r="O209" s="381">
        <f t="shared" si="56"/>
        <v>28.14</v>
      </c>
      <c r="P209" s="381"/>
      <c r="Q209" s="381"/>
      <c r="R209" s="381"/>
      <c r="S209" s="142" t="s">
        <v>1098</v>
      </c>
      <c r="T209" s="142" t="s">
        <v>1100</v>
      </c>
      <c r="U209" s="142" t="s">
        <v>275</v>
      </c>
      <c r="V209" s="142"/>
    </row>
    <row r="210" ht="24" spans="1:22">
      <c r="A210" s="74"/>
      <c r="B210" s="73" t="s">
        <v>1218</v>
      </c>
      <c r="C210" s="71" t="s">
        <v>52</v>
      </c>
      <c r="D210" s="71" t="s">
        <v>147</v>
      </c>
      <c r="E210" s="147">
        <v>259</v>
      </c>
      <c r="F210" s="147">
        <v>6</v>
      </c>
      <c r="G210" s="147">
        <v>24</v>
      </c>
      <c r="H210" s="363">
        <v>2019</v>
      </c>
      <c r="I210" s="363">
        <v>2019</v>
      </c>
      <c r="J210" s="381">
        <f t="shared" si="55"/>
        <v>36.26</v>
      </c>
      <c r="K210" s="381"/>
      <c r="L210" s="147">
        <v>36.26</v>
      </c>
      <c r="M210" s="381"/>
      <c r="N210" s="381"/>
      <c r="O210" s="381">
        <f t="shared" si="56"/>
        <v>36.26</v>
      </c>
      <c r="P210" s="381"/>
      <c r="Q210" s="381"/>
      <c r="R210" s="381"/>
      <c r="S210" s="142" t="s">
        <v>1098</v>
      </c>
      <c r="T210" s="142" t="s">
        <v>1100</v>
      </c>
      <c r="U210" s="142" t="s">
        <v>275</v>
      </c>
      <c r="V210" s="142"/>
    </row>
    <row r="211" ht="24" spans="1:22">
      <c r="A211" s="74"/>
      <c r="B211" s="73" t="s">
        <v>1219</v>
      </c>
      <c r="C211" s="71" t="s">
        <v>52</v>
      </c>
      <c r="D211" s="71" t="s">
        <v>147</v>
      </c>
      <c r="E211" s="147">
        <v>62</v>
      </c>
      <c r="F211" s="147">
        <v>7</v>
      </c>
      <c r="G211" s="147">
        <v>26</v>
      </c>
      <c r="H211" s="363">
        <v>2019</v>
      </c>
      <c r="I211" s="363">
        <v>2019</v>
      </c>
      <c r="J211" s="381">
        <f t="shared" si="55"/>
        <v>8.68</v>
      </c>
      <c r="K211" s="381"/>
      <c r="L211" s="147">
        <v>8.68</v>
      </c>
      <c r="M211" s="381"/>
      <c r="N211" s="381"/>
      <c r="O211" s="381">
        <f t="shared" si="56"/>
        <v>8.68</v>
      </c>
      <c r="P211" s="381"/>
      <c r="Q211" s="381"/>
      <c r="R211" s="381"/>
      <c r="S211" s="142" t="s">
        <v>1098</v>
      </c>
      <c r="T211" s="142" t="s">
        <v>1100</v>
      </c>
      <c r="U211" s="142" t="s">
        <v>275</v>
      </c>
      <c r="V211" s="142"/>
    </row>
    <row r="212" ht="24" spans="1:22">
      <c r="A212" s="74"/>
      <c r="B212" s="73" t="s">
        <v>1220</v>
      </c>
      <c r="C212" s="71" t="s">
        <v>52</v>
      </c>
      <c r="D212" s="71" t="s">
        <v>147</v>
      </c>
      <c r="E212" s="147">
        <v>273</v>
      </c>
      <c r="F212" s="147">
        <v>15</v>
      </c>
      <c r="G212" s="147">
        <v>48</v>
      </c>
      <c r="H212" s="363">
        <v>2019</v>
      </c>
      <c r="I212" s="363">
        <v>2019</v>
      </c>
      <c r="J212" s="381">
        <f t="shared" si="55"/>
        <v>38.22</v>
      </c>
      <c r="K212" s="381"/>
      <c r="L212" s="147">
        <v>38.22</v>
      </c>
      <c r="M212" s="381"/>
      <c r="N212" s="381"/>
      <c r="O212" s="381">
        <f t="shared" si="56"/>
        <v>38.22</v>
      </c>
      <c r="P212" s="381"/>
      <c r="Q212" s="381"/>
      <c r="R212" s="381"/>
      <c r="S212" s="142" t="s">
        <v>1098</v>
      </c>
      <c r="T212" s="142" t="s">
        <v>1100</v>
      </c>
      <c r="U212" s="142" t="s">
        <v>275</v>
      </c>
      <c r="V212" s="142"/>
    </row>
    <row r="213" spans="1:22">
      <c r="A213" s="74"/>
      <c r="B213" s="659" t="s">
        <v>1221</v>
      </c>
      <c r="C213" s="101" t="s">
        <v>488</v>
      </c>
      <c r="D213" s="101" t="s">
        <v>1018</v>
      </c>
      <c r="E213" s="101">
        <v>13</v>
      </c>
      <c r="F213" s="101">
        <v>12</v>
      </c>
      <c r="G213" s="101">
        <v>34</v>
      </c>
      <c r="H213" s="363">
        <v>2019</v>
      </c>
      <c r="I213" s="363">
        <v>2019</v>
      </c>
      <c r="J213" s="381">
        <f t="shared" si="55"/>
        <v>7.27</v>
      </c>
      <c r="K213" s="101"/>
      <c r="L213" s="101">
        <v>7.27</v>
      </c>
      <c r="M213" s="101"/>
      <c r="N213" s="101"/>
      <c r="O213" s="381">
        <f t="shared" si="56"/>
        <v>7.27</v>
      </c>
      <c r="P213" s="659"/>
      <c r="Q213" s="659"/>
      <c r="R213" s="659"/>
      <c r="S213" s="142" t="s">
        <v>1098</v>
      </c>
      <c r="T213" s="142" t="s">
        <v>1100</v>
      </c>
      <c r="U213" s="142" t="s">
        <v>275</v>
      </c>
      <c r="V213" s="142"/>
    </row>
    <row r="214" ht="20.1" customHeight="1" spans="1:22">
      <c r="A214" s="74">
        <v>71</v>
      </c>
      <c r="B214" s="142" t="s">
        <v>537</v>
      </c>
      <c r="C214" s="74" t="s">
        <v>320</v>
      </c>
      <c r="D214" s="71" t="s">
        <v>320</v>
      </c>
      <c r="E214" s="71">
        <v>8</v>
      </c>
      <c r="F214" s="71">
        <f t="shared" ref="F214:Q214" si="57">F215</f>
        <v>1608</v>
      </c>
      <c r="G214" s="71">
        <f t="shared" si="57"/>
        <v>5781</v>
      </c>
      <c r="H214" s="71">
        <v>2019</v>
      </c>
      <c r="I214" s="71">
        <v>2019</v>
      </c>
      <c r="J214" s="71">
        <f t="shared" si="57"/>
        <v>32</v>
      </c>
      <c r="K214" s="71">
        <f t="shared" si="57"/>
        <v>0</v>
      </c>
      <c r="L214" s="71">
        <f t="shared" si="57"/>
        <v>32</v>
      </c>
      <c r="M214" s="71">
        <f t="shared" si="57"/>
        <v>0</v>
      </c>
      <c r="N214" s="71">
        <f t="shared" si="57"/>
        <v>0</v>
      </c>
      <c r="O214" s="71">
        <f t="shared" si="57"/>
        <v>0</v>
      </c>
      <c r="P214" s="71">
        <f t="shared" si="57"/>
        <v>32</v>
      </c>
      <c r="Q214" s="71">
        <f t="shared" si="57"/>
        <v>0</v>
      </c>
      <c r="R214" s="71"/>
      <c r="S214" s="134" t="s">
        <v>1077</v>
      </c>
      <c r="T214" s="134" t="s">
        <v>1082</v>
      </c>
      <c r="U214" s="134" t="s">
        <v>358</v>
      </c>
      <c r="V214" s="132" t="s">
        <v>41</v>
      </c>
    </row>
    <row r="215" ht="24" spans="1:22">
      <c r="A215" s="74"/>
      <c r="B215" s="142" t="s">
        <v>1222</v>
      </c>
      <c r="C215" s="74" t="s">
        <v>1223</v>
      </c>
      <c r="D215" s="71" t="s">
        <v>150</v>
      </c>
      <c r="E215" s="71">
        <v>8</v>
      </c>
      <c r="F215" s="71">
        <v>1608</v>
      </c>
      <c r="G215" s="71">
        <v>5781</v>
      </c>
      <c r="H215" s="71">
        <v>2019</v>
      </c>
      <c r="I215" s="71">
        <v>2019</v>
      </c>
      <c r="J215" s="71">
        <f>L215</f>
        <v>32</v>
      </c>
      <c r="K215" s="71"/>
      <c r="L215" s="71">
        <f>E215*4</f>
        <v>32</v>
      </c>
      <c r="M215" s="71"/>
      <c r="N215" s="71"/>
      <c r="O215" s="71"/>
      <c r="P215" s="71">
        <f>J215</f>
        <v>32</v>
      </c>
      <c r="Q215" s="71"/>
      <c r="R215" s="71"/>
      <c r="S215" s="134" t="s">
        <v>1077</v>
      </c>
      <c r="T215" s="134" t="s">
        <v>1082</v>
      </c>
      <c r="U215" s="134" t="s">
        <v>358</v>
      </c>
      <c r="V215" s="132" t="s">
        <v>41</v>
      </c>
    </row>
    <row r="216" spans="1:22">
      <c r="A216" s="74">
        <v>72</v>
      </c>
      <c r="B216" s="142" t="s">
        <v>552</v>
      </c>
      <c r="C216" s="74" t="s">
        <v>320</v>
      </c>
      <c r="D216" s="71" t="s">
        <v>320</v>
      </c>
      <c r="E216" s="71">
        <f t="shared" ref="E216:G216" si="58">SUM(E217:E217)</f>
        <v>1</v>
      </c>
      <c r="F216" s="71">
        <f t="shared" si="58"/>
        <v>9</v>
      </c>
      <c r="G216" s="71">
        <f t="shared" si="58"/>
        <v>28</v>
      </c>
      <c r="H216" s="71"/>
      <c r="I216" s="71"/>
      <c r="J216" s="71">
        <f>K216+L216+M216</f>
        <v>20</v>
      </c>
      <c r="K216" s="71">
        <f>SUM(K217:K217)</f>
        <v>10</v>
      </c>
      <c r="L216" s="71">
        <v>10</v>
      </c>
      <c r="M216" s="71"/>
      <c r="N216" s="71"/>
      <c r="O216" s="71">
        <f>SUM(O217:O217)</f>
        <v>20</v>
      </c>
      <c r="P216" s="71"/>
      <c r="Q216" s="71"/>
      <c r="R216" s="71"/>
      <c r="S216" s="134"/>
      <c r="T216" s="134"/>
      <c r="U216" s="74" t="s">
        <v>320</v>
      </c>
      <c r="V216" s="132" t="s">
        <v>41</v>
      </c>
    </row>
    <row r="217" ht="24" spans="1:22">
      <c r="A217" s="74"/>
      <c r="B217" s="142" t="s">
        <v>1224</v>
      </c>
      <c r="C217" s="74" t="s">
        <v>52</v>
      </c>
      <c r="D217" s="71" t="s">
        <v>150</v>
      </c>
      <c r="E217" s="71">
        <v>1</v>
      </c>
      <c r="F217" s="71">
        <v>9</v>
      </c>
      <c r="G217" s="71">
        <v>28</v>
      </c>
      <c r="H217" s="71">
        <v>2018</v>
      </c>
      <c r="I217" s="71">
        <v>2018</v>
      </c>
      <c r="J217" s="71">
        <f>K217+L217+M217</f>
        <v>20</v>
      </c>
      <c r="K217" s="71">
        <v>10</v>
      </c>
      <c r="L217" s="71">
        <v>10</v>
      </c>
      <c r="M217" s="71"/>
      <c r="N217" s="71"/>
      <c r="O217" s="71">
        <f>J217</f>
        <v>20</v>
      </c>
      <c r="P217" s="71"/>
      <c r="Q217" s="71"/>
      <c r="R217" s="71"/>
      <c r="S217" s="134" t="s">
        <v>1098</v>
      </c>
      <c r="T217" s="134" t="s">
        <v>1099</v>
      </c>
      <c r="U217" s="134" t="s">
        <v>553</v>
      </c>
      <c r="V217" s="132" t="s">
        <v>41</v>
      </c>
    </row>
    <row r="218" spans="1:22">
      <c r="A218" s="74">
        <v>73</v>
      </c>
      <c r="B218" s="142" t="s">
        <v>555</v>
      </c>
      <c r="C218" s="74" t="s">
        <v>320</v>
      </c>
      <c r="D218" s="71" t="s">
        <v>320</v>
      </c>
      <c r="E218" s="71">
        <f t="shared" ref="E218:J218" si="59">E219</f>
        <v>409</v>
      </c>
      <c r="F218" s="71">
        <f t="shared" si="59"/>
        <v>352</v>
      </c>
      <c r="G218" s="71">
        <f t="shared" si="59"/>
        <v>409</v>
      </c>
      <c r="H218" s="71">
        <f t="shared" si="59"/>
        <v>2018</v>
      </c>
      <c r="I218" s="71">
        <f t="shared" si="59"/>
        <v>2020</v>
      </c>
      <c r="J218" s="71">
        <f t="shared" si="59"/>
        <v>0</v>
      </c>
      <c r="K218" s="71"/>
      <c r="L218" s="71"/>
      <c r="M218" s="71"/>
      <c r="N218" s="71"/>
      <c r="O218" s="71"/>
      <c r="P218" s="71"/>
      <c r="Q218" s="71"/>
      <c r="R218" s="71"/>
      <c r="S218" s="134"/>
      <c r="T218" s="134"/>
      <c r="U218" s="74" t="s">
        <v>320</v>
      </c>
      <c r="V218" s="132" t="s">
        <v>41</v>
      </c>
    </row>
    <row r="219" ht="48" spans="1:22">
      <c r="A219" s="74"/>
      <c r="B219" s="142" t="s">
        <v>1225</v>
      </c>
      <c r="C219" s="74" t="s">
        <v>320</v>
      </c>
      <c r="D219" s="71" t="s">
        <v>147</v>
      </c>
      <c r="E219" s="71">
        <v>409</v>
      </c>
      <c r="F219" s="71">
        <v>352</v>
      </c>
      <c r="G219" s="71">
        <v>409</v>
      </c>
      <c r="H219" s="71">
        <v>2018</v>
      </c>
      <c r="I219" s="71">
        <v>2020</v>
      </c>
      <c r="J219" s="71"/>
      <c r="K219" s="71"/>
      <c r="L219" s="71"/>
      <c r="M219" s="71"/>
      <c r="N219" s="71"/>
      <c r="O219" s="71"/>
      <c r="P219" s="71"/>
      <c r="Q219" s="71"/>
      <c r="R219" s="71"/>
      <c r="S219" s="134"/>
      <c r="T219" s="134"/>
      <c r="U219" s="134" t="s">
        <v>294</v>
      </c>
      <c r="V219" s="132" t="s">
        <v>1073</v>
      </c>
    </row>
    <row r="220" spans="1:22">
      <c r="A220" s="74"/>
      <c r="B220" s="142" t="s">
        <v>1035</v>
      </c>
      <c r="C220" s="74"/>
      <c r="D220" s="71"/>
      <c r="E220" s="71"/>
      <c r="F220" s="71">
        <f t="shared" ref="F220:R220" si="60">SUM(F221,F226)</f>
        <v>428</v>
      </c>
      <c r="G220" s="71">
        <f t="shared" si="60"/>
        <v>1491</v>
      </c>
      <c r="H220" s="71">
        <v>2018</v>
      </c>
      <c r="I220" s="71">
        <v>2019</v>
      </c>
      <c r="J220" s="71">
        <f t="shared" si="60"/>
        <v>1032</v>
      </c>
      <c r="K220" s="71">
        <f t="shared" si="60"/>
        <v>1032</v>
      </c>
      <c r="L220" s="71">
        <f t="shared" si="60"/>
        <v>0</v>
      </c>
      <c r="M220" s="71">
        <f t="shared" si="60"/>
        <v>0</v>
      </c>
      <c r="N220" s="71">
        <f t="shared" si="60"/>
        <v>0</v>
      </c>
      <c r="O220" s="71">
        <f t="shared" si="60"/>
        <v>82</v>
      </c>
      <c r="P220" s="71">
        <f t="shared" si="60"/>
        <v>0</v>
      </c>
      <c r="Q220" s="71">
        <f t="shared" si="60"/>
        <v>950</v>
      </c>
      <c r="R220" s="71">
        <f t="shared" si="60"/>
        <v>0</v>
      </c>
      <c r="S220" s="134"/>
      <c r="T220" s="134"/>
      <c r="U220" s="134"/>
      <c r="V220" s="132"/>
    </row>
    <row r="221" ht="20.1" customHeight="1" spans="1:22">
      <c r="A221" s="74"/>
      <c r="B221" s="142" t="s">
        <v>1226</v>
      </c>
      <c r="C221" s="74"/>
      <c r="D221" s="71"/>
      <c r="E221" s="71">
        <f t="shared" ref="E221:G221" si="61">SUM(E222:E225)</f>
        <v>155</v>
      </c>
      <c r="F221" s="71">
        <f t="shared" si="61"/>
        <v>59</v>
      </c>
      <c r="G221" s="71">
        <f t="shared" si="61"/>
        <v>199</v>
      </c>
      <c r="H221" s="381">
        <v>2018</v>
      </c>
      <c r="I221" s="381">
        <v>2018</v>
      </c>
      <c r="J221" s="71">
        <f t="shared" ref="J221:R221" si="62">SUM(J222:J225)</f>
        <v>82</v>
      </c>
      <c r="K221" s="71">
        <f t="shared" si="62"/>
        <v>82</v>
      </c>
      <c r="L221" s="71">
        <f t="shared" si="62"/>
        <v>0</v>
      </c>
      <c r="M221" s="71">
        <f t="shared" si="62"/>
        <v>0</v>
      </c>
      <c r="N221" s="71">
        <f t="shared" si="62"/>
        <v>0</v>
      </c>
      <c r="O221" s="71">
        <f t="shared" si="62"/>
        <v>82</v>
      </c>
      <c r="P221" s="71">
        <f t="shared" si="62"/>
        <v>0</v>
      </c>
      <c r="Q221" s="71">
        <f t="shared" si="62"/>
        <v>0</v>
      </c>
      <c r="R221" s="71">
        <f t="shared" si="62"/>
        <v>0</v>
      </c>
      <c r="S221" s="134"/>
      <c r="T221" s="134"/>
      <c r="U221" s="134"/>
      <c r="V221" s="132"/>
    </row>
    <row r="222" ht="24" spans="1:22">
      <c r="A222" s="74"/>
      <c r="B222" s="142" t="s">
        <v>1227</v>
      </c>
      <c r="C222" s="142" t="s">
        <v>52</v>
      </c>
      <c r="D222" s="381" t="s">
        <v>1228</v>
      </c>
      <c r="E222" s="381">
        <v>30</v>
      </c>
      <c r="F222" s="381">
        <v>6</v>
      </c>
      <c r="G222" s="381">
        <v>27</v>
      </c>
      <c r="H222" s="381">
        <v>2018</v>
      </c>
      <c r="I222" s="381">
        <v>2018</v>
      </c>
      <c r="J222" s="71">
        <f t="shared" ref="J222:J225" si="63">K222+L222+M222</f>
        <v>20</v>
      </c>
      <c r="K222" s="381">
        <v>20</v>
      </c>
      <c r="L222" s="381"/>
      <c r="M222" s="381"/>
      <c r="N222" s="381"/>
      <c r="O222" s="381">
        <f t="shared" ref="O222:O225" si="64">J222</f>
        <v>20</v>
      </c>
      <c r="P222" s="381"/>
      <c r="Q222" s="381"/>
      <c r="R222" s="381"/>
      <c r="S222" s="134" t="s">
        <v>1098</v>
      </c>
      <c r="T222" s="134" t="s">
        <v>1099</v>
      </c>
      <c r="U222" s="134" t="s">
        <v>160</v>
      </c>
      <c r="V222" s="132" t="s">
        <v>1229</v>
      </c>
    </row>
    <row r="223" ht="24" spans="1:22">
      <c r="A223" s="74"/>
      <c r="B223" s="142" t="s">
        <v>1230</v>
      </c>
      <c r="C223" s="142" t="s">
        <v>52</v>
      </c>
      <c r="D223" s="381" t="s">
        <v>1228</v>
      </c>
      <c r="E223" s="381">
        <v>45</v>
      </c>
      <c r="F223" s="381">
        <v>16</v>
      </c>
      <c r="G223" s="381">
        <v>53</v>
      </c>
      <c r="H223" s="381">
        <v>2018</v>
      </c>
      <c r="I223" s="381">
        <v>2018</v>
      </c>
      <c r="J223" s="71">
        <f t="shared" si="63"/>
        <v>30</v>
      </c>
      <c r="K223" s="381">
        <v>30</v>
      </c>
      <c r="L223" s="381"/>
      <c r="M223" s="381"/>
      <c r="N223" s="381"/>
      <c r="O223" s="381">
        <f t="shared" si="64"/>
        <v>30</v>
      </c>
      <c r="P223" s="381"/>
      <c r="Q223" s="381"/>
      <c r="R223" s="381"/>
      <c r="S223" s="134" t="s">
        <v>1098</v>
      </c>
      <c r="T223" s="134" t="s">
        <v>1099</v>
      </c>
      <c r="U223" s="134" t="s">
        <v>160</v>
      </c>
      <c r="V223" s="132" t="s">
        <v>1229</v>
      </c>
    </row>
    <row r="224" ht="24" spans="1:22">
      <c r="A224" s="74"/>
      <c r="B224" s="142" t="s">
        <v>1231</v>
      </c>
      <c r="C224" s="142" t="s">
        <v>52</v>
      </c>
      <c r="D224" s="381" t="s">
        <v>1228</v>
      </c>
      <c r="E224" s="381">
        <v>30</v>
      </c>
      <c r="F224" s="381">
        <v>6</v>
      </c>
      <c r="G224" s="381">
        <v>18</v>
      </c>
      <c r="H224" s="381">
        <v>2018</v>
      </c>
      <c r="I224" s="381">
        <v>2018</v>
      </c>
      <c r="J224" s="71">
        <f t="shared" si="63"/>
        <v>12</v>
      </c>
      <c r="K224" s="381">
        <v>12</v>
      </c>
      <c r="L224" s="381"/>
      <c r="M224" s="381"/>
      <c r="N224" s="381"/>
      <c r="O224" s="381">
        <f t="shared" si="64"/>
        <v>12</v>
      </c>
      <c r="P224" s="381"/>
      <c r="Q224" s="381"/>
      <c r="R224" s="381"/>
      <c r="S224" s="134" t="s">
        <v>1098</v>
      </c>
      <c r="T224" s="134" t="s">
        <v>1099</v>
      </c>
      <c r="U224" s="134" t="s">
        <v>160</v>
      </c>
      <c r="V224" s="132" t="s">
        <v>1229</v>
      </c>
    </row>
    <row r="225" ht="24" spans="1:22">
      <c r="A225" s="74"/>
      <c r="B225" s="142" t="s">
        <v>1232</v>
      </c>
      <c r="C225" s="142" t="s">
        <v>52</v>
      </c>
      <c r="D225" s="381" t="s">
        <v>1228</v>
      </c>
      <c r="E225" s="381">
        <v>50</v>
      </c>
      <c r="F225" s="381">
        <v>31</v>
      </c>
      <c r="G225" s="381">
        <v>101</v>
      </c>
      <c r="H225" s="381">
        <v>2018</v>
      </c>
      <c r="I225" s="381">
        <v>2018</v>
      </c>
      <c r="J225" s="71">
        <f t="shared" si="63"/>
        <v>20</v>
      </c>
      <c r="K225" s="381">
        <v>20</v>
      </c>
      <c r="L225" s="381"/>
      <c r="M225" s="381"/>
      <c r="N225" s="381"/>
      <c r="O225" s="381">
        <f t="shared" si="64"/>
        <v>20</v>
      </c>
      <c r="P225" s="381"/>
      <c r="Q225" s="381"/>
      <c r="R225" s="381"/>
      <c r="S225" s="134" t="s">
        <v>1098</v>
      </c>
      <c r="T225" s="134" t="s">
        <v>1099</v>
      </c>
      <c r="U225" s="134" t="s">
        <v>160</v>
      </c>
      <c r="V225" s="132" t="s">
        <v>1229</v>
      </c>
    </row>
    <row r="226" spans="1:22">
      <c r="A226" s="74"/>
      <c r="B226" s="142" t="s">
        <v>1233</v>
      </c>
      <c r="C226" s="142"/>
      <c r="D226" s="381"/>
      <c r="E226" s="381">
        <f t="shared" ref="E226:G226" si="65">E227+E228+E229</f>
        <v>3</v>
      </c>
      <c r="F226" s="381">
        <f t="shared" si="65"/>
        <v>369</v>
      </c>
      <c r="G226" s="381">
        <f t="shared" si="65"/>
        <v>1292</v>
      </c>
      <c r="H226" s="381">
        <v>2018</v>
      </c>
      <c r="I226" s="381">
        <v>2020</v>
      </c>
      <c r="J226" s="381">
        <f t="shared" ref="J226:R226" si="66">J227+J228+J229</f>
        <v>950</v>
      </c>
      <c r="K226" s="381">
        <f t="shared" si="66"/>
        <v>950</v>
      </c>
      <c r="L226" s="381">
        <f t="shared" si="66"/>
        <v>0</v>
      </c>
      <c r="M226" s="381">
        <f t="shared" si="66"/>
        <v>0</v>
      </c>
      <c r="N226" s="381">
        <f t="shared" si="66"/>
        <v>0</v>
      </c>
      <c r="O226" s="381">
        <f t="shared" si="66"/>
        <v>0</v>
      </c>
      <c r="P226" s="381">
        <f t="shared" si="66"/>
        <v>0</v>
      </c>
      <c r="Q226" s="381">
        <f t="shared" si="66"/>
        <v>950</v>
      </c>
      <c r="R226" s="381">
        <f t="shared" si="66"/>
        <v>0</v>
      </c>
      <c r="S226" s="134"/>
      <c r="T226" s="134"/>
      <c r="U226" s="134"/>
      <c r="V226" s="132"/>
    </row>
    <row r="227" ht="24" spans="1:22">
      <c r="A227" s="74"/>
      <c r="B227" s="142" t="s">
        <v>1234</v>
      </c>
      <c r="C227" s="74" t="s">
        <v>52</v>
      </c>
      <c r="D227" s="71" t="s">
        <v>150</v>
      </c>
      <c r="E227" s="71">
        <v>1</v>
      </c>
      <c r="F227" s="71">
        <v>160</v>
      </c>
      <c r="G227" s="71">
        <v>581</v>
      </c>
      <c r="H227" s="71">
        <v>2018</v>
      </c>
      <c r="I227" s="71">
        <v>2019</v>
      </c>
      <c r="J227" s="71">
        <v>500</v>
      </c>
      <c r="K227" s="381">
        <v>500</v>
      </c>
      <c r="L227" s="381"/>
      <c r="M227" s="381"/>
      <c r="N227" s="381"/>
      <c r="O227" s="381"/>
      <c r="P227" s="381"/>
      <c r="Q227" s="381">
        <v>500</v>
      </c>
      <c r="R227" s="381"/>
      <c r="S227" s="142" t="s">
        <v>1098</v>
      </c>
      <c r="T227" s="142" t="s">
        <v>1099</v>
      </c>
      <c r="U227" s="142" t="s">
        <v>160</v>
      </c>
      <c r="V227" s="142" t="s">
        <v>1079</v>
      </c>
    </row>
    <row r="228" ht="24" spans="1:22">
      <c r="A228" s="74"/>
      <c r="B228" s="142" t="s">
        <v>1235</v>
      </c>
      <c r="C228" s="74" t="s">
        <v>52</v>
      </c>
      <c r="D228" s="71" t="s">
        <v>150</v>
      </c>
      <c r="E228" s="71">
        <v>1</v>
      </c>
      <c r="F228" s="71">
        <v>187</v>
      </c>
      <c r="G228" s="71">
        <v>623</v>
      </c>
      <c r="H228" s="71">
        <v>2018</v>
      </c>
      <c r="I228" s="71">
        <v>2019</v>
      </c>
      <c r="J228" s="71">
        <v>300</v>
      </c>
      <c r="K228" s="381">
        <v>300</v>
      </c>
      <c r="L228" s="381"/>
      <c r="M228" s="381"/>
      <c r="N228" s="381"/>
      <c r="O228" s="381"/>
      <c r="P228" s="381"/>
      <c r="Q228" s="381">
        <v>300</v>
      </c>
      <c r="R228" s="381"/>
      <c r="S228" s="142" t="s">
        <v>1098</v>
      </c>
      <c r="T228" s="142" t="s">
        <v>1099</v>
      </c>
      <c r="U228" s="142" t="s">
        <v>160</v>
      </c>
      <c r="V228" s="142" t="s">
        <v>1079</v>
      </c>
    </row>
    <row r="229" ht="24" spans="1:22">
      <c r="A229" s="74"/>
      <c r="B229" s="142" t="s">
        <v>1236</v>
      </c>
      <c r="C229" s="74" t="s">
        <v>52</v>
      </c>
      <c r="D229" s="71" t="s">
        <v>150</v>
      </c>
      <c r="E229" s="71">
        <v>1</v>
      </c>
      <c r="F229" s="71">
        <v>22</v>
      </c>
      <c r="G229" s="71">
        <v>88</v>
      </c>
      <c r="H229" s="71">
        <v>2018</v>
      </c>
      <c r="I229" s="71">
        <v>2019</v>
      </c>
      <c r="J229" s="71">
        <v>150</v>
      </c>
      <c r="K229" s="71">
        <v>150</v>
      </c>
      <c r="L229" s="71"/>
      <c r="M229" s="71"/>
      <c r="N229" s="71"/>
      <c r="O229" s="71"/>
      <c r="P229" s="71"/>
      <c r="Q229" s="71">
        <v>150</v>
      </c>
      <c r="R229" s="71"/>
      <c r="S229" s="134" t="s">
        <v>1098</v>
      </c>
      <c r="T229" s="134" t="s">
        <v>1099</v>
      </c>
      <c r="U229" s="134" t="s">
        <v>160</v>
      </c>
      <c r="V229" s="132" t="s">
        <v>1229</v>
      </c>
    </row>
    <row r="230" s="619" customFormat="1" spans="1:22">
      <c r="A230" s="81">
        <v>74</v>
      </c>
      <c r="B230" s="633" t="s">
        <v>1048</v>
      </c>
      <c r="C230" s="81"/>
      <c r="D230" s="71"/>
      <c r="E230" s="71"/>
      <c r="F230" s="71">
        <f>F231+F246</f>
        <v>567</v>
      </c>
      <c r="G230" s="71">
        <f>G231+G246</f>
        <v>1982</v>
      </c>
      <c r="H230" s="71">
        <v>2018</v>
      </c>
      <c r="I230" s="71">
        <v>2020</v>
      </c>
      <c r="J230" s="71">
        <f t="shared" ref="J230:R230" si="67">J231</f>
        <v>415</v>
      </c>
      <c r="K230" s="71">
        <f t="shared" si="67"/>
        <v>400</v>
      </c>
      <c r="L230" s="71">
        <f t="shared" si="67"/>
        <v>15</v>
      </c>
      <c r="M230" s="71">
        <f t="shared" si="67"/>
        <v>0</v>
      </c>
      <c r="N230" s="71">
        <f t="shared" si="67"/>
        <v>0</v>
      </c>
      <c r="O230" s="71">
        <f t="shared" si="67"/>
        <v>280</v>
      </c>
      <c r="P230" s="71">
        <f t="shared" si="67"/>
        <v>35</v>
      </c>
      <c r="Q230" s="71">
        <f t="shared" si="67"/>
        <v>100</v>
      </c>
      <c r="R230" s="71">
        <f t="shared" si="67"/>
        <v>0</v>
      </c>
      <c r="S230" s="87"/>
      <c r="T230" s="87"/>
      <c r="U230" s="87"/>
      <c r="V230" s="132" t="s">
        <v>41</v>
      </c>
    </row>
    <row r="231" ht="20.1" customHeight="1" spans="1:22">
      <c r="A231" s="81">
        <v>75</v>
      </c>
      <c r="B231" s="142" t="s">
        <v>1049</v>
      </c>
      <c r="C231" s="74" t="s">
        <v>320</v>
      </c>
      <c r="D231" s="71" t="s">
        <v>320</v>
      </c>
      <c r="E231" s="71"/>
      <c r="F231" s="71">
        <f t="shared" ref="F231:R231" si="68">F232+F233+F234</f>
        <v>567</v>
      </c>
      <c r="G231" s="71">
        <f t="shared" si="68"/>
        <v>1982</v>
      </c>
      <c r="H231" s="71">
        <v>2018</v>
      </c>
      <c r="I231" s="71">
        <v>2020</v>
      </c>
      <c r="J231" s="71">
        <f t="shared" si="68"/>
        <v>415</v>
      </c>
      <c r="K231" s="71">
        <f t="shared" si="68"/>
        <v>400</v>
      </c>
      <c r="L231" s="71">
        <f t="shared" si="68"/>
        <v>15</v>
      </c>
      <c r="M231" s="71">
        <f t="shared" si="68"/>
        <v>0</v>
      </c>
      <c r="N231" s="71">
        <f t="shared" si="68"/>
        <v>0</v>
      </c>
      <c r="O231" s="71">
        <f t="shared" si="68"/>
        <v>280</v>
      </c>
      <c r="P231" s="71">
        <f t="shared" si="68"/>
        <v>35</v>
      </c>
      <c r="Q231" s="71">
        <f t="shared" si="68"/>
        <v>100</v>
      </c>
      <c r="R231" s="71">
        <f t="shared" si="68"/>
        <v>0</v>
      </c>
      <c r="S231" s="87"/>
      <c r="T231" s="87"/>
      <c r="U231" s="74" t="s">
        <v>320</v>
      </c>
      <c r="V231" s="132" t="s">
        <v>41</v>
      </c>
    </row>
    <row r="232" ht="20.1" customHeight="1" spans="1:22">
      <c r="A232" s="81">
        <v>76</v>
      </c>
      <c r="B232" s="142" t="s">
        <v>1237</v>
      </c>
      <c r="C232" s="74" t="s">
        <v>52</v>
      </c>
      <c r="D232" s="71" t="s">
        <v>202</v>
      </c>
      <c r="E232" s="71"/>
      <c r="F232" s="71"/>
      <c r="G232" s="71"/>
      <c r="H232" s="71"/>
      <c r="I232" s="71"/>
      <c r="J232" s="71">
        <f t="shared" ref="J232:J235" si="69">K232+L232+M232</f>
        <v>0</v>
      </c>
      <c r="K232" s="71"/>
      <c r="L232" s="71"/>
      <c r="M232" s="71"/>
      <c r="N232" s="71"/>
      <c r="O232" s="71"/>
      <c r="P232" s="71"/>
      <c r="Q232" s="71"/>
      <c r="R232" s="71"/>
      <c r="S232" s="87"/>
      <c r="T232" s="87"/>
      <c r="U232" s="134" t="s">
        <v>497</v>
      </c>
      <c r="V232" s="132" t="s">
        <v>41</v>
      </c>
    </row>
    <row r="233" ht="20.1" customHeight="1" spans="1:22">
      <c r="A233" s="81">
        <v>77</v>
      </c>
      <c r="B233" s="74" t="s">
        <v>1238</v>
      </c>
      <c r="C233" s="74" t="s">
        <v>320</v>
      </c>
      <c r="D233" s="71" t="s">
        <v>320</v>
      </c>
      <c r="E233" s="71"/>
      <c r="F233" s="71"/>
      <c r="G233" s="71"/>
      <c r="H233" s="71"/>
      <c r="I233" s="71"/>
      <c r="J233" s="71">
        <f t="shared" si="69"/>
        <v>0</v>
      </c>
      <c r="K233" s="71"/>
      <c r="L233" s="71"/>
      <c r="M233" s="71"/>
      <c r="N233" s="71"/>
      <c r="O233" s="71"/>
      <c r="P233" s="71"/>
      <c r="Q233" s="71"/>
      <c r="R233" s="71"/>
      <c r="S233" s="650"/>
      <c r="T233" s="650"/>
      <c r="U233" s="650" t="s">
        <v>160</v>
      </c>
      <c r="V233" s="132" t="s">
        <v>41</v>
      </c>
    </row>
    <row r="234" ht="24" spans="1:22">
      <c r="A234" s="81">
        <v>78</v>
      </c>
      <c r="B234" s="74" t="s">
        <v>1239</v>
      </c>
      <c r="C234" s="74" t="s">
        <v>320</v>
      </c>
      <c r="D234" s="71" t="s">
        <v>320</v>
      </c>
      <c r="E234" s="71">
        <v>10</v>
      </c>
      <c r="F234" s="71">
        <f t="shared" ref="F234:R234" si="70">F235+F236+F237+F238+F239+F240+F241+F242+F243+F244+F245</f>
        <v>567</v>
      </c>
      <c r="G234" s="71">
        <f t="shared" si="70"/>
        <v>1982</v>
      </c>
      <c r="H234" s="71">
        <v>2018</v>
      </c>
      <c r="I234" s="71">
        <v>2020</v>
      </c>
      <c r="J234" s="71">
        <f t="shared" si="70"/>
        <v>415</v>
      </c>
      <c r="K234" s="71">
        <f t="shared" si="70"/>
        <v>400</v>
      </c>
      <c r="L234" s="71">
        <f t="shared" si="70"/>
        <v>15</v>
      </c>
      <c r="M234" s="71">
        <f t="shared" si="70"/>
        <v>0</v>
      </c>
      <c r="N234" s="71">
        <f t="shared" si="70"/>
        <v>0</v>
      </c>
      <c r="O234" s="71">
        <f t="shared" si="70"/>
        <v>280</v>
      </c>
      <c r="P234" s="71">
        <f t="shared" si="70"/>
        <v>35</v>
      </c>
      <c r="Q234" s="71">
        <f t="shared" si="70"/>
        <v>100</v>
      </c>
      <c r="R234" s="71">
        <f t="shared" si="70"/>
        <v>0</v>
      </c>
      <c r="S234" s="134"/>
      <c r="T234" s="134"/>
      <c r="U234" s="134" t="s">
        <v>160</v>
      </c>
      <c r="V234" s="132" t="s">
        <v>41</v>
      </c>
    </row>
    <row r="235" ht="24" spans="1:22">
      <c r="A235" s="81"/>
      <c r="B235" s="74" t="s">
        <v>1240</v>
      </c>
      <c r="C235" s="74" t="s">
        <v>52</v>
      </c>
      <c r="D235" s="71" t="s">
        <v>150</v>
      </c>
      <c r="E235" s="71">
        <v>1</v>
      </c>
      <c r="F235" s="71">
        <v>8</v>
      </c>
      <c r="G235" s="71">
        <v>22</v>
      </c>
      <c r="H235" s="71">
        <v>2018</v>
      </c>
      <c r="I235" s="71">
        <v>2018</v>
      </c>
      <c r="J235" s="71">
        <f t="shared" si="69"/>
        <v>100</v>
      </c>
      <c r="K235" s="71">
        <v>100</v>
      </c>
      <c r="L235" s="71"/>
      <c r="M235" s="71"/>
      <c r="N235" s="71"/>
      <c r="O235" s="71">
        <f>J235</f>
        <v>100</v>
      </c>
      <c r="P235" s="71"/>
      <c r="Q235" s="71"/>
      <c r="R235" s="71"/>
      <c r="S235" s="134" t="s">
        <v>1098</v>
      </c>
      <c r="T235" s="134" t="s">
        <v>1099</v>
      </c>
      <c r="U235" s="134" t="s">
        <v>578</v>
      </c>
      <c r="V235" s="132" t="s">
        <v>41</v>
      </c>
    </row>
    <row r="236" spans="1:22">
      <c r="A236" s="81"/>
      <c r="B236" s="74"/>
      <c r="C236" s="74"/>
      <c r="D236" s="71"/>
      <c r="E236" s="71"/>
      <c r="F236" s="71"/>
      <c r="G236" s="71"/>
      <c r="H236" s="71"/>
      <c r="I236" s="71"/>
      <c r="J236" s="71"/>
      <c r="K236" s="71"/>
      <c r="L236" s="71"/>
      <c r="M236" s="71"/>
      <c r="N236" s="71"/>
      <c r="O236" s="71"/>
      <c r="P236" s="71"/>
      <c r="Q236" s="71"/>
      <c r="R236" s="71"/>
      <c r="S236" s="134"/>
      <c r="T236" s="134"/>
      <c r="U236" s="134"/>
      <c r="V236" s="132"/>
    </row>
    <row r="237" ht="56.25" spans="1:22">
      <c r="A237" s="81"/>
      <c r="B237" s="74" t="s">
        <v>1241</v>
      </c>
      <c r="C237" s="74" t="s">
        <v>52</v>
      </c>
      <c r="D237" s="71" t="s">
        <v>150</v>
      </c>
      <c r="E237" s="71">
        <v>1</v>
      </c>
      <c r="F237" s="71">
        <v>41</v>
      </c>
      <c r="G237" s="71">
        <v>146</v>
      </c>
      <c r="H237" s="71">
        <v>2018</v>
      </c>
      <c r="I237" s="71">
        <v>2020</v>
      </c>
      <c r="J237" s="71">
        <v>30</v>
      </c>
      <c r="K237" s="71">
        <v>30</v>
      </c>
      <c r="L237" s="71"/>
      <c r="M237" s="71"/>
      <c r="N237" s="71"/>
      <c r="O237" s="71">
        <v>30</v>
      </c>
      <c r="P237" s="71"/>
      <c r="Q237" s="71"/>
      <c r="R237" s="71"/>
      <c r="S237" s="134" t="s">
        <v>1096</v>
      </c>
      <c r="T237" s="134" t="s">
        <v>1115</v>
      </c>
      <c r="U237" s="134" t="s">
        <v>160</v>
      </c>
      <c r="V237" s="132" t="s">
        <v>1242</v>
      </c>
    </row>
    <row r="238" ht="56.25" spans="1:22">
      <c r="A238" s="81"/>
      <c r="B238" s="74" t="s">
        <v>1243</v>
      </c>
      <c r="C238" s="74" t="s">
        <v>52</v>
      </c>
      <c r="D238" s="71" t="s">
        <v>150</v>
      </c>
      <c r="E238" s="71">
        <v>1</v>
      </c>
      <c r="F238" s="71">
        <v>53</v>
      </c>
      <c r="G238" s="71">
        <v>186</v>
      </c>
      <c r="H238" s="71">
        <v>2018</v>
      </c>
      <c r="I238" s="71">
        <v>2020</v>
      </c>
      <c r="J238" s="71">
        <v>30</v>
      </c>
      <c r="K238" s="71">
        <v>30</v>
      </c>
      <c r="L238" s="71"/>
      <c r="M238" s="71"/>
      <c r="N238" s="71"/>
      <c r="O238" s="71">
        <v>30</v>
      </c>
      <c r="P238" s="71"/>
      <c r="Q238" s="71"/>
      <c r="R238" s="71"/>
      <c r="S238" s="134" t="s">
        <v>1096</v>
      </c>
      <c r="T238" s="134" t="s">
        <v>1115</v>
      </c>
      <c r="U238" s="134" t="s">
        <v>160</v>
      </c>
      <c r="V238" s="132" t="s">
        <v>1242</v>
      </c>
    </row>
    <row r="239" ht="56.25" spans="1:22">
      <c r="A239" s="81"/>
      <c r="B239" s="74" t="s">
        <v>1244</v>
      </c>
      <c r="C239" s="74" t="s">
        <v>52</v>
      </c>
      <c r="D239" s="71" t="s">
        <v>150</v>
      </c>
      <c r="E239" s="71">
        <v>1</v>
      </c>
      <c r="F239" s="71">
        <v>67</v>
      </c>
      <c r="G239" s="71">
        <v>235</v>
      </c>
      <c r="H239" s="71">
        <v>2018</v>
      </c>
      <c r="I239" s="71">
        <v>2020</v>
      </c>
      <c r="J239" s="71">
        <v>30</v>
      </c>
      <c r="K239" s="71">
        <v>15</v>
      </c>
      <c r="L239" s="71">
        <v>15</v>
      </c>
      <c r="M239" s="71"/>
      <c r="N239" s="71"/>
      <c r="O239" s="71">
        <v>30</v>
      </c>
      <c r="P239" s="71"/>
      <c r="Q239" s="71"/>
      <c r="R239" s="71"/>
      <c r="S239" s="134" t="s">
        <v>1096</v>
      </c>
      <c r="T239" s="134" t="s">
        <v>1115</v>
      </c>
      <c r="U239" s="134" t="s">
        <v>160</v>
      </c>
      <c r="V239" s="132" t="s">
        <v>1242</v>
      </c>
    </row>
    <row r="240" ht="56.25" spans="1:22">
      <c r="A240" s="81"/>
      <c r="B240" s="74" t="s">
        <v>1245</v>
      </c>
      <c r="C240" s="74" t="s">
        <v>52</v>
      </c>
      <c r="D240" s="71" t="s">
        <v>150</v>
      </c>
      <c r="E240" s="71">
        <v>1</v>
      </c>
      <c r="F240" s="71">
        <v>58</v>
      </c>
      <c r="G240" s="71">
        <v>203</v>
      </c>
      <c r="H240" s="71">
        <v>2018</v>
      </c>
      <c r="I240" s="71">
        <v>2020</v>
      </c>
      <c r="J240" s="71">
        <v>30</v>
      </c>
      <c r="K240" s="71">
        <v>30</v>
      </c>
      <c r="L240" s="71"/>
      <c r="M240" s="71"/>
      <c r="N240" s="71"/>
      <c r="O240" s="71">
        <v>30</v>
      </c>
      <c r="P240" s="71"/>
      <c r="Q240" s="71"/>
      <c r="R240" s="71"/>
      <c r="S240" s="134" t="s">
        <v>1096</v>
      </c>
      <c r="T240" s="134" t="s">
        <v>1115</v>
      </c>
      <c r="U240" s="134" t="s">
        <v>160</v>
      </c>
      <c r="V240" s="132" t="s">
        <v>1246</v>
      </c>
    </row>
    <row r="241" ht="56.25" spans="1:22">
      <c r="A241" s="81"/>
      <c r="B241" s="74" t="s">
        <v>1247</v>
      </c>
      <c r="C241" s="74" t="s">
        <v>52</v>
      </c>
      <c r="D241" s="71" t="s">
        <v>150</v>
      </c>
      <c r="E241" s="71">
        <v>1</v>
      </c>
      <c r="F241" s="71">
        <v>76</v>
      </c>
      <c r="G241" s="71">
        <v>266</v>
      </c>
      <c r="H241" s="71">
        <v>2018</v>
      </c>
      <c r="I241" s="71">
        <v>2020</v>
      </c>
      <c r="J241" s="71">
        <v>30</v>
      </c>
      <c r="K241" s="71">
        <v>30</v>
      </c>
      <c r="L241" s="71"/>
      <c r="M241" s="71"/>
      <c r="N241" s="71"/>
      <c r="O241" s="71">
        <v>30</v>
      </c>
      <c r="P241" s="71"/>
      <c r="Q241" s="71"/>
      <c r="R241" s="71"/>
      <c r="S241" s="134" t="s">
        <v>1096</v>
      </c>
      <c r="T241" s="134" t="s">
        <v>1115</v>
      </c>
      <c r="U241" s="134" t="s">
        <v>160</v>
      </c>
      <c r="V241" s="132" t="s">
        <v>1242</v>
      </c>
    </row>
    <row r="242" ht="56.25" spans="1:22">
      <c r="A242" s="81"/>
      <c r="B242" s="74" t="s">
        <v>1248</v>
      </c>
      <c r="C242" s="74" t="s">
        <v>52</v>
      </c>
      <c r="D242" s="71" t="s">
        <v>150</v>
      </c>
      <c r="E242" s="71">
        <v>1</v>
      </c>
      <c r="F242" s="71">
        <v>68</v>
      </c>
      <c r="G242" s="71">
        <v>238</v>
      </c>
      <c r="H242" s="71">
        <v>2018</v>
      </c>
      <c r="I242" s="71">
        <v>2020</v>
      </c>
      <c r="J242" s="71">
        <v>30</v>
      </c>
      <c r="K242" s="71">
        <v>30</v>
      </c>
      <c r="L242" s="71"/>
      <c r="M242" s="71"/>
      <c r="N242" s="71"/>
      <c r="O242" s="71">
        <v>30</v>
      </c>
      <c r="P242" s="71"/>
      <c r="Q242" s="71"/>
      <c r="R242" s="71"/>
      <c r="S242" s="134" t="s">
        <v>1096</v>
      </c>
      <c r="T242" s="134" t="s">
        <v>1115</v>
      </c>
      <c r="U242" s="134" t="s">
        <v>160</v>
      </c>
      <c r="V242" s="132" t="s">
        <v>1242</v>
      </c>
    </row>
    <row r="243" ht="135" spans="1:22">
      <c r="A243" s="81"/>
      <c r="B243" s="74" t="s">
        <v>1249</v>
      </c>
      <c r="C243" s="74" t="s">
        <v>52</v>
      </c>
      <c r="D243" s="71" t="s">
        <v>150</v>
      </c>
      <c r="E243" s="71">
        <v>1</v>
      </c>
      <c r="F243" s="71">
        <v>46</v>
      </c>
      <c r="G243" s="71">
        <v>161</v>
      </c>
      <c r="H243" s="71">
        <v>2018</v>
      </c>
      <c r="I243" s="71">
        <v>2020</v>
      </c>
      <c r="J243" s="71">
        <v>75</v>
      </c>
      <c r="K243" s="71">
        <v>75</v>
      </c>
      <c r="L243" s="71"/>
      <c r="M243" s="71"/>
      <c r="N243" s="71"/>
      <c r="O243" s="71"/>
      <c r="P243" s="71">
        <v>35</v>
      </c>
      <c r="Q243" s="71">
        <v>40</v>
      </c>
      <c r="R243" s="71"/>
      <c r="S243" s="134" t="s">
        <v>1096</v>
      </c>
      <c r="T243" s="134" t="s">
        <v>1115</v>
      </c>
      <c r="U243" s="134" t="s">
        <v>160</v>
      </c>
      <c r="V243" s="132" t="s">
        <v>1250</v>
      </c>
    </row>
    <row r="244" ht="90" spans="1:22">
      <c r="A244" s="81"/>
      <c r="B244" s="74" t="s">
        <v>1251</v>
      </c>
      <c r="C244" s="74" t="s">
        <v>52</v>
      </c>
      <c r="D244" s="71" t="s">
        <v>150</v>
      </c>
      <c r="E244" s="71">
        <v>1</v>
      </c>
      <c r="F244" s="71">
        <v>74</v>
      </c>
      <c r="G244" s="71">
        <v>259</v>
      </c>
      <c r="H244" s="71">
        <v>2018</v>
      </c>
      <c r="I244" s="71">
        <v>2020</v>
      </c>
      <c r="J244" s="71">
        <v>20</v>
      </c>
      <c r="K244" s="71">
        <v>20</v>
      </c>
      <c r="L244" s="71"/>
      <c r="M244" s="71"/>
      <c r="N244" s="71"/>
      <c r="O244" s="71"/>
      <c r="P244" s="71"/>
      <c r="Q244" s="71">
        <v>20</v>
      </c>
      <c r="R244" s="71"/>
      <c r="S244" s="134" t="s">
        <v>1096</v>
      </c>
      <c r="T244" s="134" t="s">
        <v>1115</v>
      </c>
      <c r="U244" s="134" t="s">
        <v>160</v>
      </c>
      <c r="V244" s="132" t="s">
        <v>1252</v>
      </c>
    </row>
    <row r="245" ht="90" spans="1:22">
      <c r="A245" s="81"/>
      <c r="B245" s="74" t="s">
        <v>1253</v>
      </c>
      <c r="C245" s="74" t="s">
        <v>52</v>
      </c>
      <c r="D245" s="71" t="s">
        <v>150</v>
      </c>
      <c r="E245" s="71">
        <v>1</v>
      </c>
      <c r="F245" s="71">
        <v>76</v>
      </c>
      <c r="G245" s="71">
        <v>266</v>
      </c>
      <c r="H245" s="71">
        <v>2018</v>
      </c>
      <c r="I245" s="71">
        <v>2020</v>
      </c>
      <c r="J245" s="71">
        <v>40</v>
      </c>
      <c r="K245" s="71">
        <v>40</v>
      </c>
      <c r="L245" s="71"/>
      <c r="M245" s="71"/>
      <c r="N245" s="71"/>
      <c r="O245" s="71"/>
      <c r="P245" s="71"/>
      <c r="Q245" s="71">
        <v>40</v>
      </c>
      <c r="R245" s="71"/>
      <c r="S245" s="134" t="s">
        <v>1096</v>
      </c>
      <c r="T245" s="134" t="s">
        <v>1115</v>
      </c>
      <c r="U245" s="134" t="s">
        <v>160</v>
      </c>
      <c r="V245" s="132" t="s">
        <v>1254</v>
      </c>
    </row>
    <row r="246" spans="1:22">
      <c r="A246" s="81">
        <v>79</v>
      </c>
      <c r="B246" s="659" t="s">
        <v>1059</v>
      </c>
      <c r="C246" s="659"/>
      <c r="D246" s="101"/>
      <c r="E246" s="101"/>
      <c r="F246" s="101"/>
      <c r="G246" s="101"/>
      <c r="H246" s="101"/>
      <c r="I246" s="101"/>
      <c r="J246" s="71">
        <f>K246+L246+M246</f>
        <v>0</v>
      </c>
      <c r="K246" s="101"/>
      <c r="L246" s="101"/>
      <c r="M246" s="101"/>
      <c r="N246" s="101"/>
      <c r="O246" s="101"/>
      <c r="P246" s="101"/>
      <c r="Q246" s="101"/>
      <c r="R246" s="101"/>
      <c r="S246" s="659"/>
      <c r="T246" s="659"/>
      <c r="U246" s="134" t="s">
        <v>43</v>
      </c>
      <c r="V246" s="132" t="s">
        <v>41</v>
      </c>
    </row>
    <row r="247" ht="20.1" customHeight="1" spans="1:22">
      <c r="A247" s="659"/>
      <c r="B247" s="659" t="s">
        <v>1255</v>
      </c>
      <c r="C247" s="659"/>
      <c r="D247" s="101"/>
      <c r="E247" s="101"/>
      <c r="F247" s="101"/>
      <c r="G247" s="101"/>
      <c r="H247" s="101"/>
      <c r="I247" s="101"/>
      <c r="J247" s="71">
        <f>K247+L247+M247</f>
        <v>0</v>
      </c>
      <c r="K247" s="101"/>
      <c r="L247" s="101"/>
      <c r="M247" s="101"/>
      <c r="N247" s="101"/>
      <c r="O247" s="101"/>
      <c r="P247" s="101"/>
      <c r="Q247" s="101"/>
      <c r="R247" s="101"/>
      <c r="S247" s="659"/>
      <c r="T247" s="659"/>
      <c r="U247" s="659"/>
      <c r="V247" s="132" t="s">
        <v>41</v>
      </c>
    </row>
    <row r="248" spans="1:22">
      <c r="A248" s="203" t="s">
        <v>1256</v>
      </c>
      <c r="V248" s="203"/>
    </row>
    <row r="249" ht="29.1" customHeight="1" spans="1:22">
      <c r="A249" s="204" t="s">
        <v>1257</v>
      </c>
      <c r="B249" s="204"/>
      <c r="C249" s="204"/>
      <c r="D249" s="204"/>
      <c r="E249" s="204"/>
      <c r="F249" s="204"/>
      <c r="G249" s="204"/>
      <c r="H249" s="204"/>
      <c r="I249" s="204"/>
      <c r="J249" s="204"/>
      <c r="K249" s="204"/>
      <c r="L249" s="204"/>
      <c r="M249" s="204"/>
      <c r="N249" s="204"/>
      <c r="O249" s="204"/>
      <c r="P249" s="204"/>
      <c r="Q249" s="204"/>
      <c r="R249" s="204"/>
      <c r="S249" s="204"/>
      <c r="T249" s="204"/>
      <c r="U249" s="204"/>
      <c r="V249" s="204"/>
    </row>
    <row r="250" ht="18.95" customHeight="1" spans="1:22">
      <c r="A250" s="203" t="s">
        <v>1258</v>
      </c>
      <c r="V250" s="203"/>
    </row>
  </sheetData>
  <mergeCells count="18">
    <mergeCell ref="A1:B1"/>
    <mergeCell ref="A2:V2"/>
    <mergeCell ref="A3:T3"/>
    <mergeCell ref="F4:G4"/>
    <mergeCell ref="H4:I4"/>
    <mergeCell ref="J4:M4"/>
    <mergeCell ref="N4:R4"/>
    <mergeCell ref="A248:V248"/>
    <mergeCell ref="A249:V249"/>
    <mergeCell ref="A250:V250"/>
    <mergeCell ref="A4:A5"/>
    <mergeCell ref="B4:B5"/>
    <mergeCell ref="C4:C5"/>
    <mergeCell ref="D4:D5"/>
    <mergeCell ref="E4:E5"/>
    <mergeCell ref="U4:U5"/>
    <mergeCell ref="V4:V5"/>
    <mergeCell ref="S4:T5"/>
  </mergeCells>
  <dataValidations count="1">
    <dataValidation allowBlank="1" showInputMessage="1" showErrorMessage="1" sqref="A2"/>
  </dataValidations>
  <pageMargins left="0.700694444444445" right="0.700694444444445" top="0.354166666666667" bottom="0.751388888888889" header="0.297916666666667" footer="0.297916666666667"/>
  <pageSetup paperSize="9" scale="72"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FV837"/>
  <sheetViews>
    <sheetView view="pageBreakPreview" zoomScale="78" zoomScaleNormal="90" topLeftCell="A269" workbookViewId="0">
      <selection activeCell="K283" sqref="K283"/>
    </sheetView>
  </sheetViews>
  <sheetFormatPr defaultColWidth="9" defaultRowHeight="18.95" customHeight="1"/>
  <cols>
    <col min="1" max="1" width="3.88333333333333" style="423" customWidth="1"/>
    <col min="2" max="2" width="19.8833333333333" style="63" customWidth="1"/>
    <col min="3" max="5" width="6.88333333333333" style="423" customWidth="1"/>
    <col min="6" max="6" width="9" style="423" customWidth="1"/>
    <col min="7" max="9" width="6.88333333333333" style="423" customWidth="1"/>
    <col min="10" max="10" width="17.3833333333333" style="423" customWidth="1"/>
    <col min="11" max="11" width="9.25" style="423" customWidth="1"/>
    <col min="12" max="12" width="6.88333333333333" style="423" customWidth="1"/>
    <col min="13" max="13" width="8.25" style="423" customWidth="1"/>
    <col min="14" max="14" width="5.75" style="423" customWidth="1"/>
    <col min="15" max="15" width="9.63333333333333" style="423" customWidth="1"/>
    <col min="16" max="16" width="9.88333333333333" style="423" customWidth="1"/>
    <col min="17" max="17" width="9.63333333333333" style="423" customWidth="1"/>
    <col min="18" max="21" width="10.1333333333333" style="423" customWidth="1"/>
    <col min="22" max="23" width="6.88333333333333" style="423" customWidth="1"/>
    <col min="24" max="24" width="4.13333333333333" style="423" customWidth="1"/>
    <col min="25" max="25" width="3.75" style="423" customWidth="1"/>
    <col min="26" max="26" width="4.38333333333333" style="423" customWidth="1"/>
    <col min="27" max="28" width="5.88333333333333" style="423" customWidth="1"/>
    <col min="29" max="29" width="6.25" style="423" customWidth="1"/>
    <col min="30" max="30" width="5.63333333333333" style="419" customWidth="1"/>
    <col min="31" max="16304" width="5.63333333333333" style="63"/>
    <col min="16305" max="16384" width="9" style="63"/>
  </cols>
  <sheetData>
    <row r="1" s="68" customFormat="1" customHeight="1" spans="1:178">
      <c r="A1" s="571" t="s">
        <v>0</v>
      </c>
      <c r="B1" s="571"/>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row>
    <row r="2" s="68" customFormat="1" ht="39.95" customHeight="1" spans="1:178">
      <c r="A2" s="573" t="s">
        <v>1259</v>
      </c>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row>
    <row r="3" s="355" customFormat="1" customHeight="1" spans="1:30">
      <c r="A3" s="574" t="s">
        <v>1260</v>
      </c>
      <c r="B3" s="574"/>
      <c r="C3" s="574"/>
      <c r="D3" s="574"/>
      <c r="E3" s="574"/>
      <c r="F3" s="574"/>
      <c r="G3" s="574"/>
      <c r="H3" s="574"/>
      <c r="I3" s="574"/>
      <c r="J3" s="574"/>
      <c r="K3" s="577"/>
      <c r="L3" s="577"/>
      <c r="M3" s="574"/>
      <c r="N3" s="574"/>
      <c r="O3" s="578"/>
      <c r="P3" s="578"/>
      <c r="Q3" s="578"/>
      <c r="R3" s="578"/>
      <c r="S3" s="578"/>
      <c r="T3" s="578"/>
      <c r="U3" s="578"/>
      <c r="V3" s="578"/>
      <c r="W3" s="574"/>
      <c r="X3" s="574"/>
      <c r="Y3" s="574"/>
      <c r="Z3" s="574"/>
      <c r="AA3" s="574"/>
      <c r="AB3" s="574"/>
      <c r="AC3" s="574"/>
      <c r="AD3" s="574"/>
    </row>
    <row r="4" s="569" customFormat="1" customHeight="1" spans="1:30">
      <c r="A4" s="80" t="s">
        <v>3</v>
      </c>
      <c r="B4" s="80" t="s">
        <v>4</v>
      </c>
      <c r="C4" s="80" t="s">
        <v>1066</v>
      </c>
      <c r="D4" s="575" t="s">
        <v>6</v>
      </c>
      <c r="E4" s="575"/>
      <c r="F4" s="80" t="s">
        <v>10</v>
      </c>
      <c r="G4" s="80"/>
      <c r="H4" s="80"/>
      <c r="I4" s="80"/>
      <c r="J4" s="80" t="s">
        <v>9</v>
      </c>
      <c r="K4" s="579" t="s">
        <v>16</v>
      </c>
      <c r="L4" s="579"/>
      <c r="M4" s="80" t="s">
        <v>11</v>
      </c>
      <c r="N4" s="80"/>
      <c r="O4" s="580" t="s">
        <v>12</v>
      </c>
      <c r="P4" s="580"/>
      <c r="Q4" s="580"/>
      <c r="R4" s="580"/>
      <c r="S4" s="580" t="s">
        <v>13</v>
      </c>
      <c r="T4" s="580"/>
      <c r="U4" s="580"/>
      <c r="V4" s="580"/>
      <c r="W4" s="78"/>
      <c r="X4" s="78" t="s">
        <v>32</v>
      </c>
      <c r="Y4" s="78" t="s">
        <v>33</v>
      </c>
      <c r="Z4" s="78" t="s">
        <v>34</v>
      </c>
      <c r="AA4" s="78" t="s">
        <v>18</v>
      </c>
      <c r="AB4" s="78"/>
      <c r="AC4" s="78" t="s">
        <v>19</v>
      </c>
      <c r="AD4" s="80" t="s">
        <v>20</v>
      </c>
    </row>
    <row r="5" s="569" customFormat="1" ht="24.95" customHeight="1" spans="1:30">
      <c r="A5" s="80"/>
      <c r="B5" s="80"/>
      <c r="C5" s="80"/>
      <c r="D5" s="575"/>
      <c r="E5" s="575"/>
      <c r="F5" s="80" t="s">
        <v>21</v>
      </c>
      <c r="G5" s="80" t="s">
        <v>1261</v>
      </c>
      <c r="H5" s="80"/>
      <c r="I5" s="80"/>
      <c r="J5" s="80"/>
      <c r="K5" s="581" t="s">
        <v>30</v>
      </c>
      <c r="L5" s="581" t="s">
        <v>31</v>
      </c>
      <c r="M5" s="80" t="s">
        <v>22</v>
      </c>
      <c r="N5" s="80" t="s">
        <v>23</v>
      </c>
      <c r="O5" s="580" t="s">
        <v>24</v>
      </c>
      <c r="P5" s="580"/>
      <c r="Q5" s="580"/>
      <c r="R5" s="580"/>
      <c r="S5" s="582" t="s">
        <v>25</v>
      </c>
      <c r="T5" s="582" t="s">
        <v>26</v>
      </c>
      <c r="U5" s="582" t="s">
        <v>27</v>
      </c>
      <c r="V5" s="582" t="s">
        <v>28</v>
      </c>
      <c r="W5" s="80" t="s">
        <v>29</v>
      </c>
      <c r="X5" s="78"/>
      <c r="Y5" s="78"/>
      <c r="Z5" s="78"/>
      <c r="AA5" s="78"/>
      <c r="AB5" s="78"/>
      <c r="AC5" s="78"/>
      <c r="AD5" s="80"/>
    </row>
    <row r="6" s="423" customFormat="1" ht="33.95" customHeight="1" spans="1:30">
      <c r="A6" s="80"/>
      <c r="B6" s="80"/>
      <c r="C6" s="80"/>
      <c r="D6" s="575"/>
      <c r="E6" s="575"/>
      <c r="F6" s="80"/>
      <c r="G6" s="80" t="s">
        <v>591</v>
      </c>
      <c r="H6" s="80" t="s">
        <v>592</v>
      </c>
      <c r="I6" s="80" t="s">
        <v>593</v>
      </c>
      <c r="J6" s="80"/>
      <c r="K6" s="581"/>
      <c r="L6" s="581"/>
      <c r="M6" s="80"/>
      <c r="N6" s="80"/>
      <c r="O6" s="582" t="s">
        <v>38</v>
      </c>
      <c r="P6" s="582" t="s">
        <v>591</v>
      </c>
      <c r="Q6" s="582" t="s">
        <v>592</v>
      </c>
      <c r="R6" s="582" t="s">
        <v>593</v>
      </c>
      <c r="S6" s="582"/>
      <c r="T6" s="582"/>
      <c r="U6" s="582"/>
      <c r="V6" s="582"/>
      <c r="W6" s="80"/>
      <c r="X6" s="78"/>
      <c r="Y6" s="78"/>
      <c r="Z6" s="78"/>
      <c r="AA6" s="78"/>
      <c r="AB6" s="78"/>
      <c r="AC6" s="78"/>
      <c r="AD6" s="80"/>
    </row>
    <row r="7" customHeight="1" spans="1:30">
      <c r="A7" s="76">
        <v>0</v>
      </c>
      <c r="B7" s="76" t="s">
        <v>39</v>
      </c>
      <c r="C7" s="76" t="s">
        <v>320</v>
      </c>
      <c r="D7" s="76" t="s">
        <v>320</v>
      </c>
      <c r="E7" s="76"/>
      <c r="F7" s="76"/>
      <c r="G7" s="80"/>
      <c r="H7" s="80"/>
      <c r="I7" s="80"/>
      <c r="J7" s="80"/>
      <c r="K7" s="76"/>
      <c r="L7" s="76"/>
      <c r="M7" s="76"/>
      <c r="N7" s="76"/>
      <c r="O7" s="76">
        <f t="shared" ref="O7:W7" si="0">SUM(O8+O91+O190+O281+O489+O550+O595+O668+O808)</f>
        <v>33895.150662</v>
      </c>
      <c r="P7" s="76">
        <f t="shared" si="0"/>
        <v>17971.0312666667</v>
      </c>
      <c r="Q7" s="76">
        <f t="shared" si="0"/>
        <v>14105.4612206667</v>
      </c>
      <c r="R7" s="76">
        <f t="shared" si="0"/>
        <v>1818.65817466667</v>
      </c>
      <c r="S7" s="76">
        <f t="shared" si="0"/>
        <v>7561.854</v>
      </c>
      <c r="T7" s="76">
        <f t="shared" si="0"/>
        <v>20163.632862</v>
      </c>
      <c r="U7" s="76">
        <f t="shared" si="0"/>
        <v>5976.6138</v>
      </c>
      <c r="V7" s="76">
        <f t="shared" si="0"/>
        <v>193.05</v>
      </c>
      <c r="W7" s="76">
        <f t="shared" si="0"/>
        <v>0</v>
      </c>
      <c r="X7" s="91"/>
      <c r="Y7" s="78"/>
      <c r="Z7" s="78"/>
      <c r="AA7" s="76" t="s">
        <v>320</v>
      </c>
      <c r="AB7" s="76" t="s">
        <v>320</v>
      </c>
      <c r="AC7" s="76" t="s">
        <v>320</v>
      </c>
      <c r="AD7" s="136"/>
    </row>
    <row r="8" customHeight="1" spans="1:30">
      <c r="A8" s="76">
        <v>1</v>
      </c>
      <c r="B8" s="92" t="s">
        <v>742</v>
      </c>
      <c r="C8" s="76" t="s">
        <v>52</v>
      </c>
      <c r="D8" s="76" t="s">
        <v>384</v>
      </c>
      <c r="E8" s="76"/>
      <c r="F8" s="76"/>
      <c r="G8" s="76"/>
      <c r="H8" s="76"/>
      <c r="I8" s="76"/>
      <c r="J8" s="99"/>
      <c r="K8" s="76"/>
      <c r="L8" s="76"/>
      <c r="M8" s="76"/>
      <c r="N8" s="76"/>
      <c r="O8" s="76">
        <f t="shared" ref="O8:W8" si="1">SUM(O9+O18+O73)</f>
        <v>11861.55</v>
      </c>
      <c r="P8" s="76">
        <f t="shared" si="1"/>
        <v>9664.35</v>
      </c>
      <c r="Q8" s="76">
        <f t="shared" si="1"/>
        <v>2197.2</v>
      </c>
      <c r="R8" s="76">
        <f t="shared" si="1"/>
        <v>0</v>
      </c>
      <c r="S8" s="76">
        <f t="shared" si="1"/>
        <v>1662.075</v>
      </c>
      <c r="T8" s="76">
        <f t="shared" si="1"/>
        <v>5459.4</v>
      </c>
      <c r="U8" s="76">
        <f t="shared" si="1"/>
        <v>4740.075</v>
      </c>
      <c r="V8" s="76">
        <f t="shared" si="1"/>
        <v>0</v>
      </c>
      <c r="W8" s="76">
        <f t="shared" si="1"/>
        <v>0</v>
      </c>
      <c r="X8" s="91"/>
      <c r="Y8" s="99"/>
      <c r="Z8" s="99"/>
      <c r="AA8" s="76" t="s">
        <v>320</v>
      </c>
      <c r="AB8" s="76" t="s">
        <v>320</v>
      </c>
      <c r="AC8" s="76" t="s">
        <v>320</v>
      </c>
      <c r="AD8" s="136"/>
    </row>
    <row r="9" ht="24" spans="1:30">
      <c r="A9" s="76">
        <v>2</v>
      </c>
      <c r="B9" s="92" t="s">
        <v>380</v>
      </c>
      <c r="C9" s="76" t="s">
        <v>52</v>
      </c>
      <c r="D9" s="76" t="s">
        <v>147</v>
      </c>
      <c r="E9" s="76"/>
      <c r="F9" s="76">
        <f t="shared" ref="F9:I9" si="2">SUM(F10:F17)</f>
        <v>420</v>
      </c>
      <c r="G9" s="76">
        <f t="shared" si="2"/>
        <v>412</v>
      </c>
      <c r="H9" s="76">
        <f t="shared" si="2"/>
        <v>8</v>
      </c>
      <c r="I9" s="76">
        <f t="shared" si="2"/>
        <v>0</v>
      </c>
      <c r="J9" s="76" t="s">
        <v>1262</v>
      </c>
      <c r="K9" s="76">
        <f t="shared" ref="K9:R9" si="3">SUM(K10:K17)</f>
        <v>73</v>
      </c>
      <c r="L9" s="76">
        <f t="shared" si="3"/>
        <v>285</v>
      </c>
      <c r="M9" s="76">
        <v>2018</v>
      </c>
      <c r="N9" s="76">
        <v>2019</v>
      </c>
      <c r="O9" s="76">
        <f t="shared" si="3"/>
        <v>5689.35</v>
      </c>
      <c r="P9" s="76">
        <f t="shared" si="3"/>
        <v>5626.95</v>
      </c>
      <c r="Q9" s="76">
        <f t="shared" si="3"/>
        <v>62.4</v>
      </c>
      <c r="R9" s="76">
        <f t="shared" si="3"/>
        <v>0</v>
      </c>
      <c r="S9" s="76">
        <f>O9-U9</f>
        <v>1662.075</v>
      </c>
      <c r="T9" s="76">
        <f t="shared" ref="T9:W9" si="4">SUM(T10:T17)</f>
        <v>0</v>
      </c>
      <c r="U9" s="76">
        <f t="shared" si="4"/>
        <v>4027.275</v>
      </c>
      <c r="V9" s="76">
        <f t="shared" si="4"/>
        <v>0</v>
      </c>
      <c r="W9" s="76">
        <f t="shared" si="4"/>
        <v>0</v>
      </c>
      <c r="X9" s="583" t="s">
        <v>1038</v>
      </c>
      <c r="Y9" s="76"/>
      <c r="Z9" s="76"/>
      <c r="AA9" s="76" t="s">
        <v>1263</v>
      </c>
      <c r="AB9" s="76" t="s">
        <v>1264</v>
      </c>
      <c r="AC9" s="76" t="s">
        <v>201</v>
      </c>
      <c r="AD9" s="136"/>
    </row>
    <row r="10" customHeight="1" spans="1:30">
      <c r="A10" s="76"/>
      <c r="B10" s="212" t="s">
        <v>1265</v>
      </c>
      <c r="C10" s="76" t="s">
        <v>52</v>
      </c>
      <c r="D10" s="76" t="s">
        <v>147</v>
      </c>
      <c r="E10" s="76"/>
      <c r="F10" s="76">
        <v>24</v>
      </c>
      <c r="G10" s="76">
        <v>24</v>
      </c>
      <c r="H10" s="76"/>
      <c r="I10" s="76"/>
      <c r="J10" s="76">
        <v>24</v>
      </c>
      <c r="K10" s="76">
        <v>7</v>
      </c>
      <c r="L10" s="76">
        <v>24</v>
      </c>
      <c r="M10" s="76">
        <v>2018</v>
      </c>
      <c r="N10" s="76">
        <v>2018</v>
      </c>
      <c r="O10" s="76">
        <f t="shared" ref="O10:O17" si="5">SUM(P10:R10)</f>
        <v>138.6</v>
      </c>
      <c r="P10" s="76">
        <f t="shared" ref="P10:P16" si="6">5.775*(L10-H10)</f>
        <v>138.6</v>
      </c>
      <c r="Q10" s="76">
        <f t="shared" ref="Q10:Q17" si="7">7.8*H10</f>
        <v>0</v>
      </c>
      <c r="R10" s="76"/>
      <c r="S10" s="76"/>
      <c r="T10" s="76"/>
      <c r="U10" s="76"/>
      <c r="V10" s="76"/>
      <c r="W10" s="76"/>
      <c r="X10" s="583"/>
      <c r="Y10" s="76"/>
      <c r="Z10" s="76"/>
      <c r="AA10" s="76"/>
      <c r="AB10" s="76"/>
      <c r="AC10" s="76"/>
      <c r="AD10" s="136"/>
    </row>
    <row r="11" customHeight="1" spans="1:30">
      <c r="A11" s="76"/>
      <c r="B11" s="212" t="s">
        <v>1266</v>
      </c>
      <c r="C11" s="76" t="s">
        <v>52</v>
      </c>
      <c r="D11" s="76" t="s">
        <v>147</v>
      </c>
      <c r="E11" s="76"/>
      <c r="F11" s="76">
        <v>31</v>
      </c>
      <c r="G11" s="76">
        <v>28</v>
      </c>
      <c r="H11" s="76">
        <v>3</v>
      </c>
      <c r="I11" s="76"/>
      <c r="J11" s="76">
        <v>31</v>
      </c>
      <c r="K11" s="76">
        <v>8</v>
      </c>
      <c r="L11" s="76">
        <v>31</v>
      </c>
      <c r="M11" s="76">
        <v>2018</v>
      </c>
      <c r="N11" s="76">
        <v>2019</v>
      </c>
      <c r="O11" s="76">
        <f t="shared" si="5"/>
        <v>185.1</v>
      </c>
      <c r="P11" s="76">
        <f t="shared" si="6"/>
        <v>161.7</v>
      </c>
      <c r="Q11" s="76">
        <f t="shared" si="7"/>
        <v>23.4</v>
      </c>
      <c r="R11" s="76"/>
      <c r="S11" s="76"/>
      <c r="T11" s="76"/>
      <c r="U11" s="76"/>
      <c r="V11" s="76"/>
      <c r="W11" s="76"/>
      <c r="X11" s="583"/>
      <c r="Y11" s="76"/>
      <c r="Z11" s="76"/>
      <c r="AA11" s="76"/>
      <c r="AB11" s="76"/>
      <c r="AC11" s="76"/>
      <c r="AD11" s="136"/>
    </row>
    <row r="12" customHeight="1" spans="1:30">
      <c r="A12" s="76"/>
      <c r="B12" s="212" t="s">
        <v>1267</v>
      </c>
      <c r="C12" s="76" t="s">
        <v>52</v>
      </c>
      <c r="D12" s="76" t="s">
        <v>147</v>
      </c>
      <c r="E12" s="76"/>
      <c r="F12" s="76">
        <v>57</v>
      </c>
      <c r="G12" s="76">
        <v>54</v>
      </c>
      <c r="H12" s="76">
        <v>3</v>
      </c>
      <c r="I12" s="76"/>
      <c r="J12" s="76">
        <v>57</v>
      </c>
      <c r="K12" s="76">
        <v>13</v>
      </c>
      <c r="L12" s="76">
        <v>57</v>
      </c>
      <c r="M12" s="76">
        <v>2018</v>
      </c>
      <c r="N12" s="76">
        <v>2019</v>
      </c>
      <c r="O12" s="76">
        <f t="shared" si="5"/>
        <v>335.25</v>
      </c>
      <c r="P12" s="76">
        <f t="shared" si="6"/>
        <v>311.85</v>
      </c>
      <c r="Q12" s="76">
        <f t="shared" si="7"/>
        <v>23.4</v>
      </c>
      <c r="R12" s="76"/>
      <c r="S12" s="76"/>
      <c r="T12" s="76"/>
      <c r="U12" s="76"/>
      <c r="V12" s="76"/>
      <c r="W12" s="76"/>
      <c r="X12" s="583"/>
      <c r="Y12" s="76"/>
      <c r="Z12" s="76"/>
      <c r="AA12" s="76"/>
      <c r="AB12" s="76"/>
      <c r="AC12" s="76"/>
      <c r="AD12" s="136"/>
    </row>
    <row r="13" customHeight="1" spans="1:30">
      <c r="A13" s="76"/>
      <c r="B13" s="212" t="s">
        <v>1268</v>
      </c>
      <c r="C13" s="76" t="s">
        <v>52</v>
      </c>
      <c r="D13" s="76" t="s">
        <v>147</v>
      </c>
      <c r="E13" s="76"/>
      <c r="F13" s="76">
        <v>260</v>
      </c>
      <c r="G13" s="76">
        <v>260</v>
      </c>
      <c r="H13" s="76"/>
      <c r="I13" s="76"/>
      <c r="J13" s="76">
        <v>260</v>
      </c>
      <c r="K13" s="76">
        <v>32</v>
      </c>
      <c r="L13" s="76">
        <v>127</v>
      </c>
      <c r="M13" s="76">
        <v>2018</v>
      </c>
      <c r="N13" s="76">
        <v>2018</v>
      </c>
      <c r="O13" s="76">
        <f t="shared" si="5"/>
        <v>733.425</v>
      </c>
      <c r="P13" s="76">
        <f t="shared" si="6"/>
        <v>733.425</v>
      </c>
      <c r="Q13" s="76">
        <f t="shared" si="7"/>
        <v>0</v>
      </c>
      <c r="R13" s="76"/>
      <c r="S13" s="76"/>
      <c r="T13" s="76"/>
      <c r="U13" s="76"/>
      <c r="V13" s="76"/>
      <c r="W13" s="76"/>
      <c r="X13" s="583"/>
      <c r="Y13" s="76"/>
      <c r="Z13" s="76"/>
      <c r="AA13" s="76"/>
      <c r="AB13" s="76"/>
      <c r="AC13" s="76"/>
      <c r="AD13" s="136"/>
    </row>
    <row r="14" customHeight="1" spans="1:30">
      <c r="A14" s="76"/>
      <c r="B14" s="212" t="s">
        <v>1269</v>
      </c>
      <c r="C14" s="76" t="s">
        <v>52</v>
      </c>
      <c r="D14" s="76" t="s">
        <v>147</v>
      </c>
      <c r="E14" s="76"/>
      <c r="F14" s="76">
        <v>26</v>
      </c>
      <c r="G14" s="76">
        <v>24</v>
      </c>
      <c r="H14" s="76">
        <v>2</v>
      </c>
      <c r="I14" s="76"/>
      <c r="J14" s="76">
        <v>24</v>
      </c>
      <c r="K14" s="76">
        <v>8</v>
      </c>
      <c r="L14" s="76">
        <v>24</v>
      </c>
      <c r="M14" s="76">
        <v>2018</v>
      </c>
      <c r="N14" s="76">
        <v>2019</v>
      </c>
      <c r="O14" s="76">
        <f t="shared" si="5"/>
        <v>142.65</v>
      </c>
      <c r="P14" s="76">
        <f t="shared" si="6"/>
        <v>127.05</v>
      </c>
      <c r="Q14" s="76">
        <f t="shared" si="7"/>
        <v>15.6</v>
      </c>
      <c r="R14" s="76"/>
      <c r="S14" s="76"/>
      <c r="T14" s="76"/>
      <c r="U14" s="76"/>
      <c r="V14" s="76"/>
      <c r="W14" s="76"/>
      <c r="X14" s="583"/>
      <c r="Y14" s="76"/>
      <c r="Z14" s="76"/>
      <c r="AA14" s="76"/>
      <c r="AB14" s="76"/>
      <c r="AC14" s="76"/>
      <c r="AD14" s="136"/>
    </row>
    <row r="15" customHeight="1" spans="1:30">
      <c r="A15" s="76"/>
      <c r="B15" s="212" t="s">
        <v>1270</v>
      </c>
      <c r="C15" s="76" t="s">
        <v>52</v>
      </c>
      <c r="D15" s="76" t="s">
        <v>147</v>
      </c>
      <c r="E15" s="76"/>
      <c r="F15" s="76">
        <v>20</v>
      </c>
      <c r="G15" s="76">
        <v>20</v>
      </c>
      <c r="H15" s="76"/>
      <c r="I15" s="76"/>
      <c r="J15" s="76">
        <v>20</v>
      </c>
      <c r="K15" s="76">
        <v>4</v>
      </c>
      <c r="L15" s="76">
        <v>20</v>
      </c>
      <c r="M15" s="76">
        <v>2018</v>
      </c>
      <c r="N15" s="76">
        <v>2018</v>
      </c>
      <c r="O15" s="76">
        <f t="shared" si="5"/>
        <v>115.5</v>
      </c>
      <c r="P15" s="76">
        <f t="shared" si="6"/>
        <v>115.5</v>
      </c>
      <c r="Q15" s="76">
        <f t="shared" si="7"/>
        <v>0</v>
      </c>
      <c r="R15" s="76"/>
      <c r="S15" s="76"/>
      <c r="T15" s="76"/>
      <c r="U15" s="76"/>
      <c r="V15" s="76"/>
      <c r="W15" s="76"/>
      <c r="X15" s="583"/>
      <c r="Y15" s="76"/>
      <c r="Z15" s="76"/>
      <c r="AA15" s="76"/>
      <c r="AB15" s="76"/>
      <c r="AC15" s="76"/>
      <c r="AD15" s="136"/>
    </row>
    <row r="16" customHeight="1" spans="1:30">
      <c r="A16" s="76"/>
      <c r="B16" s="212" t="s">
        <v>1271</v>
      </c>
      <c r="C16" s="76" t="s">
        <v>52</v>
      </c>
      <c r="D16" s="76" t="s">
        <v>147</v>
      </c>
      <c r="E16" s="76"/>
      <c r="F16" s="76">
        <v>2</v>
      </c>
      <c r="G16" s="76">
        <v>2</v>
      </c>
      <c r="H16" s="76"/>
      <c r="I16" s="76"/>
      <c r="J16" s="76">
        <v>2</v>
      </c>
      <c r="K16" s="76">
        <v>1</v>
      </c>
      <c r="L16" s="76">
        <v>2</v>
      </c>
      <c r="M16" s="76">
        <v>2018</v>
      </c>
      <c r="N16" s="76">
        <v>2018</v>
      </c>
      <c r="O16" s="76">
        <f t="shared" si="5"/>
        <v>11.55</v>
      </c>
      <c r="P16" s="76">
        <f t="shared" si="6"/>
        <v>11.55</v>
      </c>
      <c r="Q16" s="76">
        <f t="shared" si="7"/>
        <v>0</v>
      </c>
      <c r="R16" s="76"/>
      <c r="S16" s="76"/>
      <c r="T16" s="76"/>
      <c r="U16" s="76"/>
      <c r="V16" s="76"/>
      <c r="W16" s="76"/>
      <c r="X16" s="583"/>
      <c r="Y16" s="76"/>
      <c r="Z16" s="76"/>
      <c r="AA16" s="76"/>
      <c r="AB16" s="76"/>
      <c r="AC16" s="76"/>
      <c r="AD16" s="136"/>
    </row>
    <row r="17" ht="36" spans="1:30">
      <c r="A17" s="76"/>
      <c r="B17" s="71" t="s">
        <v>1272</v>
      </c>
      <c r="C17" s="76"/>
      <c r="D17" s="76"/>
      <c r="E17" s="76"/>
      <c r="F17" s="76"/>
      <c r="G17" s="76"/>
      <c r="H17" s="76"/>
      <c r="I17" s="76"/>
      <c r="J17" s="76"/>
      <c r="K17" s="76"/>
      <c r="L17" s="76"/>
      <c r="M17" s="76">
        <v>2018</v>
      </c>
      <c r="N17" s="76">
        <v>2019</v>
      </c>
      <c r="O17" s="76">
        <f t="shared" si="5"/>
        <v>4027.275</v>
      </c>
      <c r="P17" s="76">
        <v>4027.275</v>
      </c>
      <c r="Q17" s="76">
        <f t="shared" si="7"/>
        <v>0</v>
      </c>
      <c r="R17" s="76"/>
      <c r="S17" s="76"/>
      <c r="T17" s="76"/>
      <c r="U17" s="76">
        <v>4027.275</v>
      </c>
      <c r="V17" s="76"/>
      <c r="W17" s="76"/>
      <c r="X17" s="583"/>
      <c r="Y17" s="76"/>
      <c r="Z17" s="76"/>
      <c r="AA17" s="76"/>
      <c r="AB17" s="76"/>
      <c r="AC17" s="76"/>
      <c r="AD17" s="136"/>
    </row>
    <row r="18" customHeight="1" spans="1:30">
      <c r="A18" s="76">
        <v>3</v>
      </c>
      <c r="B18" s="92" t="s">
        <v>761</v>
      </c>
      <c r="C18" s="76" t="s">
        <v>52</v>
      </c>
      <c r="D18" s="76" t="s">
        <v>384</v>
      </c>
      <c r="E18" s="76"/>
      <c r="F18" s="76">
        <f t="shared" ref="F18:L18" si="8">F19+F37+F55</f>
        <v>2431</v>
      </c>
      <c r="G18" s="76">
        <f t="shared" si="8"/>
        <v>2431</v>
      </c>
      <c r="H18" s="76">
        <f t="shared" si="8"/>
        <v>0</v>
      </c>
      <c r="I18" s="76">
        <f t="shared" si="8"/>
        <v>0</v>
      </c>
      <c r="J18" s="76">
        <f t="shared" si="8"/>
        <v>2431</v>
      </c>
      <c r="K18" s="76">
        <f t="shared" si="8"/>
        <v>1263</v>
      </c>
      <c r="L18" s="76">
        <f t="shared" si="8"/>
        <v>4677</v>
      </c>
      <c r="M18" s="76">
        <v>2018</v>
      </c>
      <c r="N18" s="76">
        <v>2018</v>
      </c>
      <c r="O18" s="76">
        <f t="shared" ref="O18:W18" si="9">O19+O37+O55</f>
        <v>5459.4</v>
      </c>
      <c r="P18" s="76">
        <f t="shared" si="9"/>
        <v>4037.4</v>
      </c>
      <c r="Q18" s="76">
        <f t="shared" si="9"/>
        <v>1422</v>
      </c>
      <c r="R18" s="76">
        <f t="shared" si="9"/>
        <v>0</v>
      </c>
      <c r="S18" s="76">
        <f t="shared" si="9"/>
        <v>0</v>
      </c>
      <c r="T18" s="76">
        <f t="shared" si="9"/>
        <v>5459.4</v>
      </c>
      <c r="U18" s="76">
        <f t="shared" si="9"/>
        <v>0</v>
      </c>
      <c r="V18" s="76">
        <f t="shared" si="9"/>
        <v>0</v>
      </c>
      <c r="W18" s="76">
        <f t="shared" si="9"/>
        <v>0</v>
      </c>
      <c r="X18" s="583"/>
      <c r="Y18" s="76"/>
      <c r="Z18" s="76"/>
      <c r="AA18" s="76" t="s">
        <v>1273</v>
      </c>
      <c r="AB18" s="76" t="s">
        <v>1274</v>
      </c>
      <c r="AC18" s="76" t="s">
        <v>320</v>
      </c>
      <c r="AD18" s="136"/>
    </row>
    <row r="19" customHeight="1" spans="1:30">
      <c r="A19" s="76">
        <v>4</v>
      </c>
      <c r="B19" s="92" t="s">
        <v>1072</v>
      </c>
      <c r="C19" s="76" t="s">
        <v>52</v>
      </c>
      <c r="D19" s="76" t="s">
        <v>384</v>
      </c>
      <c r="E19" s="76"/>
      <c r="F19" s="151">
        <f t="shared" ref="F19:L19" si="10">SUM(F20:F36)</f>
        <v>474</v>
      </c>
      <c r="G19" s="151">
        <f t="shared" si="10"/>
        <v>474</v>
      </c>
      <c r="H19" s="151">
        <f t="shared" si="10"/>
        <v>0</v>
      </c>
      <c r="I19" s="151">
        <f t="shared" si="10"/>
        <v>0</v>
      </c>
      <c r="J19" s="151">
        <f t="shared" si="10"/>
        <v>474</v>
      </c>
      <c r="K19" s="151">
        <f t="shared" si="10"/>
        <v>257</v>
      </c>
      <c r="L19" s="151">
        <f t="shared" si="10"/>
        <v>952</v>
      </c>
      <c r="M19" s="76">
        <v>2018</v>
      </c>
      <c r="N19" s="76">
        <v>2018</v>
      </c>
      <c r="O19" s="151">
        <f>SUM(O20:O36)</f>
        <v>1422</v>
      </c>
      <c r="P19" s="151">
        <f>SUM(P20:P36)</f>
        <v>0</v>
      </c>
      <c r="Q19" s="151">
        <f t="shared" ref="Q19:W19" si="11">SUM(Q20:Q36)</f>
        <v>1422</v>
      </c>
      <c r="R19" s="151">
        <f t="shared" si="11"/>
        <v>0</v>
      </c>
      <c r="S19" s="151">
        <f t="shared" si="11"/>
        <v>0</v>
      </c>
      <c r="T19" s="151">
        <f t="shared" si="11"/>
        <v>1422</v>
      </c>
      <c r="U19" s="151">
        <f t="shared" si="11"/>
        <v>0</v>
      </c>
      <c r="V19" s="151">
        <f t="shared" si="11"/>
        <v>0</v>
      </c>
      <c r="W19" s="151">
        <f t="shared" si="11"/>
        <v>0</v>
      </c>
      <c r="X19" s="583" t="s">
        <v>1038</v>
      </c>
      <c r="Y19" s="76"/>
      <c r="Z19" s="76"/>
      <c r="AA19" s="76" t="s">
        <v>1273</v>
      </c>
      <c r="AB19" s="76" t="s">
        <v>1274</v>
      </c>
      <c r="AC19" s="76" t="s">
        <v>273</v>
      </c>
      <c r="AD19" s="136"/>
    </row>
    <row r="20" customHeight="1" spans="1:30">
      <c r="A20" s="76"/>
      <c r="B20" s="212" t="s">
        <v>1265</v>
      </c>
      <c r="C20" s="76" t="s">
        <v>52</v>
      </c>
      <c r="D20" s="76" t="s">
        <v>384</v>
      </c>
      <c r="E20" s="76"/>
      <c r="F20" s="76">
        <f t="shared" ref="F20:F36" si="12">SUM(G20:I20)</f>
        <v>8</v>
      </c>
      <c r="G20" s="151">
        <v>8</v>
      </c>
      <c r="H20" s="76"/>
      <c r="I20" s="76"/>
      <c r="J20" s="151">
        <v>8</v>
      </c>
      <c r="K20" s="76">
        <v>3</v>
      </c>
      <c r="L20" s="76">
        <f t="shared" ref="L20:L36" si="13">ROUND(K20*3.7,0)</f>
        <v>11</v>
      </c>
      <c r="M20" s="76">
        <v>2018</v>
      </c>
      <c r="N20" s="76">
        <v>2018</v>
      </c>
      <c r="O20" s="76">
        <f t="shared" ref="O20:O36" si="14">SUM(P20:R20)</f>
        <v>24</v>
      </c>
      <c r="P20" s="76"/>
      <c r="Q20" s="76">
        <v>24</v>
      </c>
      <c r="R20" s="76"/>
      <c r="S20" s="76"/>
      <c r="T20" s="76">
        <f t="shared" ref="T20:T36" si="15">O20</f>
        <v>24</v>
      </c>
      <c r="U20" s="76"/>
      <c r="V20" s="76"/>
      <c r="W20" s="76"/>
      <c r="X20" s="583"/>
      <c r="Y20" s="76"/>
      <c r="Z20" s="76"/>
      <c r="AA20" s="76"/>
      <c r="AB20" s="76"/>
      <c r="AC20" s="76"/>
      <c r="AD20" s="136"/>
    </row>
    <row r="21" customHeight="1" spans="1:30">
      <c r="A21" s="76"/>
      <c r="B21" s="212" t="s">
        <v>1266</v>
      </c>
      <c r="C21" s="76" t="s">
        <v>52</v>
      </c>
      <c r="D21" s="76" t="s">
        <v>384</v>
      </c>
      <c r="E21" s="76"/>
      <c r="F21" s="76">
        <f t="shared" si="12"/>
        <v>46</v>
      </c>
      <c r="G21" s="151">
        <v>46</v>
      </c>
      <c r="H21" s="76"/>
      <c r="I21" s="76"/>
      <c r="J21" s="151">
        <v>46</v>
      </c>
      <c r="K21" s="76">
        <v>20</v>
      </c>
      <c r="L21" s="76">
        <f t="shared" si="13"/>
        <v>74</v>
      </c>
      <c r="M21" s="76">
        <v>2018</v>
      </c>
      <c r="N21" s="76">
        <v>2018</v>
      </c>
      <c r="O21" s="76">
        <f t="shared" si="14"/>
        <v>138</v>
      </c>
      <c r="P21" s="76"/>
      <c r="Q21" s="76">
        <v>138</v>
      </c>
      <c r="R21" s="76"/>
      <c r="S21" s="76"/>
      <c r="T21" s="76">
        <f t="shared" si="15"/>
        <v>138</v>
      </c>
      <c r="U21" s="76"/>
      <c r="V21" s="76"/>
      <c r="W21" s="76"/>
      <c r="X21" s="583"/>
      <c r="Y21" s="76"/>
      <c r="Z21" s="76"/>
      <c r="AA21" s="76"/>
      <c r="AB21" s="76"/>
      <c r="AC21" s="76"/>
      <c r="AD21" s="136"/>
    </row>
    <row r="22" customHeight="1" spans="1:30">
      <c r="A22" s="76"/>
      <c r="B22" s="212" t="s">
        <v>1267</v>
      </c>
      <c r="C22" s="76" t="s">
        <v>52</v>
      </c>
      <c r="D22" s="76" t="s">
        <v>384</v>
      </c>
      <c r="E22" s="76"/>
      <c r="F22" s="76">
        <f t="shared" si="12"/>
        <v>27</v>
      </c>
      <c r="G22" s="151">
        <v>27</v>
      </c>
      <c r="H22" s="76"/>
      <c r="I22" s="76"/>
      <c r="J22" s="151">
        <v>27</v>
      </c>
      <c r="K22" s="76">
        <v>15</v>
      </c>
      <c r="L22" s="76">
        <f t="shared" si="13"/>
        <v>56</v>
      </c>
      <c r="M22" s="76">
        <v>2018</v>
      </c>
      <c r="N22" s="76">
        <v>2018</v>
      </c>
      <c r="O22" s="76">
        <f t="shared" si="14"/>
        <v>81</v>
      </c>
      <c r="P22" s="76"/>
      <c r="Q22" s="76">
        <v>81</v>
      </c>
      <c r="R22" s="76"/>
      <c r="S22" s="76"/>
      <c r="T22" s="76">
        <f t="shared" si="15"/>
        <v>81</v>
      </c>
      <c r="U22" s="76"/>
      <c r="V22" s="76"/>
      <c r="W22" s="76"/>
      <c r="X22" s="583"/>
      <c r="Y22" s="76"/>
      <c r="Z22" s="76"/>
      <c r="AA22" s="76"/>
      <c r="AB22" s="76"/>
      <c r="AC22" s="76"/>
      <c r="AD22" s="136"/>
    </row>
    <row r="23" customHeight="1" spans="1:30">
      <c r="A23" s="76"/>
      <c r="B23" s="212" t="s">
        <v>1268</v>
      </c>
      <c r="C23" s="76" t="s">
        <v>52</v>
      </c>
      <c r="D23" s="76" t="s">
        <v>384</v>
      </c>
      <c r="E23" s="76"/>
      <c r="F23" s="76">
        <f t="shared" si="12"/>
        <v>23</v>
      </c>
      <c r="G23" s="151">
        <v>23</v>
      </c>
      <c r="H23" s="76"/>
      <c r="I23" s="76"/>
      <c r="J23" s="151">
        <v>23</v>
      </c>
      <c r="K23" s="76">
        <v>9</v>
      </c>
      <c r="L23" s="76">
        <f t="shared" si="13"/>
        <v>33</v>
      </c>
      <c r="M23" s="76">
        <v>2018</v>
      </c>
      <c r="N23" s="76">
        <v>2018</v>
      </c>
      <c r="O23" s="76">
        <f t="shared" si="14"/>
        <v>69</v>
      </c>
      <c r="P23" s="76"/>
      <c r="Q23" s="76">
        <v>69</v>
      </c>
      <c r="R23" s="76"/>
      <c r="S23" s="76"/>
      <c r="T23" s="76">
        <f t="shared" si="15"/>
        <v>69</v>
      </c>
      <c r="U23" s="76"/>
      <c r="V23" s="76"/>
      <c r="W23" s="76"/>
      <c r="X23" s="583"/>
      <c r="Y23" s="76"/>
      <c r="Z23" s="76"/>
      <c r="AA23" s="76"/>
      <c r="AB23" s="76"/>
      <c r="AC23" s="76"/>
      <c r="AD23" s="136"/>
    </row>
    <row r="24" customHeight="1" spans="1:30">
      <c r="A24" s="76"/>
      <c r="B24" s="212" t="s">
        <v>1275</v>
      </c>
      <c r="C24" s="76" t="s">
        <v>52</v>
      </c>
      <c r="D24" s="76" t="s">
        <v>384</v>
      </c>
      <c r="E24" s="76"/>
      <c r="F24" s="76">
        <f t="shared" si="12"/>
        <v>54</v>
      </c>
      <c r="G24" s="151">
        <v>54</v>
      </c>
      <c r="H24" s="76"/>
      <c r="I24" s="76"/>
      <c r="J24" s="151">
        <v>54</v>
      </c>
      <c r="K24" s="76">
        <v>27</v>
      </c>
      <c r="L24" s="76">
        <f t="shared" si="13"/>
        <v>100</v>
      </c>
      <c r="M24" s="76">
        <v>2018</v>
      </c>
      <c r="N24" s="76">
        <v>2018</v>
      </c>
      <c r="O24" s="76">
        <f t="shared" si="14"/>
        <v>162</v>
      </c>
      <c r="P24" s="76"/>
      <c r="Q24" s="76">
        <v>162</v>
      </c>
      <c r="R24" s="76"/>
      <c r="S24" s="76"/>
      <c r="T24" s="76">
        <f t="shared" si="15"/>
        <v>162</v>
      </c>
      <c r="U24" s="76"/>
      <c r="V24" s="76"/>
      <c r="W24" s="76"/>
      <c r="X24" s="583"/>
      <c r="Y24" s="76"/>
      <c r="Z24" s="76"/>
      <c r="AA24" s="76"/>
      <c r="AB24" s="76"/>
      <c r="AC24" s="76"/>
      <c r="AD24" s="136"/>
    </row>
    <row r="25" customHeight="1" spans="1:30">
      <c r="A25" s="76"/>
      <c r="B25" s="212" t="s">
        <v>1276</v>
      </c>
      <c r="C25" s="76" t="s">
        <v>52</v>
      </c>
      <c r="D25" s="76" t="s">
        <v>384</v>
      </c>
      <c r="E25" s="76"/>
      <c r="F25" s="76">
        <f t="shared" si="12"/>
        <v>66</v>
      </c>
      <c r="G25" s="151">
        <v>66</v>
      </c>
      <c r="H25" s="76"/>
      <c r="I25" s="76"/>
      <c r="J25" s="151">
        <v>66</v>
      </c>
      <c r="K25" s="76">
        <v>35</v>
      </c>
      <c r="L25" s="76">
        <f t="shared" si="13"/>
        <v>130</v>
      </c>
      <c r="M25" s="76">
        <v>2018</v>
      </c>
      <c r="N25" s="76">
        <v>2018</v>
      </c>
      <c r="O25" s="76">
        <f t="shared" si="14"/>
        <v>198</v>
      </c>
      <c r="P25" s="76"/>
      <c r="Q25" s="76">
        <v>198</v>
      </c>
      <c r="R25" s="76"/>
      <c r="S25" s="76"/>
      <c r="T25" s="76">
        <f t="shared" si="15"/>
        <v>198</v>
      </c>
      <c r="U25" s="76"/>
      <c r="V25" s="76"/>
      <c r="W25" s="76"/>
      <c r="X25" s="583"/>
      <c r="Y25" s="76"/>
      <c r="Z25" s="76"/>
      <c r="AA25" s="76"/>
      <c r="AB25" s="76"/>
      <c r="AC25" s="76"/>
      <c r="AD25" s="136"/>
    </row>
    <row r="26" customHeight="1" spans="1:30">
      <c r="A26" s="76"/>
      <c r="B26" s="212" t="s">
        <v>1277</v>
      </c>
      <c r="C26" s="76" t="s">
        <v>52</v>
      </c>
      <c r="D26" s="76" t="s">
        <v>384</v>
      </c>
      <c r="E26" s="76"/>
      <c r="F26" s="76">
        <f t="shared" si="12"/>
        <v>36</v>
      </c>
      <c r="G26" s="151">
        <v>36</v>
      </c>
      <c r="H26" s="76"/>
      <c r="I26" s="76"/>
      <c r="J26" s="151">
        <v>36</v>
      </c>
      <c r="K26" s="76">
        <v>20</v>
      </c>
      <c r="L26" s="76">
        <f t="shared" si="13"/>
        <v>74</v>
      </c>
      <c r="M26" s="76">
        <v>2018</v>
      </c>
      <c r="N26" s="76">
        <v>2018</v>
      </c>
      <c r="O26" s="76">
        <f t="shared" si="14"/>
        <v>108</v>
      </c>
      <c r="P26" s="76"/>
      <c r="Q26" s="76">
        <v>108</v>
      </c>
      <c r="R26" s="76"/>
      <c r="S26" s="76"/>
      <c r="T26" s="76">
        <f t="shared" si="15"/>
        <v>108</v>
      </c>
      <c r="U26" s="76"/>
      <c r="V26" s="76"/>
      <c r="W26" s="76"/>
      <c r="X26" s="583"/>
      <c r="Y26" s="76"/>
      <c r="Z26" s="76"/>
      <c r="AA26" s="76"/>
      <c r="AB26" s="76"/>
      <c r="AC26" s="76"/>
      <c r="AD26" s="136"/>
    </row>
    <row r="27" customHeight="1" spans="1:30">
      <c r="A27" s="76"/>
      <c r="B27" s="212" t="s">
        <v>1278</v>
      </c>
      <c r="C27" s="76" t="s">
        <v>52</v>
      </c>
      <c r="D27" s="76" t="s">
        <v>384</v>
      </c>
      <c r="E27" s="76"/>
      <c r="F27" s="76">
        <f t="shared" si="12"/>
        <v>12</v>
      </c>
      <c r="G27" s="151">
        <v>12</v>
      </c>
      <c r="H27" s="76"/>
      <c r="I27" s="76"/>
      <c r="J27" s="151">
        <v>12</v>
      </c>
      <c r="K27" s="76">
        <v>4</v>
      </c>
      <c r="L27" s="76">
        <f t="shared" si="13"/>
        <v>15</v>
      </c>
      <c r="M27" s="76">
        <v>2018</v>
      </c>
      <c r="N27" s="76">
        <v>2018</v>
      </c>
      <c r="O27" s="76">
        <f t="shared" si="14"/>
        <v>36</v>
      </c>
      <c r="P27" s="76"/>
      <c r="Q27" s="76">
        <v>36</v>
      </c>
      <c r="R27" s="76"/>
      <c r="S27" s="76"/>
      <c r="T27" s="76">
        <f t="shared" si="15"/>
        <v>36</v>
      </c>
      <c r="U27" s="76"/>
      <c r="V27" s="76"/>
      <c r="W27" s="76"/>
      <c r="X27" s="583"/>
      <c r="Y27" s="76"/>
      <c r="Z27" s="76"/>
      <c r="AA27" s="76"/>
      <c r="AB27" s="76"/>
      <c r="AC27" s="76"/>
      <c r="AD27" s="136"/>
    </row>
    <row r="28" customHeight="1" spans="1:30">
      <c r="A28" s="76"/>
      <c r="B28" s="212" t="s">
        <v>1279</v>
      </c>
      <c r="C28" s="76" t="s">
        <v>52</v>
      </c>
      <c r="D28" s="76" t="s">
        <v>384</v>
      </c>
      <c r="E28" s="76"/>
      <c r="F28" s="76">
        <f t="shared" si="12"/>
        <v>21</v>
      </c>
      <c r="G28" s="151">
        <v>21</v>
      </c>
      <c r="H28" s="76"/>
      <c r="I28" s="76"/>
      <c r="J28" s="151">
        <v>21</v>
      </c>
      <c r="K28" s="76">
        <v>14</v>
      </c>
      <c r="L28" s="76">
        <f t="shared" si="13"/>
        <v>52</v>
      </c>
      <c r="M28" s="76">
        <v>2018</v>
      </c>
      <c r="N28" s="76">
        <v>2018</v>
      </c>
      <c r="O28" s="76">
        <f t="shared" si="14"/>
        <v>63</v>
      </c>
      <c r="P28" s="76"/>
      <c r="Q28" s="76">
        <v>63</v>
      </c>
      <c r="R28" s="76"/>
      <c r="S28" s="76"/>
      <c r="T28" s="76">
        <f t="shared" si="15"/>
        <v>63</v>
      </c>
      <c r="U28" s="76"/>
      <c r="V28" s="76"/>
      <c r="W28" s="76"/>
      <c r="X28" s="583"/>
      <c r="Y28" s="76"/>
      <c r="Z28" s="76"/>
      <c r="AA28" s="76"/>
      <c r="AB28" s="76"/>
      <c r="AC28" s="76"/>
      <c r="AD28" s="136"/>
    </row>
    <row r="29" customHeight="1" spans="1:30">
      <c r="A29" s="76"/>
      <c r="B29" s="212" t="s">
        <v>1280</v>
      </c>
      <c r="C29" s="76" t="s">
        <v>52</v>
      </c>
      <c r="D29" s="76" t="s">
        <v>384</v>
      </c>
      <c r="E29" s="76"/>
      <c r="F29" s="76">
        <f t="shared" si="12"/>
        <v>19</v>
      </c>
      <c r="G29" s="151">
        <v>19</v>
      </c>
      <c r="H29" s="76"/>
      <c r="I29" s="76"/>
      <c r="J29" s="151">
        <v>19</v>
      </c>
      <c r="K29" s="76">
        <v>13</v>
      </c>
      <c r="L29" s="76">
        <f t="shared" si="13"/>
        <v>48</v>
      </c>
      <c r="M29" s="76">
        <v>2018</v>
      </c>
      <c r="N29" s="76">
        <v>2018</v>
      </c>
      <c r="O29" s="76">
        <f t="shared" si="14"/>
        <v>57</v>
      </c>
      <c r="P29" s="76"/>
      <c r="Q29" s="76">
        <v>57</v>
      </c>
      <c r="R29" s="76"/>
      <c r="S29" s="76"/>
      <c r="T29" s="76">
        <f t="shared" si="15"/>
        <v>57</v>
      </c>
      <c r="U29" s="76"/>
      <c r="V29" s="76"/>
      <c r="W29" s="76"/>
      <c r="X29" s="583"/>
      <c r="Y29" s="76"/>
      <c r="Z29" s="76"/>
      <c r="AA29" s="76"/>
      <c r="AB29" s="76"/>
      <c r="AC29" s="76"/>
      <c r="AD29" s="136"/>
    </row>
    <row r="30" customHeight="1" spans="1:30">
      <c r="A30" s="76"/>
      <c r="B30" s="212" t="s">
        <v>1269</v>
      </c>
      <c r="C30" s="76" t="s">
        <v>52</v>
      </c>
      <c r="D30" s="76" t="s">
        <v>384</v>
      </c>
      <c r="E30" s="76"/>
      <c r="F30" s="76">
        <f t="shared" si="12"/>
        <v>17</v>
      </c>
      <c r="G30" s="151">
        <v>17</v>
      </c>
      <c r="H30" s="76"/>
      <c r="I30" s="76"/>
      <c r="J30" s="151">
        <v>17</v>
      </c>
      <c r="K30" s="76">
        <v>10</v>
      </c>
      <c r="L30" s="76">
        <f t="shared" si="13"/>
        <v>37</v>
      </c>
      <c r="M30" s="76">
        <v>2018</v>
      </c>
      <c r="N30" s="76">
        <v>2018</v>
      </c>
      <c r="O30" s="76">
        <f t="shared" si="14"/>
        <v>51</v>
      </c>
      <c r="P30" s="76"/>
      <c r="Q30" s="76">
        <v>51</v>
      </c>
      <c r="R30" s="76"/>
      <c r="S30" s="76"/>
      <c r="T30" s="76">
        <f t="shared" si="15"/>
        <v>51</v>
      </c>
      <c r="U30" s="76"/>
      <c r="V30" s="76"/>
      <c r="W30" s="76"/>
      <c r="X30" s="583"/>
      <c r="Y30" s="76"/>
      <c r="Z30" s="76"/>
      <c r="AA30" s="76"/>
      <c r="AB30" s="76"/>
      <c r="AC30" s="76"/>
      <c r="AD30" s="136"/>
    </row>
    <row r="31" customHeight="1" spans="1:30">
      <c r="A31" s="76"/>
      <c r="B31" s="212" t="s">
        <v>1270</v>
      </c>
      <c r="C31" s="76" t="s">
        <v>52</v>
      </c>
      <c r="D31" s="76" t="s">
        <v>384</v>
      </c>
      <c r="E31" s="76"/>
      <c r="F31" s="76">
        <f t="shared" si="12"/>
        <v>34</v>
      </c>
      <c r="G31" s="151">
        <v>34</v>
      </c>
      <c r="H31" s="76"/>
      <c r="I31" s="76"/>
      <c r="J31" s="151">
        <v>34</v>
      </c>
      <c r="K31" s="76">
        <v>20</v>
      </c>
      <c r="L31" s="76">
        <f t="shared" si="13"/>
        <v>74</v>
      </c>
      <c r="M31" s="76">
        <v>2018</v>
      </c>
      <c r="N31" s="76">
        <v>2018</v>
      </c>
      <c r="O31" s="76">
        <f t="shared" si="14"/>
        <v>102</v>
      </c>
      <c r="P31" s="76"/>
      <c r="Q31" s="76">
        <v>102</v>
      </c>
      <c r="R31" s="76"/>
      <c r="S31" s="76"/>
      <c r="T31" s="76">
        <f t="shared" si="15"/>
        <v>102</v>
      </c>
      <c r="U31" s="76"/>
      <c r="V31" s="76"/>
      <c r="W31" s="76"/>
      <c r="X31" s="583"/>
      <c r="Y31" s="76"/>
      <c r="Z31" s="76"/>
      <c r="AA31" s="76"/>
      <c r="AB31" s="76"/>
      <c r="AC31" s="76"/>
      <c r="AD31" s="136"/>
    </row>
    <row r="32" customHeight="1" spans="1:30">
      <c r="A32" s="76"/>
      <c r="B32" s="212" t="s">
        <v>1281</v>
      </c>
      <c r="C32" s="76" t="s">
        <v>52</v>
      </c>
      <c r="D32" s="76" t="s">
        <v>384</v>
      </c>
      <c r="E32" s="76"/>
      <c r="F32" s="76">
        <f t="shared" si="12"/>
        <v>11</v>
      </c>
      <c r="G32" s="151">
        <v>11</v>
      </c>
      <c r="H32" s="76"/>
      <c r="I32" s="76"/>
      <c r="J32" s="151">
        <v>11</v>
      </c>
      <c r="K32" s="76">
        <v>6</v>
      </c>
      <c r="L32" s="76">
        <f t="shared" si="13"/>
        <v>22</v>
      </c>
      <c r="M32" s="76">
        <v>2018</v>
      </c>
      <c r="N32" s="76">
        <v>2018</v>
      </c>
      <c r="O32" s="76">
        <f t="shared" si="14"/>
        <v>33</v>
      </c>
      <c r="P32" s="76"/>
      <c r="Q32" s="76">
        <v>33</v>
      </c>
      <c r="R32" s="76"/>
      <c r="S32" s="76"/>
      <c r="T32" s="76">
        <f t="shared" si="15"/>
        <v>33</v>
      </c>
      <c r="U32" s="76"/>
      <c r="V32" s="76"/>
      <c r="W32" s="76"/>
      <c r="X32" s="583"/>
      <c r="Y32" s="76"/>
      <c r="Z32" s="76"/>
      <c r="AA32" s="76"/>
      <c r="AB32" s="76"/>
      <c r="AC32" s="76"/>
      <c r="AD32" s="136"/>
    </row>
    <row r="33" customHeight="1" spans="1:30">
      <c r="A33" s="76"/>
      <c r="B33" s="212" t="s">
        <v>1271</v>
      </c>
      <c r="C33" s="76" t="s">
        <v>52</v>
      </c>
      <c r="D33" s="76" t="s">
        <v>384</v>
      </c>
      <c r="E33" s="76"/>
      <c r="F33" s="76">
        <f t="shared" si="12"/>
        <v>56</v>
      </c>
      <c r="G33" s="151">
        <v>56</v>
      </c>
      <c r="H33" s="76"/>
      <c r="I33" s="76"/>
      <c r="J33" s="151">
        <v>56</v>
      </c>
      <c r="K33" s="76">
        <v>28</v>
      </c>
      <c r="L33" s="76">
        <f t="shared" si="13"/>
        <v>104</v>
      </c>
      <c r="M33" s="76">
        <v>2018</v>
      </c>
      <c r="N33" s="76">
        <v>2018</v>
      </c>
      <c r="O33" s="76">
        <f t="shared" si="14"/>
        <v>168</v>
      </c>
      <c r="P33" s="76"/>
      <c r="Q33" s="76">
        <v>168</v>
      </c>
      <c r="R33" s="76"/>
      <c r="S33" s="76"/>
      <c r="T33" s="76">
        <f t="shared" si="15"/>
        <v>168</v>
      </c>
      <c r="U33" s="76"/>
      <c r="V33" s="76"/>
      <c r="W33" s="76"/>
      <c r="X33" s="583"/>
      <c r="Y33" s="76"/>
      <c r="Z33" s="76"/>
      <c r="AA33" s="76"/>
      <c r="AB33" s="76"/>
      <c r="AC33" s="76"/>
      <c r="AD33" s="136"/>
    </row>
    <row r="34" customHeight="1" spans="1:30">
      <c r="A34" s="76"/>
      <c r="B34" s="212" t="s">
        <v>1282</v>
      </c>
      <c r="C34" s="76" t="s">
        <v>52</v>
      </c>
      <c r="D34" s="76" t="s">
        <v>384</v>
      </c>
      <c r="E34" s="76"/>
      <c r="F34" s="76">
        <f t="shared" si="12"/>
        <v>13</v>
      </c>
      <c r="G34" s="151">
        <v>13</v>
      </c>
      <c r="H34" s="76"/>
      <c r="I34" s="76"/>
      <c r="J34" s="151">
        <v>13</v>
      </c>
      <c r="K34" s="76">
        <v>10</v>
      </c>
      <c r="L34" s="76">
        <f t="shared" si="13"/>
        <v>37</v>
      </c>
      <c r="M34" s="76">
        <v>2018</v>
      </c>
      <c r="N34" s="76">
        <v>2018</v>
      </c>
      <c r="O34" s="76">
        <f t="shared" si="14"/>
        <v>39</v>
      </c>
      <c r="P34" s="76"/>
      <c r="Q34" s="76">
        <v>39</v>
      </c>
      <c r="R34" s="76"/>
      <c r="S34" s="76"/>
      <c r="T34" s="76">
        <f t="shared" si="15"/>
        <v>39</v>
      </c>
      <c r="U34" s="76"/>
      <c r="V34" s="76"/>
      <c r="W34" s="76"/>
      <c r="X34" s="583"/>
      <c r="Y34" s="76"/>
      <c r="Z34" s="76"/>
      <c r="AA34" s="76"/>
      <c r="AB34" s="76"/>
      <c r="AC34" s="76"/>
      <c r="AD34" s="136"/>
    </row>
    <row r="35" customHeight="1" spans="1:30">
      <c r="A35" s="76"/>
      <c r="B35" s="212" t="s">
        <v>1283</v>
      </c>
      <c r="C35" s="76" t="s">
        <v>52</v>
      </c>
      <c r="D35" s="76" t="s">
        <v>384</v>
      </c>
      <c r="E35" s="76"/>
      <c r="F35" s="76">
        <f t="shared" si="12"/>
        <v>24</v>
      </c>
      <c r="G35" s="151">
        <v>24</v>
      </c>
      <c r="H35" s="76"/>
      <c r="I35" s="76"/>
      <c r="J35" s="151">
        <v>24</v>
      </c>
      <c r="K35" s="76">
        <v>17</v>
      </c>
      <c r="L35" s="76">
        <f t="shared" si="13"/>
        <v>63</v>
      </c>
      <c r="M35" s="76">
        <v>2018</v>
      </c>
      <c r="N35" s="76">
        <v>2018</v>
      </c>
      <c r="O35" s="76">
        <f t="shared" si="14"/>
        <v>72</v>
      </c>
      <c r="P35" s="76"/>
      <c r="Q35" s="76">
        <v>72</v>
      </c>
      <c r="R35" s="76"/>
      <c r="S35" s="76"/>
      <c r="T35" s="76">
        <f t="shared" si="15"/>
        <v>72</v>
      </c>
      <c r="U35" s="76"/>
      <c r="V35" s="76"/>
      <c r="W35" s="76"/>
      <c r="X35" s="583"/>
      <c r="Y35" s="76"/>
      <c r="Z35" s="76"/>
      <c r="AA35" s="76"/>
      <c r="AB35" s="76"/>
      <c r="AC35" s="76"/>
      <c r="AD35" s="136"/>
    </row>
    <row r="36" customHeight="1" spans="1:30">
      <c r="A36" s="76"/>
      <c r="B36" s="212" t="s">
        <v>1284</v>
      </c>
      <c r="C36" s="76" t="s">
        <v>52</v>
      </c>
      <c r="D36" s="76" t="s">
        <v>384</v>
      </c>
      <c r="E36" s="76"/>
      <c r="F36" s="76">
        <f t="shared" si="12"/>
        <v>7</v>
      </c>
      <c r="G36" s="151">
        <v>7</v>
      </c>
      <c r="H36" s="76"/>
      <c r="I36" s="76"/>
      <c r="J36" s="151">
        <v>7</v>
      </c>
      <c r="K36" s="76">
        <v>6</v>
      </c>
      <c r="L36" s="76">
        <f t="shared" si="13"/>
        <v>22</v>
      </c>
      <c r="M36" s="76">
        <v>2018</v>
      </c>
      <c r="N36" s="76">
        <v>2018</v>
      </c>
      <c r="O36" s="76">
        <f t="shared" si="14"/>
        <v>21</v>
      </c>
      <c r="P36" s="76"/>
      <c r="Q36" s="76">
        <v>21</v>
      </c>
      <c r="R36" s="76"/>
      <c r="S36" s="76"/>
      <c r="T36" s="76">
        <f t="shared" si="15"/>
        <v>21</v>
      </c>
      <c r="U36" s="76"/>
      <c r="V36" s="76"/>
      <c r="W36" s="76"/>
      <c r="X36" s="583"/>
      <c r="Y36" s="76"/>
      <c r="Z36" s="76"/>
      <c r="AA36" s="76"/>
      <c r="AB36" s="76"/>
      <c r="AC36" s="76"/>
      <c r="AD36" s="136"/>
    </row>
    <row r="37" customHeight="1" spans="1:30">
      <c r="A37" s="76">
        <v>5</v>
      </c>
      <c r="B37" s="92" t="s">
        <v>1074</v>
      </c>
      <c r="C37" s="76" t="s">
        <v>52</v>
      </c>
      <c r="D37" s="76" t="s">
        <v>384</v>
      </c>
      <c r="E37" s="76"/>
      <c r="F37" s="76">
        <f t="shared" ref="F37:L37" si="16">SUM(F38:F54)</f>
        <v>1723</v>
      </c>
      <c r="G37" s="76">
        <f t="shared" si="16"/>
        <v>1723</v>
      </c>
      <c r="H37" s="76">
        <f t="shared" si="16"/>
        <v>0</v>
      </c>
      <c r="I37" s="76">
        <f t="shared" si="16"/>
        <v>0</v>
      </c>
      <c r="J37" s="76">
        <f t="shared" si="16"/>
        <v>1723</v>
      </c>
      <c r="K37" s="76">
        <f t="shared" si="16"/>
        <v>874</v>
      </c>
      <c r="L37" s="76">
        <f t="shared" si="16"/>
        <v>3235</v>
      </c>
      <c r="M37" s="76">
        <v>2018</v>
      </c>
      <c r="N37" s="76">
        <v>2018</v>
      </c>
      <c r="O37" s="76">
        <f t="shared" ref="O37:W37" si="17">SUM(O38:O54)</f>
        <v>3101.4</v>
      </c>
      <c r="P37" s="76">
        <f t="shared" si="17"/>
        <v>3101.4</v>
      </c>
      <c r="Q37" s="76">
        <f t="shared" si="17"/>
        <v>0</v>
      </c>
      <c r="R37" s="76">
        <f t="shared" si="17"/>
        <v>0</v>
      </c>
      <c r="S37" s="76">
        <f t="shared" si="17"/>
        <v>0</v>
      </c>
      <c r="T37" s="76">
        <f t="shared" si="17"/>
        <v>3101.4</v>
      </c>
      <c r="U37" s="76">
        <f t="shared" si="17"/>
        <v>0</v>
      </c>
      <c r="V37" s="76">
        <f t="shared" si="17"/>
        <v>0</v>
      </c>
      <c r="W37" s="76">
        <f t="shared" si="17"/>
        <v>0</v>
      </c>
      <c r="X37" s="583" t="s">
        <v>1038</v>
      </c>
      <c r="Y37" s="76"/>
      <c r="Z37" s="76"/>
      <c r="AA37" s="76" t="s">
        <v>1273</v>
      </c>
      <c r="AB37" s="76" t="s">
        <v>1274</v>
      </c>
      <c r="AC37" s="76" t="s">
        <v>273</v>
      </c>
      <c r="AD37" s="136"/>
    </row>
    <row r="38" customHeight="1" spans="1:30">
      <c r="A38" s="76"/>
      <c r="B38" s="212" t="s">
        <v>1265</v>
      </c>
      <c r="C38" s="76" t="s">
        <v>52</v>
      </c>
      <c r="D38" s="76" t="s">
        <v>384</v>
      </c>
      <c r="E38" s="76"/>
      <c r="F38" s="76">
        <f t="shared" ref="F38:F54" si="18">SUM(G38:I38)</f>
        <v>24</v>
      </c>
      <c r="G38" s="71">
        <v>24</v>
      </c>
      <c r="H38" s="71"/>
      <c r="I38" s="71"/>
      <c r="J38" s="71">
        <v>24</v>
      </c>
      <c r="K38" s="76">
        <v>9</v>
      </c>
      <c r="L38" s="76">
        <f t="shared" ref="L38:L54" si="19">ROUND(K38*3.7,0)</f>
        <v>33</v>
      </c>
      <c r="M38" s="76">
        <v>2018</v>
      </c>
      <c r="N38" s="76">
        <v>2018</v>
      </c>
      <c r="O38" s="76">
        <f t="shared" ref="O38:O54" si="20">SUM(P38:R38)</f>
        <v>43.2</v>
      </c>
      <c r="P38" s="76">
        <f t="shared" ref="P38:P54" si="21">F38*1.8</f>
        <v>43.2</v>
      </c>
      <c r="Q38" s="76"/>
      <c r="R38" s="76"/>
      <c r="S38" s="76"/>
      <c r="T38" s="76">
        <f t="shared" ref="T38:T54" si="22">O38</f>
        <v>43.2</v>
      </c>
      <c r="U38" s="76"/>
      <c r="V38" s="76"/>
      <c r="W38" s="76"/>
      <c r="X38" s="583"/>
      <c r="Y38" s="76"/>
      <c r="Z38" s="76"/>
      <c r="AA38" s="76"/>
      <c r="AB38" s="76"/>
      <c r="AC38" s="76"/>
      <c r="AD38" s="136"/>
    </row>
    <row r="39" customHeight="1" spans="1:30">
      <c r="A39" s="76"/>
      <c r="B39" s="212" t="s">
        <v>1266</v>
      </c>
      <c r="C39" s="76" t="s">
        <v>52</v>
      </c>
      <c r="D39" s="76" t="s">
        <v>384</v>
      </c>
      <c r="E39" s="76"/>
      <c r="F39" s="76">
        <f t="shared" si="18"/>
        <v>34</v>
      </c>
      <c r="G39" s="71">
        <v>34</v>
      </c>
      <c r="H39" s="71"/>
      <c r="I39" s="71"/>
      <c r="J39" s="71">
        <v>34</v>
      </c>
      <c r="K39" s="76">
        <v>14</v>
      </c>
      <c r="L39" s="76">
        <f t="shared" si="19"/>
        <v>52</v>
      </c>
      <c r="M39" s="76">
        <v>2018</v>
      </c>
      <c r="N39" s="76">
        <v>2018</v>
      </c>
      <c r="O39" s="76">
        <f t="shared" si="20"/>
        <v>61.2</v>
      </c>
      <c r="P39" s="76">
        <f t="shared" si="21"/>
        <v>61.2</v>
      </c>
      <c r="Q39" s="76"/>
      <c r="R39" s="76"/>
      <c r="S39" s="76"/>
      <c r="T39" s="76">
        <f t="shared" si="22"/>
        <v>61.2</v>
      </c>
      <c r="U39" s="76"/>
      <c r="V39" s="76"/>
      <c r="W39" s="76"/>
      <c r="X39" s="583"/>
      <c r="Y39" s="76"/>
      <c r="Z39" s="76"/>
      <c r="AA39" s="76"/>
      <c r="AB39" s="76"/>
      <c r="AC39" s="76"/>
      <c r="AD39" s="136"/>
    </row>
    <row r="40" customHeight="1" spans="1:30">
      <c r="A40" s="76"/>
      <c r="B40" s="212" t="s">
        <v>1267</v>
      </c>
      <c r="C40" s="76" t="s">
        <v>52</v>
      </c>
      <c r="D40" s="76" t="s">
        <v>384</v>
      </c>
      <c r="E40" s="76"/>
      <c r="F40" s="76">
        <f t="shared" si="18"/>
        <v>54</v>
      </c>
      <c r="G40" s="71">
        <v>54</v>
      </c>
      <c r="H40" s="71"/>
      <c r="I40" s="71"/>
      <c r="J40" s="71">
        <v>54</v>
      </c>
      <c r="K40" s="76">
        <v>27</v>
      </c>
      <c r="L40" s="76">
        <f t="shared" si="19"/>
        <v>100</v>
      </c>
      <c r="M40" s="76">
        <v>2018</v>
      </c>
      <c r="N40" s="76">
        <v>2018</v>
      </c>
      <c r="O40" s="76">
        <f t="shared" si="20"/>
        <v>97.2</v>
      </c>
      <c r="P40" s="76">
        <f t="shared" si="21"/>
        <v>97.2</v>
      </c>
      <c r="Q40" s="76"/>
      <c r="R40" s="76"/>
      <c r="S40" s="76"/>
      <c r="T40" s="76">
        <f t="shared" si="22"/>
        <v>97.2</v>
      </c>
      <c r="U40" s="76"/>
      <c r="V40" s="76"/>
      <c r="W40" s="76"/>
      <c r="X40" s="583"/>
      <c r="Y40" s="76"/>
      <c r="Z40" s="76"/>
      <c r="AA40" s="76"/>
      <c r="AB40" s="76"/>
      <c r="AC40" s="76"/>
      <c r="AD40" s="136"/>
    </row>
    <row r="41" customHeight="1" spans="1:30">
      <c r="A41" s="76"/>
      <c r="B41" s="212" t="s">
        <v>1268</v>
      </c>
      <c r="C41" s="76" t="s">
        <v>52</v>
      </c>
      <c r="D41" s="76" t="s">
        <v>384</v>
      </c>
      <c r="E41" s="76"/>
      <c r="F41" s="76">
        <f t="shared" si="18"/>
        <v>28</v>
      </c>
      <c r="G41" s="71">
        <v>28</v>
      </c>
      <c r="H41" s="71"/>
      <c r="I41" s="71"/>
      <c r="J41" s="71">
        <v>28</v>
      </c>
      <c r="K41" s="76">
        <v>11</v>
      </c>
      <c r="L41" s="76">
        <f t="shared" si="19"/>
        <v>41</v>
      </c>
      <c r="M41" s="76">
        <v>2018</v>
      </c>
      <c r="N41" s="76">
        <v>2018</v>
      </c>
      <c r="O41" s="76">
        <f t="shared" si="20"/>
        <v>50.4</v>
      </c>
      <c r="P41" s="76">
        <f t="shared" si="21"/>
        <v>50.4</v>
      </c>
      <c r="Q41" s="76"/>
      <c r="R41" s="76"/>
      <c r="S41" s="76"/>
      <c r="T41" s="76">
        <f t="shared" si="22"/>
        <v>50.4</v>
      </c>
      <c r="U41" s="76"/>
      <c r="V41" s="76"/>
      <c r="W41" s="76"/>
      <c r="X41" s="583"/>
      <c r="Y41" s="76"/>
      <c r="Z41" s="76"/>
      <c r="AA41" s="76"/>
      <c r="AB41" s="76"/>
      <c r="AC41" s="76"/>
      <c r="AD41" s="136"/>
    </row>
    <row r="42" customHeight="1" spans="1:30">
      <c r="A42" s="76"/>
      <c r="B42" s="212" t="s">
        <v>1275</v>
      </c>
      <c r="C42" s="76" t="s">
        <v>52</v>
      </c>
      <c r="D42" s="76" t="s">
        <v>384</v>
      </c>
      <c r="E42" s="76"/>
      <c r="F42" s="76">
        <f t="shared" si="18"/>
        <v>60</v>
      </c>
      <c r="G42" s="71">
        <v>60</v>
      </c>
      <c r="H42" s="71"/>
      <c r="I42" s="71"/>
      <c r="J42" s="71">
        <v>60</v>
      </c>
      <c r="K42" s="76">
        <v>25</v>
      </c>
      <c r="L42" s="76">
        <f t="shared" si="19"/>
        <v>93</v>
      </c>
      <c r="M42" s="76">
        <v>2018</v>
      </c>
      <c r="N42" s="76">
        <v>2018</v>
      </c>
      <c r="O42" s="76">
        <f t="shared" si="20"/>
        <v>108</v>
      </c>
      <c r="P42" s="76">
        <f t="shared" si="21"/>
        <v>108</v>
      </c>
      <c r="Q42" s="76"/>
      <c r="R42" s="76"/>
      <c r="S42" s="76"/>
      <c r="T42" s="76">
        <f t="shared" si="22"/>
        <v>108</v>
      </c>
      <c r="U42" s="76"/>
      <c r="V42" s="76"/>
      <c r="W42" s="76"/>
      <c r="X42" s="583"/>
      <c r="Y42" s="76"/>
      <c r="Z42" s="76"/>
      <c r="AA42" s="76"/>
      <c r="AB42" s="76"/>
      <c r="AC42" s="76"/>
      <c r="AD42" s="136"/>
    </row>
    <row r="43" customHeight="1" spans="1:30">
      <c r="A43" s="76"/>
      <c r="B43" s="212" t="s">
        <v>1276</v>
      </c>
      <c r="C43" s="76" t="s">
        <v>52</v>
      </c>
      <c r="D43" s="76" t="s">
        <v>384</v>
      </c>
      <c r="E43" s="76"/>
      <c r="F43" s="76">
        <f t="shared" si="18"/>
        <v>89</v>
      </c>
      <c r="G43" s="71">
        <v>89</v>
      </c>
      <c r="H43" s="71"/>
      <c r="I43" s="71"/>
      <c r="J43" s="71">
        <v>89</v>
      </c>
      <c r="K43" s="76">
        <v>32</v>
      </c>
      <c r="L43" s="76">
        <f t="shared" si="19"/>
        <v>118</v>
      </c>
      <c r="M43" s="76">
        <v>2018</v>
      </c>
      <c r="N43" s="76">
        <v>2018</v>
      </c>
      <c r="O43" s="76">
        <f t="shared" si="20"/>
        <v>160.2</v>
      </c>
      <c r="P43" s="76">
        <f t="shared" si="21"/>
        <v>160.2</v>
      </c>
      <c r="Q43" s="76"/>
      <c r="R43" s="76"/>
      <c r="S43" s="76"/>
      <c r="T43" s="76">
        <f t="shared" si="22"/>
        <v>160.2</v>
      </c>
      <c r="U43" s="76"/>
      <c r="V43" s="76"/>
      <c r="W43" s="76"/>
      <c r="X43" s="583"/>
      <c r="Y43" s="76"/>
      <c r="Z43" s="76"/>
      <c r="AA43" s="76"/>
      <c r="AB43" s="76"/>
      <c r="AC43" s="76"/>
      <c r="AD43" s="136"/>
    </row>
    <row r="44" customHeight="1" spans="1:30">
      <c r="A44" s="76"/>
      <c r="B44" s="212" t="s">
        <v>1277</v>
      </c>
      <c r="C44" s="76" t="s">
        <v>52</v>
      </c>
      <c r="D44" s="76" t="s">
        <v>384</v>
      </c>
      <c r="E44" s="76"/>
      <c r="F44" s="76">
        <f t="shared" si="18"/>
        <v>222</v>
      </c>
      <c r="G44" s="71">
        <v>222</v>
      </c>
      <c r="H44" s="71"/>
      <c r="I44" s="71"/>
      <c r="J44" s="71">
        <v>222</v>
      </c>
      <c r="K44" s="76">
        <v>113</v>
      </c>
      <c r="L44" s="76">
        <f t="shared" si="19"/>
        <v>418</v>
      </c>
      <c r="M44" s="76">
        <v>2018</v>
      </c>
      <c r="N44" s="76">
        <v>2018</v>
      </c>
      <c r="O44" s="76">
        <f t="shared" si="20"/>
        <v>399.6</v>
      </c>
      <c r="P44" s="76">
        <f t="shared" si="21"/>
        <v>399.6</v>
      </c>
      <c r="Q44" s="76"/>
      <c r="R44" s="76"/>
      <c r="S44" s="76"/>
      <c r="T44" s="76">
        <f t="shared" si="22"/>
        <v>399.6</v>
      </c>
      <c r="U44" s="76"/>
      <c r="V44" s="76"/>
      <c r="W44" s="76"/>
      <c r="X44" s="583"/>
      <c r="Y44" s="76"/>
      <c r="Z44" s="76"/>
      <c r="AA44" s="76"/>
      <c r="AB44" s="76"/>
      <c r="AC44" s="76"/>
      <c r="AD44" s="136"/>
    </row>
    <row r="45" customHeight="1" spans="1:30">
      <c r="A45" s="76"/>
      <c r="B45" s="212" t="s">
        <v>1278</v>
      </c>
      <c r="C45" s="76" t="s">
        <v>52</v>
      </c>
      <c r="D45" s="76" t="s">
        <v>384</v>
      </c>
      <c r="E45" s="76"/>
      <c r="F45" s="76">
        <f t="shared" si="18"/>
        <v>286</v>
      </c>
      <c r="G45" s="71">
        <v>286</v>
      </c>
      <c r="H45" s="71"/>
      <c r="I45" s="71"/>
      <c r="J45" s="71">
        <v>286</v>
      </c>
      <c r="K45" s="76">
        <v>152</v>
      </c>
      <c r="L45" s="76">
        <f t="shared" si="19"/>
        <v>562</v>
      </c>
      <c r="M45" s="76">
        <v>2018</v>
      </c>
      <c r="N45" s="76">
        <v>2018</v>
      </c>
      <c r="O45" s="76">
        <f t="shared" si="20"/>
        <v>514.8</v>
      </c>
      <c r="P45" s="76">
        <f t="shared" si="21"/>
        <v>514.8</v>
      </c>
      <c r="Q45" s="76"/>
      <c r="R45" s="76"/>
      <c r="S45" s="76"/>
      <c r="T45" s="76">
        <f t="shared" si="22"/>
        <v>514.8</v>
      </c>
      <c r="U45" s="76"/>
      <c r="V45" s="76"/>
      <c r="W45" s="76"/>
      <c r="X45" s="583"/>
      <c r="Y45" s="76"/>
      <c r="Z45" s="76"/>
      <c r="AA45" s="76"/>
      <c r="AB45" s="76"/>
      <c r="AC45" s="76"/>
      <c r="AD45" s="136"/>
    </row>
    <row r="46" customHeight="1" spans="1:30">
      <c r="A46" s="76"/>
      <c r="B46" s="212" t="s">
        <v>1279</v>
      </c>
      <c r="C46" s="76" t="s">
        <v>52</v>
      </c>
      <c r="D46" s="76" t="s">
        <v>384</v>
      </c>
      <c r="E46" s="76"/>
      <c r="F46" s="76">
        <f t="shared" si="18"/>
        <v>101</v>
      </c>
      <c r="G46" s="71">
        <v>101</v>
      </c>
      <c r="H46" s="71"/>
      <c r="I46" s="71"/>
      <c r="J46" s="71">
        <v>101</v>
      </c>
      <c r="K46" s="76">
        <v>54</v>
      </c>
      <c r="L46" s="76">
        <f t="shared" si="19"/>
        <v>200</v>
      </c>
      <c r="M46" s="76">
        <v>2018</v>
      </c>
      <c r="N46" s="76">
        <v>2018</v>
      </c>
      <c r="O46" s="76">
        <f t="shared" si="20"/>
        <v>181.8</v>
      </c>
      <c r="P46" s="76">
        <f t="shared" si="21"/>
        <v>181.8</v>
      </c>
      <c r="Q46" s="76"/>
      <c r="R46" s="76"/>
      <c r="S46" s="76"/>
      <c r="T46" s="76">
        <f t="shared" si="22"/>
        <v>181.8</v>
      </c>
      <c r="U46" s="76"/>
      <c r="V46" s="76"/>
      <c r="W46" s="76"/>
      <c r="X46" s="583"/>
      <c r="Y46" s="76"/>
      <c r="Z46" s="76"/>
      <c r="AA46" s="76"/>
      <c r="AB46" s="76"/>
      <c r="AC46" s="76"/>
      <c r="AD46" s="136"/>
    </row>
    <row r="47" customHeight="1" spans="1:30">
      <c r="A47" s="76"/>
      <c r="B47" s="212" t="s">
        <v>1280</v>
      </c>
      <c r="C47" s="76" t="s">
        <v>52</v>
      </c>
      <c r="D47" s="76" t="s">
        <v>384</v>
      </c>
      <c r="E47" s="76"/>
      <c r="F47" s="76">
        <f t="shared" si="18"/>
        <v>24</v>
      </c>
      <c r="G47" s="71">
        <v>24</v>
      </c>
      <c r="H47" s="71"/>
      <c r="I47" s="71"/>
      <c r="J47" s="71">
        <v>24</v>
      </c>
      <c r="K47" s="76">
        <v>20</v>
      </c>
      <c r="L47" s="76">
        <f t="shared" si="19"/>
        <v>74</v>
      </c>
      <c r="M47" s="76">
        <v>2018</v>
      </c>
      <c r="N47" s="76">
        <v>2018</v>
      </c>
      <c r="O47" s="76">
        <f t="shared" si="20"/>
        <v>43.2</v>
      </c>
      <c r="P47" s="76">
        <f t="shared" si="21"/>
        <v>43.2</v>
      </c>
      <c r="Q47" s="76"/>
      <c r="R47" s="76"/>
      <c r="S47" s="76"/>
      <c r="T47" s="76">
        <f t="shared" si="22"/>
        <v>43.2</v>
      </c>
      <c r="U47" s="76"/>
      <c r="V47" s="76"/>
      <c r="W47" s="76"/>
      <c r="X47" s="583"/>
      <c r="Y47" s="76"/>
      <c r="Z47" s="76"/>
      <c r="AA47" s="76"/>
      <c r="AB47" s="76"/>
      <c r="AC47" s="76"/>
      <c r="AD47" s="136"/>
    </row>
    <row r="48" customHeight="1" spans="1:30">
      <c r="A48" s="76"/>
      <c r="B48" s="212" t="s">
        <v>1269</v>
      </c>
      <c r="C48" s="76" t="s">
        <v>52</v>
      </c>
      <c r="D48" s="76" t="s">
        <v>384</v>
      </c>
      <c r="E48" s="76"/>
      <c r="F48" s="76">
        <f t="shared" si="18"/>
        <v>121</v>
      </c>
      <c r="G48" s="71">
        <v>121</v>
      </c>
      <c r="H48" s="71"/>
      <c r="I48" s="71"/>
      <c r="J48" s="71">
        <v>121</v>
      </c>
      <c r="K48" s="76">
        <v>73</v>
      </c>
      <c r="L48" s="76">
        <f t="shared" si="19"/>
        <v>270</v>
      </c>
      <c r="M48" s="76">
        <v>2018</v>
      </c>
      <c r="N48" s="76">
        <v>2018</v>
      </c>
      <c r="O48" s="76">
        <f t="shared" si="20"/>
        <v>217.8</v>
      </c>
      <c r="P48" s="76">
        <f t="shared" si="21"/>
        <v>217.8</v>
      </c>
      <c r="Q48" s="76"/>
      <c r="R48" s="76"/>
      <c r="S48" s="76"/>
      <c r="T48" s="76">
        <f t="shared" si="22"/>
        <v>217.8</v>
      </c>
      <c r="U48" s="76"/>
      <c r="V48" s="76"/>
      <c r="W48" s="76"/>
      <c r="X48" s="583"/>
      <c r="Y48" s="76"/>
      <c r="Z48" s="76"/>
      <c r="AA48" s="76"/>
      <c r="AB48" s="76"/>
      <c r="AC48" s="76"/>
      <c r="AD48" s="136"/>
    </row>
    <row r="49" customHeight="1" spans="1:30">
      <c r="A49" s="76"/>
      <c r="B49" s="212" t="s">
        <v>1270</v>
      </c>
      <c r="C49" s="76" t="s">
        <v>52</v>
      </c>
      <c r="D49" s="76" t="s">
        <v>384</v>
      </c>
      <c r="E49" s="76"/>
      <c r="F49" s="76">
        <f t="shared" si="18"/>
        <v>169</v>
      </c>
      <c r="G49" s="71">
        <v>169</v>
      </c>
      <c r="H49" s="71"/>
      <c r="I49" s="71"/>
      <c r="J49" s="71">
        <v>169</v>
      </c>
      <c r="K49" s="76">
        <v>98</v>
      </c>
      <c r="L49" s="76">
        <f t="shared" si="19"/>
        <v>363</v>
      </c>
      <c r="M49" s="76">
        <v>2018</v>
      </c>
      <c r="N49" s="76">
        <v>2018</v>
      </c>
      <c r="O49" s="76">
        <f t="shared" si="20"/>
        <v>304.2</v>
      </c>
      <c r="P49" s="76">
        <f t="shared" si="21"/>
        <v>304.2</v>
      </c>
      <c r="Q49" s="76"/>
      <c r="R49" s="76"/>
      <c r="S49" s="76"/>
      <c r="T49" s="76">
        <f t="shared" si="22"/>
        <v>304.2</v>
      </c>
      <c r="U49" s="76"/>
      <c r="V49" s="76"/>
      <c r="W49" s="76"/>
      <c r="X49" s="583"/>
      <c r="Y49" s="76"/>
      <c r="Z49" s="76"/>
      <c r="AA49" s="76"/>
      <c r="AB49" s="76"/>
      <c r="AC49" s="76"/>
      <c r="AD49" s="136"/>
    </row>
    <row r="50" customHeight="1" spans="1:30">
      <c r="A50" s="76"/>
      <c r="B50" s="212" t="s">
        <v>1281</v>
      </c>
      <c r="C50" s="76" t="s">
        <v>52</v>
      </c>
      <c r="D50" s="76" t="s">
        <v>384</v>
      </c>
      <c r="E50" s="76"/>
      <c r="F50" s="76">
        <f t="shared" si="18"/>
        <v>101</v>
      </c>
      <c r="G50" s="71">
        <v>101</v>
      </c>
      <c r="H50" s="71"/>
      <c r="I50" s="71"/>
      <c r="J50" s="71">
        <v>101</v>
      </c>
      <c r="K50" s="76">
        <v>51</v>
      </c>
      <c r="L50" s="76">
        <f t="shared" si="19"/>
        <v>189</v>
      </c>
      <c r="M50" s="76">
        <v>2018</v>
      </c>
      <c r="N50" s="76">
        <v>2018</v>
      </c>
      <c r="O50" s="76">
        <f t="shared" si="20"/>
        <v>181.8</v>
      </c>
      <c r="P50" s="76">
        <f t="shared" si="21"/>
        <v>181.8</v>
      </c>
      <c r="Q50" s="76"/>
      <c r="R50" s="76"/>
      <c r="S50" s="76"/>
      <c r="T50" s="76">
        <f t="shared" si="22"/>
        <v>181.8</v>
      </c>
      <c r="U50" s="76"/>
      <c r="V50" s="76"/>
      <c r="W50" s="76"/>
      <c r="X50" s="583"/>
      <c r="Y50" s="76"/>
      <c r="Z50" s="76"/>
      <c r="AA50" s="76"/>
      <c r="AB50" s="76"/>
      <c r="AC50" s="76"/>
      <c r="AD50" s="136"/>
    </row>
    <row r="51" customHeight="1" spans="1:30">
      <c r="A51" s="76"/>
      <c r="B51" s="212" t="s">
        <v>1271</v>
      </c>
      <c r="C51" s="76" t="s">
        <v>52</v>
      </c>
      <c r="D51" s="76" t="s">
        <v>384</v>
      </c>
      <c r="E51" s="76"/>
      <c r="F51" s="76">
        <f t="shared" si="18"/>
        <v>135</v>
      </c>
      <c r="G51" s="71">
        <v>135</v>
      </c>
      <c r="H51" s="71"/>
      <c r="I51" s="71"/>
      <c r="J51" s="71">
        <v>135</v>
      </c>
      <c r="K51" s="76">
        <v>58</v>
      </c>
      <c r="L51" s="76">
        <f t="shared" si="19"/>
        <v>215</v>
      </c>
      <c r="M51" s="76">
        <v>2018</v>
      </c>
      <c r="N51" s="76">
        <v>2018</v>
      </c>
      <c r="O51" s="76">
        <f t="shared" si="20"/>
        <v>243</v>
      </c>
      <c r="P51" s="76">
        <f t="shared" si="21"/>
        <v>243</v>
      </c>
      <c r="Q51" s="76"/>
      <c r="R51" s="76"/>
      <c r="S51" s="76"/>
      <c r="T51" s="76">
        <f t="shared" si="22"/>
        <v>243</v>
      </c>
      <c r="U51" s="76"/>
      <c r="V51" s="76"/>
      <c r="W51" s="76"/>
      <c r="X51" s="583"/>
      <c r="Y51" s="76"/>
      <c r="Z51" s="76"/>
      <c r="AA51" s="76"/>
      <c r="AB51" s="76"/>
      <c r="AC51" s="76"/>
      <c r="AD51" s="136"/>
    </row>
    <row r="52" customHeight="1" spans="1:30">
      <c r="A52" s="76"/>
      <c r="B52" s="212" t="s">
        <v>1282</v>
      </c>
      <c r="C52" s="76" t="s">
        <v>52</v>
      </c>
      <c r="D52" s="76" t="s">
        <v>384</v>
      </c>
      <c r="E52" s="76"/>
      <c r="F52" s="76">
        <f t="shared" si="18"/>
        <v>190</v>
      </c>
      <c r="G52" s="71">
        <v>190</v>
      </c>
      <c r="H52" s="71"/>
      <c r="I52" s="71"/>
      <c r="J52" s="71">
        <v>190</v>
      </c>
      <c r="K52" s="76">
        <v>94</v>
      </c>
      <c r="L52" s="76">
        <f t="shared" si="19"/>
        <v>348</v>
      </c>
      <c r="M52" s="76">
        <v>2018</v>
      </c>
      <c r="N52" s="76">
        <v>2018</v>
      </c>
      <c r="O52" s="76">
        <f t="shared" si="20"/>
        <v>342</v>
      </c>
      <c r="P52" s="76">
        <f t="shared" si="21"/>
        <v>342</v>
      </c>
      <c r="Q52" s="76"/>
      <c r="R52" s="76"/>
      <c r="S52" s="76"/>
      <c r="T52" s="76">
        <f t="shared" si="22"/>
        <v>342</v>
      </c>
      <c r="U52" s="76"/>
      <c r="V52" s="76"/>
      <c r="W52" s="76"/>
      <c r="X52" s="583"/>
      <c r="Y52" s="76"/>
      <c r="Z52" s="76"/>
      <c r="AA52" s="76"/>
      <c r="AB52" s="76"/>
      <c r="AC52" s="76"/>
      <c r="AD52" s="136"/>
    </row>
    <row r="53" customHeight="1" spans="1:30">
      <c r="A53" s="76"/>
      <c r="B53" s="212" t="s">
        <v>1283</v>
      </c>
      <c r="C53" s="76" t="s">
        <v>52</v>
      </c>
      <c r="D53" s="76" t="s">
        <v>384</v>
      </c>
      <c r="E53" s="76"/>
      <c r="F53" s="76">
        <f t="shared" si="18"/>
        <v>78</v>
      </c>
      <c r="G53" s="71">
        <v>78</v>
      </c>
      <c r="H53" s="71"/>
      <c r="I53" s="71"/>
      <c r="J53" s="71">
        <v>78</v>
      </c>
      <c r="K53" s="76">
        <v>39</v>
      </c>
      <c r="L53" s="76">
        <f t="shared" si="19"/>
        <v>144</v>
      </c>
      <c r="M53" s="76">
        <v>2018</v>
      </c>
      <c r="N53" s="76">
        <v>2018</v>
      </c>
      <c r="O53" s="76">
        <f t="shared" si="20"/>
        <v>140.4</v>
      </c>
      <c r="P53" s="76">
        <f t="shared" si="21"/>
        <v>140.4</v>
      </c>
      <c r="Q53" s="76"/>
      <c r="R53" s="76"/>
      <c r="S53" s="76"/>
      <c r="T53" s="76">
        <f t="shared" si="22"/>
        <v>140.4</v>
      </c>
      <c r="U53" s="76"/>
      <c r="V53" s="76"/>
      <c r="W53" s="76"/>
      <c r="X53" s="583"/>
      <c r="Y53" s="76"/>
      <c r="Z53" s="76"/>
      <c r="AA53" s="76"/>
      <c r="AB53" s="76"/>
      <c r="AC53" s="76"/>
      <c r="AD53" s="136"/>
    </row>
    <row r="54" customHeight="1" spans="1:30">
      <c r="A54" s="76"/>
      <c r="B54" s="212" t="s">
        <v>1284</v>
      </c>
      <c r="C54" s="76" t="s">
        <v>52</v>
      </c>
      <c r="D54" s="76" t="s">
        <v>384</v>
      </c>
      <c r="E54" s="76"/>
      <c r="F54" s="76">
        <f t="shared" si="18"/>
        <v>7</v>
      </c>
      <c r="G54" s="71">
        <v>7</v>
      </c>
      <c r="H54" s="71"/>
      <c r="I54" s="71"/>
      <c r="J54" s="71">
        <v>7</v>
      </c>
      <c r="K54" s="76">
        <v>4</v>
      </c>
      <c r="L54" s="76">
        <f t="shared" si="19"/>
        <v>15</v>
      </c>
      <c r="M54" s="76">
        <v>2018</v>
      </c>
      <c r="N54" s="76">
        <v>2018</v>
      </c>
      <c r="O54" s="76">
        <f t="shared" si="20"/>
        <v>12.6</v>
      </c>
      <c r="P54" s="76">
        <f t="shared" si="21"/>
        <v>12.6</v>
      </c>
      <c r="Q54" s="76"/>
      <c r="R54" s="76"/>
      <c r="S54" s="76"/>
      <c r="T54" s="76">
        <f t="shared" si="22"/>
        <v>12.6</v>
      </c>
      <c r="U54" s="76"/>
      <c r="V54" s="76"/>
      <c r="W54" s="76"/>
      <c r="X54" s="583"/>
      <c r="Y54" s="76"/>
      <c r="Z54" s="76"/>
      <c r="AA54" s="76"/>
      <c r="AB54" s="76"/>
      <c r="AC54" s="76"/>
      <c r="AD54" s="136"/>
    </row>
    <row r="55" customHeight="1" spans="1:30">
      <c r="A55" s="76">
        <v>6</v>
      </c>
      <c r="B55" s="576" t="s">
        <v>1075</v>
      </c>
      <c r="C55" s="76" t="s">
        <v>52</v>
      </c>
      <c r="D55" s="76" t="s">
        <v>384</v>
      </c>
      <c r="E55" s="76"/>
      <c r="F55" s="76">
        <f t="shared" ref="F55:W55" si="23">SUM(F56:F72)</f>
        <v>234</v>
      </c>
      <c r="G55" s="76">
        <f t="shared" si="23"/>
        <v>234</v>
      </c>
      <c r="H55" s="76">
        <f t="shared" si="23"/>
        <v>0</v>
      </c>
      <c r="I55" s="76">
        <f t="shared" si="23"/>
        <v>0</v>
      </c>
      <c r="J55" s="76">
        <f t="shared" si="23"/>
        <v>234</v>
      </c>
      <c r="K55" s="76">
        <f t="shared" si="23"/>
        <v>132</v>
      </c>
      <c r="L55" s="76">
        <f t="shared" si="23"/>
        <v>490</v>
      </c>
      <c r="M55" s="76">
        <v>2018</v>
      </c>
      <c r="N55" s="76">
        <v>2019</v>
      </c>
      <c r="O55" s="76">
        <f t="shared" si="23"/>
        <v>936</v>
      </c>
      <c r="P55" s="76">
        <f t="shared" si="23"/>
        <v>936</v>
      </c>
      <c r="Q55" s="76">
        <f t="shared" si="23"/>
        <v>0</v>
      </c>
      <c r="R55" s="76">
        <f t="shared" si="23"/>
        <v>0</v>
      </c>
      <c r="S55" s="76">
        <f t="shared" si="23"/>
        <v>0</v>
      </c>
      <c r="T55" s="76">
        <f t="shared" si="23"/>
        <v>936</v>
      </c>
      <c r="U55" s="76">
        <f t="shared" si="23"/>
        <v>0</v>
      </c>
      <c r="V55" s="76">
        <f t="shared" si="23"/>
        <v>0</v>
      </c>
      <c r="W55" s="76">
        <f t="shared" si="23"/>
        <v>0</v>
      </c>
      <c r="X55" s="583" t="s">
        <v>1038</v>
      </c>
      <c r="Y55" s="76"/>
      <c r="Z55" s="76"/>
      <c r="AA55" s="76" t="s">
        <v>1273</v>
      </c>
      <c r="AB55" s="76" t="s">
        <v>1274</v>
      </c>
      <c r="AC55" s="76" t="s">
        <v>273</v>
      </c>
      <c r="AD55" s="136"/>
    </row>
    <row r="56" customHeight="1" spans="1:30">
      <c r="A56" s="76"/>
      <c r="B56" s="212" t="s">
        <v>1265</v>
      </c>
      <c r="C56" s="76" t="s">
        <v>52</v>
      </c>
      <c r="D56" s="76" t="s">
        <v>384</v>
      </c>
      <c r="E56" s="76"/>
      <c r="F56" s="76">
        <f t="shared" ref="F56:F72" si="24">SUM(G56:I56)</f>
        <v>5</v>
      </c>
      <c r="G56" s="76">
        <v>5</v>
      </c>
      <c r="H56" s="76"/>
      <c r="I56" s="76"/>
      <c r="J56" s="151">
        <f t="shared" ref="J56:J72" si="25">F56</f>
        <v>5</v>
      </c>
      <c r="K56" s="76">
        <v>1</v>
      </c>
      <c r="L56" s="76">
        <f t="shared" ref="L56:L72" si="26">ROUND(K56*3.7,0)</f>
        <v>4</v>
      </c>
      <c r="M56" s="76">
        <v>2018</v>
      </c>
      <c r="N56" s="76">
        <v>2018</v>
      </c>
      <c r="O56" s="76">
        <f t="shared" ref="O56:O72" si="27">SUM(P56:R56)</f>
        <v>20</v>
      </c>
      <c r="P56" s="76">
        <f t="shared" ref="P56:P72" si="28">4*F56</f>
        <v>20</v>
      </c>
      <c r="Q56" s="76"/>
      <c r="R56" s="76"/>
      <c r="S56" s="76"/>
      <c r="T56" s="76">
        <f t="shared" ref="T56:T72" si="29">O56</f>
        <v>20</v>
      </c>
      <c r="U56" s="76"/>
      <c r="V56" s="76"/>
      <c r="W56" s="76"/>
      <c r="X56" s="583"/>
      <c r="Y56" s="76"/>
      <c r="Z56" s="76"/>
      <c r="AA56" s="76"/>
      <c r="AB56" s="76"/>
      <c r="AC56" s="76"/>
      <c r="AD56" s="136"/>
    </row>
    <row r="57" customHeight="1" spans="1:30">
      <c r="A57" s="76"/>
      <c r="B57" s="212" t="s">
        <v>1266</v>
      </c>
      <c r="C57" s="76" t="s">
        <v>52</v>
      </c>
      <c r="D57" s="76" t="s">
        <v>384</v>
      </c>
      <c r="E57" s="76"/>
      <c r="F57" s="76">
        <f t="shared" si="24"/>
        <v>7</v>
      </c>
      <c r="G57" s="76">
        <v>7</v>
      </c>
      <c r="H57" s="76"/>
      <c r="I57" s="76"/>
      <c r="J57" s="151">
        <f t="shared" si="25"/>
        <v>7</v>
      </c>
      <c r="K57" s="76">
        <v>4</v>
      </c>
      <c r="L57" s="76">
        <f t="shared" si="26"/>
        <v>15</v>
      </c>
      <c r="M57" s="76">
        <v>2018</v>
      </c>
      <c r="N57" s="76">
        <v>2018</v>
      </c>
      <c r="O57" s="76">
        <f t="shared" si="27"/>
        <v>28</v>
      </c>
      <c r="P57" s="76">
        <f t="shared" si="28"/>
        <v>28</v>
      </c>
      <c r="Q57" s="76"/>
      <c r="R57" s="76"/>
      <c r="S57" s="76"/>
      <c r="T57" s="76">
        <f t="shared" si="29"/>
        <v>28</v>
      </c>
      <c r="U57" s="76"/>
      <c r="V57" s="76"/>
      <c r="W57" s="76"/>
      <c r="X57" s="583"/>
      <c r="Y57" s="76"/>
      <c r="Z57" s="76"/>
      <c r="AA57" s="76"/>
      <c r="AB57" s="76"/>
      <c r="AC57" s="76"/>
      <c r="AD57" s="136"/>
    </row>
    <row r="58" customHeight="1" spans="1:30">
      <c r="A58" s="76"/>
      <c r="B58" s="212" t="s">
        <v>1267</v>
      </c>
      <c r="C58" s="76" t="s">
        <v>52</v>
      </c>
      <c r="D58" s="76" t="s">
        <v>384</v>
      </c>
      <c r="E58" s="76"/>
      <c r="F58" s="76">
        <f t="shared" si="24"/>
        <v>26</v>
      </c>
      <c r="G58" s="76">
        <v>26</v>
      </c>
      <c r="H58" s="76"/>
      <c r="I58" s="76"/>
      <c r="J58" s="151">
        <f t="shared" si="25"/>
        <v>26</v>
      </c>
      <c r="K58" s="76">
        <v>17</v>
      </c>
      <c r="L58" s="76">
        <f t="shared" si="26"/>
        <v>63</v>
      </c>
      <c r="M58" s="76">
        <v>2018</v>
      </c>
      <c r="N58" s="76">
        <v>2018</v>
      </c>
      <c r="O58" s="76">
        <f t="shared" si="27"/>
        <v>104</v>
      </c>
      <c r="P58" s="76">
        <f t="shared" si="28"/>
        <v>104</v>
      </c>
      <c r="Q58" s="76"/>
      <c r="R58" s="76"/>
      <c r="S58" s="76"/>
      <c r="T58" s="76">
        <f t="shared" si="29"/>
        <v>104</v>
      </c>
      <c r="U58" s="76"/>
      <c r="V58" s="76"/>
      <c r="W58" s="76"/>
      <c r="X58" s="583"/>
      <c r="Y58" s="76"/>
      <c r="Z58" s="76"/>
      <c r="AA58" s="76"/>
      <c r="AB58" s="76"/>
      <c r="AC58" s="76"/>
      <c r="AD58" s="136"/>
    </row>
    <row r="59" customHeight="1" spans="1:30">
      <c r="A59" s="76"/>
      <c r="B59" s="212" t="s">
        <v>1268</v>
      </c>
      <c r="C59" s="76" t="s">
        <v>52</v>
      </c>
      <c r="D59" s="76" t="s">
        <v>384</v>
      </c>
      <c r="E59" s="76"/>
      <c r="F59" s="76">
        <f t="shared" si="24"/>
        <v>12</v>
      </c>
      <c r="G59" s="76">
        <v>12</v>
      </c>
      <c r="H59" s="76"/>
      <c r="I59" s="76"/>
      <c r="J59" s="151">
        <f t="shared" si="25"/>
        <v>12</v>
      </c>
      <c r="K59" s="76">
        <v>1</v>
      </c>
      <c r="L59" s="76">
        <f t="shared" si="26"/>
        <v>4</v>
      </c>
      <c r="M59" s="76">
        <v>2018</v>
      </c>
      <c r="N59" s="76">
        <v>2018</v>
      </c>
      <c r="O59" s="76">
        <f t="shared" si="27"/>
        <v>48</v>
      </c>
      <c r="P59" s="76">
        <f t="shared" si="28"/>
        <v>48</v>
      </c>
      <c r="Q59" s="76"/>
      <c r="R59" s="76"/>
      <c r="S59" s="76"/>
      <c r="T59" s="76">
        <f t="shared" si="29"/>
        <v>48</v>
      </c>
      <c r="U59" s="76"/>
      <c r="V59" s="76"/>
      <c r="W59" s="76"/>
      <c r="X59" s="583"/>
      <c r="Y59" s="76"/>
      <c r="Z59" s="76"/>
      <c r="AA59" s="76"/>
      <c r="AB59" s="76"/>
      <c r="AC59" s="76"/>
      <c r="AD59" s="136"/>
    </row>
    <row r="60" customHeight="1" spans="1:30">
      <c r="A60" s="76"/>
      <c r="B60" s="212" t="s">
        <v>1275</v>
      </c>
      <c r="C60" s="76" t="s">
        <v>52</v>
      </c>
      <c r="D60" s="76" t="s">
        <v>384</v>
      </c>
      <c r="E60" s="76"/>
      <c r="F60" s="76">
        <f t="shared" si="24"/>
        <v>11</v>
      </c>
      <c r="G60" s="76">
        <v>11</v>
      </c>
      <c r="H60" s="76"/>
      <c r="I60" s="76"/>
      <c r="J60" s="151">
        <f t="shared" si="25"/>
        <v>11</v>
      </c>
      <c r="K60" s="76">
        <v>6</v>
      </c>
      <c r="L60" s="76">
        <f t="shared" si="26"/>
        <v>22</v>
      </c>
      <c r="M60" s="76">
        <v>2018</v>
      </c>
      <c r="N60" s="76">
        <v>2018</v>
      </c>
      <c r="O60" s="76">
        <f t="shared" si="27"/>
        <v>44</v>
      </c>
      <c r="P60" s="76">
        <f t="shared" si="28"/>
        <v>44</v>
      </c>
      <c r="Q60" s="76"/>
      <c r="R60" s="76"/>
      <c r="S60" s="76"/>
      <c r="T60" s="76">
        <f t="shared" si="29"/>
        <v>44</v>
      </c>
      <c r="U60" s="76"/>
      <c r="V60" s="76"/>
      <c r="W60" s="76"/>
      <c r="X60" s="583"/>
      <c r="Y60" s="76"/>
      <c r="Z60" s="76"/>
      <c r="AA60" s="76"/>
      <c r="AB60" s="76"/>
      <c r="AC60" s="76"/>
      <c r="AD60" s="136"/>
    </row>
    <row r="61" customHeight="1" spans="1:30">
      <c r="A61" s="76"/>
      <c r="B61" s="212" t="s">
        <v>1276</v>
      </c>
      <c r="C61" s="76" t="s">
        <v>52</v>
      </c>
      <c r="D61" s="76" t="s">
        <v>384</v>
      </c>
      <c r="E61" s="76"/>
      <c r="F61" s="76">
        <f t="shared" si="24"/>
        <v>10</v>
      </c>
      <c r="G61" s="76">
        <v>10</v>
      </c>
      <c r="H61" s="76"/>
      <c r="I61" s="76"/>
      <c r="J61" s="151">
        <f t="shared" si="25"/>
        <v>10</v>
      </c>
      <c r="K61" s="76">
        <v>4</v>
      </c>
      <c r="L61" s="76">
        <f t="shared" si="26"/>
        <v>15</v>
      </c>
      <c r="M61" s="76">
        <v>2018</v>
      </c>
      <c r="N61" s="76">
        <v>2018</v>
      </c>
      <c r="O61" s="76">
        <f t="shared" si="27"/>
        <v>40</v>
      </c>
      <c r="P61" s="76">
        <f t="shared" si="28"/>
        <v>40</v>
      </c>
      <c r="Q61" s="76"/>
      <c r="R61" s="76"/>
      <c r="S61" s="76"/>
      <c r="T61" s="76">
        <f t="shared" si="29"/>
        <v>40</v>
      </c>
      <c r="U61" s="76"/>
      <c r="V61" s="76"/>
      <c r="W61" s="76"/>
      <c r="X61" s="583"/>
      <c r="Y61" s="76"/>
      <c r="Z61" s="76"/>
      <c r="AA61" s="76"/>
      <c r="AB61" s="76"/>
      <c r="AC61" s="76"/>
      <c r="AD61" s="136"/>
    </row>
    <row r="62" customHeight="1" spans="1:30">
      <c r="A62" s="76"/>
      <c r="B62" s="212" t="s">
        <v>1277</v>
      </c>
      <c r="C62" s="76" t="s">
        <v>52</v>
      </c>
      <c r="D62" s="76" t="s">
        <v>384</v>
      </c>
      <c r="E62" s="76"/>
      <c r="F62" s="76">
        <f t="shared" si="24"/>
        <v>28</v>
      </c>
      <c r="G62" s="76">
        <v>28</v>
      </c>
      <c r="H62" s="76"/>
      <c r="I62" s="76"/>
      <c r="J62" s="151">
        <f t="shared" si="25"/>
        <v>28</v>
      </c>
      <c r="K62" s="76">
        <v>13</v>
      </c>
      <c r="L62" s="76">
        <f t="shared" si="26"/>
        <v>48</v>
      </c>
      <c r="M62" s="76">
        <v>2018</v>
      </c>
      <c r="N62" s="76">
        <v>2018</v>
      </c>
      <c r="O62" s="76">
        <f t="shared" si="27"/>
        <v>112</v>
      </c>
      <c r="P62" s="76">
        <f t="shared" si="28"/>
        <v>112</v>
      </c>
      <c r="Q62" s="76"/>
      <c r="R62" s="76"/>
      <c r="S62" s="76"/>
      <c r="T62" s="76">
        <f t="shared" si="29"/>
        <v>112</v>
      </c>
      <c r="U62" s="76"/>
      <c r="V62" s="76"/>
      <c r="W62" s="76"/>
      <c r="X62" s="583"/>
      <c r="Y62" s="76"/>
      <c r="Z62" s="76"/>
      <c r="AA62" s="76"/>
      <c r="AB62" s="76"/>
      <c r="AC62" s="76"/>
      <c r="AD62" s="136"/>
    </row>
    <row r="63" customHeight="1" spans="1:30">
      <c r="A63" s="76"/>
      <c r="B63" s="212" t="s">
        <v>1278</v>
      </c>
      <c r="C63" s="76" t="s">
        <v>52</v>
      </c>
      <c r="D63" s="76" t="s">
        <v>384</v>
      </c>
      <c r="E63" s="76"/>
      <c r="F63" s="76">
        <f t="shared" si="24"/>
        <v>10</v>
      </c>
      <c r="G63" s="76">
        <v>10</v>
      </c>
      <c r="H63" s="76"/>
      <c r="I63" s="76"/>
      <c r="J63" s="151">
        <f t="shared" si="25"/>
        <v>10</v>
      </c>
      <c r="K63" s="76">
        <v>6</v>
      </c>
      <c r="L63" s="76">
        <f t="shared" si="26"/>
        <v>22</v>
      </c>
      <c r="M63" s="76">
        <v>2018</v>
      </c>
      <c r="N63" s="76">
        <v>2018</v>
      </c>
      <c r="O63" s="76">
        <f t="shared" si="27"/>
        <v>40</v>
      </c>
      <c r="P63" s="76">
        <f t="shared" si="28"/>
        <v>40</v>
      </c>
      <c r="Q63" s="76"/>
      <c r="R63" s="76"/>
      <c r="S63" s="76"/>
      <c r="T63" s="76">
        <f t="shared" si="29"/>
        <v>40</v>
      </c>
      <c r="U63" s="76"/>
      <c r="V63" s="76"/>
      <c r="W63" s="76"/>
      <c r="X63" s="583"/>
      <c r="Y63" s="76"/>
      <c r="Z63" s="76"/>
      <c r="AA63" s="76"/>
      <c r="AB63" s="76"/>
      <c r="AC63" s="76"/>
      <c r="AD63" s="136"/>
    </row>
    <row r="64" customHeight="1" spans="1:30">
      <c r="A64" s="76"/>
      <c r="B64" s="212" t="s">
        <v>1279</v>
      </c>
      <c r="C64" s="76" t="s">
        <v>52</v>
      </c>
      <c r="D64" s="76" t="s">
        <v>384</v>
      </c>
      <c r="E64" s="76"/>
      <c r="F64" s="76">
        <f t="shared" si="24"/>
        <v>16</v>
      </c>
      <c r="G64" s="76">
        <v>16</v>
      </c>
      <c r="H64" s="76"/>
      <c r="I64" s="76"/>
      <c r="J64" s="151">
        <f t="shared" si="25"/>
        <v>16</v>
      </c>
      <c r="K64" s="76">
        <v>11</v>
      </c>
      <c r="L64" s="76">
        <f t="shared" si="26"/>
        <v>41</v>
      </c>
      <c r="M64" s="76">
        <v>2018</v>
      </c>
      <c r="N64" s="76">
        <v>2018</v>
      </c>
      <c r="O64" s="76">
        <f t="shared" si="27"/>
        <v>64</v>
      </c>
      <c r="P64" s="76">
        <f t="shared" si="28"/>
        <v>64</v>
      </c>
      <c r="Q64" s="76"/>
      <c r="R64" s="76"/>
      <c r="S64" s="76"/>
      <c r="T64" s="76">
        <f t="shared" si="29"/>
        <v>64</v>
      </c>
      <c r="U64" s="76"/>
      <c r="V64" s="76"/>
      <c r="W64" s="76"/>
      <c r="X64" s="583"/>
      <c r="Y64" s="76"/>
      <c r="Z64" s="76"/>
      <c r="AA64" s="76"/>
      <c r="AB64" s="76"/>
      <c r="AC64" s="76"/>
      <c r="AD64" s="136"/>
    </row>
    <row r="65" customHeight="1" spans="1:30">
      <c r="A65" s="76"/>
      <c r="B65" s="212" t="s">
        <v>1280</v>
      </c>
      <c r="C65" s="76" t="s">
        <v>52</v>
      </c>
      <c r="D65" s="76" t="s">
        <v>384</v>
      </c>
      <c r="E65" s="76"/>
      <c r="F65" s="76">
        <f t="shared" si="24"/>
        <v>0</v>
      </c>
      <c r="G65" s="76"/>
      <c r="H65" s="76"/>
      <c r="I65" s="76"/>
      <c r="J65" s="151">
        <f t="shared" si="25"/>
        <v>0</v>
      </c>
      <c r="K65" s="76"/>
      <c r="L65" s="76">
        <f t="shared" si="26"/>
        <v>0</v>
      </c>
      <c r="M65" s="76">
        <v>2018</v>
      </c>
      <c r="N65" s="76">
        <v>2018</v>
      </c>
      <c r="O65" s="76">
        <f t="shared" si="27"/>
        <v>0</v>
      </c>
      <c r="P65" s="76">
        <f t="shared" si="28"/>
        <v>0</v>
      </c>
      <c r="Q65" s="76"/>
      <c r="R65" s="76"/>
      <c r="S65" s="76"/>
      <c r="T65" s="76">
        <f t="shared" si="29"/>
        <v>0</v>
      </c>
      <c r="U65" s="76"/>
      <c r="V65" s="76"/>
      <c r="W65" s="76"/>
      <c r="X65" s="583"/>
      <c r="Y65" s="76"/>
      <c r="Z65" s="76"/>
      <c r="AA65" s="76"/>
      <c r="AB65" s="76"/>
      <c r="AC65" s="76"/>
      <c r="AD65" s="136"/>
    </row>
    <row r="66" customHeight="1" spans="1:30">
      <c r="A66" s="76"/>
      <c r="B66" s="212" t="s">
        <v>1269</v>
      </c>
      <c r="C66" s="76" t="s">
        <v>52</v>
      </c>
      <c r="D66" s="76" t="s">
        <v>384</v>
      </c>
      <c r="E66" s="76"/>
      <c r="F66" s="76">
        <f t="shared" si="24"/>
        <v>17</v>
      </c>
      <c r="G66" s="76">
        <v>17</v>
      </c>
      <c r="H66" s="76"/>
      <c r="I66" s="76"/>
      <c r="J66" s="151">
        <f t="shared" si="25"/>
        <v>17</v>
      </c>
      <c r="K66" s="76">
        <v>8</v>
      </c>
      <c r="L66" s="76">
        <f t="shared" si="26"/>
        <v>30</v>
      </c>
      <c r="M66" s="76">
        <v>2018</v>
      </c>
      <c r="N66" s="76">
        <v>2018</v>
      </c>
      <c r="O66" s="76">
        <f t="shared" si="27"/>
        <v>68</v>
      </c>
      <c r="P66" s="76">
        <f t="shared" si="28"/>
        <v>68</v>
      </c>
      <c r="Q66" s="76"/>
      <c r="R66" s="76"/>
      <c r="S66" s="76"/>
      <c r="T66" s="76">
        <f t="shared" si="29"/>
        <v>68</v>
      </c>
      <c r="U66" s="76"/>
      <c r="V66" s="76"/>
      <c r="W66" s="76"/>
      <c r="X66" s="583"/>
      <c r="Y66" s="76"/>
      <c r="Z66" s="76"/>
      <c r="AA66" s="76"/>
      <c r="AB66" s="76"/>
      <c r="AC66" s="76"/>
      <c r="AD66" s="136"/>
    </row>
    <row r="67" customHeight="1" spans="1:30">
      <c r="A67" s="76"/>
      <c r="B67" s="212" t="s">
        <v>1270</v>
      </c>
      <c r="C67" s="76" t="s">
        <v>52</v>
      </c>
      <c r="D67" s="76" t="s">
        <v>384</v>
      </c>
      <c r="E67" s="76"/>
      <c r="F67" s="76">
        <f t="shared" si="24"/>
        <v>12</v>
      </c>
      <c r="G67" s="76">
        <v>12</v>
      </c>
      <c r="H67" s="76"/>
      <c r="I67" s="76"/>
      <c r="J67" s="151">
        <f t="shared" si="25"/>
        <v>12</v>
      </c>
      <c r="K67" s="76">
        <v>7</v>
      </c>
      <c r="L67" s="76">
        <f t="shared" si="26"/>
        <v>26</v>
      </c>
      <c r="M67" s="76">
        <v>2018</v>
      </c>
      <c r="N67" s="76">
        <v>2018</v>
      </c>
      <c r="O67" s="76">
        <f t="shared" si="27"/>
        <v>48</v>
      </c>
      <c r="P67" s="76">
        <f t="shared" si="28"/>
        <v>48</v>
      </c>
      <c r="Q67" s="76"/>
      <c r="R67" s="76"/>
      <c r="S67" s="76"/>
      <c r="T67" s="76">
        <f t="shared" si="29"/>
        <v>48</v>
      </c>
      <c r="U67" s="76"/>
      <c r="V67" s="76"/>
      <c r="W67" s="76"/>
      <c r="X67" s="583"/>
      <c r="Y67" s="76"/>
      <c r="Z67" s="76"/>
      <c r="AA67" s="76"/>
      <c r="AB67" s="76"/>
      <c r="AC67" s="76"/>
      <c r="AD67" s="136"/>
    </row>
    <row r="68" customHeight="1" spans="1:30">
      <c r="A68" s="76"/>
      <c r="B68" s="212" t="s">
        <v>1281</v>
      </c>
      <c r="C68" s="76" t="s">
        <v>52</v>
      </c>
      <c r="D68" s="76" t="s">
        <v>384</v>
      </c>
      <c r="E68" s="76"/>
      <c r="F68" s="76">
        <f t="shared" si="24"/>
        <v>24</v>
      </c>
      <c r="G68" s="76">
        <v>24</v>
      </c>
      <c r="H68" s="76"/>
      <c r="I68" s="76"/>
      <c r="J68" s="151">
        <f t="shared" si="25"/>
        <v>24</v>
      </c>
      <c r="K68" s="76">
        <v>17</v>
      </c>
      <c r="L68" s="76">
        <f t="shared" si="26"/>
        <v>63</v>
      </c>
      <c r="M68" s="76">
        <v>2018</v>
      </c>
      <c r="N68" s="76">
        <v>2018</v>
      </c>
      <c r="O68" s="76">
        <f t="shared" si="27"/>
        <v>96</v>
      </c>
      <c r="P68" s="76">
        <f t="shared" si="28"/>
        <v>96</v>
      </c>
      <c r="Q68" s="76"/>
      <c r="R68" s="76"/>
      <c r="S68" s="76"/>
      <c r="T68" s="76">
        <f t="shared" si="29"/>
        <v>96</v>
      </c>
      <c r="U68" s="76"/>
      <c r="V68" s="76"/>
      <c r="W68" s="76"/>
      <c r="X68" s="583"/>
      <c r="Y68" s="76"/>
      <c r="Z68" s="76"/>
      <c r="AA68" s="76"/>
      <c r="AB68" s="76"/>
      <c r="AC68" s="76"/>
      <c r="AD68" s="136"/>
    </row>
    <row r="69" customHeight="1" spans="1:30">
      <c r="A69" s="76"/>
      <c r="B69" s="212" t="s">
        <v>1271</v>
      </c>
      <c r="C69" s="76" t="s">
        <v>52</v>
      </c>
      <c r="D69" s="76" t="s">
        <v>384</v>
      </c>
      <c r="E69" s="76"/>
      <c r="F69" s="76">
        <f t="shared" si="24"/>
        <v>19</v>
      </c>
      <c r="G69" s="76">
        <v>19</v>
      </c>
      <c r="H69" s="76"/>
      <c r="I69" s="76"/>
      <c r="J69" s="151">
        <f t="shared" si="25"/>
        <v>19</v>
      </c>
      <c r="K69" s="76">
        <v>13</v>
      </c>
      <c r="L69" s="76">
        <f t="shared" si="26"/>
        <v>48</v>
      </c>
      <c r="M69" s="76">
        <v>2018</v>
      </c>
      <c r="N69" s="76">
        <v>2018</v>
      </c>
      <c r="O69" s="76">
        <f t="shared" si="27"/>
        <v>76</v>
      </c>
      <c r="P69" s="76">
        <f t="shared" si="28"/>
        <v>76</v>
      </c>
      <c r="Q69" s="76"/>
      <c r="R69" s="76"/>
      <c r="S69" s="76"/>
      <c r="T69" s="76">
        <f t="shared" si="29"/>
        <v>76</v>
      </c>
      <c r="U69" s="76"/>
      <c r="V69" s="76"/>
      <c r="W69" s="76"/>
      <c r="X69" s="583"/>
      <c r="Y69" s="76"/>
      <c r="Z69" s="76"/>
      <c r="AA69" s="76"/>
      <c r="AB69" s="76"/>
      <c r="AC69" s="76"/>
      <c r="AD69" s="136"/>
    </row>
    <row r="70" customHeight="1" spans="1:30">
      <c r="A70" s="76"/>
      <c r="B70" s="212" t="s">
        <v>1282</v>
      </c>
      <c r="C70" s="76" t="s">
        <v>52</v>
      </c>
      <c r="D70" s="76" t="s">
        <v>384</v>
      </c>
      <c r="E70" s="76"/>
      <c r="F70" s="76">
        <f t="shared" si="24"/>
        <v>15</v>
      </c>
      <c r="G70" s="76">
        <v>15</v>
      </c>
      <c r="H70" s="76"/>
      <c r="I70" s="76"/>
      <c r="J70" s="151">
        <f t="shared" si="25"/>
        <v>15</v>
      </c>
      <c r="K70" s="76">
        <v>9</v>
      </c>
      <c r="L70" s="76">
        <f t="shared" si="26"/>
        <v>33</v>
      </c>
      <c r="M70" s="76">
        <v>2018</v>
      </c>
      <c r="N70" s="76">
        <v>2018</v>
      </c>
      <c r="O70" s="76">
        <f t="shared" si="27"/>
        <v>60</v>
      </c>
      <c r="P70" s="76">
        <f t="shared" si="28"/>
        <v>60</v>
      </c>
      <c r="Q70" s="76"/>
      <c r="R70" s="76"/>
      <c r="S70" s="76"/>
      <c r="T70" s="76">
        <f t="shared" si="29"/>
        <v>60</v>
      </c>
      <c r="U70" s="76"/>
      <c r="V70" s="76"/>
      <c r="W70" s="76"/>
      <c r="X70" s="583"/>
      <c r="Y70" s="76"/>
      <c r="Z70" s="76"/>
      <c r="AA70" s="76"/>
      <c r="AB70" s="76"/>
      <c r="AC70" s="76"/>
      <c r="AD70" s="136"/>
    </row>
    <row r="71" customHeight="1" spans="1:30">
      <c r="A71" s="76"/>
      <c r="B71" s="212" t="s">
        <v>1283</v>
      </c>
      <c r="C71" s="76" t="s">
        <v>52</v>
      </c>
      <c r="D71" s="76" t="s">
        <v>384</v>
      </c>
      <c r="E71" s="76"/>
      <c r="F71" s="76">
        <f t="shared" si="24"/>
        <v>14</v>
      </c>
      <c r="G71" s="76">
        <v>14</v>
      </c>
      <c r="H71" s="76"/>
      <c r="I71" s="76"/>
      <c r="J71" s="151">
        <f t="shared" si="25"/>
        <v>14</v>
      </c>
      <c r="K71" s="76">
        <v>8</v>
      </c>
      <c r="L71" s="76">
        <f t="shared" si="26"/>
        <v>30</v>
      </c>
      <c r="M71" s="76">
        <v>2018</v>
      </c>
      <c r="N71" s="76">
        <v>2018</v>
      </c>
      <c r="O71" s="76">
        <f t="shared" si="27"/>
        <v>56</v>
      </c>
      <c r="P71" s="76">
        <f t="shared" si="28"/>
        <v>56</v>
      </c>
      <c r="Q71" s="76"/>
      <c r="R71" s="76"/>
      <c r="S71" s="76"/>
      <c r="T71" s="76">
        <f t="shared" si="29"/>
        <v>56</v>
      </c>
      <c r="U71" s="76"/>
      <c r="V71" s="76"/>
      <c r="W71" s="76"/>
      <c r="X71" s="583"/>
      <c r="Y71" s="76"/>
      <c r="Z71" s="76"/>
      <c r="AA71" s="76"/>
      <c r="AB71" s="76"/>
      <c r="AC71" s="76"/>
      <c r="AD71" s="136"/>
    </row>
    <row r="72" customHeight="1" spans="1:30">
      <c r="A72" s="76"/>
      <c r="B72" s="212" t="s">
        <v>1284</v>
      </c>
      <c r="C72" s="76" t="s">
        <v>52</v>
      </c>
      <c r="D72" s="76" t="s">
        <v>384</v>
      </c>
      <c r="E72" s="76"/>
      <c r="F72" s="76">
        <f t="shared" si="24"/>
        <v>8</v>
      </c>
      <c r="G72" s="76">
        <v>8</v>
      </c>
      <c r="H72" s="76"/>
      <c r="I72" s="76"/>
      <c r="J72" s="151">
        <f t="shared" si="25"/>
        <v>8</v>
      </c>
      <c r="K72" s="76">
        <v>7</v>
      </c>
      <c r="L72" s="76">
        <f t="shared" si="26"/>
        <v>26</v>
      </c>
      <c r="M72" s="76">
        <v>2018</v>
      </c>
      <c r="N72" s="76">
        <v>2018</v>
      </c>
      <c r="O72" s="76">
        <f t="shared" si="27"/>
        <v>32</v>
      </c>
      <c r="P72" s="76">
        <f t="shared" si="28"/>
        <v>32</v>
      </c>
      <c r="Q72" s="76"/>
      <c r="R72" s="76"/>
      <c r="S72" s="76"/>
      <c r="T72" s="76">
        <f t="shared" si="29"/>
        <v>32</v>
      </c>
      <c r="U72" s="76"/>
      <c r="V72" s="76"/>
      <c r="W72" s="76"/>
      <c r="X72" s="583"/>
      <c r="Y72" s="76"/>
      <c r="Z72" s="76"/>
      <c r="AA72" s="76"/>
      <c r="AB72" s="76"/>
      <c r="AC72" s="76"/>
      <c r="AD72" s="136"/>
    </row>
    <row r="73" customHeight="1" spans="1:30">
      <c r="A73" s="76">
        <v>7</v>
      </c>
      <c r="B73" s="92" t="s">
        <v>1076</v>
      </c>
      <c r="C73" s="76" t="s">
        <v>52</v>
      </c>
      <c r="D73" s="76" t="s">
        <v>384</v>
      </c>
      <c r="E73" s="76"/>
      <c r="F73" s="76">
        <f t="shared" ref="F73:L73" si="30">SUM(F74:F90)</f>
        <v>396</v>
      </c>
      <c r="G73" s="76">
        <f t="shared" si="30"/>
        <v>396</v>
      </c>
      <c r="H73" s="76">
        <f t="shared" si="30"/>
        <v>0</v>
      </c>
      <c r="I73" s="76">
        <f t="shared" si="30"/>
        <v>0</v>
      </c>
      <c r="J73" s="76">
        <f t="shared" si="30"/>
        <v>396</v>
      </c>
      <c r="K73" s="76">
        <f t="shared" si="30"/>
        <v>0</v>
      </c>
      <c r="L73" s="76">
        <f t="shared" si="30"/>
        <v>0</v>
      </c>
      <c r="M73" s="76">
        <v>2018</v>
      </c>
      <c r="N73" s="76">
        <v>2018</v>
      </c>
      <c r="O73" s="76">
        <f>SUM(O74:O90)</f>
        <v>712.8</v>
      </c>
      <c r="P73" s="76">
        <f t="shared" ref="P73:W73" si="31">SUM(P74:P90)</f>
        <v>0</v>
      </c>
      <c r="Q73" s="76">
        <f t="shared" si="31"/>
        <v>712.8</v>
      </c>
      <c r="R73" s="76">
        <f t="shared" si="31"/>
        <v>0</v>
      </c>
      <c r="S73" s="76">
        <f t="shared" si="31"/>
        <v>0</v>
      </c>
      <c r="T73" s="76">
        <f t="shared" si="31"/>
        <v>0</v>
      </c>
      <c r="U73" s="76">
        <f t="shared" si="31"/>
        <v>712.8</v>
      </c>
      <c r="V73" s="76">
        <f t="shared" si="31"/>
        <v>0</v>
      </c>
      <c r="W73" s="76">
        <f t="shared" si="31"/>
        <v>0</v>
      </c>
      <c r="X73" s="583"/>
      <c r="Y73" s="76" t="s">
        <v>1038</v>
      </c>
      <c r="Z73" s="76"/>
      <c r="AA73" s="76" t="s">
        <v>1273</v>
      </c>
      <c r="AB73" s="76" t="s">
        <v>1274</v>
      </c>
      <c r="AC73" s="76" t="s">
        <v>273</v>
      </c>
      <c r="AD73" s="136"/>
    </row>
    <row r="74" customHeight="1" spans="1:30">
      <c r="A74" s="76"/>
      <c r="B74" s="212" t="s">
        <v>1265</v>
      </c>
      <c r="C74" s="76" t="s">
        <v>52</v>
      </c>
      <c r="D74" s="76" t="s">
        <v>384</v>
      </c>
      <c r="E74" s="76"/>
      <c r="F74" s="76">
        <f t="shared" ref="F74:F90" si="32">SUM(G74:I74)</f>
        <v>7</v>
      </c>
      <c r="G74" s="76">
        <v>7</v>
      </c>
      <c r="H74" s="76"/>
      <c r="I74" s="76"/>
      <c r="J74" s="76">
        <v>7</v>
      </c>
      <c r="K74" s="76"/>
      <c r="L74" s="76"/>
      <c r="M74" s="76">
        <v>2018</v>
      </c>
      <c r="N74" s="76">
        <v>2018</v>
      </c>
      <c r="O74" s="76">
        <f t="shared" ref="O74:O90" si="33">SUM(Q74:R74)</f>
        <v>12.6</v>
      </c>
      <c r="P74" s="94"/>
      <c r="Q74" s="76">
        <f t="shared" ref="Q74:Q90" si="34">1.8*F74</f>
        <v>12.6</v>
      </c>
      <c r="R74" s="76"/>
      <c r="S74" s="76"/>
      <c r="T74" s="76"/>
      <c r="U74" s="76">
        <f t="shared" ref="U74:U90" si="35">O74</f>
        <v>12.6</v>
      </c>
      <c r="V74" s="76"/>
      <c r="W74" s="76"/>
      <c r="X74" s="583"/>
      <c r="Y74" s="76"/>
      <c r="Z74" s="76"/>
      <c r="AA74" s="76"/>
      <c r="AB74" s="76"/>
      <c r="AC74" s="76"/>
      <c r="AD74" s="136"/>
    </row>
    <row r="75" customHeight="1" spans="1:30">
      <c r="A75" s="76"/>
      <c r="B75" s="212" t="s">
        <v>1266</v>
      </c>
      <c r="C75" s="76" t="s">
        <v>52</v>
      </c>
      <c r="D75" s="76" t="s">
        <v>384</v>
      </c>
      <c r="E75" s="76"/>
      <c r="F75" s="76">
        <f t="shared" si="32"/>
        <v>10</v>
      </c>
      <c r="G75" s="76">
        <v>10</v>
      </c>
      <c r="H75" s="76"/>
      <c r="I75" s="76"/>
      <c r="J75" s="76">
        <v>10</v>
      </c>
      <c r="K75" s="76"/>
      <c r="L75" s="76"/>
      <c r="M75" s="76">
        <v>2018</v>
      </c>
      <c r="N75" s="76">
        <v>2018</v>
      </c>
      <c r="O75" s="76">
        <f t="shared" si="33"/>
        <v>18</v>
      </c>
      <c r="P75" s="94"/>
      <c r="Q75" s="76">
        <f t="shared" si="34"/>
        <v>18</v>
      </c>
      <c r="R75" s="76"/>
      <c r="S75" s="76"/>
      <c r="T75" s="76"/>
      <c r="U75" s="76">
        <f t="shared" si="35"/>
        <v>18</v>
      </c>
      <c r="V75" s="76"/>
      <c r="W75" s="76"/>
      <c r="X75" s="583"/>
      <c r="Y75" s="76"/>
      <c r="Z75" s="76"/>
      <c r="AA75" s="76"/>
      <c r="AB75" s="76"/>
      <c r="AC75" s="76"/>
      <c r="AD75" s="136"/>
    </row>
    <row r="76" customHeight="1" spans="1:30">
      <c r="A76" s="76"/>
      <c r="B76" s="212" t="s">
        <v>1267</v>
      </c>
      <c r="C76" s="76" t="s">
        <v>52</v>
      </c>
      <c r="D76" s="76" t="s">
        <v>384</v>
      </c>
      <c r="E76" s="76"/>
      <c r="F76" s="76">
        <f t="shared" si="32"/>
        <v>2</v>
      </c>
      <c r="G76" s="76">
        <v>2</v>
      </c>
      <c r="H76" s="76"/>
      <c r="I76" s="76"/>
      <c r="J76" s="76">
        <v>2</v>
      </c>
      <c r="K76" s="76"/>
      <c r="L76" s="76"/>
      <c r="M76" s="76">
        <v>2018</v>
      </c>
      <c r="N76" s="76">
        <v>2018</v>
      </c>
      <c r="O76" s="76">
        <f t="shared" si="33"/>
        <v>3.6</v>
      </c>
      <c r="P76" s="94"/>
      <c r="Q76" s="76">
        <f t="shared" si="34"/>
        <v>3.6</v>
      </c>
      <c r="R76" s="76"/>
      <c r="S76" s="76"/>
      <c r="T76" s="76"/>
      <c r="U76" s="76">
        <f t="shared" si="35"/>
        <v>3.6</v>
      </c>
      <c r="V76" s="76"/>
      <c r="W76" s="76"/>
      <c r="X76" s="583"/>
      <c r="Y76" s="76"/>
      <c r="Z76" s="76"/>
      <c r="AA76" s="76"/>
      <c r="AB76" s="76"/>
      <c r="AC76" s="76"/>
      <c r="AD76" s="136"/>
    </row>
    <row r="77" customHeight="1" spans="1:30">
      <c r="A77" s="76"/>
      <c r="B77" s="212" t="s">
        <v>1268</v>
      </c>
      <c r="C77" s="76" t="s">
        <v>52</v>
      </c>
      <c r="D77" s="76" t="s">
        <v>384</v>
      </c>
      <c r="E77" s="76"/>
      <c r="F77" s="76">
        <f t="shared" si="32"/>
        <v>32</v>
      </c>
      <c r="G77" s="76">
        <v>32</v>
      </c>
      <c r="H77" s="76"/>
      <c r="I77" s="76"/>
      <c r="J77" s="76">
        <v>32</v>
      </c>
      <c r="K77" s="76"/>
      <c r="L77" s="76"/>
      <c r="M77" s="76">
        <v>2018</v>
      </c>
      <c r="N77" s="76">
        <v>2018</v>
      </c>
      <c r="O77" s="76">
        <f t="shared" si="33"/>
        <v>57.6</v>
      </c>
      <c r="P77" s="94"/>
      <c r="Q77" s="76">
        <f t="shared" si="34"/>
        <v>57.6</v>
      </c>
      <c r="R77" s="76"/>
      <c r="S77" s="76"/>
      <c r="T77" s="76"/>
      <c r="U77" s="76">
        <f t="shared" si="35"/>
        <v>57.6</v>
      </c>
      <c r="V77" s="76"/>
      <c r="W77" s="76"/>
      <c r="X77" s="583"/>
      <c r="Y77" s="76"/>
      <c r="Z77" s="76"/>
      <c r="AA77" s="76"/>
      <c r="AB77" s="76"/>
      <c r="AC77" s="76"/>
      <c r="AD77" s="136"/>
    </row>
    <row r="78" customHeight="1" spans="1:30">
      <c r="A78" s="76"/>
      <c r="B78" s="212" t="s">
        <v>1275</v>
      </c>
      <c r="C78" s="76" t="s">
        <v>52</v>
      </c>
      <c r="D78" s="76" t="s">
        <v>384</v>
      </c>
      <c r="E78" s="76"/>
      <c r="F78" s="76">
        <f t="shared" si="32"/>
        <v>20</v>
      </c>
      <c r="G78" s="76">
        <v>20</v>
      </c>
      <c r="H78" s="76"/>
      <c r="I78" s="76"/>
      <c r="J78" s="76">
        <v>20</v>
      </c>
      <c r="K78" s="76"/>
      <c r="L78" s="76"/>
      <c r="M78" s="76">
        <v>2018</v>
      </c>
      <c r="N78" s="76">
        <v>2018</v>
      </c>
      <c r="O78" s="76">
        <f t="shared" si="33"/>
        <v>36</v>
      </c>
      <c r="P78" s="94"/>
      <c r="Q78" s="76">
        <f t="shared" si="34"/>
        <v>36</v>
      </c>
      <c r="R78" s="76"/>
      <c r="S78" s="76"/>
      <c r="T78" s="76"/>
      <c r="U78" s="76">
        <f t="shared" si="35"/>
        <v>36</v>
      </c>
      <c r="V78" s="76"/>
      <c r="W78" s="76"/>
      <c r="X78" s="583"/>
      <c r="Y78" s="76"/>
      <c r="Z78" s="76"/>
      <c r="AA78" s="76"/>
      <c r="AB78" s="76"/>
      <c r="AC78" s="76"/>
      <c r="AD78" s="136"/>
    </row>
    <row r="79" customHeight="1" spans="1:30">
      <c r="A79" s="76"/>
      <c r="B79" s="212" t="s">
        <v>1276</v>
      </c>
      <c r="C79" s="76" t="s">
        <v>52</v>
      </c>
      <c r="D79" s="76" t="s">
        <v>384</v>
      </c>
      <c r="E79" s="76"/>
      <c r="F79" s="76">
        <f t="shared" si="32"/>
        <v>23</v>
      </c>
      <c r="G79" s="76">
        <v>23</v>
      </c>
      <c r="H79" s="76"/>
      <c r="I79" s="76"/>
      <c r="J79" s="76">
        <v>23</v>
      </c>
      <c r="K79" s="76"/>
      <c r="L79" s="76"/>
      <c r="M79" s="76">
        <v>2018</v>
      </c>
      <c r="N79" s="76">
        <v>2018</v>
      </c>
      <c r="O79" s="76">
        <f t="shared" si="33"/>
        <v>41.4</v>
      </c>
      <c r="P79" s="94"/>
      <c r="Q79" s="76">
        <f t="shared" si="34"/>
        <v>41.4</v>
      </c>
      <c r="R79" s="76"/>
      <c r="S79" s="76"/>
      <c r="T79" s="76"/>
      <c r="U79" s="76">
        <f t="shared" si="35"/>
        <v>41.4</v>
      </c>
      <c r="V79" s="76"/>
      <c r="W79" s="76"/>
      <c r="X79" s="583"/>
      <c r="Y79" s="76"/>
      <c r="Z79" s="76"/>
      <c r="AA79" s="76"/>
      <c r="AB79" s="76"/>
      <c r="AC79" s="76"/>
      <c r="AD79" s="136"/>
    </row>
    <row r="80" customHeight="1" spans="1:30">
      <c r="A80" s="76"/>
      <c r="B80" s="212" t="s">
        <v>1277</v>
      </c>
      <c r="C80" s="76" t="s">
        <v>52</v>
      </c>
      <c r="D80" s="76" t="s">
        <v>384</v>
      </c>
      <c r="E80" s="76"/>
      <c r="F80" s="76">
        <f t="shared" si="32"/>
        <v>113</v>
      </c>
      <c r="G80" s="76">
        <v>113</v>
      </c>
      <c r="H80" s="76"/>
      <c r="I80" s="76"/>
      <c r="J80" s="76">
        <v>113</v>
      </c>
      <c r="K80" s="76"/>
      <c r="L80" s="76"/>
      <c r="M80" s="76">
        <v>2018</v>
      </c>
      <c r="N80" s="76">
        <v>2018</v>
      </c>
      <c r="O80" s="76">
        <f t="shared" si="33"/>
        <v>203.4</v>
      </c>
      <c r="P80" s="94"/>
      <c r="Q80" s="76">
        <f t="shared" si="34"/>
        <v>203.4</v>
      </c>
      <c r="R80" s="76"/>
      <c r="S80" s="76"/>
      <c r="T80" s="76"/>
      <c r="U80" s="76">
        <f t="shared" si="35"/>
        <v>203.4</v>
      </c>
      <c r="V80" s="76"/>
      <c r="W80" s="76"/>
      <c r="X80" s="583"/>
      <c r="Y80" s="76"/>
      <c r="Z80" s="76"/>
      <c r="AA80" s="76"/>
      <c r="AB80" s="76"/>
      <c r="AC80" s="76"/>
      <c r="AD80" s="136"/>
    </row>
    <row r="81" customHeight="1" spans="1:30">
      <c r="A81" s="76"/>
      <c r="B81" s="212" t="s">
        <v>1278</v>
      </c>
      <c r="C81" s="76" t="s">
        <v>52</v>
      </c>
      <c r="D81" s="76" t="s">
        <v>384</v>
      </c>
      <c r="E81" s="76"/>
      <c r="F81" s="76">
        <f t="shared" si="32"/>
        <v>10</v>
      </c>
      <c r="G81" s="76">
        <v>10</v>
      </c>
      <c r="H81" s="76"/>
      <c r="I81" s="76"/>
      <c r="J81" s="76">
        <v>10</v>
      </c>
      <c r="K81" s="76"/>
      <c r="L81" s="76"/>
      <c r="M81" s="76">
        <v>2018</v>
      </c>
      <c r="N81" s="76">
        <v>2018</v>
      </c>
      <c r="O81" s="76">
        <f t="shared" si="33"/>
        <v>18</v>
      </c>
      <c r="P81" s="94"/>
      <c r="Q81" s="76">
        <f t="shared" si="34"/>
        <v>18</v>
      </c>
      <c r="R81" s="76"/>
      <c r="S81" s="76"/>
      <c r="T81" s="76"/>
      <c r="U81" s="76">
        <f t="shared" si="35"/>
        <v>18</v>
      </c>
      <c r="V81" s="76"/>
      <c r="W81" s="76"/>
      <c r="X81" s="583"/>
      <c r="Y81" s="76"/>
      <c r="Z81" s="76"/>
      <c r="AA81" s="76"/>
      <c r="AB81" s="76"/>
      <c r="AC81" s="76"/>
      <c r="AD81" s="136"/>
    </row>
    <row r="82" customHeight="1" spans="1:30">
      <c r="A82" s="76"/>
      <c r="B82" s="212" t="s">
        <v>1279</v>
      </c>
      <c r="C82" s="76" t="s">
        <v>52</v>
      </c>
      <c r="D82" s="76" t="s">
        <v>384</v>
      </c>
      <c r="E82" s="76"/>
      <c r="F82" s="76">
        <f t="shared" si="32"/>
        <v>4</v>
      </c>
      <c r="G82" s="76">
        <v>4</v>
      </c>
      <c r="H82" s="76"/>
      <c r="I82" s="76"/>
      <c r="J82" s="76">
        <v>4</v>
      </c>
      <c r="K82" s="76"/>
      <c r="L82" s="76"/>
      <c r="M82" s="76">
        <v>2018</v>
      </c>
      <c r="N82" s="76">
        <v>2018</v>
      </c>
      <c r="O82" s="76">
        <f t="shared" si="33"/>
        <v>7.2</v>
      </c>
      <c r="P82" s="94"/>
      <c r="Q82" s="76">
        <f t="shared" si="34"/>
        <v>7.2</v>
      </c>
      <c r="R82" s="76"/>
      <c r="S82" s="76"/>
      <c r="T82" s="76"/>
      <c r="U82" s="76">
        <f t="shared" si="35"/>
        <v>7.2</v>
      </c>
      <c r="V82" s="76"/>
      <c r="W82" s="76"/>
      <c r="X82" s="583"/>
      <c r="Y82" s="76"/>
      <c r="Z82" s="76"/>
      <c r="AA82" s="76"/>
      <c r="AB82" s="76"/>
      <c r="AC82" s="76"/>
      <c r="AD82" s="136"/>
    </row>
    <row r="83" customHeight="1" spans="1:30">
      <c r="A83" s="76"/>
      <c r="B83" s="212" t="s">
        <v>1280</v>
      </c>
      <c r="C83" s="76" t="s">
        <v>52</v>
      </c>
      <c r="D83" s="76" t="s">
        <v>384</v>
      </c>
      <c r="E83" s="76"/>
      <c r="F83" s="76">
        <f t="shared" si="32"/>
        <v>9</v>
      </c>
      <c r="G83" s="76">
        <v>9</v>
      </c>
      <c r="H83" s="76"/>
      <c r="I83" s="76"/>
      <c r="J83" s="76">
        <v>9</v>
      </c>
      <c r="K83" s="76"/>
      <c r="L83" s="76"/>
      <c r="M83" s="76">
        <v>2018</v>
      </c>
      <c r="N83" s="76">
        <v>2018</v>
      </c>
      <c r="O83" s="76">
        <f t="shared" si="33"/>
        <v>16.2</v>
      </c>
      <c r="P83" s="94"/>
      <c r="Q83" s="76">
        <f t="shared" si="34"/>
        <v>16.2</v>
      </c>
      <c r="R83" s="76"/>
      <c r="S83" s="76"/>
      <c r="T83" s="76"/>
      <c r="U83" s="76">
        <f t="shared" si="35"/>
        <v>16.2</v>
      </c>
      <c r="V83" s="76"/>
      <c r="W83" s="76"/>
      <c r="X83" s="583"/>
      <c r="Y83" s="76"/>
      <c r="Z83" s="76"/>
      <c r="AA83" s="76"/>
      <c r="AB83" s="76"/>
      <c r="AC83" s="76"/>
      <c r="AD83" s="136"/>
    </row>
    <row r="84" customHeight="1" spans="1:30">
      <c r="A84" s="76"/>
      <c r="B84" s="212" t="s">
        <v>1269</v>
      </c>
      <c r="C84" s="76" t="s">
        <v>52</v>
      </c>
      <c r="D84" s="76" t="s">
        <v>384</v>
      </c>
      <c r="E84" s="76"/>
      <c r="F84" s="76">
        <f t="shared" si="32"/>
        <v>15</v>
      </c>
      <c r="G84" s="76">
        <v>15</v>
      </c>
      <c r="H84" s="76"/>
      <c r="I84" s="76"/>
      <c r="J84" s="76">
        <v>15</v>
      </c>
      <c r="K84" s="76"/>
      <c r="L84" s="76"/>
      <c r="M84" s="76">
        <v>2018</v>
      </c>
      <c r="N84" s="76">
        <v>2018</v>
      </c>
      <c r="O84" s="76">
        <f t="shared" si="33"/>
        <v>27</v>
      </c>
      <c r="P84" s="94"/>
      <c r="Q84" s="76">
        <f t="shared" si="34"/>
        <v>27</v>
      </c>
      <c r="R84" s="76"/>
      <c r="S84" s="76"/>
      <c r="T84" s="76"/>
      <c r="U84" s="76">
        <f t="shared" si="35"/>
        <v>27</v>
      </c>
      <c r="V84" s="76"/>
      <c r="W84" s="76"/>
      <c r="X84" s="583"/>
      <c r="Y84" s="76"/>
      <c r="Z84" s="76"/>
      <c r="AA84" s="76"/>
      <c r="AB84" s="76"/>
      <c r="AC84" s="76"/>
      <c r="AD84" s="136"/>
    </row>
    <row r="85" customHeight="1" spans="1:30">
      <c r="A85" s="76"/>
      <c r="B85" s="212" t="s">
        <v>1270</v>
      </c>
      <c r="C85" s="76" t="s">
        <v>52</v>
      </c>
      <c r="D85" s="76" t="s">
        <v>384</v>
      </c>
      <c r="E85" s="76"/>
      <c r="F85" s="76">
        <f t="shared" si="32"/>
        <v>31</v>
      </c>
      <c r="G85" s="76">
        <v>31</v>
      </c>
      <c r="H85" s="76"/>
      <c r="I85" s="76"/>
      <c r="J85" s="76">
        <v>31</v>
      </c>
      <c r="K85" s="76"/>
      <c r="L85" s="76"/>
      <c r="M85" s="76">
        <v>2018</v>
      </c>
      <c r="N85" s="76">
        <v>2018</v>
      </c>
      <c r="O85" s="76">
        <f t="shared" si="33"/>
        <v>55.8</v>
      </c>
      <c r="P85" s="94"/>
      <c r="Q85" s="76">
        <f t="shared" si="34"/>
        <v>55.8</v>
      </c>
      <c r="R85" s="76"/>
      <c r="S85" s="76"/>
      <c r="T85" s="76"/>
      <c r="U85" s="76">
        <f t="shared" si="35"/>
        <v>55.8</v>
      </c>
      <c r="V85" s="76"/>
      <c r="W85" s="76"/>
      <c r="X85" s="583"/>
      <c r="Y85" s="76"/>
      <c r="Z85" s="76"/>
      <c r="AA85" s="76"/>
      <c r="AB85" s="76"/>
      <c r="AC85" s="76"/>
      <c r="AD85" s="136"/>
    </row>
    <row r="86" customHeight="1" spans="1:30">
      <c r="A86" s="76"/>
      <c r="B86" s="212" t="s">
        <v>1281</v>
      </c>
      <c r="C86" s="76" t="s">
        <v>52</v>
      </c>
      <c r="D86" s="76" t="s">
        <v>384</v>
      </c>
      <c r="E86" s="76"/>
      <c r="F86" s="76">
        <f t="shared" si="32"/>
        <v>15</v>
      </c>
      <c r="G86" s="76">
        <v>15</v>
      </c>
      <c r="H86" s="76"/>
      <c r="I86" s="76"/>
      <c r="J86" s="76">
        <v>15</v>
      </c>
      <c r="K86" s="76"/>
      <c r="L86" s="76"/>
      <c r="M86" s="76">
        <v>2018</v>
      </c>
      <c r="N86" s="76">
        <v>2018</v>
      </c>
      <c r="O86" s="76">
        <f t="shared" si="33"/>
        <v>27</v>
      </c>
      <c r="P86" s="94"/>
      <c r="Q86" s="76">
        <f t="shared" si="34"/>
        <v>27</v>
      </c>
      <c r="R86" s="76"/>
      <c r="S86" s="76"/>
      <c r="T86" s="76"/>
      <c r="U86" s="76">
        <f t="shared" si="35"/>
        <v>27</v>
      </c>
      <c r="V86" s="76"/>
      <c r="W86" s="76"/>
      <c r="X86" s="583"/>
      <c r="Y86" s="76"/>
      <c r="Z86" s="76"/>
      <c r="AA86" s="76"/>
      <c r="AB86" s="76"/>
      <c r="AC86" s="76"/>
      <c r="AD86" s="136"/>
    </row>
    <row r="87" customHeight="1" spans="1:30">
      <c r="A87" s="76"/>
      <c r="B87" s="212" t="s">
        <v>1271</v>
      </c>
      <c r="C87" s="76" t="s">
        <v>52</v>
      </c>
      <c r="D87" s="76" t="s">
        <v>384</v>
      </c>
      <c r="E87" s="76"/>
      <c r="F87" s="76">
        <f t="shared" si="32"/>
        <v>16</v>
      </c>
      <c r="G87" s="76">
        <v>16</v>
      </c>
      <c r="H87" s="76"/>
      <c r="I87" s="76"/>
      <c r="J87" s="76">
        <v>16</v>
      </c>
      <c r="K87" s="76"/>
      <c r="L87" s="76"/>
      <c r="M87" s="76">
        <v>2018</v>
      </c>
      <c r="N87" s="76">
        <v>2018</v>
      </c>
      <c r="O87" s="76">
        <f t="shared" si="33"/>
        <v>28.8</v>
      </c>
      <c r="P87" s="94"/>
      <c r="Q87" s="76">
        <f t="shared" si="34"/>
        <v>28.8</v>
      </c>
      <c r="R87" s="76"/>
      <c r="S87" s="76"/>
      <c r="T87" s="76"/>
      <c r="U87" s="76">
        <f t="shared" si="35"/>
        <v>28.8</v>
      </c>
      <c r="V87" s="76"/>
      <c r="W87" s="76"/>
      <c r="X87" s="583"/>
      <c r="Y87" s="76"/>
      <c r="Z87" s="76"/>
      <c r="AA87" s="76"/>
      <c r="AB87" s="76"/>
      <c r="AC87" s="76"/>
      <c r="AD87" s="136"/>
    </row>
    <row r="88" customHeight="1" spans="1:30">
      <c r="A88" s="76"/>
      <c r="B88" s="212" t="s">
        <v>1282</v>
      </c>
      <c r="C88" s="76" t="s">
        <v>52</v>
      </c>
      <c r="D88" s="76" t="s">
        <v>384</v>
      </c>
      <c r="E88" s="76"/>
      <c r="F88" s="76">
        <f t="shared" si="32"/>
        <v>32</v>
      </c>
      <c r="G88" s="76">
        <v>32</v>
      </c>
      <c r="H88" s="76"/>
      <c r="I88" s="76"/>
      <c r="J88" s="76">
        <v>32</v>
      </c>
      <c r="K88" s="76"/>
      <c r="L88" s="76"/>
      <c r="M88" s="76">
        <v>2018</v>
      </c>
      <c r="N88" s="76">
        <v>2018</v>
      </c>
      <c r="O88" s="76">
        <f t="shared" si="33"/>
        <v>57.6</v>
      </c>
      <c r="P88" s="94"/>
      <c r="Q88" s="76">
        <f t="shared" si="34"/>
        <v>57.6</v>
      </c>
      <c r="R88" s="76"/>
      <c r="S88" s="76"/>
      <c r="T88" s="76"/>
      <c r="U88" s="76">
        <f t="shared" si="35"/>
        <v>57.6</v>
      </c>
      <c r="V88" s="76"/>
      <c r="W88" s="76"/>
      <c r="X88" s="583"/>
      <c r="Y88" s="76"/>
      <c r="Z88" s="76"/>
      <c r="AA88" s="76"/>
      <c r="AB88" s="76"/>
      <c r="AC88" s="76"/>
      <c r="AD88" s="136"/>
    </row>
    <row r="89" customHeight="1" spans="1:30">
      <c r="A89" s="76"/>
      <c r="B89" s="212" t="s">
        <v>1283</v>
      </c>
      <c r="C89" s="76" t="s">
        <v>52</v>
      </c>
      <c r="D89" s="76" t="s">
        <v>384</v>
      </c>
      <c r="E89" s="76"/>
      <c r="F89" s="76">
        <f t="shared" si="32"/>
        <v>53</v>
      </c>
      <c r="G89" s="76">
        <v>53</v>
      </c>
      <c r="H89" s="76"/>
      <c r="I89" s="76"/>
      <c r="J89" s="76">
        <v>53</v>
      </c>
      <c r="K89" s="76"/>
      <c r="L89" s="76"/>
      <c r="M89" s="76">
        <v>2018</v>
      </c>
      <c r="N89" s="76">
        <v>2018</v>
      </c>
      <c r="O89" s="76">
        <f t="shared" si="33"/>
        <v>95.4</v>
      </c>
      <c r="P89" s="94"/>
      <c r="Q89" s="76">
        <f t="shared" si="34"/>
        <v>95.4</v>
      </c>
      <c r="R89" s="76"/>
      <c r="S89" s="76"/>
      <c r="T89" s="76"/>
      <c r="U89" s="76">
        <f t="shared" si="35"/>
        <v>95.4</v>
      </c>
      <c r="V89" s="76"/>
      <c r="W89" s="76"/>
      <c r="X89" s="583"/>
      <c r="Y89" s="76"/>
      <c r="Z89" s="76"/>
      <c r="AA89" s="76"/>
      <c r="AB89" s="76"/>
      <c r="AC89" s="76"/>
      <c r="AD89" s="136"/>
    </row>
    <row r="90" customHeight="1" spans="1:30">
      <c r="A90" s="76"/>
      <c r="B90" s="212" t="s">
        <v>1284</v>
      </c>
      <c r="C90" s="76" t="s">
        <v>52</v>
      </c>
      <c r="D90" s="76" t="s">
        <v>384</v>
      </c>
      <c r="E90" s="76"/>
      <c r="F90" s="76">
        <f t="shared" si="32"/>
        <v>4</v>
      </c>
      <c r="G90" s="76">
        <v>4</v>
      </c>
      <c r="H90" s="76"/>
      <c r="I90" s="76"/>
      <c r="J90" s="76">
        <v>4</v>
      </c>
      <c r="K90" s="76"/>
      <c r="L90" s="76"/>
      <c r="M90" s="76">
        <v>2018</v>
      </c>
      <c r="N90" s="76">
        <v>2018</v>
      </c>
      <c r="O90" s="76">
        <f t="shared" si="33"/>
        <v>7.2</v>
      </c>
      <c r="P90" s="94"/>
      <c r="Q90" s="76">
        <f t="shared" si="34"/>
        <v>7.2</v>
      </c>
      <c r="R90" s="76"/>
      <c r="S90" s="76"/>
      <c r="T90" s="76"/>
      <c r="U90" s="76">
        <f t="shared" si="35"/>
        <v>7.2</v>
      </c>
      <c r="V90" s="76"/>
      <c r="W90" s="76"/>
      <c r="X90" s="583"/>
      <c r="Y90" s="76"/>
      <c r="Z90" s="76"/>
      <c r="AA90" s="76"/>
      <c r="AB90" s="76"/>
      <c r="AC90" s="76"/>
      <c r="AD90" s="136"/>
    </row>
    <row r="91" customHeight="1" spans="1:30">
      <c r="A91" s="76">
        <v>8</v>
      </c>
      <c r="B91" s="92" t="s">
        <v>779</v>
      </c>
      <c r="C91" s="76" t="s">
        <v>320</v>
      </c>
      <c r="D91" s="76" t="s">
        <v>320</v>
      </c>
      <c r="E91" s="76"/>
      <c r="F91" s="76">
        <f t="shared" ref="F91:L91" si="36">SUM(F92+F93+F111+F128+F146+F189)</f>
        <v>1416</v>
      </c>
      <c r="G91" s="76">
        <f t="shared" si="36"/>
        <v>472</v>
      </c>
      <c r="H91" s="76">
        <f t="shared" si="36"/>
        <v>472</v>
      </c>
      <c r="I91" s="76">
        <f t="shared" si="36"/>
        <v>472</v>
      </c>
      <c r="J91" s="76">
        <f t="shared" si="36"/>
        <v>472</v>
      </c>
      <c r="K91" s="76">
        <f t="shared" si="36"/>
        <v>417</v>
      </c>
      <c r="L91" s="76">
        <f t="shared" si="36"/>
        <v>417</v>
      </c>
      <c r="M91" s="76">
        <v>2018</v>
      </c>
      <c r="N91" s="76">
        <v>2018</v>
      </c>
      <c r="O91" s="76">
        <f t="shared" ref="O91:W91" si="37">SUM(O92+O93+O111+O128+O146+O189)</f>
        <v>602.925</v>
      </c>
      <c r="P91" s="76">
        <f t="shared" si="37"/>
        <v>203.25</v>
      </c>
      <c r="Q91" s="76">
        <f t="shared" si="37"/>
        <v>203.25</v>
      </c>
      <c r="R91" s="76">
        <f t="shared" si="37"/>
        <v>196.425</v>
      </c>
      <c r="S91" s="76">
        <f t="shared" si="37"/>
        <v>297.15</v>
      </c>
      <c r="T91" s="76">
        <f t="shared" si="37"/>
        <v>144.9</v>
      </c>
      <c r="U91" s="76">
        <f t="shared" si="37"/>
        <v>160.875</v>
      </c>
      <c r="V91" s="76">
        <f t="shared" si="37"/>
        <v>0</v>
      </c>
      <c r="W91" s="76">
        <f t="shared" si="37"/>
        <v>0</v>
      </c>
      <c r="X91" s="583"/>
      <c r="Y91" s="76"/>
      <c r="Z91" s="76"/>
      <c r="AA91" s="76" t="s">
        <v>1285</v>
      </c>
      <c r="AB91" s="76" t="s">
        <v>1286</v>
      </c>
      <c r="AC91" s="76" t="s">
        <v>320</v>
      </c>
      <c r="AD91" s="136"/>
    </row>
    <row r="92" customHeight="1" spans="1:30">
      <c r="A92" s="76">
        <v>9</v>
      </c>
      <c r="B92" s="92" t="s">
        <v>295</v>
      </c>
      <c r="C92" s="76" t="s">
        <v>320</v>
      </c>
      <c r="D92" s="76" t="s">
        <v>147</v>
      </c>
      <c r="E92" s="76"/>
      <c r="F92" s="76"/>
      <c r="G92" s="76"/>
      <c r="H92" s="76"/>
      <c r="I92" s="76"/>
      <c r="J92" s="151"/>
      <c r="K92" s="76"/>
      <c r="L92" s="76"/>
      <c r="M92" s="76"/>
      <c r="N92" s="76"/>
      <c r="O92" s="76">
        <f t="shared" ref="O92:O110" si="38">SUM(P92:R92)</f>
        <v>0</v>
      </c>
      <c r="P92" s="76"/>
      <c r="Q92" s="76"/>
      <c r="R92" s="76"/>
      <c r="S92" s="76"/>
      <c r="T92" s="76"/>
      <c r="U92" s="76"/>
      <c r="V92" s="76"/>
      <c r="W92" s="76"/>
      <c r="X92" s="583"/>
      <c r="Y92" s="76"/>
      <c r="Z92" s="76"/>
      <c r="AA92" s="76" t="s">
        <v>1285</v>
      </c>
      <c r="AB92" s="76" t="s">
        <v>1286</v>
      </c>
      <c r="AC92" s="76" t="s">
        <v>294</v>
      </c>
      <c r="AD92" s="136"/>
    </row>
    <row r="93" customHeight="1" spans="1:30">
      <c r="A93" s="76">
        <v>10</v>
      </c>
      <c r="B93" s="92" t="s">
        <v>319</v>
      </c>
      <c r="C93" s="76" t="s">
        <v>320</v>
      </c>
      <c r="D93" s="76" t="s">
        <v>147</v>
      </c>
      <c r="E93" s="76"/>
      <c r="F93" s="76">
        <f t="shared" ref="F93:L93" si="39">SUM(F94:F110)</f>
        <v>234</v>
      </c>
      <c r="G93" s="76">
        <f t="shared" si="39"/>
        <v>78</v>
      </c>
      <c r="H93" s="76">
        <f t="shared" si="39"/>
        <v>78</v>
      </c>
      <c r="I93" s="76">
        <f t="shared" si="39"/>
        <v>78</v>
      </c>
      <c r="J93" s="76">
        <f t="shared" si="39"/>
        <v>78</v>
      </c>
      <c r="K93" s="76">
        <f t="shared" si="39"/>
        <v>23</v>
      </c>
      <c r="L93" s="76">
        <f t="shared" si="39"/>
        <v>23</v>
      </c>
      <c r="M93" s="76">
        <v>2018</v>
      </c>
      <c r="N93" s="76">
        <v>2020</v>
      </c>
      <c r="O93" s="76">
        <v>22.425</v>
      </c>
      <c r="P93" s="76">
        <f t="shared" ref="P93:T93" si="40">SUM(P94:P110)</f>
        <v>9.75</v>
      </c>
      <c r="Q93" s="76">
        <f t="shared" si="40"/>
        <v>9.75</v>
      </c>
      <c r="R93" s="76">
        <v>2.925</v>
      </c>
      <c r="S93" s="76">
        <f t="shared" si="40"/>
        <v>0</v>
      </c>
      <c r="T93" s="76">
        <f t="shared" si="40"/>
        <v>0</v>
      </c>
      <c r="U93" s="76">
        <v>22.425</v>
      </c>
      <c r="V93" s="76">
        <f>SUM(V94:V110)</f>
        <v>0</v>
      </c>
      <c r="W93" s="76">
        <f>SUM(W94:W110)</f>
        <v>0</v>
      </c>
      <c r="X93" s="583"/>
      <c r="Y93" s="76"/>
      <c r="Z93" s="76" t="s">
        <v>1038</v>
      </c>
      <c r="AA93" s="76" t="s">
        <v>1285</v>
      </c>
      <c r="AB93" s="76" t="s">
        <v>1286</v>
      </c>
      <c r="AC93" s="76" t="s">
        <v>294</v>
      </c>
      <c r="AD93" s="136"/>
    </row>
    <row r="94" customHeight="1" spans="1:30">
      <c r="A94" s="76"/>
      <c r="B94" s="212" t="s">
        <v>1265</v>
      </c>
      <c r="C94" s="76" t="s">
        <v>320</v>
      </c>
      <c r="D94" s="76" t="s">
        <v>147</v>
      </c>
      <c r="E94" s="76"/>
      <c r="F94" s="76">
        <f t="shared" ref="F94:F110" si="41">SUM(G94:I94)</f>
        <v>18</v>
      </c>
      <c r="G94" s="76">
        <v>6</v>
      </c>
      <c r="H94" s="76">
        <v>6</v>
      </c>
      <c r="I94" s="76">
        <v>6</v>
      </c>
      <c r="J94" s="76">
        <v>6</v>
      </c>
      <c r="K94" s="76"/>
      <c r="L94" s="76"/>
      <c r="M94" s="76">
        <v>2018</v>
      </c>
      <c r="N94" s="76">
        <v>2020</v>
      </c>
      <c r="O94" s="76">
        <f t="shared" si="38"/>
        <v>2.25</v>
      </c>
      <c r="P94" s="76">
        <f t="shared" ref="P94:P110" si="42">0.125*J94</f>
        <v>0.75</v>
      </c>
      <c r="Q94" s="76">
        <f t="shared" ref="Q94:Q110" si="43">0.125*J94</f>
        <v>0.75</v>
      </c>
      <c r="R94" s="76">
        <f t="shared" ref="R94:R110" si="44">0.125*J94</f>
        <v>0.75</v>
      </c>
      <c r="S94" s="76"/>
      <c r="T94" s="76"/>
      <c r="U94" s="76">
        <f t="shared" ref="U94:U110" si="45">O94</f>
        <v>2.25</v>
      </c>
      <c r="V94" s="76"/>
      <c r="W94" s="76"/>
      <c r="X94" s="583"/>
      <c r="Y94" s="76"/>
      <c r="Z94" s="76"/>
      <c r="AA94" s="76"/>
      <c r="AB94" s="76"/>
      <c r="AC94" s="76"/>
      <c r="AD94" s="136"/>
    </row>
    <row r="95" customHeight="1" spans="1:30">
      <c r="A95" s="76"/>
      <c r="B95" s="212" t="s">
        <v>1266</v>
      </c>
      <c r="C95" s="76" t="s">
        <v>320</v>
      </c>
      <c r="D95" s="76" t="s">
        <v>147</v>
      </c>
      <c r="E95" s="76"/>
      <c r="F95" s="76">
        <f t="shared" si="41"/>
        <v>9</v>
      </c>
      <c r="G95" s="76">
        <v>3</v>
      </c>
      <c r="H95" s="76">
        <v>3</v>
      </c>
      <c r="I95" s="76">
        <v>3</v>
      </c>
      <c r="J95" s="76">
        <v>3</v>
      </c>
      <c r="K95" s="76">
        <v>2</v>
      </c>
      <c r="L95" s="76">
        <v>2</v>
      </c>
      <c r="M95" s="76">
        <v>2018</v>
      </c>
      <c r="N95" s="76">
        <v>2020</v>
      </c>
      <c r="O95" s="76">
        <f t="shared" si="38"/>
        <v>1.125</v>
      </c>
      <c r="P95" s="76">
        <f t="shared" si="42"/>
        <v>0.375</v>
      </c>
      <c r="Q95" s="76">
        <f t="shared" si="43"/>
        <v>0.375</v>
      </c>
      <c r="R95" s="76">
        <f t="shared" si="44"/>
        <v>0.375</v>
      </c>
      <c r="S95" s="76"/>
      <c r="T95" s="76"/>
      <c r="U95" s="76">
        <f t="shared" si="45"/>
        <v>1.125</v>
      </c>
      <c r="V95" s="76"/>
      <c r="W95" s="76"/>
      <c r="X95" s="583"/>
      <c r="Y95" s="76"/>
      <c r="Z95" s="76"/>
      <c r="AA95" s="76"/>
      <c r="AB95" s="76"/>
      <c r="AC95" s="76"/>
      <c r="AD95" s="136"/>
    </row>
    <row r="96" customHeight="1" spans="1:30">
      <c r="A96" s="76"/>
      <c r="B96" s="212" t="s">
        <v>1267</v>
      </c>
      <c r="C96" s="76" t="s">
        <v>320</v>
      </c>
      <c r="D96" s="76" t="s">
        <v>147</v>
      </c>
      <c r="E96" s="76"/>
      <c r="F96" s="76">
        <f t="shared" si="41"/>
        <v>6</v>
      </c>
      <c r="G96" s="76">
        <v>2</v>
      </c>
      <c r="H96" s="76">
        <v>2</v>
      </c>
      <c r="I96" s="76">
        <v>2</v>
      </c>
      <c r="J96" s="76">
        <v>2</v>
      </c>
      <c r="K96" s="76"/>
      <c r="L96" s="76"/>
      <c r="M96" s="76">
        <v>2018</v>
      </c>
      <c r="N96" s="76">
        <v>2020</v>
      </c>
      <c r="O96" s="76">
        <f t="shared" si="38"/>
        <v>0.75</v>
      </c>
      <c r="P96" s="76">
        <f t="shared" si="42"/>
        <v>0.25</v>
      </c>
      <c r="Q96" s="76">
        <f t="shared" si="43"/>
        <v>0.25</v>
      </c>
      <c r="R96" s="76">
        <f t="shared" si="44"/>
        <v>0.25</v>
      </c>
      <c r="S96" s="76"/>
      <c r="T96" s="76"/>
      <c r="U96" s="76">
        <f t="shared" si="45"/>
        <v>0.75</v>
      </c>
      <c r="V96" s="76"/>
      <c r="W96" s="76"/>
      <c r="X96" s="583"/>
      <c r="Y96" s="76"/>
      <c r="Z96" s="76"/>
      <c r="AA96" s="76"/>
      <c r="AB96" s="76"/>
      <c r="AC96" s="76"/>
      <c r="AD96" s="136"/>
    </row>
    <row r="97" customHeight="1" spans="1:30">
      <c r="A97" s="76"/>
      <c r="B97" s="212" t="s">
        <v>1268</v>
      </c>
      <c r="C97" s="76" t="s">
        <v>320</v>
      </c>
      <c r="D97" s="76" t="s">
        <v>147</v>
      </c>
      <c r="E97" s="76"/>
      <c r="F97" s="76">
        <f t="shared" si="41"/>
        <v>21</v>
      </c>
      <c r="G97" s="76">
        <v>7</v>
      </c>
      <c r="H97" s="76">
        <v>7</v>
      </c>
      <c r="I97" s="76">
        <v>7</v>
      </c>
      <c r="J97" s="76">
        <v>7</v>
      </c>
      <c r="K97" s="76">
        <v>2</v>
      </c>
      <c r="L97" s="76">
        <v>2</v>
      </c>
      <c r="M97" s="76">
        <v>2018</v>
      </c>
      <c r="N97" s="76">
        <v>2020</v>
      </c>
      <c r="O97" s="76">
        <f t="shared" si="38"/>
        <v>2.625</v>
      </c>
      <c r="P97" s="76">
        <f t="shared" si="42"/>
        <v>0.875</v>
      </c>
      <c r="Q97" s="76">
        <f t="shared" si="43"/>
        <v>0.875</v>
      </c>
      <c r="R97" s="76">
        <f t="shared" si="44"/>
        <v>0.875</v>
      </c>
      <c r="S97" s="76"/>
      <c r="T97" s="76"/>
      <c r="U97" s="76">
        <f t="shared" si="45"/>
        <v>2.625</v>
      </c>
      <c r="V97" s="76"/>
      <c r="W97" s="76"/>
      <c r="X97" s="583"/>
      <c r="Y97" s="76"/>
      <c r="Z97" s="76"/>
      <c r="AA97" s="76"/>
      <c r="AB97" s="76"/>
      <c r="AC97" s="76"/>
      <c r="AD97" s="136"/>
    </row>
    <row r="98" customHeight="1" spans="1:30">
      <c r="A98" s="76"/>
      <c r="B98" s="212" t="s">
        <v>1275</v>
      </c>
      <c r="C98" s="76" t="s">
        <v>320</v>
      </c>
      <c r="D98" s="76" t="s">
        <v>147</v>
      </c>
      <c r="E98" s="76"/>
      <c r="F98" s="76">
        <f t="shared" si="41"/>
        <v>9</v>
      </c>
      <c r="G98" s="76">
        <v>3</v>
      </c>
      <c r="H98" s="76">
        <v>3</v>
      </c>
      <c r="I98" s="76">
        <v>3</v>
      </c>
      <c r="J98" s="76">
        <v>3</v>
      </c>
      <c r="K98" s="76">
        <v>1</v>
      </c>
      <c r="L98" s="76">
        <v>1</v>
      </c>
      <c r="M98" s="76">
        <v>2018</v>
      </c>
      <c r="N98" s="76">
        <v>2020</v>
      </c>
      <c r="O98" s="76">
        <f t="shared" si="38"/>
        <v>1.125</v>
      </c>
      <c r="P98" s="76">
        <f t="shared" si="42"/>
        <v>0.375</v>
      </c>
      <c r="Q98" s="76">
        <f t="shared" si="43"/>
        <v>0.375</v>
      </c>
      <c r="R98" s="76">
        <f t="shared" si="44"/>
        <v>0.375</v>
      </c>
      <c r="S98" s="76"/>
      <c r="T98" s="76"/>
      <c r="U98" s="76">
        <f t="shared" si="45"/>
        <v>1.125</v>
      </c>
      <c r="V98" s="76"/>
      <c r="W98" s="76"/>
      <c r="X98" s="583"/>
      <c r="Y98" s="76"/>
      <c r="Z98" s="76"/>
      <c r="AA98" s="76"/>
      <c r="AB98" s="76"/>
      <c r="AC98" s="76"/>
      <c r="AD98" s="136"/>
    </row>
    <row r="99" customHeight="1" spans="1:30">
      <c r="A99" s="76"/>
      <c r="B99" s="212" t="s">
        <v>1276</v>
      </c>
      <c r="C99" s="76" t="s">
        <v>320</v>
      </c>
      <c r="D99" s="76" t="s">
        <v>147</v>
      </c>
      <c r="E99" s="76"/>
      <c r="F99" s="76">
        <f t="shared" si="41"/>
        <v>18</v>
      </c>
      <c r="G99" s="76">
        <v>6</v>
      </c>
      <c r="H99" s="76">
        <v>6</v>
      </c>
      <c r="I99" s="76">
        <v>6</v>
      </c>
      <c r="J99" s="76">
        <v>6</v>
      </c>
      <c r="K99" s="76">
        <v>1</v>
      </c>
      <c r="L99" s="76">
        <v>1</v>
      </c>
      <c r="M99" s="76">
        <v>2018</v>
      </c>
      <c r="N99" s="76">
        <v>2020</v>
      </c>
      <c r="O99" s="76">
        <f t="shared" si="38"/>
        <v>2.25</v>
      </c>
      <c r="P99" s="76">
        <f t="shared" si="42"/>
        <v>0.75</v>
      </c>
      <c r="Q99" s="76">
        <f t="shared" si="43"/>
        <v>0.75</v>
      </c>
      <c r="R99" s="76">
        <f t="shared" si="44"/>
        <v>0.75</v>
      </c>
      <c r="S99" s="76"/>
      <c r="T99" s="76"/>
      <c r="U99" s="76">
        <f t="shared" si="45"/>
        <v>2.25</v>
      </c>
      <c r="V99" s="76"/>
      <c r="W99" s="76"/>
      <c r="X99" s="583"/>
      <c r="Y99" s="76"/>
      <c r="Z99" s="76"/>
      <c r="AA99" s="76"/>
      <c r="AB99" s="76"/>
      <c r="AC99" s="76"/>
      <c r="AD99" s="136"/>
    </row>
    <row r="100" customHeight="1" spans="1:30">
      <c r="A100" s="76"/>
      <c r="B100" s="212" t="s">
        <v>1277</v>
      </c>
      <c r="C100" s="76" t="s">
        <v>320</v>
      </c>
      <c r="D100" s="76" t="s">
        <v>147</v>
      </c>
      <c r="E100" s="76"/>
      <c r="F100" s="76">
        <f t="shared" si="41"/>
        <v>21</v>
      </c>
      <c r="G100" s="76">
        <v>7</v>
      </c>
      <c r="H100" s="76">
        <v>7</v>
      </c>
      <c r="I100" s="76">
        <v>7</v>
      </c>
      <c r="J100" s="76">
        <v>7</v>
      </c>
      <c r="K100" s="76">
        <v>3</v>
      </c>
      <c r="L100" s="76">
        <v>3</v>
      </c>
      <c r="M100" s="76">
        <v>2018</v>
      </c>
      <c r="N100" s="76">
        <v>2020</v>
      </c>
      <c r="O100" s="76">
        <f t="shared" si="38"/>
        <v>2.625</v>
      </c>
      <c r="P100" s="76">
        <f t="shared" si="42"/>
        <v>0.875</v>
      </c>
      <c r="Q100" s="76">
        <f t="shared" si="43"/>
        <v>0.875</v>
      </c>
      <c r="R100" s="76">
        <f t="shared" si="44"/>
        <v>0.875</v>
      </c>
      <c r="S100" s="76"/>
      <c r="T100" s="76"/>
      <c r="U100" s="76">
        <f t="shared" si="45"/>
        <v>2.625</v>
      </c>
      <c r="V100" s="76"/>
      <c r="W100" s="76"/>
      <c r="X100" s="583"/>
      <c r="Y100" s="76"/>
      <c r="Z100" s="76"/>
      <c r="AA100" s="76"/>
      <c r="AB100" s="76"/>
      <c r="AC100" s="76"/>
      <c r="AD100" s="136"/>
    </row>
    <row r="101" customHeight="1" spans="1:30">
      <c r="A101" s="76"/>
      <c r="B101" s="212" t="s">
        <v>1278</v>
      </c>
      <c r="C101" s="76" t="s">
        <v>320</v>
      </c>
      <c r="D101" s="76" t="s">
        <v>147</v>
      </c>
      <c r="E101" s="76"/>
      <c r="F101" s="76">
        <f t="shared" si="41"/>
        <v>18</v>
      </c>
      <c r="G101" s="76">
        <v>6</v>
      </c>
      <c r="H101" s="76">
        <v>6</v>
      </c>
      <c r="I101" s="76">
        <v>6</v>
      </c>
      <c r="J101" s="76">
        <v>6</v>
      </c>
      <c r="K101" s="76">
        <v>4</v>
      </c>
      <c r="L101" s="76">
        <v>4</v>
      </c>
      <c r="M101" s="76">
        <v>2018</v>
      </c>
      <c r="N101" s="76">
        <v>2020</v>
      </c>
      <c r="O101" s="76">
        <f t="shared" si="38"/>
        <v>2.25</v>
      </c>
      <c r="P101" s="76">
        <f t="shared" si="42"/>
        <v>0.75</v>
      </c>
      <c r="Q101" s="76">
        <f t="shared" si="43"/>
        <v>0.75</v>
      </c>
      <c r="R101" s="76">
        <f t="shared" si="44"/>
        <v>0.75</v>
      </c>
      <c r="S101" s="76"/>
      <c r="T101" s="76"/>
      <c r="U101" s="76">
        <f t="shared" si="45"/>
        <v>2.25</v>
      </c>
      <c r="V101" s="76"/>
      <c r="W101" s="76"/>
      <c r="X101" s="583"/>
      <c r="Y101" s="76"/>
      <c r="Z101" s="76"/>
      <c r="AA101" s="76"/>
      <c r="AB101" s="76"/>
      <c r="AC101" s="76"/>
      <c r="AD101" s="136"/>
    </row>
    <row r="102" customHeight="1" spans="1:30">
      <c r="A102" s="76"/>
      <c r="B102" s="212" t="s">
        <v>1279</v>
      </c>
      <c r="C102" s="76" t="s">
        <v>320</v>
      </c>
      <c r="D102" s="76" t="s">
        <v>147</v>
      </c>
      <c r="E102" s="76"/>
      <c r="F102" s="76">
        <f t="shared" si="41"/>
        <v>9</v>
      </c>
      <c r="G102" s="76">
        <v>3</v>
      </c>
      <c r="H102" s="76">
        <v>3</v>
      </c>
      <c r="I102" s="76">
        <v>3</v>
      </c>
      <c r="J102" s="76">
        <v>3</v>
      </c>
      <c r="K102" s="76">
        <v>2</v>
      </c>
      <c r="L102" s="76">
        <v>2</v>
      </c>
      <c r="M102" s="76">
        <v>2018</v>
      </c>
      <c r="N102" s="76">
        <v>2020</v>
      </c>
      <c r="O102" s="76">
        <f t="shared" si="38"/>
        <v>1.125</v>
      </c>
      <c r="P102" s="76">
        <f t="shared" si="42"/>
        <v>0.375</v>
      </c>
      <c r="Q102" s="76">
        <f t="shared" si="43"/>
        <v>0.375</v>
      </c>
      <c r="R102" s="76">
        <f t="shared" si="44"/>
        <v>0.375</v>
      </c>
      <c r="S102" s="76"/>
      <c r="T102" s="76"/>
      <c r="U102" s="76">
        <f t="shared" si="45"/>
        <v>1.125</v>
      </c>
      <c r="V102" s="76"/>
      <c r="W102" s="76"/>
      <c r="X102" s="583"/>
      <c r="Y102" s="76"/>
      <c r="Z102" s="76"/>
      <c r="AA102" s="76"/>
      <c r="AB102" s="76"/>
      <c r="AC102" s="76"/>
      <c r="AD102" s="136"/>
    </row>
    <row r="103" customHeight="1" spans="1:30">
      <c r="A103" s="76"/>
      <c r="B103" s="212" t="s">
        <v>1280</v>
      </c>
      <c r="C103" s="76" t="s">
        <v>320</v>
      </c>
      <c r="D103" s="76" t="s">
        <v>147</v>
      </c>
      <c r="E103" s="76"/>
      <c r="F103" s="76">
        <f t="shared" si="41"/>
        <v>15</v>
      </c>
      <c r="G103" s="76">
        <v>5</v>
      </c>
      <c r="H103" s="76">
        <v>5</v>
      </c>
      <c r="I103" s="76">
        <v>5</v>
      </c>
      <c r="J103" s="76">
        <v>5</v>
      </c>
      <c r="K103" s="76"/>
      <c r="L103" s="76"/>
      <c r="M103" s="76">
        <v>2018</v>
      </c>
      <c r="N103" s="76">
        <v>2020</v>
      </c>
      <c r="O103" s="76">
        <f t="shared" si="38"/>
        <v>1.875</v>
      </c>
      <c r="P103" s="76">
        <f t="shared" si="42"/>
        <v>0.625</v>
      </c>
      <c r="Q103" s="76">
        <f t="shared" si="43"/>
        <v>0.625</v>
      </c>
      <c r="R103" s="76">
        <f t="shared" si="44"/>
        <v>0.625</v>
      </c>
      <c r="S103" s="76"/>
      <c r="T103" s="76"/>
      <c r="U103" s="76">
        <f t="shared" si="45"/>
        <v>1.875</v>
      </c>
      <c r="V103" s="76"/>
      <c r="W103" s="76"/>
      <c r="X103" s="583"/>
      <c r="Y103" s="76"/>
      <c r="Z103" s="76"/>
      <c r="AA103" s="76"/>
      <c r="AB103" s="76"/>
      <c r="AC103" s="76"/>
      <c r="AD103" s="136"/>
    </row>
    <row r="104" customHeight="1" spans="1:30">
      <c r="A104" s="76"/>
      <c r="B104" s="212" t="s">
        <v>1269</v>
      </c>
      <c r="C104" s="76" t="s">
        <v>320</v>
      </c>
      <c r="D104" s="76" t="s">
        <v>147</v>
      </c>
      <c r="E104" s="76"/>
      <c r="F104" s="76">
        <f t="shared" si="41"/>
        <v>24</v>
      </c>
      <c r="G104" s="76">
        <v>8</v>
      </c>
      <c r="H104" s="76">
        <v>8</v>
      </c>
      <c r="I104" s="76">
        <v>8</v>
      </c>
      <c r="J104" s="76">
        <v>8</v>
      </c>
      <c r="K104" s="76">
        <v>2</v>
      </c>
      <c r="L104" s="76">
        <v>2</v>
      </c>
      <c r="M104" s="76">
        <v>2018</v>
      </c>
      <c r="N104" s="76">
        <v>2020</v>
      </c>
      <c r="O104" s="76">
        <f t="shared" si="38"/>
        <v>3</v>
      </c>
      <c r="P104" s="76">
        <f t="shared" si="42"/>
        <v>1</v>
      </c>
      <c r="Q104" s="76">
        <f t="shared" si="43"/>
        <v>1</v>
      </c>
      <c r="R104" s="76">
        <f t="shared" si="44"/>
        <v>1</v>
      </c>
      <c r="S104" s="76"/>
      <c r="T104" s="76"/>
      <c r="U104" s="76">
        <f t="shared" si="45"/>
        <v>3</v>
      </c>
      <c r="V104" s="76"/>
      <c r="W104" s="76"/>
      <c r="X104" s="583"/>
      <c r="Y104" s="76"/>
      <c r="Z104" s="76"/>
      <c r="AA104" s="76"/>
      <c r="AB104" s="76"/>
      <c r="AC104" s="76"/>
      <c r="AD104" s="136"/>
    </row>
    <row r="105" customHeight="1" spans="1:30">
      <c r="A105" s="76"/>
      <c r="B105" s="212" t="s">
        <v>1270</v>
      </c>
      <c r="C105" s="76" t="s">
        <v>320</v>
      </c>
      <c r="D105" s="76" t="s">
        <v>147</v>
      </c>
      <c r="E105" s="76"/>
      <c r="F105" s="76">
        <f t="shared" si="41"/>
        <v>9</v>
      </c>
      <c r="G105" s="76">
        <v>3</v>
      </c>
      <c r="H105" s="76">
        <v>3</v>
      </c>
      <c r="I105" s="76">
        <v>3</v>
      </c>
      <c r="J105" s="76">
        <v>3</v>
      </c>
      <c r="K105" s="76">
        <v>1</v>
      </c>
      <c r="L105" s="76">
        <v>1</v>
      </c>
      <c r="M105" s="76">
        <v>2018</v>
      </c>
      <c r="N105" s="76">
        <v>2020</v>
      </c>
      <c r="O105" s="76">
        <f t="shared" si="38"/>
        <v>1.125</v>
      </c>
      <c r="P105" s="76">
        <f t="shared" si="42"/>
        <v>0.375</v>
      </c>
      <c r="Q105" s="76">
        <f t="shared" si="43"/>
        <v>0.375</v>
      </c>
      <c r="R105" s="76">
        <f t="shared" si="44"/>
        <v>0.375</v>
      </c>
      <c r="S105" s="76"/>
      <c r="T105" s="76"/>
      <c r="U105" s="76">
        <f t="shared" si="45"/>
        <v>1.125</v>
      </c>
      <c r="V105" s="76"/>
      <c r="W105" s="76"/>
      <c r="X105" s="583"/>
      <c r="Y105" s="76"/>
      <c r="Z105" s="76"/>
      <c r="AA105" s="76"/>
      <c r="AB105" s="76"/>
      <c r="AC105" s="76"/>
      <c r="AD105" s="136"/>
    </row>
    <row r="106" customHeight="1" spans="1:30">
      <c r="A106" s="76"/>
      <c r="B106" s="212" t="s">
        <v>1281</v>
      </c>
      <c r="C106" s="76" t="s">
        <v>320</v>
      </c>
      <c r="D106" s="76" t="s">
        <v>147</v>
      </c>
      <c r="E106" s="76"/>
      <c r="F106" s="76">
        <f t="shared" si="41"/>
        <v>12</v>
      </c>
      <c r="G106" s="76">
        <v>4</v>
      </c>
      <c r="H106" s="76">
        <v>4</v>
      </c>
      <c r="I106" s="76">
        <v>4</v>
      </c>
      <c r="J106" s="76">
        <v>4</v>
      </c>
      <c r="K106" s="76">
        <v>1</v>
      </c>
      <c r="L106" s="76">
        <v>1</v>
      </c>
      <c r="M106" s="76">
        <v>2018</v>
      </c>
      <c r="N106" s="76">
        <v>2020</v>
      </c>
      <c r="O106" s="76">
        <f t="shared" si="38"/>
        <v>1.5</v>
      </c>
      <c r="P106" s="76">
        <f t="shared" si="42"/>
        <v>0.5</v>
      </c>
      <c r="Q106" s="76">
        <f t="shared" si="43"/>
        <v>0.5</v>
      </c>
      <c r="R106" s="76">
        <f t="shared" si="44"/>
        <v>0.5</v>
      </c>
      <c r="S106" s="76"/>
      <c r="T106" s="76"/>
      <c r="U106" s="76">
        <f t="shared" si="45"/>
        <v>1.5</v>
      </c>
      <c r="V106" s="76"/>
      <c r="W106" s="76"/>
      <c r="X106" s="583"/>
      <c r="Y106" s="76"/>
      <c r="Z106" s="76"/>
      <c r="AA106" s="76"/>
      <c r="AB106" s="76"/>
      <c r="AC106" s="76"/>
      <c r="AD106" s="136"/>
    </row>
    <row r="107" customHeight="1" spans="1:30">
      <c r="A107" s="76"/>
      <c r="B107" s="212" t="s">
        <v>1271</v>
      </c>
      <c r="C107" s="76" t="s">
        <v>320</v>
      </c>
      <c r="D107" s="76" t="s">
        <v>147</v>
      </c>
      <c r="E107" s="76"/>
      <c r="F107" s="76">
        <f t="shared" si="41"/>
        <v>21</v>
      </c>
      <c r="G107" s="76">
        <v>7</v>
      </c>
      <c r="H107" s="76">
        <v>7</v>
      </c>
      <c r="I107" s="76">
        <v>7</v>
      </c>
      <c r="J107" s="76">
        <v>7</v>
      </c>
      <c r="K107" s="76">
        <v>1</v>
      </c>
      <c r="L107" s="76">
        <v>1</v>
      </c>
      <c r="M107" s="76">
        <v>2018</v>
      </c>
      <c r="N107" s="76">
        <v>2020</v>
      </c>
      <c r="O107" s="76">
        <f t="shared" si="38"/>
        <v>2.625</v>
      </c>
      <c r="P107" s="76">
        <f t="shared" si="42"/>
        <v>0.875</v>
      </c>
      <c r="Q107" s="76">
        <f t="shared" si="43"/>
        <v>0.875</v>
      </c>
      <c r="R107" s="76">
        <f t="shared" si="44"/>
        <v>0.875</v>
      </c>
      <c r="S107" s="76"/>
      <c r="T107" s="76"/>
      <c r="U107" s="76">
        <f t="shared" si="45"/>
        <v>2.625</v>
      </c>
      <c r="V107" s="76"/>
      <c r="W107" s="76"/>
      <c r="X107" s="583"/>
      <c r="Y107" s="76"/>
      <c r="Z107" s="76"/>
      <c r="AA107" s="76"/>
      <c r="AB107" s="76"/>
      <c r="AC107" s="76"/>
      <c r="AD107" s="136"/>
    </row>
    <row r="108" customHeight="1" spans="1:30">
      <c r="A108" s="76"/>
      <c r="B108" s="212" t="s">
        <v>1282</v>
      </c>
      <c r="C108" s="76" t="s">
        <v>320</v>
      </c>
      <c r="D108" s="76" t="s">
        <v>147</v>
      </c>
      <c r="E108" s="76"/>
      <c r="F108" s="76">
        <f t="shared" si="41"/>
        <v>9</v>
      </c>
      <c r="G108" s="76">
        <v>3</v>
      </c>
      <c r="H108" s="76">
        <v>3</v>
      </c>
      <c r="I108" s="76">
        <v>3</v>
      </c>
      <c r="J108" s="76">
        <v>3</v>
      </c>
      <c r="K108" s="76">
        <v>2</v>
      </c>
      <c r="L108" s="76">
        <v>2</v>
      </c>
      <c r="M108" s="76">
        <v>2018</v>
      </c>
      <c r="N108" s="76">
        <v>2020</v>
      </c>
      <c r="O108" s="76">
        <f t="shared" si="38"/>
        <v>1.125</v>
      </c>
      <c r="P108" s="76">
        <f t="shared" si="42"/>
        <v>0.375</v>
      </c>
      <c r="Q108" s="76">
        <f t="shared" si="43"/>
        <v>0.375</v>
      </c>
      <c r="R108" s="76">
        <f t="shared" si="44"/>
        <v>0.375</v>
      </c>
      <c r="S108" s="76"/>
      <c r="T108" s="76"/>
      <c r="U108" s="76">
        <f t="shared" si="45"/>
        <v>1.125</v>
      </c>
      <c r="V108" s="76"/>
      <c r="W108" s="76"/>
      <c r="X108" s="583"/>
      <c r="Y108" s="76"/>
      <c r="Z108" s="76"/>
      <c r="AA108" s="76"/>
      <c r="AB108" s="76"/>
      <c r="AC108" s="76"/>
      <c r="AD108" s="136"/>
    </row>
    <row r="109" customHeight="1" spans="1:30">
      <c r="A109" s="76"/>
      <c r="B109" s="212" t="s">
        <v>1283</v>
      </c>
      <c r="C109" s="76" t="s">
        <v>320</v>
      </c>
      <c r="D109" s="76" t="s">
        <v>147</v>
      </c>
      <c r="E109" s="76"/>
      <c r="F109" s="76">
        <f t="shared" si="41"/>
        <v>12</v>
      </c>
      <c r="G109" s="76">
        <v>4</v>
      </c>
      <c r="H109" s="76">
        <v>4</v>
      </c>
      <c r="I109" s="76">
        <v>4</v>
      </c>
      <c r="J109" s="76">
        <v>4</v>
      </c>
      <c r="K109" s="76"/>
      <c r="L109" s="76"/>
      <c r="M109" s="76">
        <v>2018</v>
      </c>
      <c r="N109" s="76">
        <v>2020</v>
      </c>
      <c r="O109" s="76">
        <f t="shared" si="38"/>
        <v>1.5</v>
      </c>
      <c r="P109" s="76">
        <f t="shared" si="42"/>
        <v>0.5</v>
      </c>
      <c r="Q109" s="76">
        <f t="shared" si="43"/>
        <v>0.5</v>
      </c>
      <c r="R109" s="76">
        <f t="shared" si="44"/>
        <v>0.5</v>
      </c>
      <c r="S109" s="76"/>
      <c r="T109" s="76"/>
      <c r="U109" s="76">
        <f t="shared" si="45"/>
        <v>1.5</v>
      </c>
      <c r="V109" s="76"/>
      <c r="W109" s="76"/>
      <c r="X109" s="583"/>
      <c r="Y109" s="76"/>
      <c r="Z109" s="76"/>
      <c r="AA109" s="76"/>
      <c r="AB109" s="76"/>
      <c r="AC109" s="76"/>
      <c r="AD109" s="136"/>
    </row>
    <row r="110" customHeight="1" spans="1:30">
      <c r="A110" s="76"/>
      <c r="B110" s="212" t="s">
        <v>1284</v>
      </c>
      <c r="C110" s="76" t="s">
        <v>320</v>
      </c>
      <c r="D110" s="76" t="s">
        <v>147</v>
      </c>
      <c r="E110" s="76"/>
      <c r="F110" s="76">
        <f t="shared" si="41"/>
        <v>3</v>
      </c>
      <c r="G110" s="76">
        <v>1</v>
      </c>
      <c r="H110" s="76">
        <v>1</v>
      </c>
      <c r="I110" s="76">
        <v>1</v>
      </c>
      <c r="J110" s="76">
        <v>1</v>
      </c>
      <c r="K110" s="76">
        <v>1</v>
      </c>
      <c r="L110" s="76">
        <v>1</v>
      </c>
      <c r="M110" s="76">
        <v>2018</v>
      </c>
      <c r="N110" s="76">
        <v>2020</v>
      </c>
      <c r="O110" s="76">
        <f t="shared" si="38"/>
        <v>0.375</v>
      </c>
      <c r="P110" s="76">
        <f t="shared" si="42"/>
        <v>0.125</v>
      </c>
      <c r="Q110" s="76">
        <f t="shared" si="43"/>
        <v>0.125</v>
      </c>
      <c r="R110" s="76">
        <f t="shared" si="44"/>
        <v>0.125</v>
      </c>
      <c r="S110" s="76"/>
      <c r="T110" s="76"/>
      <c r="U110" s="76">
        <f t="shared" si="45"/>
        <v>0.375</v>
      </c>
      <c r="V110" s="76"/>
      <c r="W110" s="76"/>
      <c r="X110" s="583"/>
      <c r="Y110" s="76"/>
      <c r="Z110" s="76"/>
      <c r="AA110" s="76"/>
      <c r="AB110" s="76"/>
      <c r="AC110" s="76"/>
      <c r="AD110" s="136"/>
    </row>
    <row r="111" customHeight="1" spans="1:30">
      <c r="A111" s="76">
        <v>11</v>
      </c>
      <c r="B111" s="92" t="s">
        <v>321</v>
      </c>
      <c r="C111" s="76" t="s">
        <v>320</v>
      </c>
      <c r="D111" s="76" t="s">
        <v>147</v>
      </c>
      <c r="E111" s="76"/>
      <c r="F111" s="76">
        <f t="shared" ref="F111:L111" si="46">SUM(F112:F127)</f>
        <v>402</v>
      </c>
      <c r="G111" s="76">
        <f t="shared" si="46"/>
        <v>134</v>
      </c>
      <c r="H111" s="76">
        <f t="shared" si="46"/>
        <v>134</v>
      </c>
      <c r="I111" s="76">
        <f t="shared" si="46"/>
        <v>134</v>
      </c>
      <c r="J111" s="76">
        <f t="shared" si="46"/>
        <v>134</v>
      </c>
      <c r="K111" s="76">
        <f t="shared" si="46"/>
        <v>134</v>
      </c>
      <c r="L111" s="76">
        <f t="shared" si="46"/>
        <v>134</v>
      </c>
      <c r="M111" s="76">
        <v>2018</v>
      </c>
      <c r="N111" s="76">
        <v>2020</v>
      </c>
      <c r="O111" s="76">
        <f t="shared" ref="O111:W111" si="47">SUM(O112:O127)</f>
        <v>221.1</v>
      </c>
      <c r="P111" s="76">
        <f t="shared" si="47"/>
        <v>73.7</v>
      </c>
      <c r="Q111" s="76">
        <f t="shared" si="47"/>
        <v>73.7</v>
      </c>
      <c r="R111" s="76">
        <f t="shared" si="47"/>
        <v>73.7</v>
      </c>
      <c r="S111" s="76">
        <f t="shared" si="47"/>
        <v>170.85</v>
      </c>
      <c r="T111" s="76">
        <f t="shared" si="47"/>
        <v>0</v>
      </c>
      <c r="U111" s="76">
        <f t="shared" si="47"/>
        <v>50.25</v>
      </c>
      <c r="V111" s="76">
        <f t="shared" si="47"/>
        <v>0</v>
      </c>
      <c r="W111" s="76">
        <f t="shared" si="47"/>
        <v>0</v>
      </c>
      <c r="X111" s="583" t="s">
        <v>1038</v>
      </c>
      <c r="Y111" s="76"/>
      <c r="Z111" s="76"/>
      <c r="AA111" s="76" t="s">
        <v>1285</v>
      </c>
      <c r="AB111" s="76" t="s">
        <v>1286</v>
      </c>
      <c r="AC111" s="76" t="s">
        <v>294</v>
      </c>
      <c r="AD111" s="136"/>
    </row>
    <row r="112" customHeight="1" spans="1:30">
      <c r="A112" s="76"/>
      <c r="B112" s="212" t="s">
        <v>1265</v>
      </c>
      <c r="C112" s="76" t="s">
        <v>320</v>
      </c>
      <c r="D112" s="76" t="s">
        <v>147</v>
      </c>
      <c r="E112" s="76"/>
      <c r="F112" s="76">
        <f t="shared" ref="F112:F127" si="48">SUM(G112:I112)</f>
        <v>9</v>
      </c>
      <c r="G112" s="143">
        <v>3</v>
      </c>
      <c r="H112" s="143">
        <v>3</v>
      </c>
      <c r="I112" s="143">
        <v>3</v>
      </c>
      <c r="J112" s="143">
        <v>3</v>
      </c>
      <c r="K112" s="143">
        <v>3</v>
      </c>
      <c r="L112" s="143">
        <v>3</v>
      </c>
      <c r="M112" s="76">
        <v>2018</v>
      </c>
      <c r="N112" s="76">
        <v>2020</v>
      </c>
      <c r="O112" s="76">
        <f t="shared" ref="O112:O127" si="49">SUM(P112:R112)</f>
        <v>4.95</v>
      </c>
      <c r="P112" s="76">
        <f t="shared" ref="P112:P127" si="50">0.55*J112</f>
        <v>1.65</v>
      </c>
      <c r="Q112" s="76">
        <f t="shared" ref="Q112:Q127" si="51">0.55*J112</f>
        <v>1.65</v>
      </c>
      <c r="R112" s="76">
        <f t="shared" ref="R112:R127" si="52">0.55*J112</f>
        <v>1.65</v>
      </c>
      <c r="S112" s="76">
        <f t="shared" ref="S112:S127" si="53">0.425*3*J112</f>
        <v>3.825</v>
      </c>
      <c r="T112" s="93"/>
      <c r="U112" s="76">
        <f t="shared" ref="U112:U127" si="54">0.125*3*J112</f>
        <v>1.125</v>
      </c>
      <c r="V112" s="76"/>
      <c r="W112" s="76"/>
      <c r="X112" s="583"/>
      <c r="Y112" s="76"/>
      <c r="Z112" s="76"/>
      <c r="AA112" s="76"/>
      <c r="AB112" s="76"/>
      <c r="AC112" s="76"/>
      <c r="AD112" s="136"/>
    </row>
    <row r="113" customHeight="1" spans="1:30">
      <c r="A113" s="76"/>
      <c r="B113" s="212" t="s">
        <v>1266</v>
      </c>
      <c r="C113" s="76" t="s">
        <v>320</v>
      </c>
      <c r="D113" s="76" t="s">
        <v>147</v>
      </c>
      <c r="E113" s="76"/>
      <c r="F113" s="76">
        <f t="shared" si="48"/>
        <v>33</v>
      </c>
      <c r="G113" s="143">
        <v>11</v>
      </c>
      <c r="H113" s="143">
        <v>11</v>
      </c>
      <c r="I113" s="143">
        <v>11</v>
      </c>
      <c r="J113" s="143">
        <v>11</v>
      </c>
      <c r="K113" s="143">
        <v>11</v>
      </c>
      <c r="L113" s="143">
        <v>11</v>
      </c>
      <c r="M113" s="76">
        <v>2018</v>
      </c>
      <c r="N113" s="76">
        <v>2020</v>
      </c>
      <c r="O113" s="76">
        <f t="shared" si="49"/>
        <v>18.15</v>
      </c>
      <c r="P113" s="76">
        <f t="shared" si="50"/>
        <v>6.05</v>
      </c>
      <c r="Q113" s="76">
        <f t="shared" si="51"/>
        <v>6.05</v>
      </c>
      <c r="R113" s="76">
        <f t="shared" si="52"/>
        <v>6.05</v>
      </c>
      <c r="S113" s="76">
        <f t="shared" si="53"/>
        <v>14.025</v>
      </c>
      <c r="T113" s="93"/>
      <c r="U113" s="76">
        <f t="shared" si="54"/>
        <v>4.125</v>
      </c>
      <c r="V113" s="76"/>
      <c r="W113" s="76"/>
      <c r="X113" s="583"/>
      <c r="Y113" s="76"/>
      <c r="Z113" s="76"/>
      <c r="AA113" s="76"/>
      <c r="AB113" s="76"/>
      <c r="AC113" s="76"/>
      <c r="AD113" s="136"/>
    </row>
    <row r="114" customHeight="1" spans="1:30">
      <c r="A114" s="76"/>
      <c r="B114" s="212" t="s">
        <v>1267</v>
      </c>
      <c r="C114" s="76" t="s">
        <v>320</v>
      </c>
      <c r="D114" s="76" t="s">
        <v>147</v>
      </c>
      <c r="E114" s="76"/>
      <c r="F114" s="76">
        <f t="shared" si="48"/>
        <v>12</v>
      </c>
      <c r="G114" s="143">
        <v>4</v>
      </c>
      <c r="H114" s="143">
        <v>4</v>
      </c>
      <c r="I114" s="143">
        <v>4</v>
      </c>
      <c r="J114" s="143">
        <v>4</v>
      </c>
      <c r="K114" s="143">
        <v>4</v>
      </c>
      <c r="L114" s="143">
        <v>4</v>
      </c>
      <c r="M114" s="76">
        <v>2018</v>
      </c>
      <c r="N114" s="76">
        <v>2020</v>
      </c>
      <c r="O114" s="76">
        <f t="shared" si="49"/>
        <v>6.6</v>
      </c>
      <c r="P114" s="76">
        <f t="shared" si="50"/>
        <v>2.2</v>
      </c>
      <c r="Q114" s="76">
        <f t="shared" si="51"/>
        <v>2.2</v>
      </c>
      <c r="R114" s="76">
        <f t="shared" si="52"/>
        <v>2.2</v>
      </c>
      <c r="S114" s="76">
        <f t="shared" si="53"/>
        <v>5.1</v>
      </c>
      <c r="T114" s="93"/>
      <c r="U114" s="76">
        <f t="shared" si="54"/>
        <v>1.5</v>
      </c>
      <c r="V114" s="76"/>
      <c r="W114" s="76"/>
      <c r="X114" s="583"/>
      <c r="Y114" s="76"/>
      <c r="Z114" s="76"/>
      <c r="AA114" s="76"/>
      <c r="AB114" s="76"/>
      <c r="AC114" s="76"/>
      <c r="AD114" s="136"/>
    </row>
    <row r="115" customHeight="1" spans="1:30">
      <c r="A115" s="76"/>
      <c r="B115" s="212" t="s">
        <v>1268</v>
      </c>
      <c r="C115" s="76" t="s">
        <v>320</v>
      </c>
      <c r="D115" s="76" t="s">
        <v>147</v>
      </c>
      <c r="E115" s="76"/>
      <c r="F115" s="76">
        <f t="shared" si="48"/>
        <v>27</v>
      </c>
      <c r="G115" s="143">
        <v>9</v>
      </c>
      <c r="H115" s="143">
        <v>9</v>
      </c>
      <c r="I115" s="143">
        <v>9</v>
      </c>
      <c r="J115" s="143">
        <v>9</v>
      </c>
      <c r="K115" s="143">
        <v>9</v>
      </c>
      <c r="L115" s="143">
        <v>9</v>
      </c>
      <c r="M115" s="76">
        <v>2018</v>
      </c>
      <c r="N115" s="76">
        <v>2020</v>
      </c>
      <c r="O115" s="76">
        <f t="shared" si="49"/>
        <v>14.85</v>
      </c>
      <c r="P115" s="76">
        <f t="shared" si="50"/>
        <v>4.95</v>
      </c>
      <c r="Q115" s="76">
        <f t="shared" si="51"/>
        <v>4.95</v>
      </c>
      <c r="R115" s="76">
        <f t="shared" si="52"/>
        <v>4.95</v>
      </c>
      <c r="S115" s="76">
        <f t="shared" si="53"/>
        <v>11.475</v>
      </c>
      <c r="T115" s="93"/>
      <c r="U115" s="76">
        <f t="shared" si="54"/>
        <v>3.375</v>
      </c>
      <c r="V115" s="76"/>
      <c r="W115" s="76"/>
      <c r="X115" s="583"/>
      <c r="Y115" s="76"/>
      <c r="Z115" s="76"/>
      <c r="AA115" s="76"/>
      <c r="AB115" s="76"/>
      <c r="AC115" s="76"/>
      <c r="AD115" s="136"/>
    </row>
    <row r="116" customHeight="1" spans="1:30">
      <c r="A116" s="76"/>
      <c r="B116" s="212" t="s">
        <v>1275</v>
      </c>
      <c r="C116" s="76" t="s">
        <v>320</v>
      </c>
      <c r="D116" s="76" t="s">
        <v>147</v>
      </c>
      <c r="E116" s="76"/>
      <c r="F116" s="76">
        <f t="shared" si="48"/>
        <v>45</v>
      </c>
      <c r="G116" s="143">
        <v>15</v>
      </c>
      <c r="H116" s="143">
        <v>15</v>
      </c>
      <c r="I116" s="143">
        <v>15</v>
      </c>
      <c r="J116" s="143">
        <v>15</v>
      </c>
      <c r="K116" s="143">
        <v>15</v>
      </c>
      <c r="L116" s="143">
        <v>15</v>
      </c>
      <c r="M116" s="76">
        <v>2018</v>
      </c>
      <c r="N116" s="76">
        <v>2020</v>
      </c>
      <c r="O116" s="76">
        <f t="shared" si="49"/>
        <v>24.75</v>
      </c>
      <c r="P116" s="76">
        <f t="shared" si="50"/>
        <v>8.25</v>
      </c>
      <c r="Q116" s="76">
        <f t="shared" si="51"/>
        <v>8.25</v>
      </c>
      <c r="R116" s="76">
        <f t="shared" si="52"/>
        <v>8.25</v>
      </c>
      <c r="S116" s="76">
        <f t="shared" si="53"/>
        <v>19.125</v>
      </c>
      <c r="T116" s="93"/>
      <c r="U116" s="76">
        <f t="shared" si="54"/>
        <v>5.625</v>
      </c>
      <c r="V116" s="76"/>
      <c r="W116" s="76"/>
      <c r="X116" s="583"/>
      <c r="Y116" s="76"/>
      <c r="Z116" s="76"/>
      <c r="AA116" s="76"/>
      <c r="AB116" s="76"/>
      <c r="AC116" s="76"/>
      <c r="AD116" s="136"/>
    </row>
    <row r="117" customHeight="1" spans="1:30">
      <c r="A117" s="76"/>
      <c r="B117" s="212" t="s">
        <v>1276</v>
      </c>
      <c r="C117" s="76" t="s">
        <v>320</v>
      </c>
      <c r="D117" s="76" t="s">
        <v>147</v>
      </c>
      <c r="E117" s="76"/>
      <c r="F117" s="76">
        <f t="shared" si="48"/>
        <v>15</v>
      </c>
      <c r="G117" s="143">
        <v>5</v>
      </c>
      <c r="H117" s="143">
        <v>5</v>
      </c>
      <c r="I117" s="143">
        <v>5</v>
      </c>
      <c r="J117" s="143">
        <v>5</v>
      </c>
      <c r="K117" s="143">
        <v>5</v>
      </c>
      <c r="L117" s="143">
        <v>5</v>
      </c>
      <c r="M117" s="76">
        <v>2018</v>
      </c>
      <c r="N117" s="76">
        <v>2020</v>
      </c>
      <c r="O117" s="76">
        <f t="shared" si="49"/>
        <v>8.25</v>
      </c>
      <c r="P117" s="76">
        <f t="shared" si="50"/>
        <v>2.75</v>
      </c>
      <c r="Q117" s="76">
        <f t="shared" si="51"/>
        <v>2.75</v>
      </c>
      <c r="R117" s="76">
        <f t="shared" si="52"/>
        <v>2.75</v>
      </c>
      <c r="S117" s="76">
        <f t="shared" si="53"/>
        <v>6.375</v>
      </c>
      <c r="T117" s="93"/>
      <c r="U117" s="76">
        <f t="shared" si="54"/>
        <v>1.875</v>
      </c>
      <c r="V117" s="76"/>
      <c r="W117" s="76"/>
      <c r="X117" s="583"/>
      <c r="Y117" s="76"/>
      <c r="Z117" s="76"/>
      <c r="AA117" s="76"/>
      <c r="AB117" s="76"/>
      <c r="AC117" s="76"/>
      <c r="AD117" s="136"/>
    </row>
    <row r="118" customHeight="1" spans="1:30">
      <c r="A118" s="76"/>
      <c r="B118" s="212" t="s">
        <v>1277</v>
      </c>
      <c r="C118" s="76" t="s">
        <v>320</v>
      </c>
      <c r="D118" s="76" t="s">
        <v>147</v>
      </c>
      <c r="E118" s="76"/>
      <c r="F118" s="76">
        <f t="shared" si="48"/>
        <v>21</v>
      </c>
      <c r="G118" s="143">
        <v>7</v>
      </c>
      <c r="H118" s="143">
        <v>7</v>
      </c>
      <c r="I118" s="143">
        <v>7</v>
      </c>
      <c r="J118" s="143">
        <v>7</v>
      </c>
      <c r="K118" s="143">
        <v>7</v>
      </c>
      <c r="L118" s="143">
        <v>7</v>
      </c>
      <c r="M118" s="76">
        <v>2018</v>
      </c>
      <c r="N118" s="76">
        <v>2020</v>
      </c>
      <c r="O118" s="76">
        <f t="shared" si="49"/>
        <v>11.55</v>
      </c>
      <c r="P118" s="76">
        <f t="shared" si="50"/>
        <v>3.85</v>
      </c>
      <c r="Q118" s="76">
        <f t="shared" si="51"/>
        <v>3.85</v>
      </c>
      <c r="R118" s="76">
        <f t="shared" si="52"/>
        <v>3.85</v>
      </c>
      <c r="S118" s="76">
        <f t="shared" si="53"/>
        <v>8.925</v>
      </c>
      <c r="T118" s="93"/>
      <c r="U118" s="76">
        <f t="shared" si="54"/>
        <v>2.625</v>
      </c>
      <c r="V118" s="76"/>
      <c r="W118" s="76"/>
      <c r="X118" s="583"/>
      <c r="Y118" s="76"/>
      <c r="Z118" s="76"/>
      <c r="AA118" s="76"/>
      <c r="AB118" s="76"/>
      <c r="AC118" s="76"/>
      <c r="AD118" s="136"/>
    </row>
    <row r="119" customHeight="1" spans="1:30">
      <c r="A119" s="76"/>
      <c r="B119" s="212" t="s">
        <v>1278</v>
      </c>
      <c r="C119" s="76" t="s">
        <v>320</v>
      </c>
      <c r="D119" s="76" t="s">
        <v>147</v>
      </c>
      <c r="E119" s="76"/>
      <c r="F119" s="76">
        <f t="shared" si="48"/>
        <v>6</v>
      </c>
      <c r="G119" s="143">
        <v>2</v>
      </c>
      <c r="H119" s="143">
        <v>2</v>
      </c>
      <c r="I119" s="143">
        <v>2</v>
      </c>
      <c r="J119" s="143">
        <v>2</v>
      </c>
      <c r="K119" s="143">
        <v>2</v>
      </c>
      <c r="L119" s="143">
        <v>2</v>
      </c>
      <c r="M119" s="76">
        <v>2018</v>
      </c>
      <c r="N119" s="76">
        <v>2020</v>
      </c>
      <c r="O119" s="76">
        <f t="shared" si="49"/>
        <v>3.3</v>
      </c>
      <c r="P119" s="76">
        <f t="shared" si="50"/>
        <v>1.1</v>
      </c>
      <c r="Q119" s="76">
        <f t="shared" si="51"/>
        <v>1.1</v>
      </c>
      <c r="R119" s="76">
        <f t="shared" si="52"/>
        <v>1.1</v>
      </c>
      <c r="S119" s="76">
        <f t="shared" si="53"/>
        <v>2.55</v>
      </c>
      <c r="T119" s="93"/>
      <c r="U119" s="76">
        <f t="shared" si="54"/>
        <v>0.75</v>
      </c>
      <c r="V119" s="76"/>
      <c r="W119" s="76"/>
      <c r="X119" s="583"/>
      <c r="Y119" s="76"/>
      <c r="Z119" s="76"/>
      <c r="AA119" s="76"/>
      <c r="AB119" s="76"/>
      <c r="AC119" s="76"/>
      <c r="AD119" s="136"/>
    </row>
    <row r="120" customHeight="1" spans="1:30">
      <c r="A120" s="76"/>
      <c r="B120" s="212" t="s">
        <v>1279</v>
      </c>
      <c r="C120" s="76" t="s">
        <v>320</v>
      </c>
      <c r="D120" s="76" t="s">
        <v>147</v>
      </c>
      <c r="E120" s="76"/>
      <c r="F120" s="76">
        <f t="shared" si="48"/>
        <v>6</v>
      </c>
      <c r="G120" s="143">
        <v>2</v>
      </c>
      <c r="H120" s="143">
        <v>2</v>
      </c>
      <c r="I120" s="143">
        <v>2</v>
      </c>
      <c r="J120" s="143">
        <v>2</v>
      </c>
      <c r="K120" s="143">
        <v>2</v>
      </c>
      <c r="L120" s="143">
        <v>2</v>
      </c>
      <c r="M120" s="76">
        <v>2018</v>
      </c>
      <c r="N120" s="76">
        <v>2020</v>
      </c>
      <c r="O120" s="76">
        <f t="shared" si="49"/>
        <v>3.3</v>
      </c>
      <c r="P120" s="76">
        <f t="shared" si="50"/>
        <v>1.1</v>
      </c>
      <c r="Q120" s="76">
        <f t="shared" si="51"/>
        <v>1.1</v>
      </c>
      <c r="R120" s="76">
        <f t="shared" si="52"/>
        <v>1.1</v>
      </c>
      <c r="S120" s="76">
        <f t="shared" si="53"/>
        <v>2.55</v>
      </c>
      <c r="T120" s="93"/>
      <c r="U120" s="76">
        <f t="shared" si="54"/>
        <v>0.75</v>
      </c>
      <c r="V120" s="76"/>
      <c r="W120" s="76"/>
      <c r="X120" s="583"/>
      <c r="Y120" s="76"/>
      <c r="Z120" s="76"/>
      <c r="AA120" s="76"/>
      <c r="AB120" s="76"/>
      <c r="AC120" s="76"/>
      <c r="AD120" s="136"/>
    </row>
    <row r="121" customHeight="1" spans="1:30">
      <c r="A121" s="76"/>
      <c r="B121" s="212" t="s">
        <v>1280</v>
      </c>
      <c r="C121" s="76" t="s">
        <v>320</v>
      </c>
      <c r="D121" s="76" t="s">
        <v>147</v>
      </c>
      <c r="E121" s="76"/>
      <c r="F121" s="76">
        <f t="shared" si="48"/>
        <v>6</v>
      </c>
      <c r="G121" s="143">
        <v>2</v>
      </c>
      <c r="H121" s="143">
        <v>2</v>
      </c>
      <c r="I121" s="143">
        <v>2</v>
      </c>
      <c r="J121" s="143">
        <v>2</v>
      </c>
      <c r="K121" s="143">
        <v>2</v>
      </c>
      <c r="L121" s="143">
        <v>2</v>
      </c>
      <c r="M121" s="76">
        <v>2018</v>
      </c>
      <c r="N121" s="76">
        <v>2020</v>
      </c>
      <c r="O121" s="76">
        <f t="shared" si="49"/>
        <v>3.3</v>
      </c>
      <c r="P121" s="76">
        <f t="shared" si="50"/>
        <v>1.1</v>
      </c>
      <c r="Q121" s="76">
        <f t="shared" si="51"/>
        <v>1.1</v>
      </c>
      <c r="R121" s="76">
        <f t="shared" si="52"/>
        <v>1.1</v>
      </c>
      <c r="S121" s="76">
        <f t="shared" si="53"/>
        <v>2.55</v>
      </c>
      <c r="T121" s="93"/>
      <c r="U121" s="76">
        <f t="shared" si="54"/>
        <v>0.75</v>
      </c>
      <c r="V121" s="76"/>
      <c r="W121" s="76"/>
      <c r="X121" s="583"/>
      <c r="Y121" s="76"/>
      <c r="Z121" s="76"/>
      <c r="AA121" s="76"/>
      <c r="AB121" s="76"/>
      <c r="AC121" s="76"/>
      <c r="AD121" s="136"/>
    </row>
    <row r="122" customHeight="1" spans="1:30">
      <c r="A122" s="76"/>
      <c r="B122" s="212" t="s">
        <v>1269</v>
      </c>
      <c r="C122" s="76" t="s">
        <v>320</v>
      </c>
      <c r="D122" s="76" t="s">
        <v>147</v>
      </c>
      <c r="E122" s="76"/>
      <c r="F122" s="76">
        <f t="shared" si="48"/>
        <v>9</v>
      </c>
      <c r="G122" s="143">
        <v>3</v>
      </c>
      <c r="H122" s="143">
        <v>3</v>
      </c>
      <c r="I122" s="143">
        <v>3</v>
      </c>
      <c r="J122" s="143">
        <v>3</v>
      </c>
      <c r="K122" s="143">
        <v>3</v>
      </c>
      <c r="L122" s="143">
        <v>3</v>
      </c>
      <c r="M122" s="76">
        <v>2018</v>
      </c>
      <c r="N122" s="76">
        <v>2020</v>
      </c>
      <c r="O122" s="76">
        <f t="shared" si="49"/>
        <v>4.95</v>
      </c>
      <c r="P122" s="76">
        <f t="shared" si="50"/>
        <v>1.65</v>
      </c>
      <c r="Q122" s="76">
        <f t="shared" si="51"/>
        <v>1.65</v>
      </c>
      <c r="R122" s="76">
        <f t="shared" si="52"/>
        <v>1.65</v>
      </c>
      <c r="S122" s="76">
        <f t="shared" si="53"/>
        <v>3.825</v>
      </c>
      <c r="T122" s="93"/>
      <c r="U122" s="76">
        <f t="shared" si="54"/>
        <v>1.125</v>
      </c>
      <c r="V122" s="76"/>
      <c r="W122" s="76"/>
      <c r="X122" s="583"/>
      <c r="Y122" s="76"/>
      <c r="Z122" s="76"/>
      <c r="AA122" s="76"/>
      <c r="AB122" s="76"/>
      <c r="AC122" s="76"/>
      <c r="AD122" s="136"/>
    </row>
    <row r="123" customHeight="1" spans="1:30">
      <c r="A123" s="76"/>
      <c r="B123" s="212" t="s">
        <v>1270</v>
      </c>
      <c r="C123" s="76" t="s">
        <v>320</v>
      </c>
      <c r="D123" s="76" t="s">
        <v>147</v>
      </c>
      <c r="E123" s="76"/>
      <c r="F123" s="76">
        <f t="shared" si="48"/>
        <v>21</v>
      </c>
      <c r="G123" s="143">
        <v>7</v>
      </c>
      <c r="H123" s="143">
        <v>7</v>
      </c>
      <c r="I123" s="143">
        <v>7</v>
      </c>
      <c r="J123" s="143">
        <v>7</v>
      </c>
      <c r="K123" s="143">
        <v>7</v>
      </c>
      <c r="L123" s="143">
        <v>7</v>
      </c>
      <c r="M123" s="76">
        <v>2018</v>
      </c>
      <c r="N123" s="76">
        <v>2020</v>
      </c>
      <c r="O123" s="76">
        <f t="shared" si="49"/>
        <v>11.55</v>
      </c>
      <c r="P123" s="76">
        <f t="shared" si="50"/>
        <v>3.85</v>
      </c>
      <c r="Q123" s="76">
        <f t="shared" si="51"/>
        <v>3.85</v>
      </c>
      <c r="R123" s="76">
        <f t="shared" si="52"/>
        <v>3.85</v>
      </c>
      <c r="S123" s="76">
        <f t="shared" si="53"/>
        <v>8.925</v>
      </c>
      <c r="T123" s="93"/>
      <c r="U123" s="76">
        <f t="shared" si="54"/>
        <v>2.625</v>
      </c>
      <c r="V123" s="76"/>
      <c r="W123" s="76"/>
      <c r="X123" s="583"/>
      <c r="Y123" s="76"/>
      <c r="Z123" s="76"/>
      <c r="AA123" s="76"/>
      <c r="AB123" s="76"/>
      <c r="AC123" s="76"/>
      <c r="AD123" s="136"/>
    </row>
    <row r="124" customHeight="1" spans="1:30">
      <c r="A124" s="76"/>
      <c r="B124" s="212" t="s">
        <v>1281</v>
      </c>
      <c r="C124" s="76" t="s">
        <v>320</v>
      </c>
      <c r="D124" s="76" t="s">
        <v>147</v>
      </c>
      <c r="E124" s="76"/>
      <c r="F124" s="76">
        <f t="shared" si="48"/>
        <v>72</v>
      </c>
      <c r="G124" s="143">
        <v>24</v>
      </c>
      <c r="H124" s="143">
        <v>24</v>
      </c>
      <c r="I124" s="143">
        <v>24</v>
      </c>
      <c r="J124" s="143">
        <v>24</v>
      </c>
      <c r="K124" s="143">
        <v>24</v>
      </c>
      <c r="L124" s="143">
        <v>24</v>
      </c>
      <c r="M124" s="76">
        <v>2018</v>
      </c>
      <c r="N124" s="76">
        <v>2020</v>
      </c>
      <c r="O124" s="76">
        <f t="shared" si="49"/>
        <v>39.6</v>
      </c>
      <c r="P124" s="76">
        <f t="shared" si="50"/>
        <v>13.2</v>
      </c>
      <c r="Q124" s="76">
        <f t="shared" si="51"/>
        <v>13.2</v>
      </c>
      <c r="R124" s="76">
        <f t="shared" si="52"/>
        <v>13.2</v>
      </c>
      <c r="S124" s="76">
        <f t="shared" si="53"/>
        <v>30.6</v>
      </c>
      <c r="T124" s="93"/>
      <c r="U124" s="76">
        <f t="shared" si="54"/>
        <v>9</v>
      </c>
      <c r="V124" s="76"/>
      <c r="W124" s="76"/>
      <c r="X124" s="583"/>
      <c r="Y124" s="76"/>
      <c r="Z124" s="76"/>
      <c r="AA124" s="76"/>
      <c r="AB124" s="76"/>
      <c r="AC124" s="76"/>
      <c r="AD124" s="136"/>
    </row>
    <row r="125" customHeight="1" spans="1:30">
      <c r="A125" s="76"/>
      <c r="B125" s="212" t="s">
        <v>1271</v>
      </c>
      <c r="C125" s="76" t="s">
        <v>320</v>
      </c>
      <c r="D125" s="76" t="s">
        <v>147</v>
      </c>
      <c r="E125" s="76"/>
      <c r="F125" s="76">
        <f t="shared" si="48"/>
        <v>30</v>
      </c>
      <c r="G125" s="143">
        <v>10</v>
      </c>
      <c r="H125" s="143">
        <v>10</v>
      </c>
      <c r="I125" s="143">
        <v>10</v>
      </c>
      <c r="J125" s="143">
        <v>10</v>
      </c>
      <c r="K125" s="143">
        <v>10</v>
      </c>
      <c r="L125" s="143">
        <v>10</v>
      </c>
      <c r="M125" s="76">
        <v>2018</v>
      </c>
      <c r="N125" s="76">
        <v>2020</v>
      </c>
      <c r="O125" s="76">
        <f t="shared" si="49"/>
        <v>16.5</v>
      </c>
      <c r="P125" s="76">
        <f t="shared" si="50"/>
        <v>5.5</v>
      </c>
      <c r="Q125" s="76">
        <f t="shared" si="51"/>
        <v>5.5</v>
      </c>
      <c r="R125" s="76">
        <f t="shared" si="52"/>
        <v>5.5</v>
      </c>
      <c r="S125" s="76">
        <f t="shared" si="53"/>
        <v>12.75</v>
      </c>
      <c r="T125" s="93"/>
      <c r="U125" s="76">
        <f t="shared" si="54"/>
        <v>3.75</v>
      </c>
      <c r="V125" s="76"/>
      <c r="W125" s="76"/>
      <c r="X125" s="583"/>
      <c r="Y125" s="76"/>
      <c r="Z125" s="76"/>
      <c r="AA125" s="76"/>
      <c r="AB125" s="76"/>
      <c r="AC125" s="76"/>
      <c r="AD125" s="136"/>
    </row>
    <row r="126" customHeight="1" spans="1:30">
      <c r="A126" s="76"/>
      <c r="B126" s="212" t="s">
        <v>1282</v>
      </c>
      <c r="C126" s="76" t="s">
        <v>320</v>
      </c>
      <c r="D126" s="76" t="s">
        <v>147</v>
      </c>
      <c r="E126" s="76"/>
      <c r="F126" s="76">
        <f t="shared" si="48"/>
        <v>78</v>
      </c>
      <c r="G126" s="143">
        <v>26</v>
      </c>
      <c r="H126" s="143">
        <v>26</v>
      </c>
      <c r="I126" s="143">
        <v>26</v>
      </c>
      <c r="J126" s="143">
        <v>26</v>
      </c>
      <c r="K126" s="143">
        <v>26</v>
      </c>
      <c r="L126" s="143">
        <v>26</v>
      </c>
      <c r="M126" s="76">
        <v>2018</v>
      </c>
      <c r="N126" s="76">
        <v>2020</v>
      </c>
      <c r="O126" s="76">
        <f t="shared" si="49"/>
        <v>42.9</v>
      </c>
      <c r="P126" s="76">
        <f t="shared" si="50"/>
        <v>14.3</v>
      </c>
      <c r="Q126" s="76">
        <f t="shared" si="51"/>
        <v>14.3</v>
      </c>
      <c r="R126" s="76">
        <f t="shared" si="52"/>
        <v>14.3</v>
      </c>
      <c r="S126" s="76">
        <f t="shared" si="53"/>
        <v>33.15</v>
      </c>
      <c r="T126" s="93"/>
      <c r="U126" s="76">
        <f t="shared" si="54"/>
        <v>9.75</v>
      </c>
      <c r="V126" s="76"/>
      <c r="W126" s="76"/>
      <c r="X126" s="583"/>
      <c r="Y126" s="76"/>
      <c r="Z126" s="76"/>
      <c r="AA126" s="76"/>
      <c r="AB126" s="76"/>
      <c r="AC126" s="76"/>
      <c r="AD126" s="136"/>
    </row>
    <row r="127" customHeight="1" spans="1:30">
      <c r="A127" s="76"/>
      <c r="B127" s="212" t="s">
        <v>1283</v>
      </c>
      <c r="C127" s="76" t="s">
        <v>320</v>
      </c>
      <c r="D127" s="76" t="s">
        <v>147</v>
      </c>
      <c r="E127" s="76"/>
      <c r="F127" s="76">
        <f t="shared" si="48"/>
        <v>12</v>
      </c>
      <c r="G127" s="143">
        <v>4</v>
      </c>
      <c r="H127" s="143">
        <v>4</v>
      </c>
      <c r="I127" s="143">
        <v>4</v>
      </c>
      <c r="J127" s="143">
        <v>4</v>
      </c>
      <c r="K127" s="143">
        <v>4</v>
      </c>
      <c r="L127" s="143">
        <v>4</v>
      </c>
      <c r="M127" s="76">
        <v>2018</v>
      </c>
      <c r="N127" s="76">
        <v>2020</v>
      </c>
      <c r="O127" s="76">
        <f t="shared" si="49"/>
        <v>6.6</v>
      </c>
      <c r="P127" s="76">
        <f t="shared" si="50"/>
        <v>2.2</v>
      </c>
      <c r="Q127" s="76">
        <f t="shared" si="51"/>
        <v>2.2</v>
      </c>
      <c r="R127" s="76">
        <f t="shared" si="52"/>
        <v>2.2</v>
      </c>
      <c r="S127" s="76">
        <f t="shared" si="53"/>
        <v>5.1</v>
      </c>
      <c r="T127" s="93"/>
      <c r="U127" s="76">
        <f t="shared" si="54"/>
        <v>1.5</v>
      </c>
      <c r="V127" s="76"/>
      <c r="W127" s="76"/>
      <c r="X127" s="583"/>
      <c r="Y127" s="76"/>
      <c r="Z127" s="76"/>
      <c r="AA127" s="76"/>
      <c r="AB127" s="76"/>
      <c r="AC127" s="76"/>
      <c r="AD127" s="136"/>
    </row>
    <row r="128" customHeight="1" spans="1:30">
      <c r="A128" s="76">
        <v>12</v>
      </c>
      <c r="B128" s="92" t="s">
        <v>322</v>
      </c>
      <c r="C128" s="76" t="s">
        <v>320</v>
      </c>
      <c r="D128" s="76" t="s">
        <v>147</v>
      </c>
      <c r="E128" s="76"/>
      <c r="F128" s="76">
        <f t="shared" ref="F128:L128" si="55">SUM(F129:F145)</f>
        <v>288</v>
      </c>
      <c r="G128" s="76">
        <f t="shared" si="55"/>
        <v>96</v>
      </c>
      <c r="H128" s="76">
        <f t="shared" si="55"/>
        <v>96</v>
      </c>
      <c r="I128" s="76">
        <f t="shared" si="55"/>
        <v>96</v>
      </c>
      <c r="J128" s="76">
        <f t="shared" si="55"/>
        <v>96</v>
      </c>
      <c r="K128" s="76">
        <f t="shared" si="55"/>
        <v>96</v>
      </c>
      <c r="L128" s="76">
        <f t="shared" si="55"/>
        <v>96</v>
      </c>
      <c r="M128" s="76">
        <v>2018</v>
      </c>
      <c r="N128" s="76">
        <v>2020</v>
      </c>
      <c r="O128" s="76">
        <f t="shared" ref="O128:U128" si="56">SUM(O129:O145)</f>
        <v>158.4</v>
      </c>
      <c r="P128" s="76">
        <f t="shared" si="56"/>
        <v>52.8</v>
      </c>
      <c r="Q128" s="76">
        <f t="shared" si="56"/>
        <v>52.8</v>
      </c>
      <c r="R128" s="76">
        <f t="shared" si="56"/>
        <v>52.8</v>
      </c>
      <c r="S128" s="76">
        <f t="shared" si="56"/>
        <v>57.6</v>
      </c>
      <c r="T128" s="76">
        <f t="shared" si="56"/>
        <v>86.4</v>
      </c>
      <c r="U128" s="76">
        <f t="shared" si="56"/>
        <v>14.4</v>
      </c>
      <c r="V128" s="76"/>
      <c r="W128" s="76"/>
      <c r="X128" s="583" t="s">
        <v>1038</v>
      </c>
      <c r="Y128" s="76"/>
      <c r="Z128" s="76"/>
      <c r="AA128" s="76" t="s">
        <v>1285</v>
      </c>
      <c r="AB128" s="76" t="s">
        <v>1286</v>
      </c>
      <c r="AC128" s="76" t="s">
        <v>294</v>
      </c>
      <c r="AD128" s="136"/>
    </row>
    <row r="129" customHeight="1" spans="1:30">
      <c r="A129" s="76"/>
      <c r="B129" s="212" t="s">
        <v>1265</v>
      </c>
      <c r="C129" s="76" t="s">
        <v>320</v>
      </c>
      <c r="D129" s="76" t="s">
        <v>147</v>
      </c>
      <c r="E129" s="76"/>
      <c r="F129" s="76">
        <f t="shared" ref="F129:F145" si="57">SUM(G129:I129)</f>
        <v>6</v>
      </c>
      <c r="G129" s="143">
        <v>2</v>
      </c>
      <c r="H129" s="143">
        <v>2</v>
      </c>
      <c r="I129" s="143">
        <v>2</v>
      </c>
      <c r="J129" s="143">
        <v>2</v>
      </c>
      <c r="K129" s="143">
        <v>2</v>
      </c>
      <c r="L129" s="143">
        <v>2</v>
      </c>
      <c r="M129" s="76">
        <v>2018</v>
      </c>
      <c r="N129" s="76">
        <v>2020</v>
      </c>
      <c r="O129" s="76">
        <f t="shared" ref="O129:O145" si="58">SUM(P129:R129)</f>
        <v>3.3</v>
      </c>
      <c r="P129" s="76">
        <f t="shared" ref="P129:P145" si="59">0.55*J129</f>
        <v>1.1</v>
      </c>
      <c r="Q129" s="76">
        <f t="shared" ref="Q129:Q145" si="60">0.55*J129</f>
        <v>1.1</v>
      </c>
      <c r="R129" s="76">
        <f t="shared" ref="R129:R145" si="61">0.55*J129</f>
        <v>1.1</v>
      </c>
      <c r="S129" s="76">
        <f t="shared" ref="S129:S145" si="62">0.2*3*J129</f>
        <v>1.2</v>
      </c>
      <c r="T129" s="76">
        <f t="shared" ref="T129:T145" si="63">0.3*3*J129</f>
        <v>1.8</v>
      </c>
      <c r="U129" s="76">
        <f t="shared" ref="U129:U145" si="64">0.05*3*J129</f>
        <v>0.3</v>
      </c>
      <c r="V129" s="76"/>
      <c r="W129" s="76"/>
      <c r="X129" s="583"/>
      <c r="Y129" s="76"/>
      <c r="Z129" s="76"/>
      <c r="AA129" s="76"/>
      <c r="AB129" s="76"/>
      <c r="AC129" s="76"/>
      <c r="AD129" s="136"/>
    </row>
    <row r="130" customHeight="1" spans="1:30">
      <c r="A130" s="76"/>
      <c r="B130" s="212" t="s">
        <v>1266</v>
      </c>
      <c r="C130" s="76" t="s">
        <v>320</v>
      </c>
      <c r="D130" s="76" t="s">
        <v>147</v>
      </c>
      <c r="E130" s="76"/>
      <c r="F130" s="76">
        <f t="shared" si="57"/>
        <v>18</v>
      </c>
      <c r="G130" s="143">
        <v>6</v>
      </c>
      <c r="H130" s="143">
        <v>6</v>
      </c>
      <c r="I130" s="143">
        <v>6</v>
      </c>
      <c r="J130" s="143">
        <v>6</v>
      </c>
      <c r="K130" s="143">
        <v>6</v>
      </c>
      <c r="L130" s="143">
        <v>6</v>
      </c>
      <c r="M130" s="76">
        <v>2018</v>
      </c>
      <c r="N130" s="76">
        <v>2020</v>
      </c>
      <c r="O130" s="76">
        <f t="shared" si="58"/>
        <v>9.9</v>
      </c>
      <c r="P130" s="76">
        <f t="shared" si="59"/>
        <v>3.3</v>
      </c>
      <c r="Q130" s="76">
        <f t="shared" si="60"/>
        <v>3.3</v>
      </c>
      <c r="R130" s="76">
        <f t="shared" si="61"/>
        <v>3.3</v>
      </c>
      <c r="S130" s="76">
        <f t="shared" si="62"/>
        <v>3.6</v>
      </c>
      <c r="T130" s="76">
        <f t="shared" si="63"/>
        <v>5.4</v>
      </c>
      <c r="U130" s="76">
        <f t="shared" si="64"/>
        <v>0.9</v>
      </c>
      <c r="V130" s="76"/>
      <c r="W130" s="76"/>
      <c r="X130" s="583"/>
      <c r="Y130" s="76"/>
      <c r="Z130" s="76"/>
      <c r="AA130" s="76"/>
      <c r="AB130" s="76"/>
      <c r="AC130" s="76"/>
      <c r="AD130" s="136"/>
    </row>
    <row r="131" customHeight="1" spans="1:30">
      <c r="A131" s="76"/>
      <c r="B131" s="212" t="s">
        <v>1267</v>
      </c>
      <c r="C131" s="76" t="s">
        <v>320</v>
      </c>
      <c r="D131" s="76" t="s">
        <v>147</v>
      </c>
      <c r="E131" s="76"/>
      <c r="F131" s="76">
        <f t="shared" si="57"/>
        <v>18</v>
      </c>
      <c r="G131" s="143">
        <v>6</v>
      </c>
      <c r="H131" s="143">
        <v>6</v>
      </c>
      <c r="I131" s="143">
        <v>6</v>
      </c>
      <c r="J131" s="143">
        <v>6</v>
      </c>
      <c r="K131" s="143">
        <v>6</v>
      </c>
      <c r="L131" s="143">
        <v>6</v>
      </c>
      <c r="M131" s="76">
        <v>2018</v>
      </c>
      <c r="N131" s="76">
        <v>2020</v>
      </c>
      <c r="O131" s="76">
        <f t="shared" si="58"/>
        <v>9.9</v>
      </c>
      <c r="P131" s="76">
        <f t="shared" si="59"/>
        <v>3.3</v>
      </c>
      <c r="Q131" s="76">
        <f t="shared" si="60"/>
        <v>3.3</v>
      </c>
      <c r="R131" s="76">
        <f t="shared" si="61"/>
        <v>3.3</v>
      </c>
      <c r="S131" s="76">
        <f t="shared" si="62"/>
        <v>3.6</v>
      </c>
      <c r="T131" s="76">
        <f t="shared" si="63"/>
        <v>5.4</v>
      </c>
      <c r="U131" s="76">
        <f t="shared" si="64"/>
        <v>0.9</v>
      </c>
      <c r="V131" s="76"/>
      <c r="W131" s="76"/>
      <c r="X131" s="583"/>
      <c r="Y131" s="76"/>
      <c r="Z131" s="76"/>
      <c r="AA131" s="76"/>
      <c r="AB131" s="76"/>
      <c r="AC131" s="76"/>
      <c r="AD131" s="136"/>
    </row>
    <row r="132" customHeight="1" spans="1:30">
      <c r="A132" s="76"/>
      <c r="B132" s="212" t="s">
        <v>1268</v>
      </c>
      <c r="C132" s="76" t="s">
        <v>320</v>
      </c>
      <c r="D132" s="76" t="s">
        <v>147</v>
      </c>
      <c r="E132" s="76"/>
      <c r="F132" s="76">
        <f t="shared" si="57"/>
        <v>12</v>
      </c>
      <c r="G132" s="143">
        <v>4</v>
      </c>
      <c r="H132" s="143">
        <v>4</v>
      </c>
      <c r="I132" s="143">
        <v>4</v>
      </c>
      <c r="J132" s="143">
        <v>4</v>
      </c>
      <c r="K132" s="143">
        <v>4</v>
      </c>
      <c r="L132" s="143">
        <v>4</v>
      </c>
      <c r="M132" s="76">
        <v>2018</v>
      </c>
      <c r="N132" s="76">
        <v>2020</v>
      </c>
      <c r="O132" s="76">
        <f t="shared" si="58"/>
        <v>6.6</v>
      </c>
      <c r="P132" s="76">
        <f t="shared" si="59"/>
        <v>2.2</v>
      </c>
      <c r="Q132" s="76">
        <f t="shared" si="60"/>
        <v>2.2</v>
      </c>
      <c r="R132" s="76">
        <f t="shared" si="61"/>
        <v>2.2</v>
      </c>
      <c r="S132" s="76">
        <f t="shared" si="62"/>
        <v>2.4</v>
      </c>
      <c r="T132" s="76">
        <f t="shared" si="63"/>
        <v>3.6</v>
      </c>
      <c r="U132" s="76">
        <f t="shared" si="64"/>
        <v>0.6</v>
      </c>
      <c r="V132" s="76"/>
      <c r="W132" s="76"/>
      <c r="X132" s="583"/>
      <c r="Y132" s="76"/>
      <c r="Z132" s="76"/>
      <c r="AA132" s="76"/>
      <c r="AB132" s="76"/>
      <c r="AC132" s="76"/>
      <c r="AD132" s="136"/>
    </row>
    <row r="133" customHeight="1" spans="1:30">
      <c r="A133" s="76"/>
      <c r="B133" s="212" t="s">
        <v>1275</v>
      </c>
      <c r="C133" s="76" t="s">
        <v>320</v>
      </c>
      <c r="D133" s="76" t="s">
        <v>147</v>
      </c>
      <c r="E133" s="76"/>
      <c r="F133" s="76">
        <f t="shared" si="57"/>
        <v>36</v>
      </c>
      <c r="G133" s="143">
        <v>12</v>
      </c>
      <c r="H133" s="143">
        <v>12</v>
      </c>
      <c r="I133" s="143">
        <v>12</v>
      </c>
      <c r="J133" s="143">
        <v>12</v>
      </c>
      <c r="K133" s="143">
        <v>12</v>
      </c>
      <c r="L133" s="143">
        <v>12</v>
      </c>
      <c r="M133" s="76">
        <v>2018</v>
      </c>
      <c r="N133" s="76">
        <v>2020</v>
      </c>
      <c r="O133" s="76">
        <f t="shared" si="58"/>
        <v>19.8</v>
      </c>
      <c r="P133" s="76">
        <f t="shared" si="59"/>
        <v>6.6</v>
      </c>
      <c r="Q133" s="76">
        <f t="shared" si="60"/>
        <v>6.6</v>
      </c>
      <c r="R133" s="76">
        <f t="shared" si="61"/>
        <v>6.6</v>
      </c>
      <c r="S133" s="76">
        <f t="shared" si="62"/>
        <v>7.2</v>
      </c>
      <c r="T133" s="76">
        <f t="shared" si="63"/>
        <v>10.8</v>
      </c>
      <c r="U133" s="76">
        <f t="shared" si="64"/>
        <v>1.8</v>
      </c>
      <c r="V133" s="76"/>
      <c r="W133" s="76"/>
      <c r="X133" s="583"/>
      <c r="Y133" s="76"/>
      <c r="Z133" s="76"/>
      <c r="AA133" s="76"/>
      <c r="AB133" s="76"/>
      <c r="AC133" s="76"/>
      <c r="AD133" s="136"/>
    </row>
    <row r="134" customHeight="1" spans="1:30">
      <c r="A134" s="76"/>
      <c r="B134" s="212" t="s">
        <v>1276</v>
      </c>
      <c r="C134" s="76" t="s">
        <v>320</v>
      </c>
      <c r="D134" s="76" t="s">
        <v>147</v>
      </c>
      <c r="E134" s="76"/>
      <c r="F134" s="76">
        <f t="shared" si="57"/>
        <v>15</v>
      </c>
      <c r="G134" s="143">
        <v>5</v>
      </c>
      <c r="H134" s="143">
        <v>5</v>
      </c>
      <c r="I134" s="143">
        <v>5</v>
      </c>
      <c r="J134" s="143">
        <v>5</v>
      </c>
      <c r="K134" s="143">
        <v>5</v>
      </c>
      <c r="L134" s="143">
        <v>5</v>
      </c>
      <c r="M134" s="76">
        <v>2018</v>
      </c>
      <c r="N134" s="76">
        <v>2020</v>
      </c>
      <c r="O134" s="76">
        <f t="shared" si="58"/>
        <v>8.25</v>
      </c>
      <c r="P134" s="76">
        <f t="shared" si="59"/>
        <v>2.75</v>
      </c>
      <c r="Q134" s="76">
        <f t="shared" si="60"/>
        <v>2.75</v>
      </c>
      <c r="R134" s="76">
        <f t="shared" si="61"/>
        <v>2.75</v>
      </c>
      <c r="S134" s="76">
        <f t="shared" si="62"/>
        <v>3</v>
      </c>
      <c r="T134" s="76">
        <f t="shared" si="63"/>
        <v>4.5</v>
      </c>
      <c r="U134" s="76">
        <f t="shared" si="64"/>
        <v>0.75</v>
      </c>
      <c r="V134" s="76"/>
      <c r="W134" s="76"/>
      <c r="X134" s="583"/>
      <c r="Y134" s="76"/>
      <c r="Z134" s="76"/>
      <c r="AA134" s="76"/>
      <c r="AB134" s="76"/>
      <c r="AC134" s="76"/>
      <c r="AD134" s="136"/>
    </row>
    <row r="135" customHeight="1" spans="1:30">
      <c r="A135" s="76"/>
      <c r="B135" s="212" t="s">
        <v>1277</v>
      </c>
      <c r="C135" s="76" t="s">
        <v>320</v>
      </c>
      <c r="D135" s="76" t="s">
        <v>147</v>
      </c>
      <c r="E135" s="76"/>
      <c r="F135" s="76">
        <f t="shared" si="57"/>
        <v>27</v>
      </c>
      <c r="G135" s="143">
        <v>9</v>
      </c>
      <c r="H135" s="143">
        <v>9</v>
      </c>
      <c r="I135" s="143">
        <v>9</v>
      </c>
      <c r="J135" s="143">
        <v>9</v>
      </c>
      <c r="K135" s="143">
        <v>9</v>
      </c>
      <c r="L135" s="143">
        <v>9</v>
      </c>
      <c r="M135" s="76">
        <v>2018</v>
      </c>
      <c r="N135" s="76">
        <v>2020</v>
      </c>
      <c r="O135" s="76">
        <f t="shared" si="58"/>
        <v>14.85</v>
      </c>
      <c r="P135" s="76">
        <f t="shared" si="59"/>
        <v>4.95</v>
      </c>
      <c r="Q135" s="76">
        <f t="shared" si="60"/>
        <v>4.95</v>
      </c>
      <c r="R135" s="76">
        <f t="shared" si="61"/>
        <v>4.95</v>
      </c>
      <c r="S135" s="76">
        <f t="shared" si="62"/>
        <v>5.4</v>
      </c>
      <c r="T135" s="76">
        <f t="shared" si="63"/>
        <v>8.1</v>
      </c>
      <c r="U135" s="76">
        <f t="shared" si="64"/>
        <v>1.35</v>
      </c>
      <c r="V135" s="76"/>
      <c r="W135" s="76"/>
      <c r="X135" s="583"/>
      <c r="Y135" s="76"/>
      <c r="Z135" s="76"/>
      <c r="AA135" s="76"/>
      <c r="AB135" s="76"/>
      <c r="AC135" s="76"/>
      <c r="AD135" s="136"/>
    </row>
    <row r="136" customHeight="1" spans="1:30">
      <c r="A136" s="76"/>
      <c r="B136" s="212" t="s">
        <v>1278</v>
      </c>
      <c r="C136" s="76" t="s">
        <v>320</v>
      </c>
      <c r="D136" s="76" t="s">
        <v>147</v>
      </c>
      <c r="E136" s="76"/>
      <c r="F136" s="76">
        <f t="shared" si="57"/>
        <v>15</v>
      </c>
      <c r="G136" s="143">
        <v>5</v>
      </c>
      <c r="H136" s="143">
        <v>5</v>
      </c>
      <c r="I136" s="143">
        <v>5</v>
      </c>
      <c r="J136" s="143">
        <v>5</v>
      </c>
      <c r="K136" s="143">
        <v>5</v>
      </c>
      <c r="L136" s="143">
        <v>5</v>
      </c>
      <c r="M136" s="76">
        <v>2018</v>
      </c>
      <c r="N136" s="76">
        <v>2020</v>
      </c>
      <c r="O136" s="76">
        <f t="shared" si="58"/>
        <v>8.25</v>
      </c>
      <c r="P136" s="76">
        <f t="shared" si="59"/>
        <v>2.75</v>
      </c>
      <c r="Q136" s="76">
        <f t="shared" si="60"/>
        <v>2.75</v>
      </c>
      <c r="R136" s="76">
        <f t="shared" si="61"/>
        <v>2.75</v>
      </c>
      <c r="S136" s="76">
        <f t="shared" si="62"/>
        <v>3</v>
      </c>
      <c r="T136" s="76">
        <f t="shared" si="63"/>
        <v>4.5</v>
      </c>
      <c r="U136" s="76">
        <f t="shared" si="64"/>
        <v>0.75</v>
      </c>
      <c r="V136" s="76"/>
      <c r="W136" s="76"/>
      <c r="X136" s="583"/>
      <c r="Y136" s="76"/>
      <c r="Z136" s="76"/>
      <c r="AA136" s="76"/>
      <c r="AB136" s="76"/>
      <c r="AC136" s="76"/>
      <c r="AD136" s="136"/>
    </row>
    <row r="137" customHeight="1" spans="1:30">
      <c r="A137" s="76"/>
      <c r="B137" s="212" t="s">
        <v>1279</v>
      </c>
      <c r="C137" s="76" t="s">
        <v>320</v>
      </c>
      <c r="D137" s="76" t="s">
        <v>147</v>
      </c>
      <c r="E137" s="76"/>
      <c r="F137" s="76">
        <f t="shared" si="57"/>
        <v>0</v>
      </c>
      <c r="G137" s="143"/>
      <c r="H137" s="143"/>
      <c r="I137" s="143"/>
      <c r="J137" s="143"/>
      <c r="K137" s="143"/>
      <c r="L137" s="143"/>
      <c r="M137" s="76">
        <v>2018</v>
      </c>
      <c r="N137" s="76">
        <v>2020</v>
      </c>
      <c r="O137" s="76">
        <f t="shared" si="58"/>
        <v>0</v>
      </c>
      <c r="P137" s="76">
        <f t="shared" si="59"/>
        <v>0</v>
      </c>
      <c r="Q137" s="76">
        <f t="shared" si="60"/>
        <v>0</v>
      </c>
      <c r="R137" s="76">
        <f t="shared" si="61"/>
        <v>0</v>
      </c>
      <c r="S137" s="76">
        <f t="shared" si="62"/>
        <v>0</v>
      </c>
      <c r="T137" s="76">
        <f t="shared" si="63"/>
        <v>0</v>
      </c>
      <c r="U137" s="76">
        <f t="shared" si="64"/>
        <v>0</v>
      </c>
      <c r="V137" s="76"/>
      <c r="W137" s="76"/>
      <c r="X137" s="583"/>
      <c r="Y137" s="76"/>
      <c r="Z137" s="76"/>
      <c r="AA137" s="76"/>
      <c r="AB137" s="76"/>
      <c r="AC137" s="76"/>
      <c r="AD137" s="136"/>
    </row>
    <row r="138" customHeight="1" spans="1:30">
      <c r="A138" s="76"/>
      <c r="B138" s="212" t="s">
        <v>1280</v>
      </c>
      <c r="C138" s="76" t="s">
        <v>320</v>
      </c>
      <c r="D138" s="76" t="s">
        <v>147</v>
      </c>
      <c r="E138" s="76"/>
      <c r="F138" s="76">
        <f t="shared" si="57"/>
        <v>9</v>
      </c>
      <c r="G138" s="143">
        <v>3</v>
      </c>
      <c r="H138" s="143">
        <v>3</v>
      </c>
      <c r="I138" s="143">
        <v>3</v>
      </c>
      <c r="J138" s="143">
        <v>3</v>
      </c>
      <c r="K138" s="143">
        <v>3</v>
      </c>
      <c r="L138" s="143">
        <v>3</v>
      </c>
      <c r="M138" s="76">
        <v>2018</v>
      </c>
      <c r="N138" s="76">
        <v>2020</v>
      </c>
      <c r="O138" s="76">
        <f t="shared" si="58"/>
        <v>4.95</v>
      </c>
      <c r="P138" s="76">
        <f t="shared" si="59"/>
        <v>1.65</v>
      </c>
      <c r="Q138" s="76">
        <f t="shared" si="60"/>
        <v>1.65</v>
      </c>
      <c r="R138" s="76">
        <f t="shared" si="61"/>
        <v>1.65</v>
      </c>
      <c r="S138" s="76">
        <f t="shared" si="62"/>
        <v>1.8</v>
      </c>
      <c r="T138" s="76">
        <f t="shared" si="63"/>
        <v>2.7</v>
      </c>
      <c r="U138" s="76">
        <f t="shared" si="64"/>
        <v>0.45</v>
      </c>
      <c r="V138" s="76"/>
      <c r="W138" s="76"/>
      <c r="X138" s="583"/>
      <c r="Y138" s="76"/>
      <c r="Z138" s="76"/>
      <c r="AA138" s="76"/>
      <c r="AB138" s="76"/>
      <c r="AC138" s="76"/>
      <c r="AD138" s="136"/>
    </row>
    <row r="139" customHeight="1" spans="1:30">
      <c r="A139" s="76"/>
      <c r="B139" s="212" t="s">
        <v>1269</v>
      </c>
      <c r="C139" s="76" t="s">
        <v>320</v>
      </c>
      <c r="D139" s="76" t="s">
        <v>147</v>
      </c>
      <c r="E139" s="76"/>
      <c r="F139" s="76">
        <f t="shared" si="57"/>
        <v>24</v>
      </c>
      <c r="G139" s="143">
        <v>8</v>
      </c>
      <c r="H139" s="143">
        <v>8</v>
      </c>
      <c r="I139" s="143">
        <v>8</v>
      </c>
      <c r="J139" s="143">
        <v>8</v>
      </c>
      <c r="K139" s="143">
        <v>8</v>
      </c>
      <c r="L139" s="143">
        <v>8</v>
      </c>
      <c r="M139" s="76">
        <v>2018</v>
      </c>
      <c r="N139" s="76">
        <v>2020</v>
      </c>
      <c r="O139" s="76">
        <f t="shared" si="58"/>
        <v>13.2</v>
      </c>
      <c r="P139" s="76">
        <f t="shared" si="59"/>
        <v>4.4</v>
      </c>
      <c r="Q139" s="76">
        <f t="shared" si="60"/>
        <v>4.4</v>
      </c>
      <c r="R139" s="76">
        <f t="shared" si="61"/>
        <v>4.4</v>
      </c>
      <c r="S139" s="76">
        <f t="shared" si="62"/>
        <v>4.8</v>
      </c>
      <c r="T139" s="76">
        <f t="shared" si="63"/>
        <v>7.2</v>
      </c>
      <c r="U139" s="76">
        <f t="shared" si="64"/>
        <v>1.2</v>
      </c>
      <c r="V139" s="76"/>
      <c r="W139" s="76"/>
      <c r="X139" s="583"/>
      <c r="Y139" s="76"/>
      <c r="Z139" s="76"/>
      <c r="AA139" s="76"/>
      <c r="AB139" s="76"/>
      <c r="AC139" s="76"/>
      <c r="AD139" s="136"/>
    </row>
    <row r="140" customHeight="1" spans="1:30">
      <c r="A140" s="76"/>
      <c r="B140" s="212" t="s">
        <v>1270</v>
      </c>
      <c r="C140" s="76" t="s">
        <v>320</v>
      </c>
      <c r="D140" s="76" t="s">
        <v>147</v>
      </c>
      <c r="E140" s="76"/>
      <c r="F140" s="76">
        <f t="shared" si="57"/>
        <v>15</v>
      </c>
      <c r="G140" s="143">
        <v>5</v>
      </c>
      <c r="H140" s="143">
        <v>5</v>
      </c>
      <c r="I140" s="143">
        <v>5</v>
      </c>
      <c r="J140" s="143">
        <v>5</v>
      </c>
      <c r="K140" s="143">
        <v>5</v>
      </c>
      <c r="L140" s="143">
        <v>5</v>
      </c>
      <c r="M140" s="76">
        <v>2018</v>
      </c>
      <c r="N140" s="76">
        <v>2020</v>
      </c>
      <c r="O140" s="76">
        <f t="shared" si="58"/>
        <v>8.25</v>
      </c>
      <c r="P140" s="76">
        <f t="shared" si="59"/>
        <v>2.75</v>
      </c>
      <c r="Q140" s="76">
        <f t="shared" si="60"/>
        <v>2.75</v>
      </c>
      <c r="R140" s="76">
        <f t="shared" si="61"/>
        <v>2.75</v>
      </c>
      <c r="S140" s="76">
        <f t="shared" si="62"/>
        <v>3</v>
      </c>
      <c r="T140" s="76">
        <f t="shared" si="63"/>
        <v>4.5</v>
      </c>
      <c r="U140" s="76">
        <f t="shared" si="64"/>
        <v>0.75</v>
      </c>
      <c r="V140" s="76"/>
      <c r="W140" s="76"/>
      <c r="X140" s="583"/>
      <c r="Y140" s="76"/>
      <c r="Z140" s="76"/>
      <c r="AA140" s="76"/>
      <c r="AB140" s="76"/>
      <c r="AC140" s="76"/>
      <c r="AD140" s="136"/>
    </row>
    <row r="141" customHeight="1" spans="1:30">
      <c r="A141" s="76"/>
      <c r="B141" s="212" t="s">
        <v>1281</v>
      </c>
      <c r="C141" s="76" t="s">
        <v>320</v>
      </c>
      <c r="D141" s="76" t="s">
        <v>147</v>
      </c>
      <c r="E141" s="76"/>
      <c r="F141" s="76">
        <f t="shared" si="57"/>
        <v>15</v>
      </c>
      <c r="G141" s="143">
        <v>5</v>
      </c>
      <c r="H141" s="143">
        <v>5</v>
      </c>
      <c r="I141" s="143">
        <v>5</v>
      </c>
      <c r="J141" s="143">
        <v>5</v>
      </c>
      <c r="K141" s="143">
        <v>5</v>
      </c>
      <c r="L141" s="143">
        <v>5</v>
      </c>
      <c r="M141" s="76">
        <v>2018</v>
      </c>
      <c r="N141" s="76">
        <v>2020</v>
      </c>
      <c r="O141" s="76">
        <f t="shared" si="58"/>
        <v>8.25</v>
      </c>
      <c r="P141" s="76">
        <f t="shared" si="59"/>
        <v>2.75</v>
      </c>
      <c r="Q141" s="76">
        <f t="shared" si="60"/>
        <v>2.75</v>
      </c>
      <c r="R141" s="76">
        <f t="shared" si="61"/>
        <v>2.75</v>
      </c>
      <c r="S141" s="76">
        <f t="shared" si="62"/>
        <v>3</v>
      </c>
      <c r="T141" s="76">
        <f t="shared" si="63"/>
        <v>4.5</v>
      </c>
      <c r="U141" s="76">
        <f t="shared" si="64"/>
        <v>0.75</v>
      </c>
      <c r="V141" s="76"/>
      <c r="W141" s="76"/>
      <c r="X141" s="583"/>
      <c r="Y141" s="76"/>
      <c r="Z141" s="76"/>
      <c r="AA141" s="76"/>
      <c r="AB141" s="76"/>
      <c r="AC141" s="76"/>
      <c r="AD141" s="136"/>
    </row>
    <row r="142" customHeight="1" spans="1:30">
      <c r="A142" s="76"/>
      <c r="B142" s="212" t="s">
        <v>1271</v>
      </c>
      <c r="C142" s="76" t="s">
        <v>320</v>
      </c>
      <c r="D142" s="76" t="s">
        <v>147</v>
      </c>
      <c r="E142" s="76"/>
      <c r="F142" s="76">
        <f t="shared" si="57"/>
        <v>18</v>
      </c>
      <c r="G142" s="143">
        <v>6</v>
      </c>
      <c r="H142" s="143">
        <v>6</v>
      </c>
      <c r="I142" s="143">
        <v>6</v>
      </c>
      <c r="J142" s="143">
        <v>6</v>
      </c>
      <c r="K142" s="143">
        <v>6</v>
      </c>
      <c r="L142" s="143">
        <v>6</v>
      </c>
      <c r="M142" s="76">
        <v>2018</v>
      </c>
      <c r="N142" s="76">
        <v>2020</v>
      </c>
      <c r="O142" s="76">
        <f t="shared" si="58"/>
        <v>9.9</v>
      </c>
      <c r="P142" s="76">
        <f t="shared" si="59"/>
        <v>3.3</v>
      </c>
      <c r="Q142" s="76">
        <f t="shared" si="60"/>
        <v>3.3</v>
      </c>
      <c r="R142" s="76">
        <f t="shared" si="61"/>
        <v>3.3</v>
      </c>
      <c r="S142" s="76">
        <f t="shared" si="62"/>
        <v>3.6</v>
      </c>
      <c r="T142" s="76">
        <f t="shared" si="63"/>
        <v>5.4</v>
      </c>
      <c r="U142" s="76">
        <f t="shared" si="64"/>
        <v>0.9</v>
      </c>
      <c r="V142" s="76"/>
      <c r="W142" s="76"/>
      <c r="X142" s="583"/>
      <c r="Y142" s="76"/>
      <c r="Z142" s="76"/>
      <c r="AA142" s="76"/>
      <c r="AB142" s="76"/>
      <c r="AC142" s="76"/>
      <c r="AD142" s="136"/>
    </row>
    <row r="143" customHeight="1" spans="1:30">
      <c r="A143" s="76"/>
      <c r="B143" s="212" t="s">
        <v>1282</v>
      </c>
      <c r="C143" s="76" t="s">
        <v>320</v>
      </c>
      <c r="D143" s="76" t="s">
        <v>147</v>
      </c>
      <c r="E143" s="76"/>
      <c r="F143" s="76">
        <f t="shared" si="57"/>
        <v>48</v>
      </c>
      <c r="G143" s="143">
        <v>16</v>
      </c>
      <c r="H143" s="143">
        <v>16</v>
      </c>
      <c r="I143" s="143">
        <v>16</v>
      </c>
      <c r="J143" s="143">
        <v>16</v>
      </c>
      <c r="K143" s="143">
        <v>16</v>
      </c>
      <c r="L143" s="143">
        <v>16</v>
      </c>
      <c r="M143" s="76">
        <v>2018</v>
      </c>
      <c r="N143" s="76">
        <v>2020</v>
      </c>
      <c r="O143" s="76">
        <f t="shared" si="58"/>
        <v>26.4</v>
      </c>
      <c r="P143" s="76">
        <f t="shared" si="59"/>
        <v>8.8</v>
      </c>
      <c r="Q143" s="76">
        <f t="shared" si="60"/>
        <v>8.8</v>
      </c>
      <c r="R143" s="76">
        <f t="shared" si="61"/>
        <v>8.8</v>
      </c>
      <c r="S143" s="76">
        <f t="shared" si="62"/>
        <v>9.6</v>
      </c>
      <c r="T143" s="76">
        <f t="shared" si="63"/>
        <v>14.4</v>
      </c>
      <c r="U143" s="76">
        <f t="shared" si="64"/>
        <v>2.4</v>
      </c>
      <c r="V143" s="76"/>
      <c r="W143" s="76"/>
      <c r="X143" s="583"/>
      <c r="Y143" s="76"/>
      <c r="Z143" s="76"/>
      <c r="AA143" s="76"/>
      <c r="AB143" s="76"/>
      <c r="AC143" s="76"/>
      <c r="AD143" s="136"/>
    </row>
    <row r="144" customHeight="1" spans="1:30">
      <c r="A144" s="76"/>
      <c r="B144" s="212" t="s">
        <v>1283</v>
      </c>
      <c r="C144" s="76" t="s">
        <v>320</v>
      </c>
      <c r="D144" s="76" t="s">
        <v>147</v>
      </c>
      <c r="E144" s="76"/>
      <c r="F144" s="76">
        <f t="shared" si="57"/>
        <v>9</v>
      </c>
      <c r="G144" s="143">
        <v>3</v>
      </c>
      <c r="H144" s="143">
        <v>3</v>
      </c>
      <c r="I144" s="143">
        <v>3</v>
      </c>
      <c r="J144" s="143">
        <v>3</v>
      </c>
      <c r="K144" s="143">
        <v>3</v>
      </c>
      <c r="L144" s="143">
        <v>3</v>
      </c>
      <c r="M144" s="76">
        <v>2018</v>
      </c>
      <c r="N144" s="76">
        <v>2020</v>
      </c>
      <c r="O144" s="76">
        <f t="shared" si="58"/>
        <v>4.95</v>
      </c>
      <c r="P144" s="76">
        <f t="shared" si="59"/>
        <v>1.65</v>
      </c>
      <c r="Q144" s="76">
        <f t="shared" si="60"/>
        <v>1.65</v>
      </c>
      <c r="R144" s="76">
        <f t="shared" si="61"/>
        <v>1.65</v>
      </c>
      <c r="S144" s="76">
        <f t="shared" si="62"/>
        <v>1.8</v>
      </c>
      <c r="T144" s="76">
        <f t="shared" si="63"/>
        <v>2.7</v>
      </c>
      <c r="U144" s="76">
        <f t="shared" si="64"/>
        <v>0.45</v>
      </c>
      <c r="V144" s="76"/>
      <c r="W144" s="76"/>
      <c r="X144" s="583"/>
      <c r="Y144" s="76"/>
      <c r="Z144" s="76"/>
      <c r="AA144" s="76"/>
      <c r="AB144" s="76"/>
      <c r="AC144" s="76"/>
      <c r="AD144" s="136"/>
    </row>
    <row r="145" customHeight="1" spans="1:30">
      <c r="A145" s="76"/>
      <c r="B145" s="212" t="s">
        <v>1284</v>
      </c>
      <c r="C145" s="76" t="s">
        <v>320</v>
      </c>
      <c r="D145" s="76" t="s">
        <v>147</v>
      </c>
      <c r="E145" s="76"/>
      <c r="F145" s="76">
        <f t="shared" si="57"/>
        <v>3</v>
      </c>
      <c r="G145" s="143">
        <v>1</v>
      </c>
      <c r="H145" s="143">
        <v>1</v>
      </c>
      <c r="I145" s="143">
        <v>1</v>
      </c>
      <c r="J145" s="143">
        <v>1</v>
      </c>
      <c r="K145" s="143">
        <v>1</v>
      </c>
      <c r="L145" s="143">
        <v>1</v>
      </c>
      <c r="M145" s="76">
        <v>2018</v>
      </c>
      <c r="N145" s="76">
        <v>2020</v>
      </c>
      <c r="O145" s="76">
        <f t="shared" si="58"/>
        <v>1.65</v>
      </c>
      <c r="P145" s="76">
        <f t="shared" si="59"/>
        <v>0.55</v>
      </c>
      <c r="Q145" s="76">
        <f t="shared" si="60"/>
        <v>0.55</v>
      </c>
      <c r="R145" s="76">
        <f t="shared" si="61"/>
        <v>0.55</v>
      </c>
      <c r="S145" s="76">
        <f t="shared" si="62"/>
        <v>0.6</v>
      </c>
      <c r="T145" s="76">
        <f t="shared" si="63"/>
        <v>0.9</v>
      </c>
      <c r="U145" s="76">
        <f t="shared" si="64"/>
        <v>0.15</v>
      </c>
      <c r="V145" s="76"/>
      <c r="W145" s="76"/>
      <c r="X145" s="583"/>
      <c r="Y145" s="76"/>
      <c r="Z145" s="76"/>
      <c r="AA145" s="76"/>
      <c r="AB145" s="76"/>
      <c r="AC145" s="76"/>
      <c r="AD145" s="136"/>
    </row>
    <row r="146" customHeight="1" spans="1:30">
      <c r="A146" s="76">
        <v>13</v>
      </c>
      <c r="B146" s="92" t="s">
        <v>323</v>
      </c>
      <c r="C146" s="76" t="s">
        <v>320</v>
      </c>
      <c r="D146" s="76" t="s">
        <v>147</v>
      </c>
      <c r="E146" s="76"/>
      <c r="F146" s="76">
        <f t="shared" ref="F146:L146" si="65">F147+F158+F172+F188</f>
        <v>492</v>
      </c>
      <c r="G146" s="76">
        <f t="shared" si="65"/>
        <v>164</v>
      </c>
      <c r="H146" s="76">
        <f t="shared" si="65"/>
        <v>164</v>
      </c>
      <c r="I146" s="76">
        <f t="shared" si="65"/>
        <v>164</v>
      </c>
      <c r="J146" s="76">
        <f t="shared" si="65"/>
        <v>164</v>
      </c>
      <c r="K146" s="76">
        <f t="shared" si="65"/>
        <v>164</v>
      </c>
      <c r="L146" s="76">
        <f t="shared" si="65"/>
        <v>164</v>
      </c>
      <c r="M146" s="76">
        <v>2018</v>
      </c>
      <c r="N146" s="76">
        <v>2020</v>
      </c>
      <c r="O146" s="76">
        <f t="shared" ref="O146:W146" si="66">O147+O158+O172+O188</f>
        <v>201</v>
      </c>
      <c r="P146" s="76">
        <f t="shared" si="66"/>
        <v>67</v>
      </c>
      <c r="Q146" s="76">
        <f t="shared" si="66"/>
        <v>67</v>
      </c>
      <c r="R146" s="76">
        <f t="shared" si="66"/>
        <v>67</v>
      </c>
      <c r="S146" s="76">
        <f t="shared" si="66"/>
        <v>68.7</v>
      </c>
      <c r="T146" s="76">
        <f t="shared" si="66"/>
        <v>58.5</v>
      </c>
      <c r="U146" s="76">
        <f t="shared" si="66"/>
        <v>73.8</v>
      </c>
      <c r="V146" s="76">
        <f t="shared" si="66"/>
        <v>0</v>
      </c>
      <c r="W146" s="76">
        <f t="shared" si="66"/>
        <v>0</v>
      </c>
      <c r="X146" s="583" t="s">
        <v>1038</v>
      </c>
      <c r="Y146" s="76"/>
      <c r="Z146" s="76"/>
      <c r="AA146" s="76" t="s">
        <v>1285</v>
      </c>
      <c r="AB146" s="76" t="s">
        <v>1286</v>
      </c>
      <c r="AC146" s="76" t="s">
        <v>294</v>
      </c>
      <c r="AD146" s="136"/>
    </row>
    <row r="147" customHeight="1" spans="1:30">
      <c r="A147" s="76"/>
      <c r="B147" s="92" t="s">
        <v>1287</v>
      </c>
      <c r="C147" s="76" t="s">
        <v>320</v>
      </c>
      <c r="D147" s="76" t="s">
        <v>147</v>
      </c>
      <c r="E147" s="76"/>
      <c r="F147" s="76">
        <f t="shared" ref="F147:L147" si="67">SUM(F148:F157)</f>
        <v>93</v>
      </c>
      <c r="G147" s="76">
        <f t="shared" si="67"/>
        <v>31</v>
      </c>
      <c r="H147" s="76">
        <f t="shared" si="67"/>
        <v>31</v>
      </c>
      <c r="I147" s="76">
        <f t="shared" si="67"/>
        <v>31</v>
      </c>
      <c r="J147" s="76">
        <f t="shared" si="67"/>
        <v>31</v>
      </c>
      <c r="K147" s="76">
        <f t="shared" si="67"/>
        <v>31</v>
      </c>
      <c r="L147" s="76">
        <f t="shared" si="67"/>
        <v>31</v>
      </c>
      <c r="M147" s="76">
        <v>2018</v>
      </c>
      <c r="N147" s="76">
        <v>2020</v>
      </c>
      <c r="O147" s="76">
        <f t="shared" ref="O147:U147" si="68">SUM(O148:O157)</f>
        <v>55.8</v>
      </c>
      <c r="P147" s="76">
        <f t="shared" si="68"/>
        <v>18.6</v>
      </c>
      <c r="Q147" s="76">
        <f t="shared" si="68"/>
        <v>18.6</v>
      </c>
      <c r="R147" s="76">
        <f t="shared" si="68"/>
        <v>18.6</v>
      </c>
      <c r="S147" s="76">
        <f t="shared" si="68"/>
        <v>13.95</v>
      </c>
      <c r="T147" s="76">
        <f t="shared" si="68"/>
        <v>27.9</v>
      </c>
      <c r="U147" s="76">
        <f t="shared" si="68"/>
        <v>13.95</v>
      </c>
      <c r="V147" s="76"/>
      <c r="W147" s="76"/>
      <c r="X147" s="583"/>
      <c r="Y147" s="76"/>
      <c r="Z147" s="76"/>
      <c r="AA147" s="76" t="s">
        <v>1285</v>
      </c>
      <c r="AB147" s="76" t="s">
        <v>1286</v>
      </c>
      <c r="AC147" s="76" t="s">
        <v>294</v>
      </c>
      <c r="AD147" s="136"/>
    </row>
    <row r="148" customHeight="1" spans="1:30">
      <c r="A148" s="76"/>
      <c r="B148" s="212" t="s">
        <v>1267</v>
      </c>
      <c r="C148" s="76" t="s">
        <v>320</v>
      </c>
      <c r="D148" s="76" t="s">
        <v>147</v>
      </c>
      <c r="E148" s="76"/>
      <c r="F148" s="76">
        <f t="shared" ref="F148:F157" si="69">SUM(G148:I148)</f>
        <v>3</v>
      </c>
      <c r="G148" s="143">
        <v>1</v>
      </c>
      <c r="H148" s="143">
        <v>1</v>
      </c>
      <c r="I148" s="143">
        <v>1</v>
      </c>
      <c r="J148" s="143">
        <v>1</v>
      </c>
      <c r="K148" s="143">
        <v>1</v>
      </c>
      <c r="L148" s="143">
        <v>1</v>
      </c>
      <c r="M148" s="76">
        <v>2018</v>
      </c>
      <c r="N148" s="76">
        <v>2020</v>
      </c>
      <c r="O148" s="76">
        <f t="shared" ref="O148:O157" si="70">SUM(P148:R148)</f>
        <v>1.8</v>
      </c>
      <c r="P148" s="76">
        <f t="shared" ref="P148:P157" si="71">0.6*J148</f>
        <v>0.6</v>
      </c>
      <c r="Q148" s="76">
        <f t="shared" ref="Q148:Q157" si="72">0.6*J148</f>
        <v>0.6</v>
      </c>
      <c r="R148" s="76">
        <f t="shared" ref="R148:R157" si="73">0.6*J148</f>
        <v>0.6</v>
      </c>
      <c r="S148" s="76">
        <f t="shared" ref="S148:S157" si="74">0.15*3*J148</f>
        <v>0.45</v>
      </c>
      <c r="T148" s="76">
        <f t="shared" ref="T148:T157" si="75">0.3*3*J148</f>
        <v>0.9</v>
      </c>
      <c r="U148" s="76">
        <f t="shared" ref="U148:U157" si="76">0.15*3*J148</f>
        <v>0.45</v>
      </c>
      <c r="V148" s="76"/>
      <c r="W148" s="76"/>
      <c r="X148" s="583"/>
      <c r="Y148" s="76"/>
      <c r="Z148" s="76"/>
      <c r="AA148" s="76"/>
      <c r="AB148" s="76"/>
      <c r="AC148" s="76"/>
      <c r="AD148" s="136"/>
    </row>
    <row r="149" customHeight="1" spans="1:30">
      <c r="A149" s="76"/>
      <c r="B149" s="212" t="s">
        <v>1268</v>
      </c>
      <c r="C149" s="76" t="s">
        <v>320</v>
      </c>
      <c r="D149" s="76" t="s">
        <v>147</v>
      </c>
      <c r="E149" s="76"/>
      <c r="F149" s="76">
        <f t="shared" si="69"/>
        <v>9</v>
      </c>
      <c r="G149" s="143">
        <v>3</v>
      </c>
      <c r="H149" s="143">
        <v>3</v>
      </c>
      <c r="I149" s="143">
        <v>3</v>
      </c>
      <c r="J149" s="143">
        <v>3</v>
      </c>
      <c r="K149" s="143">
        <v>3</v>
      </c>
      <c r="L149" s="143">
        <v>3</v>
      </c>
      <c r="M149" s="76">
        <v>2018</v>
      </c>
      <c r="N149" s="76">
        <v>2020</v>
      </c>
      <c r="O149" s="76">
        <f t="shared" si="70"/>
        <v>5.4</v>
      </c>
      <c r="P149" s="76">
        <f t="shared" si="71"/>
        <v>1.8</v>
      </c>
      <c r="Q149" s="76">
        <f t="shared" si="72"/>
        <v>1.8</v>
      </c>
      <c r="R149" s="76">
        <f t="shared" si="73"/>
        <v>1.8</v>
      </c>
      <c r="S149" s="76">
        <f t="shared" si="74"/>
        <v>1.35</v>
      </c>
      <c r="T149" s="76">
        <f t="shared" si="75"/>
        <v>2.7</v>
      </c>
      <c r="U149" s="76">
        <f t="shared" si="76"/>
        <v>1.35</v>
      </c>
      <c r="V149" s="76"/>
      <c r="W149" s="76"/>
      <c r="X149" s="583"/>
      <c r="Y149" s="76"/>
      <c r="Z149" s="76"/>
      <c r="AA149" s="76"/>
      <c r="AB149" s="76"/>
      <c r="AC149" s="76"/>
      <c r="AD149" s="136"/>
    </row>
    <row r="150" customHeight="1" spans="1:30">
      <c r="A150" s="76"/>
      <c r="B150" s="212" t="s">
        <v>1275</v>
      </c>
      <c r="C150" s="76" t="s">
        <v>320</v>
      </c>
      <c r="D150" s="76" t="s">
        <v>147</v>
      </c>
      <c r="E150" s="76"/>
      <c r="F150" s="76">
        <f t="shared" si="69"/>
        <v>6</v>
      </c>
      <c r="G150" s="143">
        <v>2</v>
      </c>
      <c r="H150" s="143">
        <v>2</v>
      </c>
      <c r="I150" s="143">
        <v>2</v>
      </c>
      <c r="J150" s="143">
        <v>2</v>
      </c>
      <c r="K150" s="143">
        <v>2</v>
      </c>
      <c r="L150" s="143">
        <v>2</v>
      </c>
      <c r="M150" s="76">
        <v>2018</v>
      </c>
      <c r="N150" s="76">
        <v>2020</v>
      </c>
      <c r="O150" s="76">
        <f t="shared" si="70"/>
        <v>3.6</v>
      </c>
      <c r="P150" s="76">
        <f t="shared" si="71"/>
        <v>1.2</v>
      </c>
      <c r="Q150" s="76">
        <f t="shared" si="72"/>
        <v>1.2</v>
      </c>
      <c r="R150" s="76">
        <f t="shared" si="73"/>
        <v>1.2</v>
      </c>
      <c r="S150" s="76">
        <f t="shared" si="74"/>
        <v>0.9</v>
      </c>
      <c r="T150" s="76">
        <f t="shared" si="75"/>
        <v>1.8</v>
      </c>
      <c r="U150" s="76">
        <f t="shared" si="76"/>
        <v>0.9</v>
      </c>
      <c r="V150" s="76"/>
      <c r="W150" s="76"/>
      <c r="X150" s="583"/>
      <c r="Y150" s="76"/>
      <c r="Z150" s="76"/>
      <c r="AA150" s="76"/>
      <c r="AB150" s="76"/>
      <c r="AC150" s="76"/>
      <c r="AD150" s="136"/>
    </row>
    <row r="151" customHeight="1" spans="1:30">
      <c r="A151" s="76"/>
      <c r="B151" s="212" t="s">
        <v>1276</v>
      </c>
      <c r="C151" s="76" t="s">
        <v>320</v>
      </c>
      <c r="D151" s="76" t="s">
        <v>147</v>
      </c>
      <c r="E151" s="76"/>
      <c r="F151" s="76">
        <f t="shared" si="69"/>
        <v>3</v>
      </c>
      <c r="G151" s="143">
        <v>1</v>
      </c>
      <c r="H151" s="143">
        <v>1</v>
      </c>
      <c r="I151" s="143">
        <v>1</v>
      </c>
      <c r="J151" s="143">
        <v>1</v>
      </c>
      <c r="K151" s="143">
        <v>1</v>
      </c>
      <c r="L151" s="143">
        <v>1</v>
      </c>
      <c r="M151" s="76">
        <v>2018</v>
      </c>
      <c r="N151" s="76">
        <v>2020</v>
      </c>
      <c r="O151" s="76">
        <f t="shared" si="70"/>
        <v>1.8</v>
      </c>
      <c r="P151" s="76">
        <f t="shared" si="71"/>
        <v>0.6</v>
      </c>
      <c r="Q151" s="76">
        <f t="shared" si="72"/>
        <v>0.6</v>
      </c>
      <c r="R151" s="76">
        <f t="shared" si="73"/>
        <v>0.6</v>
      </c>
      <c r="S151" s="76">
        <f t="shared" si="74"/>
        <v>0.45</v>
      </c>
      <c r="T151" s="76">
        <f t="shared" si="75"/>
        <v>0.9</v>
      </c>
      <c r="U151" s="76">
        <f t="shared" si="76"/>
        <v>0.45</v>
      </c>
      <c r="V151" s="76"/>
      <c r="W151" s="76"/>
      <c r="X151" s="583"/>
      <c r="Y151" s="76"/>
      <c r="Z151" s="76"/>
      <c r="AA151" s="76"/>
      <c r="AB151" s="76"/>
      <c r="AC151" s="76"/>
      <c r="AD151" s="136"/>
    </row>
    <row r="152" customHeight="1" spans="1:30">
      <c r="A152" s="76"/>
      <c r="B152" s="212" t="s">
        <v>1269</v>
      </c>
      <c r="C152" s="76" t="s">
        <v>320</v>
      </c>
      <c r="D152" s="76" t="s">
        <v>147</v>
      </c>
      <c r="E152" s="76"/>
      <c r="F152" s="76">
        <f t="shared" si="69"/>
        <v>6</v>
      </c>
      <c r="G152" s="143">
        <v>2</v>
      </c>
      <c r="H152" s="143">
        <v>2</v>
      </c>
      <c r="I152" s="143">
        <v>2</v>
      </c>
      <c r="J152" s="143">
        <v>2</v>
      </c>
      <c r="K152" s="143">
        <v>2</v>
      </c>
      <c r="L152" s="143">
        <v>2</v>
      </c>
      <c r="M152" s="76">
        <v>2018</v>
      </c>
      <c r="N152" s="76">
        <v>2020</v>
      </c>
      <c r="O152" s="76">
        <f t="shared" si="70"/>
        <v>3.6</v>
      </c>
      <c r="P152" s="76">
        <f t="shared" si="71"/>
        <v>1.2</v>
      </c>
      <c r="Q152" s="76">
        <f t="shared" si="72"/>
        <v>1.2</v>
      </c>
      <c r="R152" s="76">
        <f t="shared" si="73"/>
        <v>1.2</v>
      </c>
      <c r="S152" s="76">
        <f t="shared" si="74"/>
        <v>0.9</v>
      </c>
      <c r="T152" s="76">
        <f t="shared" si="75"/>
        <v>1.8</v>
      </c>
      <c r="U152" s="76">
        <f t="shared" si="76"/>
        <v>0.9</v>
      </c>
      <c r="V152" s="76"/>
      <c r="W152" s="76"/>
      <c r="X152" s="583"/>
      <c r="Y152" s="76"/>
      <c r="Z152" s="76"/>
      <c r="AA152" s="76"/>
      <c r="AB152" s="76"/>
      <c r="AC152" s="76"/>
      <c r="AD152" s="136"/>
    </row>
    <row r="153" customHeight="1" spans="1:30">
      <c r="A153" s="76"/>
      <c r="B153" s="212" t="s">
        <v>1270</v>
      </c>
      <c r="C153" s="76" t="s">
        <v>320</v>
      </c>
      <c r="D153" s="76" t="s">
        <v>147</v>
      </c>
      <c r="E153" s="76"/>
      <c r="F153" s="76">
        <f t="shared" si="69"/>
        <v>3</v>
      </c>
      <c r="G153" s="143">
        <v>1</v>
      </c>
      <c r="H153" s="143">
        <v>1</v>
      </c>
      <c r="I153" s="143">
        <v>1</v>
      </c>
      <c r="J153" s="143">
        <v>1</v>
      </c>
      <c r="K153" s="143">
        <v>1</v>
      </c>
      <c r="L153" s="143">
        <v>1</v>
      </c>
      <c r="M153" s="76">
        <v>2018</v>
      </c>
      <c r="N153" s="76">
        <v>2020</v>
      </c>
      <c r="O153" s="76">
        <f t="shared" si="70"/>
        <v>1.8</v>
      </c>
      <c r="P153" s="76">
        <f t="shared" si="71"/>
        <v>0.6</v>
      </c>
      <c r="Q153" s="76">
        <f t="shared" si="72"/>
        <v>0.6</v>
      </c>
      <c r="R153" s="76">
        <f t="shared" si="73"/>
        <v>0.6</v>
      </c>
      <c r="S153" s="76">
        <f t="shared" si="74"/>
        <v>0.45</v>
      </c>
      <c r="T153" s="76">
        <f t="shared" si="75"/>
        <v>0.9</v>
      </c>
      <c r="U153" s="76">
        <f t="shared" si="76"/>
        <v>0.45</v>
      </c>
      <c r="V153" s="76"/>
      <c r="W153" s="76"/>
      <c r="X153" s="583"/>
      <c r="Y153" s="76"/>
      <c r="Z153" s="76"/>
      <c r="AA153" s="76"/>
      <c r="AB153" s="76"/>
      <c r="AC153" s="76"/>
      <c r="AD153" s="136"/>
    </row>
    <row r="154" customHeight="1" spans="1:30">
      <c r="A154" s="76"/>
      <c r="B154" s="212" t="s">
        <v>1281</v>
      </c>
      <c r="C154" s="76" t="s">
        <v>320</v>
      </c>
      <c r="D154" s="76" t="s">
        <v>147</v>
      </c>
      <c r="E154" s="76"/>
      <c r="F154" s="76">
        <f t="shared" si="69"/>
        <v>12</v>
      </c>
      <c r="G154" s="143">
        <v>4</v>
      </c>
      <c r="H154" s="143">
        <v>4</v>
      </c>
      <c r="I154" s="143">
        <v>4</v>
      </c>
      <c r="J154" s="143">
        <v>4</v>
      </c>
      <c r="K154" s="143">
        <v>4</v>
      </c>
      <c r="L154" s="143">
        <v>4</v>
      </c>
      <c r="M154" s="76">
        <v>2018</v>
      </c>
      <c r="N154" s="76">
        <v>2020</v>
      </c>
      <c r="O154" s="76">
        <f t="shared" si="70"/>
        <v>7.2</v>
      </c>
      <c r="P154" s="76">
        <f t="shared" si="71"/>
        <v>2.4</v>
      </c>
      <c r="Q154" s="76">
        <f t="shared" si="72"/>
        <v>2.4</v>
      </c>
      <c r="R154" s="76">
        <f t="shared" si="73"/>
        <v>2.4</v>
      </c>
      <c r="S154" s="76">
        <f t="shared" si="74"/>
        <v>1.8</v>
      </c>
      <c r="T154" s="76">
        <f t="shared" si="75"/>
        <v>3.6</v>
      </c>
      <c r="U154" s="76">
        <f t="shared" si="76"/>
        <v>1.8</v>
      </c>
      <c r="V154" s="76"/>
      <c r="W154" s="76"/>
      <c r="X154" s="583"/>
      <c r="Y154" s="76"/>
      <c r="Z154" s="76"/>
      <c r="AA154" s="76"/>
      <c r="AB154" s="76"/>
      <c r="AC154" s="76"/>
      <c r="AD154" s="136"/>
    </row>
    <row r="155" customHeight="1" spans="1:30">
      <c r="A155" s="76"/>
      <c r="B155" s="212" t="s">
        <v>1271</v>
      </c>
      <c r="C155" s="76" t="s">
        <v>320</v>
      </c>
      <c r="D155" s="76" t="s">
        <v>147</v>
      </c>
      <c r="E155" s="76"/>
      <c r="F155" s="76">
        <f t="shared" si="69"/>
        <v>21</v>
      </c>
      <c r="G155" s="143">
        <v>7</v>
      </c>
      <c r="H155" s="143">
        <v>7</v>
      </c>
      <c r="I155" s="143">
        <v>7</v>
      </c>
      <c r="J155" s="143">
        <v>7</v>
      </c>
      <c r="K155" s="143">
        <v>7</v>
      </c>
      <c r="L155" s="143">
        <v>7</v>
      </c>
      <c r="M155" s="76">
        <v>2018</v>
      </c>
      <c r="N155" s="76">
        <v>2020</v>
      </c>
      <c r="O155" s="76">
        <f t="shared" si="70"/>
        <v>12.6</v>
      </c>
      <c r="P155" s="76">
        <f t="shared" si="71"/>
        <v>4.2</v>
      </c>
      <c r="Q155" s="76">
        <f t="shared" si="72"/>
        <v>4.2</v>
      </c>
      <c r="R155" s="76">
        <f t="shared" si="73"/>
        <v>4.2</v>
      </c>
      <c r="S155" s="76">
        <f t="shared" si="74"/>
        <v>3.15</v>
      </c>
      <c r="T155" s="76">
        <f t="shared" si="75"/>
        <v>6.3</v>
      </c>
      <c r="U155" s="76">
        <f t="shared" si="76"/>
        <v>3.15</v>
      </c>
      <c r="V155" s="76"/>
      <c r="W155" s="76"/>
      <c r="X155" s="583"/>
      <c r="Y155" s="76"/>
      <c r="Z155" s="76"/>
      <c r="AA155" s="76"/>
      <c r="AB155" s="76"/>
      <c r="AC155" s="76"/>
      <c r="AD155" s="136"/>
    </row>
    <row r="156" customHeight="1" spans="1:30">
      <c r="A156" s="76"/>
      <c r="B156" s="212" t="s">
        <v>1282</v>
      </c>
      <c r="C156" s="76" t="s">
        <v>320</v>
      </c>
      <c r="D156" s="76" t="s">
        <v>147</v>
      </c>
      <c r="E156" s="76"/>
      <c r="F156" s="76">
        <f t="shared" si="69"/>
        <v>27</v>
      </c>
      <c r="G156" s="143">
        <v>9</v>
      </c>
      <c r="H156" s="143">
        <v>9</v>
      </c>
      <c r="I156" s="143">
        <v>9</v>
      </c>
      <c r="J156" s="143">
        <v>9</v>
      </c>
      <c r="K156" s="143">
        <v>9</v>
      </c>
      <c r="L156" s="143">
        <v>9</v>
      </c>
      <c r="M156" s="76">
        <v>2018</v>
      </c>
      <c r="N156" s="76">
        <v>2020</v>
      </c>
      <c r="O156" s="76">
        <f t="shared" si="70"/>
        <v>16.2</v>
      </c>
      <c r="P156" s="76">
        <f t="shared" si="71"/>
        <v>5.4</v>
      </c>
      <c r="Q156" s="76">
        <f t="shared" si="72"/>
        <v>5.4</v>
      </c>
      <c r="R156" s="76">
        <f t="shared" si="73"/>
        <v>5.4</v>
      </c>
      <c r="S156" s="76">
        <f t="shared" si="74"/>
        <v>4.05</v>
      </c>
      <c r="T156" s="76">
        <f t="shared" si="75"/>
        <v>8.1</v>
      </c>
      <c r="U156" s="76">
        <f t="shared" si="76"/>
        <v>4.05</v>
      </c>
      <c r="V156" s="76"/>
      <c r="W156" s="76"/>
      <c r="X156" s="583"/>
      <c r="Y156" s="76"/>
      <c r="Z156" s="76"/>
      <c r="AA156" s="76"/>
      <c r="AB156" s="76"/>
      <c r="AC156" s="76"/>
      <c r="AD156" s="136"/>
    </row>
    <row r="157" customHeight="1" spans="1:30">
      <c r="A157" s="76"/>
      <c r="B157" s="212" t="s">
        <v>1284</v>
      </c>
      <c r="C157" s="76" t="s">
        <v>320</v>
      </c>
      <c r="D157" s="76" t="s">
        <v>147</v>
      </c>
      <c r="E157" s="76"/>
      <c r="F157" s="76">
        <f t="shared" si="69"/>
        <v>3</v>
      </c>
      <c r="G157" s="143">
        <v>1</v>
      </c>
      <c r="H157" s="143">
        <v>1</v>
      </c>
      <c r="I157" s="143">
        <v>1</v>
      </c>
      <c r="J157" s="143">
        <v>1</v>
      </c>
      <c r="K157" s="143">
        <v>1</v>
      </c>
      <c r="L157" s="143">
        <v>1</v>
      </c>
      <c r="M157" s="76">
        <v>2018</v>
      </c>
      <c r="N157" s="76">
        <v>2020</v>
      </c>
      <c r="O157" s="76">
        <f t="shared" si="70"/>
        <v>1.8</v>
      </c>
      <c r="P157" s="76">
        <f t="shared" si="71"/>
        <v>0.6</v>
      </c>
      <c r="Q157" s="76">
        <f t="shared" si="72"/>
        <v>0.6</v>
      </c>
      <c r="R157" s="76">
        <f t="shared" si="73"/>
        <v>0.6</v>
      </c>
      <c r="S157" s="76">
        <f t="shared" si="74"/>
        <v>0.45</v>
      </c>
      <c r="T157" s="76">
        <f t="shared" si="75"/>
        <v>0.9</v>
      </c>
      <c r="U157" s="76">
        <f t="shared" si="76"/>
        <v>0.45</v>
      </c>
      <c r="V157" s="76"/>
      <c r="W157" s="76"/>
      <c r="X157" s="583"/>
      <c r="Y157" s="76"/>
      <c r="Z157" s="76"/>
      <c r="AA157" s="76"/>
      <c r="AB157" s="76"/>
      <c r="AC157" s="76"/>
      <c r="AD157" s="136"/>
    </row>
    <row r="158" customHeight="1" spans="1:30">
      <c r="A158" s="76"/>
      <c r="B158" s="92" t="s">
        <v>1288</v>
      </c>
      <c r="C158" s="76" t="s">
        <v>320</v>
      </c>
      <c r="D158" s="76" t="s">
        <v>147</v>
      </c>
      <c r="E158" s="76"/>
      <c r="F158" s="76">
        <f t="shared" ref="F158:L158" si="77">SUM(F159:F171)</f>
        <v>102</v>
      </c>
      <c r="G158" s="76">
        <f t="shared" si="77"/>
        <v>34</v>
      </c>
      <c r="H158" s="76">
        <f t="shared" si="77"/>
        <v>34</v>
      </c>
      <c r="I158" s="76">
        <f t="shared" si="77"/>
        <v>34</v>
      </c>
      <c r="J158" s="76">
        <f t="shared" si="77"/>
        <v>34</v>
      </c>
      <c r="K158" s="76">
        <f t="shared" si="77"/>
        <v>34</v>
      </c>
      <c r="L158" s="76">
        <f t="shared" si="77"/>
        <v>34</v>
      </c>
      <c r="M158" s="76">
        <v>2018</v>
      </c>
      <c r="N158" s="76">
        <v>2020</v>
      </c>
      <c r="O158" s="76">
        <f t="shared" ref="O158:U158" si="78">SUM(O159:O171)</f>
        <v>56.1</v>
      </c>
      <c r="P158" s="76">
        <f t="shared" si="78"/>
        <v>18.7</v>
      </c>
      <c r="Q158" s="76">
        <f t="shared" si="78"/>
        <v>18.7</v>
      </c>
      <c r="R158" s="76">
        <f t="shared" si="78"/>
        <v>18.7</v>
      </c>
      <c r="S158" s="76">
        <f t="shared" si="78"/>
        <v>10.2</v>
      </c>
      <c r="T158" s="76">
        <f t="shared" si="78"/>
        <v>30.6</v>
      </c>
      <c r="U158" s="76">
        <f t="shared" si="78"/>
        <v>15.3</v>
      </c>
      <c r="V158" s="76"/>
      <c r="W158" s="76"/>
      <c r="X158" s="583"/>
      <c r="Y158" s="76"/>
      <c r="Z158" s="76"/>
      <c r="AA158" s="76" t="s">
        <v>1285</v>
      </c>
      <c r="AB158" s="76" t="s">
        <v>1286</v>
      </c>
      <c r="AC158" s="76" t="s">
        <v>294</v>
      </c>
      <c r="AD158" s="136"/>
    </row>
    <row r="159" customHeight="1" spans="1:30">
      <c r="A159" s="76"/>
      <c r="B159" s="212" t="s">
        <v>1265</v>
      </c>
      <c r="C159" s="76" t="s">
        <v>320</v>
      </c>
      <c r="D159" s="76" t="s">
        <v>147</v>
      </c>
      <c r="E159" s="76"/>
      <c r="F159" s="76">
        <f t="shared" ref="F159:F171" si="79">SUM(G159:I159)</f>
        <v>6</v>
      </c>
      <c r="G159" s="143">
        <v>2</v>
      </c>
      <c r="H159" s="143">
        <v>2</v>
      </c>
      <c r="I159" s="143">
        <v>2</v>
      </c>
      <c r="J159" s="143">
        <v>2</v>
      </c>
      <c r="K159" s="143">
        <v>2</v>
      </c>
      <c r="L159" s="143">
        <v>2</v>
      </c>
      <c r="M159" s="76">
        <v>2018</v>
      </c>
      <c r="N159" s="76">
        <v>2020</v>
      </c>
      <c r="O159" s="76">
        <f t="shared" ref="O159:O171" si="80">SUM(P159:R159)</f>
        <v>3.3</v>
      </c>
      <c r="P159" s="76">
        <f t="shared" ref="P159:P171" si="81">0.55*J159</f>
        <v>1.1</v>
      </c>
      <c r="Q159" s="76">
        <f t="shared" ref="Q159:Q171" si="82">0.55*J159</f>
        <v>1.1</v>
      </c>
      <c r="R159" s="76">
        <f t="shared" ref="R159:R171" si="83">0.55*J159</f>
        <v>1.1</v>
      </c>
      <c r="S159" s="76">
        <f t="shared" ref="S159:S171" si="84">0.1*3*J159</f>
        <v>0.6</v>
      </c>
      <c r="T159" s="76">
        <f t="shared" ref="T159:T171" si="85">0.3*3*J159</f>
        <v>1.8</v>
      </c>
      <c r="U159" s="76">
        <f t="shared" ref="U159:U171" si="86">0.15*3*J159</f>
        <v>0.9</v>
      </c>
      <c r="V159" s="76"/>
      <c r="W159" s="76"/>
      <c r="X159" s="583"/>
      <c r="Y159" s="76"/>
      <c r="Z159" s="76"/>
      <c r="AA159" s="76"/>
      <c r="AB159" s="76"/>
      <c r="AC159" s="76"/>
      <c r="AD159" s="136"/>
    </row>
    <row r="160" customHeight="1" spans="1:30">
      <c r="A160" s="76"/>
      <c r="B160" s="212" t="s">
        <v>1267</v>
      </c>
      <c r="C160" s="76" t="s">
        <v>320</v>
      </c>
      <c r="D160" s="76" t="s">
        <v>147</v>
      </c>
      <c r="E160" s="76"/>
      <c r="F160" s="76">
        <f t="shared" si="79"/>
        <v>3</v>
      </c>
      <c r="G160" s="143">
        <v>1</v>
      </c>
      <c r="H160" s="143">
        <v>1</v>
      </c>
      <c r="I160" s="143">
        <v>1</v>
      </c>
      <c r="J160" s="143">
        <v>1</v>
      </c>
      <c r="K160" s="143">
        <v>1</v>
      </c>
      <c r="L160" s="143">
        <v>1</v>
      </c>
      <c r="M160" s="76">
        <v>2018</v>
      </c>
      <c r="N160" s="76">
        <v>2020</v>
      </c>
      <c r="O160" s="76">
        <f t="shared" si="80"/>
        <v>1.65</v>
      </c>
      <c r="P160" s="76">
        <f t="shared" si="81"/>
        <v>0.55</v>
      </c>
      <c r="Q160" s="76">
        <f t="shared" si="82"/>
        <v>0.55</v>
      </c>
      <c r="R160" s="76">
        <f t="shared" si="83"/>
        <v>0.55</v>
      </c>
      <c r="S160" s="76">
        <f t="shared" si="84"/>
        <v>0.3</v>
      </c>
      <c r="T160" s="76">
        <f t="shared" si="85"/>
        <v>0.9</v>
      </c>
      <c r="U160" s="76">
        <f t="shared" si="86"/>
        <v>0.45</v>
      </c>
      <c r="V160" s="76"/>
      <c r="W160" s="76"/>
      <c r="X160" s="583"/>
      <c r="Y160" s="76"/>
      <c r="Z160" s="76"/>
      <c r="AA160" s="76"/>
      <c r="AB160" s="76"/>
      <c r="AC160" s="76"/>
      <c r="AD160" s="136"/>
    </row>
    <row r="161" customHeight="1" spans="1:30">
      <c r="A161" s="76"/>
      <c r="B161" s="212" t="s">
        <v>1268</v>
      </c>
      <c r="C161" s="76" t="s">
        <v>320</v>
      </c>
      <c r="D161" s="76" t="s">
        <v>147</v>
      </c>
      <c r="E161" s="76"/>
      <c r="F161" s="76">
        <f t="shared" si="79"/>
        <v>9</v>
      </c>
      <c r="G161" s="143">
        <v>3</v>
      </c>
      <c r="H161" s="143">
        <v>3</v>
      </c>
      <c r="I161" s="143">
        <v>3</v>
      </c>
      <c r="J161" s="143">
        <v>3</v>
      </c>
      <c r="K161" s="143">
        <v>3</v>
      </c>
      <c r="L161" s="143">
        <v>3</v>
      </c>
      <c r="M161" s="76">
        <v>2018</v>
      </c>
      <c r="N161" s="76">
        <v>2020</v>
      </c>
      <c r="O161" s="76">
        <f t="shared" si="80"/>
        <v>4.95</v>
      </c>
      <c r="P161" s="76">
        <f t="shared" si="81"/>
        <v>1.65</v>
      </c>
      <c r="Q161" s="76">
        <f t="shared" si="82"/>
        <v>1.65</v>
      </c>
      <c r="R161" s="76">
        <f t="shared" si="83"/>
        <v>1.65</v>
      </c>
      <c r="S161" s="76">
        <f t="shared" si="84"/>
        <v>0.9</v>
      </c>
      <c r="T161" s="76">
        <f t="shared" si="85"/>
        <v>2.7</v>
      </c>
      <c r="U161" s="76">
        <f t="shared" si="86"/>
        <v>1.35</v>
      </c>
      <c r="V161" s="76"/>
      <c r="W161" s="76"/>
      <c r="X161" s="583"/>
      <c r="Y161" s="76"/>
      <c r="Z161" s="76"/>
      <c r="AA161" s="76"/>
      <c r="AB161" s="76"/>
      <c r="AC161" s="76"/>
      <c r="AD161" s="136"/>
    </row>
    <row r="162" customHeight="1" spans="1:30">
      <c r="A162" s="76"/>
      <c r="B162" s="212" t="s">
        <v>1275</v>
      </c>
      <c r="C162" s="76" t="s">
        <v>320</v>
      </c>
      <c r="D162" s="76" t="s">
        <v>147</v>
      </c>
      <c r="E162" s="76"/>
      <c r="F162" s="76">
        <f t="shared" si="79"/>
        <v>12</v>
      </c>
      <c r="G162" s="143">
        <v>4</v>
      </c>
      <c r="H162" s="143">
        <v>4</v>
      </c>
      <c r="I162" s="143">
        <v>4</v>
      </c>
      <c r="J162" s="143">
        <v>4</v>
      </c>
      <c r="K162" s="143">
        <v>4</v>
      </c>
      <c r="L162" s="143">
        <v>4</v>
      </c>
      <c r="M162" s="76">
        <v>2018</v>
      </c>
      <c r="N162" s="76">
        <v>2020</v>
      </c>
      <c r="O162" s="76">
        <f t="shared" si="80"/>
        <v>6.6</v>
      </c>
      <c r="P162" s="76">
        <f t="shared" si="81"/>
        <v>2.2</v>
      </c>
      <c r="Q162" s="76">
        <f t="shared" si="82"/>
        <v>2.2</v>
      </c>
      <c r="R162" s="76">
        <f t="shared" si="83"/>
        <v>2.2</v>
      </c>
      <c r="S162" s="76">
        <f t="shared" si="84"/>
        <v>1.2</v>
      </c>
      <c r="T162" s="76">
        <f t="shared" si="85"/>
        <v>3.6</v>
      </c>
      <c r="U162" s="76">
        <f t="shared" si="86"/>
        <v>1.8</v>
      </c>
      <c r="V162" s="76"/>
      <c r="W162" s="76"/>
      <c r="X162" s="583"/>
      <c r="Y162" s="76"/>
      <c r="Z162" s="76"/>
      <c r="AA162" s="76"/>
      <c r="AB162" s="76"/>
      <c r="AC162" s="76"/>
      <c r="AD162" s="136"/>
    </row>
    <row r="163" customHeight="1" spans="1:30">
      <c r="A163" s="76"/>
      <c r="B163" s="212" t="s">
        <v>1276</v>
      </c>
      <c r="C163" s="76" t="s">
        <v>320</v>
      </c>
      <c r="D163" s="76" t="s">
        <v>147</v>
      </c>
      <c r="E163" s="76"/>
      <c r="F163" s="76">
        <f t="shared" si="79"/>
        <v>6</v>
      </c>
      <c r="G163" s="143">
        <v>2</v>
      </c>
      <c r="H163" s="143">
        <v>2</v>
      </c>
      <c r="I163" s="143">
        <v>2</v>
      </c>
      <c r="J163" s="143">
        <v>2</v>
      </c>
      <c r="K163" s="143">
        <v>2</v>
      </c>
      <c r="L163" s="143">
        <v>2</v>
      </c>
      <c r="M163" s="76">
        <v>2018</v>
      </c>
      <c r="N163" s="76">
        <v>2020</v>
      </c>
      <c r="O163" s="76">
        <f t="shared" si="80"/>
        <v>3.3</v>
      </c>
      <c r="P163" s="76">
        <f t="shared" si="81"/>
        <v>1.1</v>
      </c>
      <c r="Q163" s="76">
        <f t="shared" si="82"/>
        <v>1.1</v>
      </c>
      <c r="R163" s="76">
        <f t="shared" si="83"/>
        <v>1.1</v>
      </c>
      <c r="S163" s="76">
        <f t="shared" si="84"/>
        <v>0.6</v>
      </c>
      <c r="T163" s="76">
        <f t="shared" si="85"/>
        <v>1.8</v>
      </c>
      <c r="U163" s="76">
        <f t="shared" si="86"/>
        <v>0.9</v>
      </c>
      <c r="V163" s="76"/>
      <c r="W163" s="76"/>
      <c r="X163" s="583"/>
      <c r="Y163" s="76"/>
      <c r="Z163" s="76"/>
      <c r="AA163" s="76"/>
      <c r="AB163" s="76"/>
      <c r="AC163" s="76"/>
      <c r="AD163" s="136"/>
    </row>
    <row r="164" customHeight="1" spans="1:30">
      <c r="A164" s="76"/>
      <c r="B164" s="212" t="s">
        <v>1277</v>
      </c>
      <c r="C164" s="76" t="s">
        <v>320</v>
      </c>
      <c r="D164" s="76" t="s">
        <v>147</v>
      </c>
      <c r="E164" s="76"/>
      <c r="F164" s="76">
        <f t="shared" si="79"/>
        <v>3</v>
      </c>
      <c r="G164" s="143">
        <v>1</v>
      </c>
      <c r="H164" s="143">
        <v>1</v>
      </c>
      <c r="I164" s="143">
        <v>1</v>
      </c>
      <c r="J164" s="143">
        <v>1</v>
      </c>
      <c r="K164" s="143">
        <v>1</v>
      </c>
      <c r="L164" s="143">
        <v>1</v>
      </c>
      <c r="M164" s="76">
        <v>2018</v>
      </c>
      <c r="N164" s="76">
        <v>2020</v>
      </c>
      <c r="O164" s="76">
        <f t="shared" si="80"/>
        <v>1.65</v>
      </c>
      <c r="P164" s="76">
        <f t="shared" si="81"/>
        <v>0.55</v>
      </c>
      <c r="Q164" s="76">
        <f t="shared" si="82"/>
        <v>0.55</v>
      </c>
      <c r="R164" s="76">
        <f t="shared" si="83"/>
        <v>0.55</v>
      </c>
      <c r="S164" s="76">
        <f t="shared" si="84"/>
        <v>0.3</v>
      </c>
      <c r="T164" s="76">
        <f t="shared" si="85"/>
        <v>0.9</v>
      </c>
      <c r="U164" s="76">
        <f t="shared" si="86"/>
        <v>0.45</v>
      </c>
      <c r="V164" s="76"/>
      <c r="W164" s="76"/>
      <c r="X164" s="583"/>
      <c r="Y164" s="76"/>
      <c r="Z164" s="76"/>
      <c r="AA164" s="76"/>
      <c r="AB164" s="76"/>
      <c r="AC164" s="76"/>
      <c r="AD164" s="136"/>
    </row>
    <row r="165" customHeight="1" spans="1:30">
      <c r="A165" s="76"/>
      <c r="B165" s="212" t="s">
        <v>1278</v>
      </c>
      <c r="C165" s="76" t="s">
        <v>320</v>
      </c>
      <c r="D165" s="76" t="s">
        <v>147</v>
      </c>
      <c r="E165" s="76"/>
      <c r="F165" s="76">
        <f t="shared" si="79"/>
        <v>12</v>
      </c>
      <c r="G165" s="143">
        <v>4</v>
      </c>
      <c r="H165" s="143">
        <v>4</v>
      </c>
      <c r="I165" s="143">
        <v>4</v>
      </c>
      <c r="J165" s="143">
        <v>4</v>
      </c>
      <c r="K165" s="143">
        <v>4</v>
      </c>
      <c r="L165" s="143">
        <v>4</v>
      </c>
      <c r="M165" s="76">
        <v>2018</v>
      </c>
      <c r="N165" s="76">
        <v>2020</v>
      </c>
      <c r="O165" s="76">
        <f t="shared" si="80"/>
        <v>6.6</v>
      </c>
      <c r="P165" s="76">
        <f t="shared" si="81"/>
        <v>2.2</v>
      </c>
      <c r="Q165" s="76">
        <f t="shared" si="82"/>
        <v>2.2</v>
      </c>
      <c r="R165" s="76">
        <f t="shared" si="83"/>
        <v>2.2</v>
      </c>
      <c r="S165" s="76">
        <f t="shared" si="84"/>
        <v>1.2</v>
      </c>
      <c r="T165" s="76">
        <f t="shared" si="85"/>
        <v>3.6</v>
      </c>
      <c r="U165" s="76">
        <f t="shared" si="86"/>
        <v>1.8</v>
      </c>
      <c r="V165" s="76"/>
      <c r="W165" s="76"/>
      <c r="X165" s="583"/>
      <c r="Y165" s="76"/>
      <c r="Z165" s="76"/>
      <c r="AA165" s="76"/>
      <c r="AB165" s="76"/>
      <c r="AC165" s="76"/>
      <c r="AD165" s="136"/>
    </row>
    <row r="166" customHeight="1" spans="1:30">
      <c r="A166" s="76"/>
      <c r="B166" s="212" t="s">
        <v>1280</v>
      </c>
      <c r="C166" s="76" t="s">
        <v>320</v>
      </c>
      <c r="D166" s="76" t="s">
        <v>147</v>
      </c>
      <c r="E166" s="76"/>
      <c r="F166" s="76">
        <f t="shared" si="79"/>
        <v>6</v>
      </c>
      <c r="G166" s="143">
        <v>2</v>
      </c>
      <c r="H166" s="143">
        <v>2</v>
      </c>
      <c r="I166" s="143">
        <v>2</v>
      </c>
      <c r="J166" s="143">
        <v>2</v>
      </c>
      <c r="K166" s="143">
        <v>2</v>
      </c>
      <c r="L166" s="143">
        <v>2</v>
      </c>
      <c r="M166" s="76">
        <v>2018</v>
      </c>
      <c r="N166" s="76">
        <v>2020</v>
      </c>
      <c r="O166" s="76">
        <f t="shared" si="80"/>
        <v>3.3</v>
      </c>
      <c r="P166" s="76">
        <f t="shared" si="81"/>
        <v>1.1</v>
      </c>
      <c r="Q166" s="76">
        <f t="shared" si="82"/>
        <v>1.1</v>
      </c>
      <c r="R166" s="76">
        <f t="shared" si="83"/>
        <v>1.1</v>
      </c>
      <c r="S166" s="76">
        <f t="shared" si="84"/>
        <v>0.6</v>
      </c>
      <c r="T166" s="76">
        <f t="shared" si="85"/>
        <v>1.8</v>
      </c>
      <c r="U166" s="76">
        <f t="shared" si="86"/>
        <v>0.9</v>
      </c>
      <c r="V166" s="76"/>
      <c r="W166" s="76"/>
      <c r="X166" s="583"/>
      <c r="Y166" s="76"/>
      <c r="Z166" s="76"/>
      <c r="AA166" s="76"/>
      <c r="AB166" s="76"/>
      <c r="AC166" s="76"/>
      <c r="AD166" s="136"/>
    </row>
    <row r="167" customHeight="1" spans="1:30">
      <c r="A167" s="76"/>
      <c r="B167" s="212" t="s">
        <v>1269</v>
      </c>
      <c r="C167" s="76" t="s">
        <v>320</v>
      </c>
      <c r="D167" s="76" t="s">
        <v>147</v>
      </c>
      <c r="E167" s="76"/>
      <c r="F167" s="76">
        <f t="shared" si="79"/>
        <v>3</v>
      </c>
      <c r="G167" s="143">
        <v>1</v>
      </c>
      <c r="H167" s="143">
        <v>1</v>
      </c>
      <c r="I167" s="143">
        <v>1</v>
      </c>
      <c r="J167" s="143">
        <v>1</v>
      </c>
      <c r="K167" s="143">
        <v>1</v>
      </c>
      <c r="L167" s="143">
        <v>1</v>
      </c>
      <c r="M167" s="76">
        <v>2018</v>
      </c>
      <c r="N167" s="76">
        <v>2020</v>
      </c>
      <c r="O167" s="76">
        <f t="shared" si="80"/>
        <v>1.65</v>
      </c>
      <c r="P167" s="76">
        <f t="shared" si="81"/>
        <v>0.55</v>
      </c>
      <c r="Q167" s="76">
        <f t="shared" si="82"/>
        <v>0.55</v>
      </c>
      <c r="R167" s="76">
        <f t="shared" si="83"/>
        <v>0.55</v>
      </c>
      <c r="S167" s="76">
        <f t="shared" si="84"/>
        <v>0.3</v>
      </c>
      <c r="T167" s="76">
        <f t="shared" si="85"/>
        <v>0.9</v>
      </c>
      <c r="U167" s="76">
        <f t="shared" si="86"/>
        <v>0.45</v>
      </c>
      <c r="V167" s="76"/>
      <c r="W167" s="76"/>
      <c r="X167" s="583"/>
      <c r="Y167" s="76"/>
      <c r="Z167" s="76"/>
      <c r="AA167" s="76"/>
      <c r="AB167" s="76"/>
      <c r="AC167" s="76"/>
      <c r="AD167" s="136"/>
    </row>
    <row r="168" customHeight="1" spans="1:30">
      <c r="A168" s="76"/>
      <c r="B168" s="212" t="s">
        <v>1270</v>
      </c>
      <c r="C168" s="76" t="s">
        <v>320</v>
      </c>
      <c r="D168" s="76" t="s">
        <v>147</v>
      </c>
      <c r="E168" s="76"/>
      <c r="F168" s="76">
        <f t="shared" si="79"/>
        <v>9</v>
      </c>
      <c r="G168" s="143">
        <v>3</v>
      </c>
      <c r="H168" s="143">
        <v>3</v>
      </c>
      <c r="I168" s="143">
        <v>3</v>
      </c>
      <c r="J168" s="143">
        <v>3</v>
      </c>
      <c r="K168" s="143">
        <v>3</v>
      </c>
      <c r="L168" s="143">
        <v>3</v>
      </c>
      <c r="M168" s="76">
        <v>2018</v>
      </c>
      <c r="N168" s="76">
        <v>2020</v>
      </c>
      <c r="O168" s="76">
        <f t="shared" si="80"/>
        <v>4.95</v>
      </c>
      <c r="P168" s="76">
        <f t="shared" si="81"/>
        <v>1.65</v>
      </c>
      <c r="Q168" s="76">
        <f t="shared" si="82"/>
        <v>1.65</v>
      </c>
      <c r="R168" s="76">
        <f t="shared" si="83"/>
        <v>1.65</v>
      </c>
      <c r="S168" s="76">
        <f t="shared" si="84"/>
        <v>0.9</v>
      </c>
      <c r="T168" s="76">
        <f t="shared" si="85"/>
        <v>2.7</v>
      </c>
      <c r="U168" s="76">
        <f t="shared" si="86"/>
        <v>1.35</v>
      </c>
      <c r="V168" s="76"/>
      <c r="W168" s="76"/>
      <c r="X168" s="583"/>
      <c r="Y168" s="76"/>
      <c r="Z168" s="76"/>
      <c r="AA168" s="76"/>
      <c r="AB168" s="76"/>
      <c r="AC168" s="76"/>
      <c r="AD168" s="136"/>
    </row>
    <row r="169" customHeight="1" spans="1:30">
      <c r="A169" s="76"/>
      <c r="B169" s="212" t="s">
        <v>1281</v>
      </c>
      <c r="C169" s="76" t="s">
        <v>320</v>
      </c>
      <c r="D169" s="76" t="s">
        <v>147</v>
      </c>
      <c r="E169" s="76"/>
      <c r="F169" s="76">
        <f t="shared" si="79"/>
        <v>18</v>
      </c>
      <c r="G169" s="143">
        <v>6</v>
      </c>
      <c r="H169" s="143">
        <v>6</v>
      </c>
      <c r="I169" s="143">
        <v>6</v>
      </c>
      <c r="J169" s="143">
        <v>6</v>
      </c>
      <c r="K169" s="143">
        <v>6</v>
      </c>
      <c r="L169" s="143">
        <v>6</v>
      </c>
      <c r="M169" s="76">
        <v>2018</v>
      </c>
      <c r="N169" s="76">
        <v>2020</v>
      </c>
      <c r="O169" s="76">
        <f t="shared" si="80"/>
        <v>9.9</v>
      </c>
      <c r="P169" s="76">
        <f t="shared" si="81"/>
        <v>3.3</v>
      </c>
      <c r="Q169" s="76">
        <f t="shared" si="82"/>
        <v>3.3</v>
      </c>
      <c r="R169" s="76">
        <f t="shared" si="83"/>
        <v>3.3</v>
      </c>
      <c r="S169" s="76">
        <f t="shared" si="84"/>
        <v>1.8</v>
      </c>
      <c r="T169" s="76">
        <f t="shared" si="85"/>
        <v>5.4</v>
      </c>
      <c r="U169" s="76">
        <f t="shared" si="86"/>
        <v>2.7</v>
      </c>
      <c r="V169" s="76"/>
      <c r="W169" s="76"/>
      <c r="X169" s="583"/>
      <c r="Y169" s="76"/>
      <c r="Z169" s="76"/>
      <c r="AA169" s="76"/>
      <c r="AB169" s="76"/>
      <c r="AC169" s="76"/>
      <c r="AD169" s="136"/>
    </row>
    <row r="170" customHeight="1" spans="1:30">
      <c r="A170" s="76"/>
      <c r="B170" s="212" t="s">
        <v>1282</v>
      </c>
      <c r="C170" s="76" t="s">
        <v>320</v>
      </c>
      <c r="D170" s="76" t="s">
        <v>147</v>
      </c>
      <c r="E170" s="76"/>
      <c r="F170" s="76">
        <f t="shared" si="79"/>
        <v>12</v>
      </c>
      <c r="G170" s="143">
        <v>4</v>
      </c>
      <c r="H170" s="143">
        <v>4</v>
      </c>
      <c r="I170" s="143">
        <v>4</v>
      </c>
      <c r="J170" s="143">
        <v>4</v>
      </c>
      <c r="K170" s="143">
        <v>4</v>
      </c>
      <c r="L170" s="143">
        <v>4</v>
      </c>
      <c r="M170" s="76">
        <v>2018</v>
      </c>
      <c r="N170" s="76">
        <v>2020</v>
      </c>
      <c r="O170" s="76">
        <f t="shared" si="80"/>
        <v>6.6</v>
      </c>
      <c r="P170" s="76">
        <f t="shared" si="81"/>
        <v>2.2</v>
      </c>
      <c r="Q170" s="76">
        <f t="shared" si="82"/>
        <v>2.2</v>
      </c>
      <c r="R170" s="76">
        <f t="shared" si="83"/>
        <v>2.2</v>
      </c>
      <c r="S170" s="76">
        <f t="shared" si="84"/>
        <v>1.2</v>
      </c>
      <c r="T170" s="76">
        <f t="shared" si="85"/>
        <v>3.6</v>
      </c>
      <c r="U170" s="76">
        <f t="shared" si="86"/>
        <v>1.8</v>
      </c>
      <c r="V170" s="76"/>
      <c r="W170" s="76"/>
      <c r="X170" s="583"/>
      <c r="Y170" s="76"/>
      <c r="Z170" s="76"/>
      <c r="AA170" s="76"/>
      <c r="AB170" s="76"/>
      <c r="AC170" s="76"/>
      <c r="AD170" s="136"/>
    </row>
    <row r="171" customHeight="1" spans="1:30">
      <c r="A171" s="76"/>
      <c r="B171" s="212" t="s">
        <v>1284</v>
      </c>
      <c r="C171" s="76" t="s">
        <v>320</v>
      </c>
      <c r="D171" s="76" t="s">
        <v>147</v>
      </c>
      <c r="E171" s="76"/>
      <c r="F171" s="76">
        <f t="shared" si="79"/>
        <v>3</v>
      </c>
      <c r="G171" s="143">
        <v>1</v>
      </c>
      <c r="H171" s="143">
        <v>1</v>
      </c>
      <c r="I171" s="143">
        <v>1</v>
      </c>
      <c r="J171" s="143">
        <v>1</v>
      </c>
      <c r="K171" s="143">
        <v>1</v>
      </c>
      <c r="L171" s="143">
        <v>1</v>
      </c>
      <c r="M171" s="76">
        <v>2018</v>
      </c>
      <c r="N171" s="76">
        <v>2020</v>
      </c>
      <c r="O171" s="76">
        <f t="shared" si="80"/>
        <v>1.65</v>
      </c>
      <c r="P171" s="76">
        <f t="shared" si="81"/>
        <v>0.55</v>
      </c>
      <c r="Q171" s="76">
        <f t="shared" si="82"/>
        <v>0.55</v>
      </c>
      <c r="R171" s="76">
        <f t="shared" si="83"/>
        <v>0.55</v>
      </c>
      <c r="S171" s="76">
        <f t="shared" si="84"/>
        <v>0.3</v>
      </c>
      <c r="T171" s="76">
        <f t="shared" si="85"/>
        <v>0.9</v>
      </c>
      <c r="U171" s="76">
        <f t="shared" si="86"/>
        <v>0.45</v>
      </c>
      <c r="V171" s="76"/>
      <c r="W171" s="76"/>
      <c r="X171" s="583"/>
      <c r="Y171" s="76"/>
      <c r="Z171" s="76"/>
      <c r="AA171" s="76"/>
      <c r="AB171" s="76"/>
      <c r="AC171" s="76"/>
      <c r="AD171" s="136"/>
    </row>
    <row r="172" customHeight="1" spans="1:30">
      <c r="A172" s="76"/>
      <c r="B172" s="92" t="s">
        <v>1289</v>
      </c>
      <c r="C172" s="76" t="s">
        <v>320</v>
      </c>
      <c r="D172" s="76" t="s">
        <v>147</v>
      </c>
      <c r="E172" s="76"/>
      <c r="F172" s="76">
        <f t="shared" ref="F172:L172" si="87">SUM(F173:F187)</f>
        <v>297</v>
      </c>
      <c r="G172" s="76">
        <f t="shared" si="87"/>
        <v>99</v>
      </c>
      <c r="H172" s="76">
        <f t="shared" si="87"/>
        <v>99</v>
      </c>
      <c r="I172" s="76">
        <f t="shared" si="87"/>
        <v>99</v>
      </c>
      <c r="J172" s="76">
        <f t="shared" si="87"/>
        <v>99</v>
      </c>
      <c r="K172" s="76">
        <f t="shared" si="87"/>
        <v>99</v>
      </c>
      <c r="L172" s="76">
        <f t="shared" si="87"/>
        <v>99</v>
      </c>
      <c r="M172" s="76">
        <v>2018</v>
      </c>
      <c r="N172" s="76">
        <v>2020</v>
      </c>
      <c r="O172" s="76">
        <f t="shared" ref="O172:U172" si="88">SUM(O173:O187)</f>
        <v>89.1</v>
      </c>
      <c r="P172" s="76">
        <f t="shared" si="88"/>
        <v>29.7</v>
      </c>
      <c r="Q172" s="76">
        <f t="shared" si="88"/>
        <v>29.7</v>
      </c>
      <c r="R172" s="76">
        <f t="shared" si="88"/>
        <v>29.7</v>
      </c>
      <c r="S172" s="76">
        <f t="shared" si="88"/>
        <v>44.55</v>
      </c>
      <c r="T172" s="76">
        <f t="shared" si="88"/>
        <v>0</v>
      </c>
      <c r="U172" s="76">
        <f t="shared" si="88"/>
        <v>44.55</v>
      </c>
      <c r="V172" s="76"/>
      <c r="W172" s="76"/>
      <c r="X172" s="583"/>
      <c r="Y172" s="76"/>
      <c r="Z172" s="76"/>
      <c r="AA172" s="76" t="s">
        <v>1285</v>
      </c>
      <c r="AB172" s="76" t="s">
        <v>1286</v>
      </c>
      <c r="AC172" s="76" t="s">
        <v>294</v>
      </c>
      <c r="AD172" s="136"/>
    </row>
    <row r="173" customHeight="1" spans="1:30">
      <c r="A173" s="76"/>
      <c r="B173" s="212" t="s">
        <v>1265</v>
      </c>
      <c r="C173" s="76" t="s">
        <v>320</v>
      </c>
      <c r="D173" s="76" t="s">
        <v>147</v>
      </c>
      <c r="E173" s="76"/>
      <c r="F173" s="76">
        <f t="shared" ref="F173:F187" si="89">SUM(G173:I173)</f>
        <v>9</v>
      </c>
      <c r="G173" s="143">
        <v>3</v>
      </c>
      <c r="H173" s="143">
        <v>3</v>
      </c>
      <c r="I173" s="143">
        <v>3</v>
      </c>
      <c r="J173" s="143">
        <v>3</v>
      </c>
      <c r="K173" s="143">
        <v>3</v>
      </c>
      <c r="L173" s="143">
        <v>3</v>
      </c>
      <c r="M173" s="76">
        <v>2018</v>
      </c>
      <c r="N173" s="76">
        <v>2020</v>
      </c>
      <c r="O173" s="76">
        <f t="shared" ref="O173:O188" si="90">SUM(P173:R173)</f>
        <v>2.7</v>
      </c>
      <c r="P173" s="76">
        <f t="shared" ref="P173:P188" si="91">0.3*J173</f>
        <v>0.9</v>
      </c>
      <c r="Q173" s="76">
        <f t="shared" ref="Q173:Q188" si="92">0.3*J173</f>
        <v>0.9</v>
      </c>
      <c r="R173" s="76">
        <f t="shared" ref="R173:R188" si="93">0.3*J173</f>
        <v>0.9</v>
      </c>
      <c r="S173" s="76">
        <f t="shared" ref="S173:S187" si="94">0.15*3*J173</f>
        <v>1.35</v>
      </c>
      <c r="T173" s="76"/>
      <c r="U173" s="76">
        <f t="shared" ref="U173:U187" si="95">0.15*3*J173</f>
        <v>1.35</v>
      </c>
      <c r="V173" s="76"/>
      <c r="W173" s="76"/>
      <c r="X173" s="583"/>
      <c r="Y173" s="76"/>
      <c r="Z173" s="76"/>
      <c r="AA173" s="76"/>
      <c r="AB173" s="76"/>
      <c r="AC173" s="76"/>
      <c r="AD173" s="136"/>
    </row>
    <row r="174" customHeight="1" spans="1:30">
      <c r="A174" s="76"/>
      <c r="B174" s="212" t="s">
        <v>1266</v>
      </c>
      <c r="C174" s="76" t="s">
        <v>320</v>
      </c>
      <c r="D174" s="76" t="s">
        <v>147</v>
      </c>
      <c r="E174" s="76"/>
      <c r="F174" s="76">
        <f t="shared" si="89"/>
        <v>15</v>
      </c>
      <c r="G174" s="143">
        <v>5</v>
      </c>
      <c r="H174" s="143">
        <v>5</v>
      </c>
      <c r="I174" s="143">
        <v>5</v>
      </c>
      <c r="J174" s="143">
        <v>5</v>
      </c>
      <c r="K174" s="143">
        <v>5</v>
      </c>
      <c r="L174" s="143">
        <v>5</v>
      </c>
      <c r="M174" s="76">
        <v>2018</v>
      </c>
      <c r="N174" s="76">
        <v>2020</v>
      </c>
      <c r="O174" s="76">
        <f t="shared" si="90"/>
        <v>4.5</v>
      </c>
      <c r="P174" s="76">
        <f t="shared" si="91"/>
        <v>1.5</v>
      </c>
      <c r="Q174" s="76">
        <f t="shared" si="92"/>
        <v>1.5</v>
      </c>
      <c r="R174" s="76">
        <f t="shared" si="93"/>
        <v>1.5</v>
      </c>
      <c r="S174" s="76">
        <f t="shared" si="94"/>
        <v>2.25</v>
      </c>
      <c r="T174" s="76"/>
      <c r="U174" s="76">
        <f t="shared" si="95"/>
        <v>2.25</v>
      </c>
      <c r="V174" s="76"/>
      <c r="W174" s="76"/>
      <c r="X174" s="583"/>
      <c r="Y174" s="76"/>
      <c r="Z174" s="76"/>
      <c r="AA174" s="76"/>
      <c r="AB174" s="76"/>
      <c r="AC174" s="76"/>
      <c r="AD174" s="136"/>
    </row>
    <row r="175" customHeight="1" spans="1:30">
      <c r="A175" s="76"/>
      <c r="B175" s="212" t="s">
        <v>1267</v>
      </c>
      <c r="C175" s="76" t="s">
        <v>320</v>
      </c>
      <c r="D175" s="76" t="s">
        <v>147</v>
      </c>
      <c r="E175" s="76"/>
      <c r="F175" s="76">
        <f t="shared" si="89"/>
        <v>18</v>
      </c>
      <c r="G175" s="143">
        <v>6</v>
      </c>
      <c r="H175" s="143">
        <v>6</v>
      </c>
      <c r="I175" s="143">
        <v>6</v>
      </c>
      <c r="J175" s="143">
        <v>6</v>
      </c>
      <c r="K175" s="143">
        <v>6</v>
      </c>
      <c r="L175" s="143">
        <v>6</v>
      </c>
      <c r="M175" s="76">
        <v>2018</v>
      </c>
      <c r="N175" s="76">
        <v>2020</v>
      </c>
      <c r="O175" s="76">
        <f t="shared" si="90"/>
        <v>5.4</v>
      </c>
      <c r="P175" s="76">
        <f t="shared" si="91"/>
        <v>1.8</v>
      </c>
      <c r="Q175" s="76">
        <f t="shared" si="92"/>
        <v>1.8</v>
      </c>
      <c r="R175" s="76">
        <f t="shared" si="93"/>
        <v>1.8</v>
      </c>
      <c r="S175" s="76">
        <f t="shared" si="94"/>
        <v>2.7</v>
      </c>
      <c r="T175" s="76"/>
      <c r="U175" s="76">
        <f t="shared" si="95"/>
        <v>2.7</v>
      </c>
      <c r="V175" s="76"/>
      <c r="W175" s="76"/>
      <c r="X175" s="583"/>
      <c r="Y175" s="76"/>
      <c r="Z175" s="76"/>
      <c r="AA175" s="76"/>
      <c r="AB175" s="76"/>
      <c r="AC175" s="76"/>
      <c r="AD175" s="136"/>
    </row>
    <row r="176" customHeight="1" spans="1:30">
      <c r="A176" s="76"/>
      <c r="B176" s="212" t="s">
        <v>1268</v>
      </c>
      <c r="C176" s="76" t="s">
        <v>320</v>
      </c>
      <c r="D176" s="76" t="s">
        <v>147</v>
      </c>
      <c r="E176" s="76"/>
      <c r="F176" s="76">
        <f t="shared" si="89"/>
        <v>21</v>
      </c>
      <c r="G176" s="143">
        <v>7</v>
      </c>
      <c r="H176" s="143">
        <v>7</v>
      </c>
      <c r="I176" s="143">
        <v>7</v>
      </c>
      <c r="J176" s="143">
        <v>7</v>
      </c>
      <c r="K176" s="143">
        <v>7</v>
      </c>
      <c r="L176" s="143">
        <v>7</v>
      </c>
      <c r="M176" s="76">
        <v>2018</v>
      </c>
      <c r="N176" s="76">
        <v>2020</v>
      </c>
      <c r="O176" s="76">
        <f t="shared" si="90"/>
        <v>6.3</v>
      </c>
      <c r="P176" s="76">
        <f t="shared" si="91"/>
        <v>2.1</v>
      </c>
      <c r="Q176" s="76">
        <f t="shared" si="92"/>
        <v>2.1</v>
      </c>
      <c r="R176" s="76">
        <f t="shared" si="93"/>
        <v>2.1</v>
      </c>
      <c r="S176" s="76">
        <f t="shared" si="94"/>
        <v>3.15</v>
      </c>
      <c r="T176" s="76"/>
      <c r="U176" s="76">
        <f t="shared" si="95"/>
        <v>3.15</v>
      </c>
      <c r="V176" s="76"/>
      <c r="W176" s="76"/>
      <c r="X176" s="583"/>
      <c r="Y176" s="76"/>
      <c r="Z176" s="76"/>
      <c r="AA176" s="76"/>
      <c r="AB176" s="76"/>
      <c r="AC176" s="76"/>
      <c r="AD176" s="136"/>
    </row>
    <row r="177" customHeight="1" spans="1:30">
      <c r="A177" s="76"/>
      <c r="B177" s="212" t="s">
        <v>1275</v>
      </c>
      <c r="C177" s="76" t="s">
        <v>320</v>
      </c>
      <c r="D177" s="76" t="s">
        <v>147</v>
      </c>
      <c r="E177" s="76"/>
      <c r="F177" s="76">
        <f t="shared" si="89"/>
        <v>42</v>
      </c>
      <c r="G177" s="143">
        <v>14</v>
      </c>
      <c r="H177" s="143">
        <v>14</v>
      </c>
      <c r="I177" s="143">
        <v>14</v>
      </c>
      <c r="J177" s="143">
        <v>14</v>
      </c>
      <c r="K177" s="143">
        <v>14</v>
      </c>
      <c r="L177" s="143">
        <v>14</v>
      </c>
      <c r="M177" s="76">
        <v>2018</v>
      </c>
      <c r="N177" s="76">
        <v>2020</v>
      </c>
      <c r="O177" s="76">
        <f t="shared" si="90"/>
        <v>12.6</v>
      </c>
      <c r="P177" s="76">
        <f t="shared" si="91"/>
        <v>4.2</v>
      </c>
      <c r="Q177" s="76">
        <f t="shared" si="92"/>
        <v>4.2</v>
      </c>
      <c r="R177" s="76">
        <f t="shared" si="93"/>
        <v>4.2</v>
      </c>
      <c r="S177" s="76">
        <f t="shared" si="94"/>
        <v>6.3</v>
      </c>
      <c r="T177" s="76"/>
      <c r="U177" s="76">
        <f t="shared" si="95"/>
        <v>6.3</v>
      </c>
      <c r="V177" s="76"/>
      <c r="W177" s="76"/>
      <c r="X177" s="583"/>
      <c r="Y177" s="76"/>
      <c r="Z177" s="76"/>
      <c r="AA177" s="76"/>
      <c r="AB177" s="76"/>
      <c r="AC177" s="76"/>
      <c r="AD177" s="136"/>
    </row>
    <row r="178" customHeight="1" spans="1:30">
      <c r="A178" s="76"/>
      <c r="B178" s="212" t="s">
        <v>1276</v>
      </c>
      <c r="C178" s="76" t="s">
        <v>320</v>
      </c>
      <c r="D178" s="76" t="s">
        <v>147</v>
      </c>
      <c r="E178" s="76"/>
      <c r="F178" s="76">
        <f t="shared" si="89"/>
        <v>27</v>
      </c>
      <c r="G178" s="143">
        <v>9</v>
      </c>
      <c r="H178" s="143">
        <v>9</v>
      </c>
      <c r="I178" s="143">
        <v>9</v>
      </c>
      <c r="J178" s="143">
        <v>9</v>
      </c>
      <c r="K178" s="143">
        <v>9</v>
      </c>
      <c r="L178" s="143">
        <v>9</v>
      </c>
      <c r="M178" s="76">
        <v>2018</v>
      </c>
      <c r="N178" s="76">
        <v>2020</v>
      </c>
      <c r="O178" s="76">
        <f t="shared" si="90"/>
        <v>8.1</v>
      </c>
      <c r="P178" s="76">
        <f t="shared" si="91"/>
        <v>2.7</v>
      </c>
      <c r="Q178" s="76">
        <f t="shared" si="92"/>
        <v>2.7</v>
      </c>
      <c r="R178" s="76">
        <f t="shared" si="93"/>
        <v>2.7</v>
      </c>
      <c r="S178" s="76">
        <f t="shared" si="94"/>
        <v>4.05</v>
      </c>
      <c r="T178" s="76"/>
      <c r="U178" s="76">
        <f t="shared" si="95"/>
        <v>4.05</v>
      </c>
      <c r="V178" s="76"/>
      <c r="W178" s="76"/>
      <c r="X178" s="583"/>
      <c r="Y178" s="76"/>
      <c r="Z178" s="76"/>
      <c r="AA178" s="76"/>
      <c r="AB178" s="76"/>
      <c r="AC178" s="76"/>
      <c r="AD178" s="136"/>
    </row>
    <row r="179" customHeight="1" spans="1:30">
      <c r="A179" s="76"/>
      <c r="B179" s="212" t="s">
        <v>1277</v>
      </c>
      <c r="C179" s="76" t="s">
        <v>320</v>
      </c>
      <c r="D179" s="76" t="s">
        <v>147</v>
      </c>
      <c r="E179" s="76"/>
      <c r="F179" s="76">
        <f t="shared" si="89"/>
        <v>15</v>
      </c>
      <c r="G179" s="143">
        <v>5</v>
      </c>
      <c r="H179" s="143">
        <v>5</v>
      </c>
      <c r="I179" s="143">
        <v>5</v>
      </c>
      <c r="J179" s="143">
        <v>5</v>
      </c>
      <c r="K179" s="143">
        <v>5</v>
      </c>
      <c r="L179" s="143">
        <v>5</v>
      </c>
      <c r="M179" s="76">
        <v>2018</v>
      </c>
      <c r="N179" s="76">
        <v>2020</v>
      </c>
      <c r="O179" s="76">
        <f t="shared" si="90"/>
        <v>4.5</v>
      </c>
      <c r="P179" s="76">
        <f t="shared" si="91"/>
        <v>1.5</v>
      </c>
      <c r="Q179" s="76">
        <f t="shared" si="92"/>
        <v>1.5</v>
      </c>
      <c r="R179" s="76">
        <f t="shared" si="93"/>
        <v>1.5</v>
      </c>
      <c r="S179" s="76">
        <f t="shared" si="94"/>
        <v>2.25</v>
      </c>
      <c r="T179" s="76"/>
      <c r="U179" s="76">
        <f t="shared" si="95"/>
        <v>2.25</v>
      </c>
      <c r="V179" s="76"/>
      <c r="W179" s="76"/>
      <c r="X179" s="583"/>
      <c r="Y179" s="76"/>
      <c r="Z179" s="76"/>
      <c r="AA179" s="76"/>
      <c r="AB179" s="76"/>
      <c r="AC179" s="76"/>
      <c r="AD179" s="136"/>
    </row>
    <row r="180" customHeight="1" spans="1:30">
      <c r="A180" s="76"/>
      <c r="B180" s="212" t="s">
        <v>1278</v>
      </c>
      <c r="C180" s="76" t="s">
        <v>320</v>
      </c>
      <c r="D180" s="76" t="s">
        <v>147</v>
      </c>
      <c r="E180" s="76"/>
      <c r="F180" s="76">
        <f t="shared" si="89"/>
        <v>15</v>
      </c>
      <c r="G180" s="143">
        <v>5</v>
      </c>
      <c r="H180" s="143">
        <v>5</v>
      </c>
      <c r="I180" s="143">
        <v>5</v>
      </c>
      <c r="J180" s="143">
        <v>5</v>
      </c>
      <c r="K180" s="143">
        <v>5</v>
      </c>
      <c r="L180" s="143">
        <v>5</v>
      </c>
      <c r="M180" s="76">
        <v>2018</v>
      </c>
      <c r="N180" s="76">
        <v>2020</v>
      </c>
      <c r="O180" s="76">
        <f t="shared" si="90"/>
        <v>4.5</v>
      </c>
      <c r="P180" s="76">
        <f t="shared" si="91"/>
        <v>1.5</v>
      </c>
      <c r="Q180" s="76">
        <f t="shared" si="92"/>
        <v>1.5</v>
      </c>
      <c r="R180" s="76">
        <f t="shared" si="93"/>
        <v>1.5</v>
      </c>
      <c r="S180" s="76">
        <f t="shared" si="94"/>
        <v>2.25</v>
      </c>
      <c r="T180" s="76"/>
      <c r="U180" s="76">
        <f t="shared" si="95"/>
        <v>2.25</v>
      </c>
      <c r="V180" s="76"/>
      <c r="W180" s="76"/>
      <c r="X180" s="583"/>
      <c r="Y180" s="76"/>
      <c r="Z180" s="76"/>
      <c r="AA180" s="76"/>
      <c r="AB180" s="76"/>
      <c r="AC180" s="76"/>
      <c r="AD180" s="136"/>
    </row>
    <row r="181" customHeight="1" spans="1:30">
      <c r="A181" s="76"/>
      <c r="B181" s="212" t="s">
        <v>1279</v>
      </c>
      <c r="C181" s="76" t="s">
        <v>320</v>
      </c>
      <c r="D181" s="76" t="s">
        <v>147</v>
      </c>
      <c r="E181" s="76"/>
      <c r="F181" s="76">
        <f t="shared" si="89"/>
        <v>6</v>
      </c>
      <c r="G181" s="143">
        <v>2</v>
      </c>
      <c r="H181" s="143">
        <v>2</v>
      </c>
      <c r="I181" s="143">
        <v>2</v>
      </c>
      <c r="J181" s="143">
        <v>2</v>
      </c>
      <c r="K181" s="143">
        <v>2</v>
      </c>
      <c r="L181" s="143">
        <v>2</v>
      </c>
      <c r="M181" s="76">
        <v>2018</v>
      </c>
      <c r="N181" s="76">
        <v>2020</v>
      </c>
      <c r="O181" s="76">
        <f t="shared" si="90"/>
        <v>1.8</v>
      </c>
      <c r="P181" s="76">
        <f t="shared" si="91"/>
        <v>0.6</v>
      </c>
      <c r="Q181" s="76">
        <f t="shared" si="92"/>
        <v>0.6</v>
      </c>
      <c r="R181" s="76">
        <f t="shared" si="93"/>
        <v>0.6</v>
      </c>
      <c r="S181" s="76">
        <f t="shared" si="94"/>
        <v>0.9</v>
      </c>
      <c r="T181" s="76"/>
      <c r="U181" s="76">
        <f t="shared" si="95"/>
        <v>0.9</v>
      </c>
      <c r="V181" s="76"/>
      <c r="W181" s="76"/>
      <c r="X181" s="583"/>
      <c r="Y181" s="76"/>
      <c r="Z181" s="76"/>
      <c r="AA181" s="76"/>
      <c r="AB181" s="76"/>
      <c r="AC181" s="76"/>
      <c r="AD181" s="136"/>
    </row>
    <row r="182" customHeight="1" spans="1:30">
      <c r="A182" s="76"/>
      <c r="B182" s="212" t="s">
        <v>1269</v>
      </c>
      <c r="C182" s="76" t="s">
        <v>320</v>
      </c>
      <c r="D182" s="76" t="s">
        <v>147</v>
      </c>
      <c r="E182" s="76"/>
      <c r="F182" s="76">
        <f t="shared" si="89"/>
        <v>30</v>
      </c>
      <c r="G182" s="143">
        <v>10</v>
      </c>
      <c r="H182" s="143">
        <v>10</v>
      </c>
      <c r="I182" s="143">
        <v>10</v>
      </c>
      <c r="J182" s="143">
        <v>10</v>
      </c>
      <c r="K182" s="143">
        <v>10</v>
      </c>
      <c r="L182" s="143">
        <v>10</v>
      </c>
      <c r="M182" s="76">
        <v>2018</v>
      </c>
      <c r="N182" s="76">
        <v>2020</v>
      </c>
      <c r="O182" s="76">
        <f t="shared" si="90"/>
        <v>9</v>
      </c>
      <c r="P182" s="76">
        <f t="shared" si="91"/>
        <v>3</v>
      </c>
      <c r="Q182" s="76">
        <f t="shared" si="92"/>
        <v>3</v>
      </c>
      <c r="R182" s="76">
        <f t="shared" si="93"/>
        <v>3</v>
      </c>
      <c r="S182" s="76">
        <f t="shared" si="94"/>
        <v>4.5</v>
      </c>
      <c r="T182" s="76"/>
      <c r="U182" s="76">
        <f t="shared" si="95"/>
        <v>4.5</v>
      </c>
      <c r="V182" s="76"/>
      <c r="W182" s="76"/>
      <c r="X182" s="583"/>
      <c r="Y182" s="76"/>
      <c r="Z182" s="76"/>
      <c r="AA182" s="76"/>
      <c r="AB182" s="76"/>
      <c r="AC182" s="76"/>
      <c r="AD182" s="136"/>
    </row>
    <row r="183" customHeight="1" spans="1:30">
      <c r="A183" s="76"/>
      <c r="B183" s="212" t="s">
        <v>1270</v>
      </c>
      <c r="C183" s="76" t="s">
        <v>320</v>
      </c>
      <c r="D183" s="76" t="s">
        <v>147</v>
      </c>
      <c r="E183" s="76"/>
      <c r="F183" s="76">
        <f t="shared" si="89"/>
        <v>18</v>
      </c>
      <c r="G183" s="143">
        <v>6</v>
      </c>
      <c r="H183" s="143">
        <v>6</v>
      </c>
      <c r="I183" s="143">
        <v>6</v>
      </c>
      <c r="J183" s="143">
        <v>6</v>
      </c>
      <c r="K183" s="143">
        <v>6</v>
      </c>
      <c r="L183" s="143">
        <v>6</v>
      </c>
      <c r="M183" s="76">
        <v>2018</v>
      </c>
      <c r="N183" s="76">
        <v>2020</v>
      </c>
      <c r="O183" s="76">
        <f t="shared" si="90"/>
        <v>5.4</v>
      </c>
      <c r="P183" s="76">
        <f t="shared" si="91"/>
        <v>1.8</v>
      </c>
      <c r="Q183" s="76">
        <f t="shared" si="92"/>
        <v>1.8</v>
      </c>
      <c r="R183" s="76">
        <f t="shared" si="93"/>
        <v>1.8</v>
      </c>
      <c r="S183" s="76">
        <f t="shared" si="94"/>
        <v>2.7</v>
      </c>
      <c r="T183" s="76"/>
      <c r="U183" s="76">
        <f t="shared" si="95"/>
        <v>2.7</v>
      </c>
      <c r="V183" s="76"/>
      <c r="W183" s="76"/>
      <c r="X183" s="583"/>
      <c r="Y183" s="76"/>
      <c r="Z183" s="76"/>
      <c r="AA183" s="76"/>
      <c r="AB183" s="76"/>
      <c r="AC183" s="76"/>
      <c r="AD183" s="136"/>
    </row>
    <row r="184" customHeight="1" spans="1:30">
      <c r="A184" s="76"/>
      <c r="B184" s="212" t="s">
        <v>1281</v>
      </c>
      <c r="C184" s="76" t="s">
        <v>320</v>
      </c>
      <c r="D184" s="76" t="s">
        <v>147</v>
      </c>
      <c r="E184" s="76"/>
      <c r="F184" s="76">
        <f t="shared" si="89"/>
        <v>18</v>
      </c>
      <c r="G184" s="143">
        <v>6</v>
      </c>
      <c r="H184" s="143">
        <v>6</v>
      </c>
      <c r="I184" s="143">
        <v>6</v>
      </c>
      <c r="J184" s="143">
        <v>6</v>
      </c>
      <c r="K184" s="143">
        <v>6</v>
      </c>
      <c r="L184" s="143">
        <v>6</v>
      </c>
      <c r="M184" s="76">
        <v>2018</v>
      </c>
      <c r="N184" s="76">
        <v>2020</v>
      </c>
      <c r="O184" s="76">
        <f t="shared" si="90"/>
        <v>5.4</v>
      </c>
      <c r="P184" s="76">
        <f t="shared" si="91"/>
        <v>1.8</v>
      </c>
      <c r="Q184" s="76">
        <f t="shared" si="92"/>
        <v>1.8</v>
      </c>
      <c r="R184" s="76">
        <f t="shared" si="93"/>
        <v>1.8</v>
      </c>
      <c r="S184" s="76">
        <f t="shared" si="94"/>
        <v>2.7</v>
      </c>
      <c r="T184" s="76"/>
      <c r="U184" s="76">
        <f t="shared" si="95"/>
        <v>2.7</v>
      </c>
      <c r="V184" s="76"/>
      <c r="W184" s="76"/>
      <c r="X184" s="583"/>
      <c r="Y184" s="76"/>
      <c r="Z184" s="76"/>
      <c r="AA184" s="76"/>
      <c r="AB184" s="76"/>
      <c r="AC184" s="76"/>
      <c r="AD184" s="136"/>
    </row>
    <row r="185" customHeight="1" spans="1:30">
      <c r="A185" s="76"/>
      <c r="B185" s="212" t="s">
        <v>1271</v>
      </c>
      <c r="C185" s="76" t="s">
        <v>320</v>
      </c>
      <c r="D185" s="76" t="s">
        <v>147</v>
      </c>
      <c r="E185" s="76"/>
      <c r="F185" s="76">
        <f t="shared" si="89"/>
        <v>12</v>
      </c>
      <c r="G185" s="143">
        <v>4</v>
      </c>
      <c r="H185" s="143">
        <v>4</v>
      </c>
      <c r="I185" s="143">
        <v>4</v>
      </c>
      <c r="J185" s="143">
        <v>4</v>
      </c>
      <c r="K185" s="143">
        <v>4</v>
      </c>
      <c r="L185" s="143">
        <v>4</v>
      </c>
      <c r="M185" s="76">
        <v>2018</v>
      </c>
      <c r="N185" s="76">
        <v>2020</v>
      </c>
      <c r="O185" s="76">
        <f t="shared" si="90"/>
        <v>3.6</v>
      </c>
      <c r="P185" s="76">
        <f t="shared" si="91"/>
        <v>1.2</v>
      </c>
      <c r="Q185" s="76">
        <f t="shared" si="92"/>
        <v>1.2</v>
      </c>
      <c r="R185" s="76">
        <f t="shared" si="93"/>
        <v>1.2</v>
      </c>
      <c r="S185" s="76">
        <f t="shared" si="94"/>
        <v>1.8</v>
      </c>
      <c r="T185" s="76"/>
      <c r="U185" s="76">
        <f t="shared" si="95"/>
        <v>1.8</v>
      </c>
      <c r="V185" s="76"/>
      <c r="W185" s="76"/>
      <c r="X185" s="583"/>
      <c r="Y185" s="76"/>
      <c r="Z185" s="76"/>
      <c r="AA185" s="76"/>
      <c r="AB185" s="76"/>
      <c r="AC185" s="76"/>
      <c r="AD185" s="136"/>
    </row>
    <row r="186" customHeight="1" spans="1:30">
      <c r="A186" s="76"/>
      <c r="B186" s="212" t="s">
        <v>1282</v>
      </c>
      <c r="C186" s="76" t="s">
        <v>320</v>
      </c>
      <c r="D186" s="76" t="s">
        <v>147</v>
      </c>
      <c r="E186" s="76"/>
      <c r="F186" s="76">
        <f t="shared" si="89"/>
        <v>33</v>
      </c>
      <c r="G186" s="143">
        <v>11</v>
      </c>
      <c r="H186" s="143">
        <v>11</v>
      </c>
      <c r="I186" s="143">
        <v>11</v>
      </c>
      <c r="J186" s="143">
        <v>11</v>
      </c>
      <c r="K186" s="143">
        <v>11</v>
      </c>
      <c r="L186" s="143">
        <v>11</v>
      </c>
      <c r="M186" s="76">
        <v>2018</v>
      </c>
      <c r="N186" s="76">
        <v>2020</v>
      </c>
      <c r="O186" s="76">
        <f t="shared" si="90"/>
        <v>9.9</v>
      </c>
      <c r="P186" s="76">
        <f t="shared" si="91"/>
        <v>3.3</v>
      </c>
      <c r="Q186" s="76">
        <f t="shared" si="92"/>
        <v>3.3</v>
      </c>
      <c r="R186" s="76">
        <f t="shared" si="93"/>
        <v>3.3</v>
      </c>
      <c r="S186" s="76">
        <f t="shared" si="94"/>
        <v>4.95</v>
      </c>
      <c r="T186" s="76"/>
      <c r="U186" s="76">
        <f t="shared" si="95"/>
        <v>4.95</v>
      </c>
      <c r="V186" s="76"/>
      <c r="W186" s="76"/>
      <c r="X186" s="583"/>
      <c r="Y186" s="76"/>
      <c r="Z186" s="76"/>
      <c r="AA186" s="76"/>
      <c r="AB186" s="76"/>
      <c r="AC186" s="76"/>
      <c r="AD186" s="136"/>
    </row>
    <row r="187" customHeight="1" spans="1:30">
      <c r="A187" s="76"/>
      <c r="B187" s="212" t="s">
        <v>1283</v>
      </c>
      <c r="C187" s="76" t="s">
        <v>320</v>
      </c>
      <c r="D187" s="76" t="s">
        <v>147</v>
      </c>
      <c r="E187" s="76"/>
      <c r="F187" s="76">
        <f t="shared" si="89"/>
        <v>18</v>
      </c>
      <c r="G187" s="143">
        <v>6</v>
      </c>
      <c r="H187" s="143">
        <v>6</v>
      </c>
      <c r="I187" s="143">
        <v>6</v>
      </c>
      <c r="J187" s="143">
        <v>6</v>
      </c>
      <c r="K187" s="143">
        <v>6</v>
      </c>
      <c r="L187" s="143">
        <v>6</v>
      </c>
      <c r="M187" s="76">
        <v>2018</v>
      </c>
      <c r="N187" s="76">
        <v>2020</v>
      </c>
      <c r="O187" s="76">
        <f t="shared" si="90"/>
        <v>5.4</v>
      </c>
      <c r="P187" s="76">
        <f t="shared" si="91"/>
        <v>1.8</v>
      </c>
      <c r="Q187" s="76">
        <f t="shared" si="92"/>
        <v>1.8</v>
      </c>
      <c r="R187" s="76">
        <f t="shared" si="93"/>
        <v>1.8</v>
      </c>
      <c r="S187" s="76">
        <f t="shared" si="94"/>
        <v>2.7</v>
      </c>
      <c r="T187" s="76"/>
      <c r="U187" s="76">
        <f t="shared" si="95"/>
        <v>2.7</v>
      </c>
      <c r="V187" s="76"/>
      <c r="W187" s="76"/>
      <c r="X187" s="583"/>
      <c r="Y187" s="76"/>
      <c r="Z187" s="76"/>
      <c r="AA187" s="76"/>
      <c r="AB187" s="76"/>
      <c r="AC187" s="76"/>
      <c r="AD187" s="136"/>
    </row>
    <row r="188" customHeight="1" spans="1:30">
      <c r="A188" s="76"/>
      <c r="B188" s="92" t="s">
        <v>1290</v>
      </c>
      <c r="C188" s="76" t="s">
        <v>320</v>
      </c>
      <c r="D188" s="76" t="s">
        <v>147</v>
      </c>
      <c r="E188" s="76"/>
      <c r="F188" s="76">
        <v>0</v>
      </c>
      <c r="G188" s="76"/>
      <c r="H188" s="76"/>
      <c r="I188" s="76"/>
      <c r="J188" s="76"/>
      <c r="K188" s="76"/>
      <c r="L188" s="76"/>
      <c r="M188" s="76">
        <v>2018</v>
      </c>
      <c r="N188" s="76">
        <v>2020</v>
      </c>
      <c r="O188" s="76">
        <f t="shared" si="90"/>
        <v>0</v>
      </c>
      <c r="P188" s="76">
        <f t="shared" si="91"/>
        <v>0</v>
      </c>
      <c r="Q188" s="76">
        <f t="shared" si="92"/>
        <v>0</v>
      </c>
      <c r="R188" s="76">
        <f t="shared" si="93"/>
        <v>0</v>
      </c>
      <c r="S188" s="76"/>
      <c r="T188" s="76"/>
      <c r="U188" s="76"/>
      <c r="V188" s="76"/>
      <c r="W188" s="76"/>
      <c r="X188" s="583"/>
      <c r="Y188" s="76"/>
      <c r="Z188" s="76"/>
      <c r="AA188" s="76" t="s">
        <v>1285</v>
      </c>
      <c r="AB188" s="76" t="s">
        <v>1286</v>
      </c>
      <c r="AC188" s="76" t="s">
        <v>294</v>
      </c>
      <c r="AD188" s="136"/>
    </row>
    <row r="189" customHeight="1" spans="1:30">
      <c r="A189" s="76">
        <v>14</v>
      </c>
      <c r="B189" s="92" t="s">
        <v>324</v>
      </c>
      <c r="C189" s="76" t="s">
        <v>320</v>
      </c>
      <c r="D189" s="76" t="s">
        <v>147</v>
      </c>
      <c r="E189" s="76"/>
      <c r="F189" s="76"/>
      <c r="G189" s="76"/>
      <c r="H189" s="76"/>
      <c r="I189" s="76"/>
      <c r="J189" s="76"/>
      <c r="K189" s="76"/>
      <c r="L189" s="76"/>
      <c r="M189" s="76"/>
      <c r="N189" s="76"/>
      <c r="O189" s="76"/>
      <c r="P189" s="76"/>
      <c r="Q189" s="76"/>
      <c r="R189" s="76"/>
      <c r="S189" s="76"/>
      <c r="T189" s="76"/>
      <c r="U189" s="76"/>
      <c r="V189" s="76"/>
      <c r="W189" s="76"/>
      <c r="X189" s="583"/>
      <c r="Y189" s="76"/>
      <c r="Z189" s="76"/>
      <c r="AA189" s="76" t="s">
        <v>1285</v>
      </c>
      <c r="AB189" s="76" t="s">
        <v>1286</v>
      </c>
      <c r="AC189" s="76" t="s">
        <v>294</v>
      </c>
      <c r="AD189" s="136"/>
    </row>
    <row r="190" customHeight="1" spans="1:30">
      <c r="A190" s="76">
        <v>15</v>
      </c>
      <c r="B190" s="92" t="s">
        <v>802</v>
      </c>
      <c r="C190" s="76" t="s">
        <v>320</v>
      </c>
      <c r="D190" s="76" t="s">
        <v>320</v>
      </c>
      <c r="E190" s="76"/>
      <c r="F190" s="76"/>
      <c r="G190" s="76"/>
      <c r="H190" s="76"/>
      <c r="I190" s="76"/>
      <c r="J190" s="76"/>
      <c r="K190" s="76"/>
      <c r="L190" s="76"/>
      <c r="M190" s="76"/>
      <c r="N190" s="76"/>
      <c r="O190" s="76">
        <f t="shared" ref="O190:W190" si="96">SUM(O191+O209+O227+O245+O263)</f>
        <v>892.676</v>
      </c>
      <c r="P190" s="76">
        <f t="shared" si="96"/>
        <v>297.558666666667</v>
      </c>
      <c r="Q190" s="76">
        <f t="shared" si="96"/>
        <v>297.558666666667</v>
      </c>
      <c r="R190" s="76">
        <f t="shared" si="96"/>
        <v>297.558666666667</v>
      </c>
      <c r="S190" s="76">
        <f t="shared" si="96"/>
        <v>506.4572</v>
      </c>
      <c r="T190" s="76">
        <f t="shared" si="96"/>
        <v>0</v>
      </c>
      <c r="U190" s="76">
        <f t="shared" si="96"/>
        <v>386.2188</v>
      </c>
      <c r="V190" s="76">
        <f t="shared" si="96"/>
        <v>0</v>
      </c>
      <c r="W190" s="76">
        <f t="shared" si="96"/>
        <v>0</v>
      </c>
      <c r="X190" s="583"/>
      <c r="Y190" s="76"/>
      <c r="Z190" s="76"/>
      <c r="AA190" s="76" t="s">
        <v>1285</v>
      </c>
      <c r="AB190" s="76" t="s">
        <v>1291</v>
      </c>
      <c r="AC190" s="76" t="s">
        <v>320</v>
      </c>
      <c r="AD190" s="136"/>
    </row>
    <row r="191" customHeight="1" spans="1:30">
      <c r="A191" s="76">
        <v>16</v>
      </c>
      <c r="B191" s="92" t="s">
        <v>327</v>
      </c>
      <c r="C191" s="76" t="s">
        <v>320</v>
      </c>
      <c r="D191" s="76" t="s">
        <v>147</v>
      </c>
      <c r="E191" s="76"/>
      <c r="F191" s="76">
        <f t="shared" ref="F191:J191" si="97">SUM(F192:F208)</f>
        <v>39012</v>
      </c>
      <c r="G191" s="76">
        <f t="shared" si="97"/>
        <v>13004</v>
      </c>
      <c r="H191" s="76">
        <f t="shared" si="97"/>
        <v>13004</v>
      </c>
      <c r="I191" s="76">
        <f t="shared" si="97"/>
        <v>13004</v>
      </c>
      <c r="J191" s="76">
        <f t="shared" si="97"/>
        <v>13004</v>
      </c>
      <c r="K191" s="76">
        <v>2018</v>
      </c>
      <c r="L191" s="76">
        <v>2020</v>
      </c>
      <c r="M191" s="76">
        <v>2018</v>
      </c>
      <c r="N191" s="76">
        <v>2020</v>
      </c>
      <c r="O191" s="76">
        <f t="shared" ref="O191:W191" si="98">SUM(O192:O208)</f>
        <v>702.216</v>
      </c>
      <c r="P191" s="76">
        <f t="shared" si="98"/>
        <v>234.072</v>
      </c>
      <c r="Q191" s="76">
        <f t="shared" si="98"/>
        <v>234.072</v>
      </c>
      <c r="R191" s="76">
        <f t="shared" si="98"/>
        <v>234.072</v>
      </c>
      <c r="S191" s="76">
        <f t="shared" si="98"/>
        <v>315.9972</v>
      </c>
      <c r="T191" s="76">
        <f t="shared" si="98"/>
        <v>0</v>
      </c>
      <c r="U191" s="76">
        <f t="shared" si="98"/>
        <v>386.2188</v>
      </c>
      <c r="V191" s="76">
        <f t="shared" si="98"/>
        <v>0</v>
      </c>
      <c r="W191" s="76">
        <f t="shared" si="98"/>
        <v>0</v>
      </c>
      <c r="X191" s="583" t="s">
        <v>1038</v>
      </c>
      <c r="Y191" s="76"/>
      <c r="Z191" s="76"/>
      <c r="AA191" s="76" t="s">
        <v>1285</v>
      </c>
      <c r="AB191" s="76" t="s">
        <v>1291</v>
      </c>
      <c r="AC191" s="76" t="s">
        <v>195</v>
      </c>
      <c r="AD191" s="136"/>
    </row>
    <row r="192" customHeight="1" spans="1:30">
      <c r="A192" s="76"/>
      <c r="B192" s="212" t="s">
        <v>1265</v>
      </c>
      <c r="C192" s="76" t="s">
        <v>320</v>
      </c>
      <c r="D192" s="76" t="s">
        <v>147</v>
      </c>
      <c r="E192" s="76"/>
      <c r="F192" s="76">
        <f t="shared" ref="F192:F208" si="99">SUM(G192:I192)</f>
        <v>549</v>
      </c>
      <c r="G192" s="76">
        <f t="shared" ref="G192:G208" si="100">L192</f>
        <v>183</v>
      </c>
      <c r="H192" s="76">
        <v>183</v>
      </c>
      <c r="I192" s="76">
        <v>183</v>
      </c>
      <c r="J192" s="76">
        <f t="shared" ref="J192:J208" si="101">L192</f>
        <v>183</v>
      </c>
      <c r="K192" s="584">
        <v>54</v>
      </c>
      <c r="L192" s="584">
        <v>183</v>
      </c>
      <c r="M192" s="76">
        <v>2018</v>
      </c>
      <c r="N192" s="76">
        <v>2020</v>
      </c>
      <c r="O192" s="76">
        <f t="shared" ref="O192:O226" si="102">SUM(P192:R192)</f>
        <v>9.882</v>
      </c>
      <c r="P192" s="76">
        <f t="shared" ref="P192:P208" si="103">0.018*J192</f>
        <v>3.294</v>
      </c>
      <c r="Q192" s="76">
        <f t="shared" ref="Q192:Q208" si="104">0.018*J192</f>
        <v>3.294</v>
      </c>
      <c r="R192" s="76">
        <f t="shared" ref="R192:R208" si="105">0.018*J192</f>
        <v>3.294</v>
      </c>
      <c r="S192" s="76">
        <f t="shared" ref="S192:S208" si="106">0.45*O192</f>
        <v>4.4469</v>
      </c>
      <c r="T192" s="76"/>
      <c r="U192" s="76">
        <f t="shared" ref="U192:U208" si="107">0.55*O192</f>
        <v>5.4351</v>
      </c>
      <c r="V192" s="76"/>
      <c r="W192" s="76"/>
      <c r="X192" s="583"/>
      <c r="Y192" s="76"/>
      <c r="Z192" s="76"/>
      <c r="AA192" s="76"/>
      <c r="AB192" s="76"/>
      <c r="AC192" s="76"/>
      <c r="AD192" s="136"/>
    </row>
    <row r="193" customHeight="1" spans="1:30">
      <c r="A193" s="76"/>
      <c r="B193" s="212" t="s">
        <v>1266</v>
      </c>
      <c r="C193" s="76" t="s">
        <v>320</v>
      </c>
      <c r="D193" s="76" t="s">
        <v>147</v>
      </c>
      <c r="E193" s="76"/>
      <c r="F193" s="76">
        <f t="shared" si="99"/>
        <v>1782</v>
      </c>
      <c r="G193" s="76">
        <f t="shared" si="100"/>
        <v>594</v>
      </c>
      <c r="H193" s="76">
        <v>594</v>
      </c>
      <c r="I193" s="76">
        <v>594</v>
      </c>
      <c r="J193" s="76">
        <f t="shared" si="101"/>
        <v>594</v>
      </c>
      <c r="K193" s="584">
        <v>153</v>
      </c>
      <c r="L193" s="584">
        <v>594</v>
      </c>
      <c r="M193" s="76">
        <v>2018</v>
      </c>
      <c r="N193" s="76">
        <v>2020</v>
      </c>
      <c r="O193" s="76">
        <f t="shared" si="102"/>
        <v>32.076</v>
      </c>
      <c r="P193" s="76">
        <f t="shared" si="103"/>
        <v>10.692</v>
      </c>
      <c r="Q193" s="76">
        <f t="shared" si="104"/>
        <v>10.692</v>
      </c>
      <c r="R193" s="76">
        <f t="shared" si="105"/>
        <v>10.692</v>
      </c>
      <c r="S193" s="76">
        <f t="shared" si="106"/>
        <v>14.4342</v>
      </c>
      <c r="T193" s="76"/>
      <c r="U193" s="76">
        <f t="shared" si="107"/>
        <v>17.6418</v>
      </c>
      <c r="V193" s="76"/>
      <c r="W193" s="76"/>
      <c r="X193" s="583"/>
      <c r="Y193" s="76"/>
      <c r="Z193" s="76"/>
      <c r="AA193" s="76"/>
      <c r="AB193" s="76"/>
      <c r="AC193" s="76"/>
      <c r="AD193" s="136"/>
    </row>
    <row r="194" customHeight="1" spans="1:30">
      <c r="A194" s="76"/>
      <c r="B194" s="212" t="s">
        <v>1267</v>
      </c>
      <c r="C194" s="76" t="s">
        <v>320</v>
      </c>
      <c r="D194" s="76" t="s">
        <v>147</v>
      </c>
      <c r="E194" s="76"/>
      <c r="F194" s="76">
        <f t="shared" si="99"/>
        <v>1509</v>
      </c>
      <c r="G194" s="76">
        <f t="shared" si="100"/>
        <v>503</v>
      </c>
      <c r="H194" s="76">
        <v>503</v>
      </c>
      <c r="I194" s="76">
        <v>503</v>
      </c>
      <c r="J194" s="76">
        <f t="shared" si="101"/>
        <v>503</v>
      </c>
      <c r="K194" s="584">
        <v>126</v>
      </c>
      <c r="L194" s="584">
        <v>503</v>
      </c>
      <c r="M194" s="76">
        <v>2018</v>
      </c>
      <c r="N194" s="76">
        <v>2020</v>
      </c>
      <c r="O194" s="76">
        <f t="shared" si="102"/>
        <v>27.162</v>
      </c>
      <c r="P194" s="76">
        <f t="shared" si="103"/>
        <v>9.054</v>
      </c>
      <c r="Q194" s="76">
        <f t="shared" si="104"/>
        <v>9.054</v>
      </c>
      <c r="R194" s="76">
        <f t="shared" si="105"/>
        <v>9.054</v>
      </c>
      <c r="S194" s="76">
        <f t="shared" si="106"/>
        <v>12.2229</v>
      </c>
      <c r="T194" s="76"/>
      <c r="U194" s="76">
        <f t="shared" si="107"/>
        <v>14.9391</v>
      </c>
      <c r="V194" s="76"/>
      <c r="W194" s="76"/>
      <c r="X194" s="583"/>
      <c r="Y194" s="76"/>
      <c r="Z194" s="76"/>
      <c r="AA194" s="76"/>
      <c r="AB194" s="76"/>
      <c r="AC194" s="76"/>
      <c r="AD194" s="136"/>
    </row>
    <row r="195" customHeight="1" spans="1:30">
      <c r="A195" s="76"/>
      <c r="B195" s="212" t="s">
        <v>1268</v>
      </c>
      <c r="C195" s="76" t="s">
        <v>320</v>
      </c>
      <c r="D195" s="76" t="s">
        <v>147</v>
      </c>
      <c r="E195" s="76"/>
      <c r="F195" s="76">
        <f t="shared" si="99"/>
        <v>2013</v>
      </c>
      <c r="G195" s="76">
        <f t="shared" si="100"/>
        <v>671</v>
      </c>
      <c r="H195" s="76">
        <v>671</v>
      </c>
      <c r="I195" s="76">
        <v>671</v>
      </c>
      <c r="J195" s="76">
        <f t="shared" si="101"/>
        <v>671</v>
      </c>
      <c r="K195" s="584">
        <v>183</v>
      </c>
      <c r="L195" s="584">
        <v>671</v>
      </c>
      <c r="M195" s="76">
        <v>2018</v>
      </c>
      <c r="N195" s="76">
        <v>2020</v>
      </c>
      <c r="O195" s="76">
        <f t="shared" si="102"/>
        <v>36.234</v>
      </c>
      <c r="P195" s="76">
        <f t="shared" si="103"/>
        <v>12.078</v>
      </c>
      <c r="Q195" s="76">
        <f t="shared" si="104"/>
        <v>12.078</v>
      </c>
      <c r="R195" s="76">
        <f t="shared" si="105"/>
        <v>12.078</v>
      </c>
      <c r="S195" s="76">
        <f t="shared" si="106"/>
        <v>16.3053</v>
      </c>
      <c r="T195" s="76"/>
      <c r="U195" s="76">
        <f t="shared" si="107"/>
        <v>19.9287</v>
      </c>
      <c r="V195" s="76"/>
      <c r="W195" s="76"/>
      <c r="X195" s="583"/>
      <c r="Y195" s="76"/>
      <c r="Z195" s="76"/>
      <c r="AA195" s="76"/>
      <c r="AB195" s="76"/>
      <c r="AC195" s="76"/>
      <c r="AD195" s="136"/>
    </row>
    <row r="196" customHeight="1" spans="1:30">
      <c r="A196" s="76"/>
      <c r="B196" s="212" t="s">
        <v>1275</v>
      </c>
      <c r="C196" s="76" t="s">
        <v>320</v>
      </c>
      <c r="D196" s="76" t="s">
        <v>147</v>
      </c>
      <c r="E196" s="76"/>
      <c r="F196" s="76">
        <f t="shared" si="99"/>
        <v>2961</v>
      </c>
      <c r="G196" s="76">
        <f t="shared" si="100"/>
        <v>987</v>
      </c>
      <c r="H196" s="76">
        <v>987</v>
      </c>
      <c r="I196" s="76">
        <v>987</v>
      </c>
      <c r="J196" s="76">
        <f t="shared" si="101"/>
        <v>987</v>
      </c>
      <c r="K196" s="584">
        <v>268</v>
      </c>
      <c r="L196" s="584">
        <v>987</v>
      </c>
      <c r="M196" s="76">
        <v>2018</v>
      </c>
      <c r="N196" s="76">
        <v>2020</v>
      </c>
      <c r="O196" s="76">
        <f t="shared" si="102"/>
        <v>53.298</v>
      </c>
      <c r="P196" s="76">
        <f t="shared" si="103"/>
        <v>17.766</v>
      </c>
      <c r="Q196" s="76">
        <f t="shared" si="104"/>
        <v>17.766</v>
      </c>
      <c r="R196" s="76">
        <f t="shared" si="105"/>
        <v>17.766</v>
      </c>
      <c r="S196" s="76">
        <f t="shared" si="106"/>
        <v>23.9841</v>
      </c>
      <c r="T196" s="76"/>
      <c r="U196" s="76">
        <f t="shared" si="107"/>
        <v>29.3139</v>
      </c>
      <c r="V196" s="76"/>
      <c r="W196" s="76"/>
      <c r="X196" s="583"/>
      <c r="Y196" s="76"/>
      <c r="Z196" s="76"/>
      <c r="AA196" s="76"/>
      <c r="AB196" s="76"/>
      <c r="AC196" s="76"/>
      <c r="AD196" s="136"/>
    </row>
    <row r="197" customHeight="1" spans="1:30">
      <c r="A197" s="76"/>
      <c r="B197" s="212" t="s">
        <v>1276</v>
      </c>
      <c r="C197" s="76" t="s">
        <v>320</v>
      </c>
      <c r="D197" s="76" t="s">
        <v>147</v>
      </c>
      <c r="E197" s="76"/>
      <c r="F197" s="76">
        <f t="shared" si="99"/>
        <v>2208</v>
      </c>
      <c r="G197" s="76">
        <f t="shared" si="100"/>
        <v>736</v>
      </c>
      <c r="H197" s="76">
        <v>736</v>
      </c>
      <c r="I197" s="76">
        <v>736</v>
      </c>
      <c r="J197" s="76">
        <f t="shared" si="101"/>
        <v>736</v>
      </c>
      <c r="K197" s="584">
        <v>201</v>
      </c>
      <c r="L197" s="584">
        <v>736</v>
      </c>
      <c r="M197" s="76">
        <v>2018</v>
      </c>
      <c r="N197" s="76">
        <v>2020</v>
      </c>
      <c r="O197" s="76">
        <f t="shared" si="102"/>
        <v>39.744</v>
      </c>
      <c r="P197" s="76">
        <f t="shared" si="103"/>
        <v>13.248</v>
      </c>
      <c r="Q197" s="76">
        <f t="shared" si="104"/>
        <v>13.248</v>
      </c>
      <c r="R197" s="76">
        <f t="shared" si="105"/>
        <v>13.248</v>
      </c>
      <c r="S197" s="76">
        <f t="shared" si="106"/>
        <v>17.8848</v>
      </c>
      <c r="T197" s="76"/>
      <c r="U197" s="76">
        <f t="shared" si="107"/>
        <v>21.8592</v>
      </c>
      <c r="V197" s="76"/>
      <c r="W197" s="76"/>
      <c r="X197" s="583"/>
      <c r="Y197" s="76"/>
      <c r="Z197" s="76"/>
      <c r="AA197" s="76"/>
      <c r="AB197" s="76"/>
      <c r="AC197" s="76"/>
      <c r="AD197" s="136"/>
    </row>
    <row r="198" customHeight="1" spans="1:30">
      <c r="A198" s="76"/>
      <c r="B198" s="212" t="s">
        <v>1277</v>
      </c>
      <c r="C198" s="76" t="s">
        <v>320</v>
      </c>
      <c r="D198" s="76" t="s">
        <v>147</v>
      </c>
      <c r="E198" s="76"/>
      <c r="F198" s="76">
        <f t="shared" si="99"/>
        <v>4815</v>
      </c>
      <c r="G198" s="76">
        <f t="shared" si="100"/>
        <v>1605</v>
      </c>
      <c r="H198" s="76">
        <v>1605</v>
      </c>
      <c r="I198" s="76">
        <v>1605</v>
      </c>
      <c r="J198" s="76">
        <f t="shared" si="101"/>
        <v>1605</v>
      </c>
      <c r="K198" s="584">
        <v>369</v>
      </c>
      <c r="L198" s="584">
        <v>1605</v>
      </c>
      <c r="M198" s="76">
        <v>2018</v>
      </c>
      <c r="N198" s="76">
        <v>2020</v>
      </c>
      <c r="O198" s="76">
        <f t="shared" si="102"/>
        <v>86.67</v>
      </c>
      <c r="P198" s="76">
        <f t="shared" si="103"/>
        <v>28.89</v>
      </c>
      <c r="Q198" s="76">
        <f t="shared" si="104"/>
        <v>28.89</v>
      </c>
      <c r="R198" s="76">
        <f t="shared" si="105"/>
        <v>28.89</v>
      </c>
      <c r="S198" s="76">
        <f t="shared" si="106"/>
        <v>39.0015</v>
      </c>
      <c r="T198" s="76"/>
      <c r="U198" s="76">
        <f t="shared" si="107"/>
        <v>47.6685</v>
      </c>
      <c r="V198" s="76"/>
      <c r="W198" s="76"/>
      <c r="X198" s="583"/>
      <c r="Y198" s="76"/>
      <c r="Z198" s="76"/>
      <c r="AA198" s="76"/>
      <c r="AB198" s="76"/>
      <c r="AC198" s="76"/>
      <c r="AD198" s="136"/>
    </row>
    <row r="199" customHeight="1" spans="1:30">
      <c r="A199" s="76"/>
      <c r="B199" s="212" t="s">
        <v>1278</v>
      </c>
      <c r="C199" s="76" t="s">
        <v>320</v>
      </c>
      <c r="D199" s="76" t="s">
        <v>147</v>
      </c>
      <c r="E199" s="76"/>
      <c r="F199" s="76">
        <f t="shared" si="99"/>
        <v>3150</v>
      </c>
      <c r="G199" s="76">
        <f t="shared" si="100"/>
        <v>1050</v>
      </c>
      <c r="H199" s="76">
        <v>1050</v>
      </c>
      <c r="I199" s="76">
        <v>1050</v>
      </c>
      <c r="J199" s="76">
        <f t="shared" si="101"/>
        <v>1050</v>
      </c>
      <c r="K199" s="584">
        <v>267</v>
      </c>
      <c r="L199" s="584">
        <v>1050</v>
      </c>
      <c r="M199" s="76">
        <v>2018</v>
      </c>
      <c r="N199" s="76">
        <v>2020</v>
      </c>
      <c r="O199" s="76">
        <f t="shared" si="102"/>
        <v>56.7</v>
      </c>
      <c r="P199" s="76">
        <f t="shared" si="103"/>
        <v>18.9</v>
      </c>
      <c r="Q199" s="76">
        <f t="shared" si="104"/>
        <v>18.9</v>
      </c>
      <c r="R199" s="76">
        <f t="shared" si="105"/>
        <v>18.9</v>
      </c>
      <c r="S199" s="76">
        <f t="shared" si="106"/>
        <v>25.515</v>
      </c>
      <c r="T199" s="76"/>
      <c r="U199" s="76">
        <f t="shared" si="107"/>
        <v>31.185</v>
      </c>
      <c r="V199" s="76"/>
      <c r="W199" s="76"/>
      <c r="X199" s="583"/>
      <c r="Y199" s="76"/>
      <c r="Z199" s="76"/>
      <c r="AA199" s="76"/>
      <c r="AB199" s="76"/>
      <c r="AC199" s="76"/>
      <c r="AD199" s="136"/>
    </row>
    <row r="200" customHeight="1" spans="1:30">
      <c r="A200" s="76"/>
      <c r="B200" s="212" t="s">
        <v>1279</v>
      </c>
      <c r="C200" s="76" t="s">
        <v>320</v>
      </c>
      <c r="D200" s="76" t="s">
        <v>147</v>
      </c>
      <c r="E200" s="76"/>
      <c r="F200" s="76">
        <f t="shared" si="99"/>
        <v>1968</v>
      </c>
      <c r="G200" s="76">
        <f t="shared" si="100"/>
        <v>656</v>
      </c>
      <c r="H200" s="76">
        <v>656</v>
      </c>
      <c r="I200" s="76">
        <v>656</v>
      </c>
      <c r="J200" s="76">
        <f t="shared" si="101"/>
        <v>656</v>
      </c>
      <c r="K200" s="584">
        <v>174</v>
      </c>
      <c r="L200" s="584">
        <v>656</v>
      </c>
      <c r="M200" s="76">
        <v>2018</v>
      </c>
      <c r="N200" s="76">
        <v>2020</v>
      </c>
      <c r="O200" s="76">
        <f t="shared" si="102"/>
        <v>35.424</v>
      </c>
      <c r="P200" s="76">
        <f t="shared" si="103"/>
        <v>11.808</v>
      </c>
      <c r="Q200" s="76">
        <f t="shared" si="104"/>
        <v>11.808</v>
      </c>
      <c r="R200" s="76">
        <f t="shared" si="105"/>
        <v>11.808</v>
      </c>
      <c r="S200" s="76">
        <f t="shared" si="106"/>
        <v>15.9408</v>
      </c>
      <c r="T200" s="76"/>
      <c r="U200" s="76">
        <f t="shared" si="107"/>
        <v>19.4832</v>
      </c>
      <c r="V200" s="76"/>
      <c r="W200" s="76"/>
      <c r="X200" s="583"/>
      <c r="Y200" s="76"/>
      <c r="Z200" s="76"/>
      <c r="AA200" s="76"/>
      <c r="AB200" s="76"/>
      <c r="AC200" s="76"/>
      <c r="AD200" s="136"/>
    </row>
    <row r="201" customHeight="1" spans="1:30">
      <c r="A201" s="76"/>
      <c r="B201" s="212" t="s">
        <v>1280</v>
      </c>
      <c r="C201" s="76" t="s">
        <v>320</v>
      </c>
      <c r="D201" s="76" t="s">
        <v>147</v>
      </c>
      <c r="E201" s="76"/>
      <c r="F201" s="76">
        <f t="shared" si="99"/>
        <v>1029</v>
      </c>
      <c r="G201" s="76">
        <f t="shared" si="100"/>
        <v>343</v>
      </c>
      <c r="H201" s="76">
        <v>343</v>
      </c>
      <c r="I201" s="76">
        <v>343</v>
      </c>
      <c r="J201" s="76">
        <f t="shared" si="101"/>
        <v>343</v>
      </c>
      <c r="K201" s="584">
        <v>90</v>
      </c>
      <c r="L201" s="584">
        <v>343</v>
      </c>
      <c r="M201" s="76">
        <v>2018</v>
      </c>
      <c r="N201" s="76">
        <v>2020</v>
      </c>
      <c r="O201" s="76">
        <f t="shared" si="102"/>
        <v>18.522</v>
      </c>
      <c r="P201" s="76">
        <f t="shared" si="103"/>
        <v>6.174</v>
      </c>
      <c r="Q201" s="76">
        <f t="shared" si="104"/>
        <v>6.174</v>
      </c>
      <c r="R201" s="76">
        <f t="shared" si="105"/>
        <v>6.174</v>
      </c>
      <c r="S201" s="76">
        <f t="shared" si="106"/>
        <v>8.3349</v>
      </c>
      <c r="T201" s="76"/>
      <c r="U201" s="76">
        <f t="shared" si="107"/>
        <v>10.1871</v>
      </c>
      <c r="V201" s="76"/>
      <c r="W201" s="76"/>
      <c r="X201" s="583"/>
      <c r="Y201" s="76"/>
      <c r="Z201" s="76"/>
      <c r="AA201" s="76"/>
      <c r="AB201" s="76"/>
      <c r="AC201" s="76"/>
      <c r="AD201" s="136"/>
    </row>
    <row r="202" customHeight="1" spans="1:30">
      <c r="A202" s="76"/>
      <c r="B202" s="212" t="s">
        <v>1269</v>
      </c>
      <c r="C202" s="76" t="s">
        <v>320</v>
      </c>
      <c r="D202" s="76" t="s">
        <v>147</v>
      </c>
      <c r="E202" s="76"/>
      <c r="F202" s="76">
        <f t="shared" si="99"/>
        <v>2295</v>
      </c>
      <c r="G202" s="76">
        <f t="shared" si="100"/>
        <v>765</v>
      </c>
      <c r="H202" s="76">
        <v>765</v>
      </c>
      <c r="I202" s="76">
        <v>765</v>
      </c>
      <c r="J202" s="76">
        <f t="shared" si="101"/>
        <v>765</v>
      </c>
      <c r="K202" s="584">
        <v>188</v>
      </c>
      <c r="L202" s="584">
        <v>765</v>
      </c>
      <c r="M202" s="76">
        <v>2018</v>
      </c>
      <c r="N202" s="76">
        <v>2020</v>
      </c>
      <c r="O202" s="76">
        <f t="shared" si="102"/>
        <v>41.31</v>
      </c>
      <c r="P202" s="76">
        <f t="shared" si="103"/>
        <v>13.77</v>
      </c>
      <c r="Q202" s="76">
        <f t="shared" si="104"/>
        <v>13.77</v>
      </c>
      <c r="R202" s="76">
        <f t="shared" si="105"/>
        <v>13.77</v>
      </c>
      <c r="S202" s="76">
        <f t="shared" si="106"/>
        <v>18.5895</v>
      </c>
      <c r="T202" s="76"/>
      <c r="U202" s="76">
        <f t="shared" si="107"/>
        <v>22.7205</v>
      </c>
      <c r="V202" s="76"/>
      <c r="W202" s="76"/>
      <c r="X202" s="583"/>
      <c r="Y202" s="76"/>
      <c r="Z202" s="76"/>
      <c r="AA202" s="76"/>
      <c r="AB202" s="76"/>
      <c r="AC202" s="76"/>
      <c r="AD202" s="136"/>
    </row>
    <row r="203" customHeight="1" spans="1:30">
      <c r="A203" s="76"/>
      <c r="B203" s="212" t="s">
        <v>1270</v>
      </c>
      <c r="C203" s="76" t="s">
        <v>320</v>
      </c>
      <c r="D203" s="76" t="s">
        <v>147</v>
      </c>
      <c r="E203" s="76"/>
      <c r="F203" s="76">
        <f t="shared" si="99"/>
        <v>2703</v>
      </c>
      <c r="G203" s="76">
        <f t="shared" si="100"/>
        <v>901</v>
      </c>
      <c r="H203" s="76">
        <v>901</v>
      </c>
      <c r="I203" s="76">
        <v>901</v>
      </c>
      <c r="J203" s="76">
        <f t="shared" si="101"/>
        <v>901</v>
      </c>
      <c r="K203" s="584">
        <v>209</v>
      </c>
      <c r="L203" s="584">
        <v>901</v>
      </c>
      <c r="M203" s="76">
        <v>2018</v>
      </c>
      <c r="N203" s="76">
        <v>2020</v>
      </c>
      <c r="O203" s="76">
        <f t="shared" si="102"/>
        <v>48.654</v>
      </c>
      <c r="P203" s="76">
        <f t="shared" si="103"/>
        <v>16.218</v>
      </c>
      <c r="Q203" s="76">
        <f t="shared" si="104"/>
        <v>16.218</v>
      </c>
      <c r="R203" s="76">
        <f t="shared" si="105"/>
        <v>16.218</v>
      </c>
      <c r="S203" s="76">
        <f t="shared" si="106"/>
        <v>21.8943</v>
      </c>
      <c r="T203" s="76"/>
      <c r="U203" s="76">
        <f t="shared" si="107"/>
        <v>26.7597</v>
      </c>
      <c r="V203" s="76"/>
      <c r="W203" s="76"/>
      <c r="X203" s="583"/>
      <c r="Y203" s="76"/>
      <c r="Z203" s="76"/>
      <c r="AA203" s="76"/>
      <c r="AB203" s="76"/>
      <c r="AC203" s="76"/>
      <c r="AD203" s="136"/>
    </row>
    <row r="204" customHeight="1" spans="1:30">
      <c r="A204" s="76"/>
      <c r="B204" s="212" t="s">
        <v>1281</v>
      </c>
      <c r="C204" s="76" t="s">
        <v>320</v>
      </c>
      <c r="D204" s="76" t="s">
        <v>147</v>
      </c>
      <c r="E204" s="76"/>
      <c r="F204" s="76">
        <f t="shared" si="99"/>
        <v>2979</v>
      </c>
      <c r="G204" s="76">
        <f t="shared" si="100"/>
        <v>993</v>
      </c>
      <c r="H204" s="76">
        <v>993</v>
      </c>
      <c r="I204" s="76">
        <v>993</v>
      </c>
      <c r="J204" s="76">
        <f t="shared" si="101"/>
        <v>993</v>
      </c>
      <c r="K204" s="584">
        <v>230</v>
      </c>
      <c r="L204" s="584">
        <v>993</v>
      </c>
      <c r="M204" s="76">
        <v>2018</v>
      </c>
      <c r="N204" s="76">
        <v>2020</v>
      </c>
      <c r="O204" s="76">
        <f t="shared" si="102"/>
        <v>53.622</v>
      </c>
      <c r="P204" s="76">
        <f t="shared" si="103"/>
        <v>17.874</v>
      </c>
      <c r="Q204" s="76">
        <f t="shared" si="104"/>
        <v>17.874</v>
      </c>
      <c r="R204" s="76">
        <f t="shared" si="105"/>
        <v>17.874</v>
      </c>
      <c r="S204" s="76">
        <f t="shared" si="106"/>
        <v>24.1299</v>
      </c>
      <c r="T204" s="76"/>
      <c r="U204" s="76">
        <f t="shared" si="107"/>
        <v>29.4921</v>
      </c>
      <c r="V204" s="76"/>
      <c r="W204" s="76"/>
      <c r="X204" s="583"/>
      <c r="Y204" s="76"/>
      <c r="Z204" s="76"/>
      <c r="AA204" s="76"/>
      <c r="AB204" s="76"/>
      <c r="AC204" s="76"/>
      <c r="AD204" s="136"/>
    </row>
    <row r="205" customHeight="1" spans="1:30">
      <c r="A205" s="76"/>
      <c r="B205" s="212" t="s">
        <v>1271</v>
      </c>
      <c r="C205" s="76" t="s">
        <v>320</v>
      </c>
      <c r="D205" s="76" t="s">
        <v>147</v>
      </c>
      <c r="E205" s="76"/>
      <c r="F205" s="76">
        <f t="shared" si="99"/>
        <v>2814</v>
      </c>
      <c r="G205" s="76">
        <f t="shared" si="100"/>
        <v>938</v>
      </c>
      <c r="H205" s="76">
        <v>938</v>
      </c>
      <c r="I205" s="76">
        <v>938</v>
      </c>
      <c r="J205" s="76">
        <f t="shared" si="101"/>
        <v>938</v>
      </c>
      <c r="K205" s="584">
        <v>228</v>
      </c>
      <c r="L205" s="584">
        <v>938</v>
      </c>
      <c r="M205" s="76">
        <v>2018</v>
      </c>
      <c r="N205" s="76">
        <v>2020</v>
      </c>
      <c r="O205" s="76">
        <f t="shared" si="102"/>
        <v>50.652</v>
      </c>
      <c r="P205" s="76">
        <f t="shared" si="103"/>
        <v>16.884</v>
      </c>
      <c r="Q205" s="76">
        <f t="shared" si="104"/>
        <v>16.884</v>
      </c>
      <c r="R205" s="76">
        <f t="shared" si="105"/>
        <v>16.884</v>
      </c>
      <c r="S205" s="76">
        <f t="shared" si="106"/>
        <v>22.7934</v>
      </c>
      <c r="T205" s="76"/>
      <c r="U205" s="76">
        <f t="shared" si="107"/>
        <v>27.8586</v>
      </c>
      <c r="V205" s="76"/>
      <c r="W205" s="76"/>
      <c r="X205" s="583"/>
      <c r="Y205" s="76"/>
      <c r="Z205" s="76"/>
      <c r="AA205" s="76"/>
      <c r="AB205" s="76"/>
      <c r="AC205" s="76"/>
      <c r="AD205" s="136"/>
    </row>
    <row r="206" customHeight="1" spans="1:30">
      <c r="A206" s="76"/>
      <c r="B206" s="212" t="s">
        <v>1282</v>
      </c>
      <c r="C206" s="76" t="s">
        <v>320</v>
      </c>
      <c r="D206" s="76" t="s">
        <v>147</v>
      </c>
      <c r="E206" s="76"/>
      <c r="F206" s="76">
        <f t="shared" si="99"/>
        <v>3948</v>
      </c>
      <c r="G206" s="76">
        <f t="shared" si="100"/>
        <v>1316</v>
      </c>
      <c r="H206" s="76">
        <v>1316</v>
      </c>
      <c r="I206" s="76">
        <v>1316</v>
      </c>
      <c r="J206" s="76">
        <f t="shared" si="101"/>
        <v>1316</v>
      </c>
      <c r="K206" s="584">
        <v>299</v>
      </c>
      <c r="L206" s="584">
        <v>1316</v>
      </c>
      <c r="M206" s="76">
        <v>2018</v>
      </c>
      <c r="N206" s="76">
        <v>2020</v>
      </c>
      <c r="O206" s="76">
        <f t="shared" si="102"/>
        <v>71.064</v>
      </c>
      <c r="P206" s="76">
        <f t="shared" si="103"/>
        <v>23.688</v>
      </c>
      <c r="Q206" s="76">
        <f t="shared" si="104"/>
        <v>23.688</v>
      </c>
      <c r="R206" s="76">
        <f t="shared" si="105"/>
        <v>23.688</v>
      </c>
      <c r="S206" s="76">
        <f t="shared" si="106"/>
        <v>31.9788</v>
      </c>
      <c r="T206" s="76"/>
      <c r="U206" s="76">
        <f t="shared" si="107"/>
        <v>39.0852</v>
      </c>
      <c r="V206" s="76"/>
      <c r="W206" s="76"/>
      <c r="X206" s="583"/>
      <c r="Y206" s="76"/>
      <c r="Z206" s="76"/>
      <c r="AA206" s="76"/>
      <c r="AB206" s="76"/>
      <c r="AC206" s="76"/>
      <c r="AD206" s="136"/>
    </row>
    <row r="207" customHeight="1" spans="1:30">
      <c r="A207" s="76"/>
      <c r="B207" s="212" t="s">
        <v>1283</v>
      </c>
      <c r="C207" s="76" t="s">
        <v>320</v>
      </c>
      <c r="D207" s="76" t="s">
        <v>147</v>
      </c>
      <c r="E207" s="76"/>
      <c r="F207" s="76">
        <f t="shared" si="99"/>
        <v>1752</v>
      </c>
      <c r="G207" s="76">
        <f t="shared" si="100"/>
        <v>584</v>
      </c>
      <c r="H207" s="76">
        <v>584</v>
      </c>
      <c r="I207" s="76">
        <v>584</v>
      </c>
      <c r="J207" s="76">
        <f t="shared" si="101"/>
        <v>584</v>
      </c>
      <c r="K207" s="584">
        <v>129</v>
      </c>
      <c r="L207" s="584">
        <v>584</v>
      </c>
      <c r="M207" s="76">
        <v>2018</v>
      </c>
      <c r="N207" s="76">
        <v>2020</v>
      </c>
      <c r="O207" s="76">
        <f t="shared" si="102"/>
        <v>31.536</v>
      </c>
      <c r="P207" s="76">
        <f t="shared" si="103"/>
        <v>10.512</v>
      </c>
      <c r="Q207" s="76">
        <f t="shared" si="104"/>
        <v>10.512</v>
      </c>
      <c r="R207" s="76">
        <f t="shared" si="105"/>
        <v>10.512</v>
      </c>
      <c r="S207" s="76">
        <f t="shared" si="106"/>
        <v>14.1912</v>
      </c>
      <c r="T207" s="76"/>
      <c r="U207" s="76">
        <f t="shared" si="107"/>
        <v>17.3448</v>
      </c>
      <c r="V207" s="76"/>
      <c r="W207" s="76"/>
      <c r="X207" s="583"/>
      <c r="Y207" s="76"/>
      <c r="Z207" s="76"/>
      <c r="AA207" s="76"/>
      <c r="AB207" s="76"/>
      <c r="AC207" s="76"/>
      <c r="AD207" s="136"/>
    </row>
    <row r="208" customHeight="1" spans="1:30">
      <c r="A208" s="76"/>
      <c r="B208" s="212" t="s">
        <v>1284</v>
      </c>
      <c r="C208" s="76" t="s">
        <v>320</v>
      </c>
      <c r="D208" s="76" t="s">
        <v>147</v>
      </c>
      <c r="E208" s="76"/>
      <c r="F208" s="76">
        <f t="shared" si="99"/>
        <v>537</v>
      </c>
      <c r="G208" s="76">
        <f t="shared" si="100"/>
        <v>179</v>
      </c>
      <c r="H208" s="76">
        <v>179</v>
      </c>
      <c r="I208" s="76">
        <v>179</v>
      </c>
      <c r="J208" s="76">
        <f t="shared" si="101"/>
        <v>179</v>
      </c>
      <c r="K208" s="584">
        <v>50</v>
      </c>
      <c r="L208" s="584">
        <v>179</v>
      </c>
      <c r="M208" s="76">
        <v>2018</v>
      </c>
      <c r="N208" s="76">
        <v>2020</v>
      </c>
      <c r="O208" s="76">
        <f t="shared" si="102"/>
        <v>9.666</v>
      </c>
      <c r="P208" s="76">
        <f t="shared" si="103"/>
        <v>3.222</v>
      </c>
      <c r="Q208" s="76">
        <f t="shared" si="104"/>
        <v>3.222</v>
      </c>
      <c r="R208" s="76">
        <f t="shared" si="105"/>
        <v>3.222</v>
      </c>
      <c r="S208" s="76">
        <f t="shared" si="106"/>
        <v>4.3497</v>
      </c>
      <c r="T208" s="76"/>
      <c r="U208" s="76">
        <f t="shared" si="107"/>
        <v>5.3163</v>
      </c>
      <c r="V208" s="76"/>
      <c r="W208" s="76"/>
      <c r="X208" s="583"/>
      <c r="Y208" s="76"/>
      <c r="Z208" s="76"/>
      <c r="AA208" s="76"/>
      <c r="AB208" s="76"/>
      <c r="AC208" s="76"/>
      <c r="AD208" s="136"/>
    </row>
    <row r="209" customHeight="1" spans="1:30">
      <c r="A209" s="76">
        <v>17</v>
      </c>
      <c r="B209" s="92" t="s">
        <v>332</v>
      </c>
      <c r="C209" s="76" t="s">
        <v>320</v>
      </c>
      <c r="D209" s="76" t="s">
        <v>147</v>
      </c>
      <c r="E209" s="76"/>
      <c r="F209" s="76">
        <f t="shared" ref="F209:J209" si="108">SUM(F210:F226)</f>
        <v>39012</v>
      </c>
      <c r="G209" s="76">
        <f t="shared" si="108"/>
        <v>13004</v>
      </c>
      <c r="H209" s="76">
        <f t="shared" si="108"/>
        <v>13004</v>
      </c>
      <c r="I209" s="76">
        <f t="shared" si="108"/>
        <v>13004</v>
      </c>
      <c r="J209" s="76">
        <f t="shared" si="108"/>
        <v>13004</v>
      </c>
      <c r="K209" s="76">
        <v>2018</v>
      </c>
      <c r="L209" s="76">
        <v>2020</v>
      </c>
      <c r="M209" s="76">
        <v>2018</v>
      </c>
      <c r="N209" s="76">
        <v>2020</v>
      </c>
      <c r="O209" s="76">
        <f t="shared" si="102"/>
        <v>0</v>
      </c>
      <c r="P209" s="76">
        <v>0</v>
      </c>
      <c r="Q209" s="76">
        <v>0</v>
      </c>
      <c r="R209" s="76">
        <v>0</v>
      </c>
      <c r="S209" s="76"/>
      <c r="T209" s="76"/>
      <c r="U209" s="76"/>
      <c r="V209" s="76"/>
      <c r="W209" s="76"/>
      <c r="X209" s="583" t="s">
        <v>1038</v>
      </c>
      <c r="Y209" s="76"/>
      <c r="Z209" s="76"/>
      <c r="AA209" s="76" t="s">
        <v>1285</v>
      </c>
      <c r="AB209" s="76" t="s">
        <v>1291</v>
      </c>
      <c r="AC209" s="76" t="s">
        <v>195</v>
      </c>
      <c r="AD209" s="136"/>
    </row>
    <row r="210" customHeight="1" spans="1:30">
      <c r="A210" s="76"/>
      <c r="B210" s="212" t="s">
        <v>1265</v>
      </c>
      <c r="C210" s="76" t="s">
        <v>320</v>
      </c>
      <c r="D210" s="76" t="s">
        <v>147</v>
      </c>
      <c r="E210" s="76"/>
      <c r="F210" s="76">
        <f t="shared" ref="F210:F226" si="109">SUM(G210:I210)</f>
        <v>549</v>
      </c>
      <c r="G210" s="76">
        <v>183</v>
      </c>
      <c r="H210" s="76">
        <v>183</v>
      </c>
      <c r="I210" s="76">
        <v>183</v>
      </c>
      <c r="J210" s="76">
        <f t="shared" ref="J210:J226" si="110">L210</f>
        <v>183</v>
      </c>
      <c r="K210" s="584">
        <v>54</v>
      </c>
      <c r="L210" s="584">
        <v>183</v>
      </c>
      <c r="M210" s="76">
        <v>2018</v>
      </c>
      <c r="N210" s="76">
        <v>2020</v>
      </c>
      <c r="O210" s="76">
        <f t="shared" si="102"/>
        <v>0</v>
      </c>
      <c r="P210" s="76"/>
      <c r="Q210" s="76"/>
      <c r="R210" s="76"/>
      <c r="S210" s="76"/>
      <c r="T210" s="76"/>
      <c r="U210" s="76"/>
      <c r="V210" s="76"/>
      <c r="W210" s="76"/>
      <c r="X210" s="583"/>
      <c r="Y210" s="76"/>
      <c r="Z210" s="76"/>
      <c r="AA210" s="76"/>
      <c r="AB210" s="76"/>
      <c r="AC210" s="76"/>
      <c r="AD210" s="136"/>
    </row>
    <row r="211" customHeight="1" spans="1:30">
      <c r="A211" s="76"/>
      <c r="B211" s="212" t="s">
        <v>1266</v>
      </c>
      <c r="C211" s="76" t="s">
        <v>320</v>
      </c>
      <c r="D211" s="76" t="s">
        <v>147</v>
      </c>
      <c r="E211" s="76"/>
      <c r="F211" s="76">
        <f t="shared" si="109"/>
        <v>1782</v>
      </c>
      <c r="G211" s="76">
        <v>594</v>
      </c>
      <c r="H211" s="76">
        <v>594</v>
      </c>
      <c r="I211" s="76">
        <v>594</v>
      </c>
      <c r="J211" s="76">
        <f t="shared" si="110"/>
        <v>594</v>
      </c>
      <c r="K211" s="584">
        <v>153</v>
      </c>
      <c r="L211" s="584">
        <v>594</v>
      </c>
      <c r="M211" s="76">
        <v>2018</v>
      </c>
      <c r="N211" s="76">
        <v>2020</v>
      </c>
      <c r="O211" s="76">
        <f t="shared" si="102"/>
        <v>0</v>
      </c>
      <c r="P211" s="76"/>
      <c r="Q211" s="76"/>
      <c r="R211" s="76"/>
      <c r="S211" s="76"/>
      <c r="T211" s="76"/>
      <c r="U211" s="76"/>
      <c r="V211" s="76"/>
      <c r="W211" s="76"/>
      <c r="X211" s="583"/>
      <c r="Y211" s="76"/>
      <c r="Z211" s="76"/>
      <c r="AA211" s="76"/>
      <c r="AB211" s="76"/>
      <c r="AC211" s="76"/>
      <c r="AD211" s="136"/>
    </row>
    <row r="212" customHeight="1" spans="1:30">
      <c r="A212" s="76"/>
      <c r="B212" s="212" t="s">
        <v>1267</v>
      </c>
      <c r="C212" s="76" t="s">
        <v>320</v>
      </c>
      <c r="D212" s="76" t="s">
        <v>147</v>
      </c>
      <c r="E212" s="76"/>
      <c r="F212" s="76">
        <f t="shared" si="109"/>
        <v>1509</v>
      </c>
      <c r="G212" s="76">
        <v>503</v>
      </c>
      <c r="H212" s="76">
        <v>503</v>
      </c>
      <c r="I212" s="76">
        <v>503</v>
      </c>
      <c r="J212" s="76">
        <f t="shared" si="110"/>
        <v>503</v>
      </c>
      <c r="K212" s="584">
        <v>126</v>
      </c>
      <c r="L212" s="584">
        <v>503</v>
      </c>
      <c r="M212" s="76">
        <v>2018</v>
      </c>
      <c r="N212" s="76">
        <v>2020</v>
      </c>
      <c r="O212" s="76">
        <f t="shared" si="102"/>
        <v>0</v>
      </c>
      <c r="P212" s="76"/>
      <c r="Q212" s="76"/>
      <c r="R212" s="76"/>
      <c r="S212" s="76"/>
      <c r="T212" s="76"/>
      <c r="U212" s="76"/>
      <c r="V212" s="76"/>
      <c r="W212" s="76"/>
      <c r="X212" s="583"/>
      <c r="Y212" s="76"/>
      <c r="Z212" s="76"/>
      <c r="AA212" s="76"/>
      <c r="AB212" s="76"/>
      <c r="AC212" s="76"/>
      <c r="AD212" s="136"/>
    </row>
    <row r="213" customHeight="1" spans="1:30">
      <c r="A213" s="76"/>
      <c r="B213" s="212" t="s">
        <v>1268</v>
      </c>
      <c r="C213" s="76" t="s">
        <v>320</v>
      </c>
      <c r="D213" s="76" t="s">
        <v>147</v>
      </c>
      <c r="E213" s="76"/>
      <c r="F213" s="76">
        <f t="shared" si="109"/>
        <v>2013</v>
      </c>
      <c r="G213" s="76">
        <v>671</v>
      </c>
      <c r="H213" s="76">
        <v>671</v>
      </c>
      <c r="I213" s="76">
        <v>671</v>
      </c>
      <c r="J213" s="76">
        <f t="shared" si="110"/>
        <v>671</v>
      </c>
      <c r="K213" s="584">
        <v>183</v>
      </c>
      <c r="L213" s="584">
        <v>671</v>
      </c>
      <c r="M213" s="76">
        <v>2018</v>
      </c>
      <c r="N213" s="76">
        <v>2020</v>
      </c>
      <c r="O213" s="76">
        <f t="shared" si="102"/>
        <v>0</v>
      </c>
      <c r="P213" s="76"/>
      <c r="Q213" s="76"/>
      <c r="R213" s="76"/>
      <c r="S213" s="76"/>
      <c r="T213" s="76"/>
      <c r="U213" s="76"/>
      <c r="V213" s="76"/>
      <c r="W213" s="76"/>
      <c r="X213" s="583"/>
      <c r="Y213" s="76"/>
      <c r="Z213" s="76"/>
      <c r="AA213" s="76"/>
      <c r="AB213" s="76"/>
      <c r="AC213" s="76"/>
      <c r="AD213" s="136"/>
    </row>
    <row r="214" customHeight="1" spans="1:30">
      <c r="A214" s="76"/>
      <c r="B214" s="212" t="s">
        <v>1275</v>
      </c>
      <c r="C214" s="76" t="s">
        <v>320</v>
      </c>
      <c r="D214" s="76" t="s">
        <v>147</v>
      </c>
      <c r="E214" s="76"/>
      <c r="F214" s="76">
        <f t="shared" si="109"/>
        <v>2961</v>
      </c>
      <c r="G214" s="76">
        <v>987</v>
      </c>
      <c r="H214" s="76">
        <v>987</v>
      </c>
      <c r="I214" s="76">
        <v>987</v>
      </c>
      <c r="J214" s="76">
        <f t="shared" si="110"/>
        <v>987</v>
      </c>
      <c r="K214" s="584">
        <v>268</v>
      </c>
      <c r="L214" s="584">
        <v>987</v>
      </c>
      <c r="M214" s="76">
        <v>2018</v>
      </c>
      <c r="N214" s="76">
        <v>2020</v>
      </c>
      <c r="O214" s="76">
        <f t="shared" si="102"/>
        <v>0</v>
      </c>
      <c r="P214" s="76"/>
      <c r="Q214" s="76"/>
      <c r="R214" s="76"/>
      <c r="S214" s="76"/>
      <c r="T214" s="76"/>
      <c r="U214" s="76"/>
      <c r="V214" s="76"/>
      <c r="W214" s="76"/>
      <c r="X214" s="583"/>
      <c r="Y214" s="76"/>
      <c r="Z214" s="76"/>
      <c r="AA214" s="76"/>
      <c r="AB214" s="76"/>
      <c r="AC214" s="76"/>
      <c r="AD214" s="136"/>
    </row>
    <row r="215" customHeight="1" spans="1:30">
      <c r="A215" s="76"/>
      <c r="B215" s="212" t="s">
        <v>1276</v>
      </c>
      <c r="C215" s="76" t="s">
        <v>320</v>
      </c>
      <c r="D215" s="76" t="s">
        <v>147</v>
      </c>
      <c r="E215" s="76"/>
      <c r="F215" s="76">
        <f t="shared" si="109"/>
        <v>2208</v>
      </c>
      <c r="G215" s="76">
        <v>736</v>
      </c>
      <c r="H215" s="76">
        <v>736</v>
      </c>
      <c r="I215" s="76">
        <v>736</v>
      </c>
      <c r="J215" s="76">
        <f t="shared" si="110"/>
        <v>736</v>
      </c>
      <c r="K215" s="584">
        <v>201</v>
      </c>
      <c r="L215" s="584">
        <v>736</v>
      </c>
      <c r="M215" s="76">
        <v>2018</v>
      </c>
      <c r="N215" s="76">
        <v>2020</v>
      </c>
      <c r="O215" s="76">
        <f t="shared" si="102"/>
        <v>0</v>
      </c>
      <c r="P215" s="76"/>
      <c r="Q215" s="76"/>
      <c r="R215" s="76"/>
      <c r="S215" s="76"/>
      <c r="T215" s="76"/>
      <c r="U215" s="76"/>
      <c r="V215" s="76"/>
      <c r="W215" s="76"/>
      <c r="X215" s="583"/>
      <c r="Y215" s="76"/>
      <c r="Z215" s="76"/>
      <c r="AA215" s="76"/>
      <c r="AB215" s="76"/>
      <c r="AC215" s="76"/>
      <c r="AD215" s="136"/>
    </row>
    <row r="216" customHeight="1" spans="1:30">
      <c r="A216" s="76"/>
      <c r="B216" s="212" t="s">
        <v>1277</v>
      </c>
      <c r="C216" s="76" t="s">
        <v>320</v>
      </c>
      <c r="D216" s="76" t="s">
        <v>147</v>
      </c>
      <c r="E216" s="76"/>
      <c r="F216" s="76">
        <f t="shared" si="109"/>
        <v>4815</v>
      </c>
      <c r="G216" s="76">
        <v>1605</v>
      </c>
      <c r="H216" s="76">
        <v>1605</v>
      </c>
      <c r="I216" s="76">
        <v>1605</v>
      </c>
      <c r="J216" s="76">
        <f t="shared" si="110"/>
        <v>1605</v>
      </c>
      <c r="K216" s="584">
        <v>369</v>
      </c>
      <c r="L216" s="584">
        <v>1605</v>
      </c>
      <c r="M216" s="76">
        <v>2018</v>
      </c>
      <c r="N216" s="76">
        <v>2020</v>
      </c>
      <c r="O216" s="76">
        <f t="shared" si="102"/>
        <v>0</v>
      </c>
      <c r="P216" s="76"/>
      <c r="Q216" s="76"/>
      <c r="R216" s="76"/>
      <c r="S216" s="76"/>
      <c r="T216" s="76"/>
      <c r="U216" s="76"/>
      <c r="V216" s="76"/>
      <c r="W216" s="76"/>
      <c r="X216" s="583"/>
      <c r="Y216" s="76"/>
      <c r="Z216" s="76"/>
      <c r="AA216" s="76"/>
      <c r="AB216" s="76"/>
      <c r="AC216" s="76"/>
      <c r="AD216" s="136"/>
    </row>
    <row r="217" customHeight="1" spans="1:30">
      <c r="A217" s="76"/>
      <c r="B217" s="212" t="s">
        <v>1278</v>
      </c>
      <c r="C217" s="76" t="s">
        <v>320</v>
      </c>
      <c r="D217" s="76" t="s">
        <v>147</v>
      </c>
      <c r="E217" s="76"/>
      <c r="F217" s="76">
        <f t="shared" si="109"/>
        <v>3150</v>
      </c>
      <c r="G217" s="76">
        <v>1050</v>
      </c>
      <c r="H217" s="76">
        <v>1050</v>
      </c>
      <c r="I217" s="76">
        <v>1050</v>
      </c>
      <c r="J217" s="76">
        <f t="shared" si="110"/>
        <v>1050</v>
      </c>
      <c r="K217" s="584">
        <v>267</v>
      </c>
      <c r="L217" s="584">
        <v>1050</v>
      </c>
      <c r="M217" s="76">
        <v>2018</v>
      </c>
      <c r="N217" s="76">
        <v>2020</v>
      </c>
      <c r="O217" s="76">
        <f t="shared" si="102"/>
        <v>0</v>
      </c>
      <c r="P217" s="76"/>
      <c r="Q217" s="76"/>
      <c r="R217" s="76"/>
      <c r="S217" s="76"/>
      <c r="T217" s="76"/>
      <c r="U217" s="76"/>
      <c r="V217" s="76"/>
      <c r="W217" s="76"/>
      <c r="X217" s="583"/>
      <c r="Y217" s="76"/>
      <c r="Z217" s="76"/>
      <c r="AA217" s="76"/>
      <c r="AB217" s="76"/>
      <c r="AC217" s="76"/>
      <c r="AD217" s="136"/>
    </row>
    <row r="218" customHeight="1" spans="1:30">
      <c r="A218" s="76"/>
      <c r="B218" s="212" t="s">
        <v>1279</v>
      </c>
      <c r="C218" s="76" t="s">
        <v>320</v>
      </c>
      <c r="D218" s="76" t="s">
        <v>147</v>
      </c>
      <c r="E218" s="76"/>
      <c r="F218" s="76">
        <f t="shared" si="109"/>
        <v>1968</v>
      </c>
      <c r="G218" s="76">
        <v>656</v>
      </c>
      <c r="H218" s="76">
        <v>656</v>
      </c>
      <c r="I218" s="76">
        <v>656</v>
      </c>
      <c r="J218" s="76">
        <f t="shared" si="110"/>
        <v>656</v>
      </c>
      <c r="K218" s="584">
        <v>174</v>
      </c>
      <c r="L218" s="584">
        <v>656</v>
      </c>
      <c r="M218" s="76">
        <v>2018</v>
      </c>
      <c r="N218" s="76">
        <v>2020</v>
      </c>
      <c r="O218" s="76">
        <f t="shared" si="102"/>
        <v>0</v>
      </c>
      <c r="P218" s="76"/>
      <c r="Q218" s="76"/>
      <c r="R218" s="76"/>
      <c r="S218" s="76"/>
      <c r="T218" s="76"/>
      <c r="U218" s="76"/>
      <c r="V218" s="76"/>
      <c r="W218" s="76"/>
      <c r="X218" s="583"/>
      <c r="Y218" s="76"/>
      <c r="Z218" s="76"/>
      <c r="AA218" s="76"/>
      <c r="AB218" s="76"/>
      <c r="AC218" s="76"/>
      <c r="AD218" s="136"/>
    </row>
    <row r="219" customHeight="1" spans="1:30">
      <c r="A219" s="76"/>
      <c r="B219" s="212" t="s">
        <v>1280</v>
      </c>
      <c r="C219" s="76" t="s">
        <v>320</v>
      </c>
      <c r="D219" s="76" t="s">
        <v>147</v>
      </c>
      <c r="E219" s="76"/>
      <c r="F219" s="76">
        <f t="shared" si="109"/>
        <v>1029</v>
      </c>
      <c r="G219" s="76">
        <v>343</v>
      </c>
      <c r="H219" s="76">
        <v>343</v>
      </c>
      <c r="I219" s="76">
        <v>343</v>
      </c>
      <c r="J219" s="76">
        <f t="shared" si="110"/>
        <v>343</v>
      </c>
      <c r="K219" s="584">
        <v>90</v>
      </c>
      <c r="L219" s="584">
        <v>343</v>
      </c>
      <c r="M219" s="76">
        <v>2018</v>
      </c>
      <c r="N219" s="76">
        <v>2020</v>
      </c>
      <c r="O219" s="76">
        <f t="shared" si="102"/>
        <v>0</v>
      </c>
      <c r="P219" s="76"/>
      <c r="Q219" s="76"/>
      <c r="R219" s="76"/>
      <c r="S219" s="76"/>
      <c r="T219" s="76"/>
      <c r="U219" s="76"/>
      <c r="V219" s="76"/>
      <c r="W219" s="76"/>
      <c r="X219" s="583"/>
      <c r="Y219" s="76"/>
      <c r="Z219" s="76"/>
      <c r="AA219" s="76"/>
      <c r="AB219" s="76"/>
      <c r="AC219" s="76"/>
      <c r="AD219" s="136"/>
    </row>
    <row r="220" customHeight="1" spans="1:30">
      <c r="A220" s="76"/>
      <c r="B220" s="212" t="s">
        <v>1269</v>
      </c>
      <c r="C220" s="76" t="s">
        <v>320</v>
      </c>
      <c r="D220" s="76" t="s">
        <v>147</v>
      </c>
      <c r="E220" s="76"/>
      <c r="F220" s="76">
        <f t="shared" si="109"/>
        <v>2295</v>
      </c>
      <c r="G220" s="76">
        <v>765</v>
      </c>
      <c r="H220" s="76">
        <v>765</v>
      </c>
      <c r="I220" s="76">
        <v>765</v>
      </c>
      <c r="J220" s="76">
        <f t="shared" si="110"/>
        <v>765</v>
      </c>
      <c r="K220" s="584">
        <v>188</v>
      </c>
      <c r="L220" s="584">
        <v>765</v>
      </c>
      <c r="M220" s="76">
        <v>2018</v>
      </c>
      <c r="N220" s="76">
        <v>2020</v>
      </c>
      <c r="O220" s="76">
        <f t="shared" si="102"/>
        <v>0</v>
      </c>
      <c r="P220" s="76"/>
      <c r="Q220" s="76"/>
      <c r="R220" s="76"/>
      <c r="S220" s="76"/>
      <c r="T220" s="76"/>
      <c r="U220" s="76"/>
      <c r="V220" s="76"/>
      <c r="W220" s="76"/>
      <c r="X220" s="583"/>
      <c r="Y220" s="76"/>
      <c r="Z220" s="76"/>
      <c r="AA220" s="76"/>
      <c r="AB220" s="76"/>
      <c r="AC220" s="76"/>
      <c r="AD220" s="136"/>
    </row>
    <row r="221" customHeight="1" spans="1:30">
      <c r="A221" s="76"/>
      <c r="B221" s="212" t="s">
        <v>1270</v>
      </c>
      <c r="C221" s="76" t="s">
        <v>320</v>
      </c>
      <c r="D221" s="76" t="s">
        <v>147</v>
      </c>
      <c r="E221" s="76"/>
      <c r="F221" s="76">
        <f t="shared" si="109"/>
        <v>2703</v>
      </c>
      <c r="G221" s="76">
        <v>901</v>
      </c>
      <c r="H221" s="76">
        <v>901</v>
      </c>
      <c r="I221" s="76">
        <v>901</v>
      </c>
      <c r="J221" s="76">
        <f t="shared" si="110"/>
        <v>901</v>
      </c>
      <c r="K221" s="584">
        <v>209</v>
      </c>
      <c r="L221" s="584">
        <v>901</v>
      </c>
      <c r="M221" s="76">
        <v>2018</v>
      </c>
      <c r="N221" s="76">
        <v>2020</v>
      </c>
      <c r="O221" s="76">
        <f t="shared" si="102"/>
        <v>0</v>
      </c>
      <c r="P221" s="76"/>
      <c r="Q221" s="76"/>
      <c r="R221" s="76"/>
      <c r="S221" s="76"/>
      <c r="T221" s="76"/>
      <c r="U221" s="76"/>
      <c r="V221" s="76"/>
      <c r="W221" s="76"/>
      <c r="X221" s="583"/>
      <c r="Y221" s="76"/>
      <c r="Z221" s="76"/>
      <c r="AA221" s="76"/>
      <c r="AB221" s="76"/>
      <c r="AC221" s="76"/>
      <c r="AD221" s="136"/>
    </row>
    <row r="222" customHeight="1" spans="1:30">
      <c r="A222" s="76"/>
      <c r="B222" s="212" t="s">
        <v>1281</v>
      </c>
      <c r="C222" s="76" t="s">
        <v>320</v>
      </c>
      <c r="D222" s="76" t="s">
        <v>147</v>
      </c>
      <c r="E222" s="76"/>
      <c r="F222" s="76">
        <f t="shared" si="109"/>
        <v>2979</v>
      </c>
      <c r="G222" s="76">
        <v>993</v>
      </c>
      <c r="H222" s="76">
        <v>993</v>
      </c>
      <c r="I222" s="76">
        <v>993</v>
      </c>
      <c r="J222" s="76">
        <f t="shared" si="110"/>
        <v>993</v>
      </c>
      <c r="K222" s="584">
        <v>230</v>
      </c>
      <c r="L222" s="584">
        <v>993</v>
      </c>
      <c r="M222" s="76">
        <v>2018</v>
      </c>
      <c r="N222" s="76">
        <v>2020</v>
      </c>
      <c r="O222" s="76">
        <f t="shared" si="102"/>
        <v>0</v>
      </c>
      <c r="P222" s="76"/>
      <c r="Q222" s="76"/>
      <c r="R222" s="76"/>
      <c r="S222" s="76"/>
      <c r="T222" s="76"/>
      <c r="U222" s="76"/>
      <c r="V222" s="76"/>
      <c r="W222" s="76"/>
      <c r="X222" s="583"/>
      <c r="Y222" s="76"/>
      <c r="Z222" s="76"/>
      <c r="AA222" s="76"/>
      <c r="AB222" s="76"/>
      <c r="AC222" s="76"/>
      <c r="AD222" s="136"/>
    </row>
    <row r="223" customHeight="1" spans="1:30">
      <c r="A223" s="76"/>
      <c r="B223" s="212" t="s">
        <v>1271</v>
      </c>
      <c r="C223" s="76" t="s">
        <v>320</v>
      </c>
      <c r="D223" s="76" t="s">
        <v>147</v>
      </c>
      <c r="E223" s="76"/>
      <c r="F223" s="76">
        <f t="shared" si="109"/>
        <v>2814</v>
      </c>
      <c r="G223" s="76">
        <v>938</v>
      </c>
      <c r="H223" s="76">
        <v>938</v>
      </c>
      <c r="I223" s="76">
        <v>938</v>
      </c>
      <c r="J223" s="76">
        <f t="shared" si="110"/>
        <v>938</v>
      </c>
      <c r="K223" s="584">
        <v>228</v>
      </c>
      <c r="L223" s="584">
        <v>938</v>
      </c>
      <c r="M223" s="76">
        <v>2018</v>
      </c>
      <c r="N223" s="76">
        <v>2020</v>
      </c>
      <c r="O223" s="76">
        <f t="shared" si="102"/>
        <v>0</v>
      </c>
      <c r="P223" s="76"/>
      <c r="Q223" s="76"/>
      <c r="R223" s="76"/>
      <c r="S223" s="76"/>
      <c r="T223" s="76"/>
      <c r="U223" s="76"/>
      <c r="V223" s="76"/>
      <c r="W223" s="76"/>
      <c r="X223" s="583"/>
      <c r="Y223" s="76"/>
      <c r="Z223" s="76"/>
      <c r="AA223" s="76"/>
      <c r="AB223" s="76"/>
      <c r="AC223" s="76"/>
      <c r="AD223" s="136"/>
    </row>
    <row r="224" customHeight="1" spans="1:30">
      <c r="A224" s="76"/>
      <c r="B224" s="212" t="s">
        <v>1282</v>
      </c>
      <c r="C224" s="76" t="s">
        <v>320</v>
      </c>
      <c r="D224" s="76" t="s">
        <v>147</v>
      </c>
      <c r="E224" s="76"/>
      <c r="F224" s="76">
        <f t="shared" si="109"/>
        <v>3948</v>
      </c>
      <c r="G224" s="76">
        <v>1316</v>
      </c>
      <c r="H224" s="76">
        <v>1316</v>
      </c>
      <c r="I224" s="76">
        <v>1316</v>
      </c>
      <c r="J224" s="76">
        <f t="shared" si="110"/>
        <v>1316</v>
      </c>
      <c r="K224" s="584">
        <v>299</v>
      </c>
      <c r="L224" s="584">
        <v>1316</v>
      </c>
      <c r="M224" s="76">
        <v>2018</v>
      </c>
      <c r="N224" s="76">
        <v>2020</v>
      </c>
      <c r="O224" s="76">
        <f t="shared" si="102"/>
        <v>0</v>
      </c>
      <c r="P224" s="76"/>
      <c r="Q224" s="76"/>
      <c r="R224" s="76"/>
      <c r="S224" s="76"/>
      <c r="T224" s="76"/>
      <c r="U224" s="76"/>
      <c r="V224" s="76"/>
      <c r="W224" s="76"/>
      <c r="X224" s="583"/>
      <c r="Y224" s="76"/>
      <c r="Z224" s="76"/>
      <c r="AA224" s="76"/>
      <c r="AB224" s="76"/>
      <c r="AC224" s="76"/>
      <c r="AD224" s="136"/>
    </row>
    <row r="225" customHeight="1" spans="1:30">
      <c r="A225" s="76"/>
      <c r="B225" s="212" t="s">
        <v>1283</v>
      </c>
      <c r="C225" s="76" t="s">
        <v>320</v>
      </c>
      <c r="D225" s="76" t="s">
        <v>147</v>
      </c>
      <c r="E225" s="76"/>
      <c r="F225" s="76">
        <f t="shared" si="109"/>
        <v>1752</v>
      </c>
      <c r="G225" s="76">
        <v>584</v>
      </c>
      <c r="H225" s="76">
        <v>584</v>
      </c>
      <c r="I225" s="76">
        <v>584</v>
      </c>
      <c r="J225" s="76">
        <f t="shared" si="110"/>
        <v>584</v>
      </c>
      <c r="K225" s="584">
        <v>129</v>
      </c>
      <c r="L225" s="584">
        <v>584</v>
      </c>
      <c r="M225" s="76">
        <v>2018</v>
      </c>
      <c r="N225" s="76">
        <v>2020</v>
      </c>
      <c r="O225" s="76">
        <f t="shared" si="102"/>
        <v>0</v>
      </c>
      <c r="P225" s="76"/>
      <c r="Q225" s="76"/>
      <c r="R225" s="76"/>
      <c r="S225" s="76"/>
      <c r="T225" s="76"/>
      <c r="U225" s="76"/>
      <c r="V225" s="76"/>
      <c r="W225" s="76"/>
      <c r="X225" s="583"/>
      <c r="Y225" s="76"/>
      <c r="Z225" s="76"/>
      <c r="AA225" s="76"/>
      <c r="AB225" s="76"/>
      <c r="AC225" s="76"/>
      <c r="AD225" s="136"/>
    </row>
    <row r="226" customHeight="1" spans="1:30">
      <c r="A226" s="76"/>
      <c r="B226" s="212" t="s">
        <v>1284</v>
      </c>
      <c r="C226" s="76" t="s">
        <v>320</v>
      </c>
      <c r="D226" s="76" t="s">
        <v>147</v>
      </c>
      <c r="E226" s="76"/>
      <c r="F226" s="76">
        <f t="shared" si="109"/>
        <v>537</v>
      </c>
      <c r="G226" s="76">
        <v>179</v>
      </c>
      <c r="H226" s="76">
        <v>179</v>
      </c>
      <c r="I226" s="76">
        <v>179</v>
      </c>
      <c r="J226" s="76">
        <f t="shared" si="110"/>
        <v>179</v>
      </c>
      <c r="K226" s="584">
        <v>50</v>
      </c>
      <c r="L226" s="584">
        <v>179</v>
      </c>
      <c r="M226" s="76">
        <v>2018</v>
      </c>
      <c r="N226" s="76">
        <v>2020</v>
      </c>
      <c r="O226" s="76">
        <f t="shared" si="102"/>
        <v>0</v>
      </c>
      <c r="P226" s="76"/>
      <c r="Q226" s="76"/>
      <c r="R226" s="76"/>
      <c r="S226" s="76"/>
      <c r="T226" s="76"/>
      <c r="U226" s="76"/>
      <c r="V226" s="76"/>
      <c r="W226" s="76"/>
      <c r="X226" s="583"/>
      <c r="Y226" s="76"/>
      <c r="Z226" s="76"/>
      <c r="AA226" s="76"/>
      <c r="AB226" s="76"/>
      <c r="AC226" s="76"/>
      <c r="AD226" s="136"/>
    </row>
    <row r="227" customHeight="1" spans="1:30">
      <c r="A227" s="76">
        <v>18</v>
      </c>
      <c r="B227" s="92" t="s">
        <v>335</v>
      </c>
      <c r="C227" s="76" t="s">
        <v>320</v>
      </c>
      <c r="D227" s="76" t="s">
        <v>147</v>
      </c>
      <c r="E227" s="76"/>
      <c r="F227" s="76">
        <f t="shared" ref="F227:L227" si="111">SUM(F228:F244)</f>
        <v>1965</v>
      </c>
      <c r="G227" s="76">
        <f t="shared" si="111"/>
        <v>655</v>
      </c>
      <c r="H227" s="76">
        <f t="shared" si="111"/>
        <v>655</v>
      </c>
      <c r="I227" s="76">
        <f t="shared" si="111"/>
        <v>655</v>
      </c>
      <c r="J227" s="76">
        <f t="shared" si="111"/>
        <v>655</v>
      </c>
      <c r="K227" s="76">
        <f t="shared" si="111"/>
        <v>655</v>
      </c>
      <c r="L227" s="76">
        <f t="shared" si="111"/>
        <v>655</v>
      </c>
      <c r="M227" s="76">
        <v>2018</v>
      </c>
      <c r="N227" s="76">
        <v>2020</v>
      </c>
      <c r="O227" s="76">
        <f t="shared" ref="O227:U227" si="112">SUM(O228:O244)</f>
        <v>124.75</v>
      </c>
      <c r="P227" s="76">
        <f t="shared" si="112"/>
        <v>41.5833333333333</v>
      </c>
      <c r="Q227" s="76">
        <f t="shared" si="112"/>
        <v>41.5833333333333</v>
      </c>
      <c r="R227" s="76">
        <f t="shared" si="112"/>
        <v>41.5833333333333</v>
      </c>
      <c r="S227" s="76">
        <f t="shared" si="112"/>
        <v>124.75</v>
      </c>
      <c r="T227" s="76">
        <f t="shared" si="112"/>
        <v>0</v>
      </c>
      <c r="U227" s="76">
        <f t="shared" si="112"/>
        <v>0</v>
      </c>
      <c r="V227" s="99"/>
      <c r="W227" s="99"/>
      <c r="X227" s="583" t="s">
        <v>1038</v>
      </c>
      <c r="Y227" s="76"/>
      <c r="Z227" s="76"/>
      <c r="AA227" s="76" t="s">
        <v>1285</v>
      </c>
      <c r="AB227" s="76" t="s">
        <v>1291</v>
      </c>
      <c r="AC227" s="76" t="s">
        <v>358</v>
      </c>
      <c r="AD227" s="136"/>
    </row>
    <row r="228" customHeight="1" spans="1:30">
      <c r="A228" s="76"/>
      <c r="B228" s="212" t="s">
        <v>1265</v>
      </c>
      <c r="C228" s="76" t="s">
        <v>320</v>
      </c>
      <c r="D228" s="76" t="s">
        <v>147</v>
      </c>
      <c r="E228" s="76"/>
      <c r="F228" s="76">
        <f t="shared" ref="F228:F244" si="113">SUM(G228:I228)</f>
        <v>30</v>
      </c>
      <c r="G228" s="76">
        <v>10</v>
      </c>
      <c r="H228" s="76">
        <v>10</v>
      </c>
      <c r="I228" s="76">
        <v>10</v>
      </c>
      <c r="J228" s="76">
        <v>10</v>
      </c>
      <c r="K228" s="76">
        <v>10</v>
      </c>
      <c r="L228" s="76">
        <v>10</v>
      </c>
      <c r="M228" s="76">
        <v>2018</v>
      </c>
      <c r="N228" s="76">
        <v>2020</v>
      </c>
      <c r="O228" s="76">
        <f t="shared" ref="O228:O262" si="114">SUM(P228:R228)</f>
        <v>1.90458015267176</v>
      </c>
      <c r="P228" s="99">
        <f t="shared" ref="P228:P244" si="115">124.75/3/655*J228</f>
        <v>0.634860050890585</v>
      </c>
      <c r="Q228" s="99">
        <f t="shared" ref="Q228:Q244" si="116">124.75/3/655*J228</f>
        <v>0.634860050890585</v>
      </c>
      <c r="R228" s="99">
        <f t="shared" ref="R228:R244" si="117">124.75/3/655*J228</f>
        <v>0.634860050890585</v>
      </c>
      <c r="S228" s="99">
        <f t="shared" ref="S228:S244" si="118">O228</f>
        <v>1.90458015267176</v>
      </c>
      <c r="T228" s="99"/>
      <c r="U228" s="99"/>
      <c r="V228" s="99"/>
      <c r="W228" s="99"/>
      <c r="X228" s="583"/>
      <c r="Y228" s="76"/>
      <c r="Z228" s="76"/>
      <c r="AA228" s="76"/>
      <c r="AB228" s="76"/>
      <c r="AC228" s="76"/>
      <c r="AD228" s="136"/>
    </row>
    <row r="229" customHeight="1" spans="1:30">
      <c r="A229" s="76"/>
      <c r="B229" s="212" t="s">
        <v>1266</v>
      </c>
      <c r="C229" s="76" t="s">
        <v>320</v>
      </c>
      <c r="D229" s="76" t="s">
        <v>147</v>
      </c>
      <c r="E229" s="76"/>
      <c r="F229" s="76">
        <f t="shared" si="113"/>
        <v>135</v>
      </c>
      <c r="G229" s="76">
        <v>45</v>
      </c>
      <c r="H229" s="76">
        <v>45</v>
      </c>
      <c r="I229" s="76">
        <v>45</v>
      </c>
      <c r="J229" s="76">
        <v>45</v>
      </c>
      <c r="K229" s="76">
        <v>45</v>
      </c>
      <c r="L229" s="76">
        <v>45</v>
      </c>
      <c r="M229" s="76">
        <v>2018</v>
      </c>
      <c r="N229" s="76">
        <v>2020</v>
      </c>
      <c r="O229" s="76">
        <f t="shared" si="114"/>
        <v>8.5706106870229</v>
      </c>
      <c r="P229" s="99">
        <f t="shared" si="115"/>
        <v>2.85687022900763</v>
      </c>
      <c r="Q229" s="99">
        <f t="shared" si="116"/>
        <v>2.85687022900763</v>
      </c>
      <c r="R229" s="99">
        <f t="shared" si="117"/>
        <v>2.85687022900763</v>
      </c>
      <c r="S229" s="99">
        <f t="shared" si="118"/>
        <v>8.5706106870229</v>
      </c>
      <c r="T229" s="99"/>
      <c r="U229" s="99"/>
      <c r="V229" s="99"/>
      <c r="W229" s="99"/>
      <c r="X229" s="583"/>
      <c r="Y229" s="76"/>
      <c r="Z229" s="76"/>
      <c r="AA229" s="76"/>
      <c r="AB229" s="76"/>
      <c r="AC229" s="76"/>
      <c r="AD229" s="136"/>
    </row>
    <row r="230" customHeight="1" spans="1:30">
      <c r="A230" s="76"/>
      <c r="B230" s="212" t="s">
        <v>1267</v>
      </c>
      <c r="C230" s="76" t="s">
        <v>320</v>
      </c>
      <c r="D230" s="76" t="s">
        <v>147</v>
      </c>
      <c r="E230" s="76"/>
      <c r="F230" s="76">
        <f t="shared" si="113"/>
        <v>123</v>
      </c>
      <c r="G230" s="76">
        <v>41</v>
      </c>
      <c r="H230" s="76">
        <v>41</v>
      </c>
      <c r="I230" s="76">
        <v>41</v>
      </c>
      <c r="J230" s="76">
        <v>41</v>
      </c>
      <c r="K230" s="76">
        <v>41</v>
      </c>
      <c r="L230" s="76">
        <v>41</v>
      </c>
      <c r="M230" s="76">
        <v>2018</v>
      </c>
      <c r="N230" s="76">
        <v>2020</v>
      </c>
      <c r="O230" s="76">
        <f t="shared" si="114"/>
        <v>7.8087786259542</v>
      </c>
      <c r="P230" s="99">
        <f t="shared" si="115"/>
        <v>2.6029262086514</v>
      </c>
      <c r="Q230" s="99">
        <f t="shared" si="116"/>
        <v>2.6029262086514</v>
      </c>
      <c r="R230" s="99">
        <f t="shared" si="117"/>
        <v>2.6029262086514</v>
      </c>
      <c r="S230" s="99">
        <f t="shared" si="118"/>
        <v>7.8087786259542</v>
      </c>
      <c r="T230" s="99"/>
      <c r="U230" s="99"/>
      <c r="V230" s="99"/>
      <c r="W230" s="99"/>
      <c r="X230" s="583"/>
      <c r="Y230" s="76"/>
      <c r="Z230" s="76"/>
      <c r="AA230" s="76"/>
      <c r="AB230" s="76"/>
      <c r="AC230" s="76"/>
      <c r="AD230" s="136"/>
    </row>
    <row r="231" customHeight="1" spans="1:30">
      <c r="A231" s="76"/>
      <c r="B231" s="212" t="s">
        <v>1268</v>
      </c>
      <c r="C231" s="76" t="s">
        <v>320</v>
      </c>
      <c r="D231" s="76" t="s">
        <v>147</v>
      </c>
      <c r="E231" s="76"/>
      <c r="F231" s="76">
        <f t="shared" si="113"/>
        <v>93</v>
      </c>
      <c r="G231" s="76">
        <v>31</v>
      </c>
      <c r="H231" s="76">
        <v>31</v>
      </c>
      <c r="I231" s="76">
        <v>31</v>
      </c>
      <c r="J231" s="76">
        <v>31</v>
      </c>
      <c r="K231" s="76">
        <v>31</v>
      </c>
      <c r="L231" s="76">
        <v>31</v>
      </c>
      <c r="M231" s="76">
        <v>2018</v>
      </c>
      <c r="N231" s="76">
        <v>2020</v>
      </c>
      <c r="O231" s="76">
        <f t="shared" si="114"/>
        <v>5.90419847328244</v>
      </c>
      <c r="P231" s="99">
        <f t="shared" si="115"/>
        <v>1.96806615776081</v>
      </c>
      <c r="Q231" s="99">
        <f t="shared" si="116"/>
        <v>1.96806615776081</v>
      </c>
      <c r="R231" s="99">
        <f t="shared" si="117"/>
        <v>1.96806615776081</v>
      </c>
      <c r="S231" s="99">
        <f t="shared" si="118"/>
        <v>5.90419847328244</v>
      </c>
      <c r="T231" s="99"/>
      <c r="U231" s="99"/>
      <c r="V231" s="99"/>
      <c r="W231" s="99"/>
      <c r="X231" s="583"/>
      <c r="Y231" s="76"/>
      <c r="Z231" s="76"/>
      <c r="AA231" s="76"/>
      <c r="AB231" s="76"/>
      <c r="AC231" s="76"/>
      <c r="AD231" s="136"/>
    </row>
    <row r="232" customHeight="1" spans="1:30">
      <c r="A232" s="76"/>
      <c r="B232" s="212" t="s">
        <v>1275</v>
      </c>
      <c r="C232" s="76" t="s">
        <v>320</v>
      </c>
      <c r="D232" s="76" t="s">
        <v>147</v>
      </c>
      <c r="E232" s="76"/>
      <c r="F232" s="76">
        <f t="shared" si="113"/>
        <v>189</v>
      </c>
      <c r="G232" s="76">
        <v>63</v>
      </c>
      <c r="H232" s="76">
        <v>63</v>
      </c>
      <c r="I232" s="76">
        <v>63</v>
      </c>
      <c r="J232" s="76">
        <v>63</v>
      </c>
      <c r="K232" s="76">
        <v>63</v>
      </c>
      <c r="L232" s="76">
        <v>63</v>
      </c>
      <c r="M232" s="76">
        <v>2018</v>
      </c>
      <c r="N232" s="76">
        <v>2020</v>
      </c>
      <c r="O232" s="76">
        <f t="shared" si="114"/>
        <v>11.9988549618321</v>
      </c>
      <c r="P232" s="99">
        <f t="shared" si="115"/>
        <v>3.99961832061069</v>
      </c>
      <c r="Q232" s="99">
        <f t="shared" si="116"/>
        <v>3.99961832061069</v>
      </c>
      <c r="R232" s="99">
        <f t="shared" si="117"/>
        <v>3.99961832061069</v>
      </c>
      <c r="S232" s="99">
        <f t="shared" si="118"/>
        <v>11.9988549618321</v>
      </c>
      <c r="T232" s="99"/>
      <c r="U232" s="99"/>
      <c r="V232" s="99"/>
      <c r="W232" s="99"/>
      <c r="X232" s="583"/>
      <c r="Y232" s="76"/>
      <c r="Z232" s="76"/>
      <c r="AA232" s="76"/>
      <c r="AB232" s="76"/>
      <c r="AC232" s="76"/>
      <c r="AD232" s="136"/>
    </row>
    <row r="233" customHeight="1" spans="1:30">
      <c r="A233" s="76"/>
      <c r="B233" s="212" t="s">
        <v>1276</v>
      </c>
      <c r="C233" s="76" t="s">
        <v>320</v>
      </c>
      <c r="D233" s="76" t="s">
        <v>147</v>
      </c>
      <c r="E233" s="76"/>
      <c r="F233" s="76">
        <f t="shared" si="113"/>
        <v>108</v>
      </c>
      <c r="G233" s="76">
        <v>36</v>
      </c>
      <c r="H233" s="76">
        <v>36</v>
      </c>
      <c r="I233" s="76">
        <v>36</v>
      </c>
      <c r="J233" s="76">
        <v>36</v>
      </c>
      <c r="K233" s="76">
        <v>36</v>
      </c>
      <c r="L233" s="76">
        <v>36</v>
      </c>
      <c r="M233" s="76">
        <v>2018</v>
      </c>
      <c r="N233" s="76">
        <v>2020</v>
      </c>
      <c r="O233" s="76">
        <f t="shared" si="114"/>
        <v>6.85648854961832</v>
      </c>
      <c r="P233" s="99">
        <f t="shared" si="115"/>
        <v>2.28549618320611</v>
      </c>
      <c r="Q233" s="99">
        <f t="shared" si="116"/>
        <v>2.28549618320611</v>
      </c>
      <c r="R233" s="99">
        <f t="shared" si="117"/>
        <v>2.28549618320611</v>
      </c>
      <c r="S233" s="99">
        <f t="shared" si="118"/>
        <v>6.85648854961832</v>
      </c>
      <c r="T233" s="99"/>
      <c r="U233" s="99"/>
      <c r="V233" s="99"/>
      <c r="W233" s="99"/>
      <c r="X233" s="583"/>
      <c r="Y233" s="76"/>
      <c r="Z233" s="76"/>
      <c r="AA233" s="76"/>
      <c r="AB233" s="76"/>
      <c r="AC233" s="76"/>
      <c r="AD233" s="136"/>
    </row>
    <row r="234" customHeight="1" spans="1:30">
      <c r="A234" s="76"/>
      <c r="B234" s="212" t="s">
        <v>1277</v>
      </c>
      <c r="C234" s="76" t="s">
        <v>320</v>
      </c>
      <c r="D234" s="76" t="s">
        <v>147</v>
      </c>
      <c r="E234" s="76"/>
      <c r="F234" s="76">
        <f t="shared" si="113"/>
        <v>216</v>
      </c>
      <c r="G234" s="76">
        <v>72</v>
      </c>
      <c r="H234" s="76">
        <v>72</v>
      </c>
      <c r="I234" s="76">
        <v>72</v>
      </c>
      <c r="J234" s="76">
        <v>72</v>
      </c>
      <c r="K234" s="76">
        <v>72</v>
      </c>
      <c r="L234" s="76">
        <v>72</v>
      </c>
      <c r="M234" s="76">
        <v>2018</v>
      </c>
      <c r="N234" s="76">
        <v>2020</v>
      </c>
      <c r="O234" s="76">
        <f t="shared" si="114"/>
        <v>13.7129770992366</v>
      </c>
      <c r="P234" s="99">
        <f t="shared" si="115"/>
        <v>4.57099236641221</v>
      </c>
      <c r="Q234" s="99">
        <f t="shared" si="116"/>
        <v>4.57099236641221</v>
      </c>
      <c r="R234" s="99">
        <f t="shared" si="117"/>
        <v>4.57099236641221</v>
      </c>
      <c r="S234" s="99">
        <f t="shared" si="118"/>
        <v>13.7129770992366</v>
      </c>
      <c r="T234" s="99"/>
      <c r="U234" s="99"/>
      <c r="V234" s="99"/>
      <c r="W234" s="99"/>
      <c r="X234" s="583"/>
      <c r="Y234" s="76"/>
      <c r="Z234" s="76"/>
      <c r="AA234" s="76"/>
      <c r="AB234" s="76"/>
      <c r="AC234" s="76"/>
      <c r="AD234" s="136"/>
    </row>
    <row r="235" customHeight="1" spans="1:30">
      <c r="A235" s="76"/>
      <c r="B235" s="212" t="s">
        <v>1278</v>
      </c>
      <c r="C235" s="76" t="s">
        <v>320</v>
      </c>
      <c r="D235" s="76" t="s">
        <v>147</v>
      </c>
      <c r="E235" s="76"/>
      <c r="F235" s="76">
        <f t="shared" si="113"/>
        <v>108</v>
      </c>
      <c r="G235" s="76">
        <v>36</v>
      </c>
      <c r="H235" s="76">
        <v>36</v>
      </c>
      <c r="I235" s="76">
        <v>36</v>
      </c>
      <c r="J235" s="76">
        <v>36</v>
      </c>
      <c r="K235" s="76">
        <v>36</v>
      </c>
      <c r="L235" s="76">
        <v>36</v>
      </c>
      <c r="M235" s="76">
        <v>2018</v>
      </c>
      <c r="N235" s="76">
        <v>2020</v>
      </c>
      <c r="O235" s="76">
        <f t="shared" si="114"/>
        <v>6.85648854961832</v>
      </c>
      <c r="P235" s="99">
        <f t="shared" si="115"/>
        <v>2.28549618320611</v>
      </c>
      <c r="Q235" s="99">
        <f t="shared" si="116"/>
        <v>2.28549618320611</v>
      </c>
      <c r="R235" s="99">
        <f t="shared" si="117"/>
        <v>2.28549618320611</v>
      </c>
      <c r="S235" s="99">
        <f t="shared" si="118"/>
        <v>6.85648854961832</v>
      </c>
      <c r="T235" s="99"/>
      <c r="U235" s="99"/>
      <c r="V235" s="99"/>
      <c r="W235" s="99"/>
      <c r="X235" s="583"/>
      <c r="Y235" s="76"/>
      <c r="Z235" s="76"/>
      <c r="AA235" s="76"/>
      <c r="AB235" s="76"/>
      <c r="AC235" s="76"/>
      <c r="AD235" s="136"/>
    </row>
    <row r="236" customHeight="1" spans="1:30">
      <c r="A236" s="76"/>
      <c r="B236" s="212" t="s">
        <v>1279</v>
      </c>
      <c r="C236" s="76" t="s">
        <v>320</v>
      </c>
      <c r="D236" s="76" t="s">
        <v>147</v>
      </c>
      <c r="E236" s="76"/>
      <c r="F236" s="76">
        <f t="shared" si="113"/>
        <v>45</v>
      </c>
      <c r="G236" s="76">
        <v>15</v>
      </c>
      <c r="H236" s="76">
        <v>15</v>
      </c>
      <c r="I236" s="76">
        <v>15</v>
      </c>
      <c r="J236" s="76">
        <v>15</v>
      </c>
      <c r="K236" s="76">
        <v>15</v>
      </c>
      <c r="L236" s="76">
        <v>15</v>
      </c>
      <c r="M236" s="76">
        <v>2018</v>
      </c>
      <c r="N236" s="76">
        <v>2020</v>
      </c>
      <c r="O236" s="76">
        <f t="shared" si="114"/>
        <v>2.85687022900763</v>
      </c>
      <c r="P236" s="99">
        <f t="shared" si="115"/>
        <v>0.952290076335878</v>
      </c>
      <c r="Q236" s="99">
        <f t="shared" si="116"/>
        <v>0.952290076335878</v>
      </c>
      <c r="R236" s="99">
        <f t="shared" si="117"/>
        <v>0.952290076335878</v>
      </c>
      <c r="S236" s="99">
        <f t="shared" si="118"/>
        <v>2.85687022900763</v>
      </c>
      <c r="T236" s="99"/>
      <c r="U236" s="99"/>
      <c r="V236" s="99"/>
      <c r="W236" s="99"/>
      <c r="X236" s="583"/>
      <c r="Y236" s="76"/>
      <c r="Z236" s="76"/>
      <c r="AA236" s="76"/>
      <c r="AB236" s="76"/>
      <c r="AC236" s="76"/>
      <c r="AD236" s="136"/>
    </row>
    <row r="237" customHeight="1" spans="1:30">
      <c r="A237" s="76"/>
      <c r="B237" s="212" t="s">
        <v>1280</v>
      </c>
      <c r="C237" s="76" t="s">
        <v>320</v>
      </c>
      <c r="D237" s="76" t="s">
        <v>147</v>
      </c>
      <c r="E237" s="76"/>
      <c r="F237" s="76">
        <f t="shared" si="113"/>
        <v>42</v>
      </c>
      <c r="G237" s="76">
        <v>14</v>
      </c>
      <c r="H237" s="76">
        <v>14</v>
      </c>
      <c r="I237" s="76">
        <v>14</v>
      </c>
      <c r="J237" s="76">
        <v>14</v>
      </c>
      <c r="K237" s="76">
        <v>14</v>
      </c>
      <c r="L237" s="76">
        <v>14</v>
      </c>
      <c r="M237" s="76">
        <v>2018</v>
      </c>
      <c r="N237" s="76">
        <v>2020</v>
      </c>
      <c r="O237" s="76">
        <f t="shared" si="114"/>
        <v>2.66641221374046</v>
      </c>
      <c r="P237" s="99">
        <f t="shared" si="115"/>
        <v>0.888804071246819</v>
      </c>
      <c r="Q237" s="99">
        <f t="shared" si="116"/>
        <v>0.888804071246819</v>
      </c>
      <c r="R237" s="99">
        <f t="shared" si="117"/>
        <v>0.888804071246819</v>
      </c>
      <c r="S237" s="99">
        <f t="shared" si="118"/>
        <v>2.66641221374046</v>
      </c>
      <c r="T237" s="99"/>
      <c r="U237" s="99"/>
      <c r="V237" s="99"/>
      <c r="W237" s="99"/>
      <c r="X237" s="583"/>
      <c r="Y237" s="76"/>
      <c r="Z237" s="76"/>
      <c r="AA237" s="76"/>
      <c r="AB237" s="76"/>
      <c r="AC237" s="76"/>
      <c r="AD237" s="136"/>
    </row>
    <row r="238" customHeight="1" spans="1:30">
      <c r="A238" s="76"/>
      <c r="B238" s="212" t="s">
        <v>1269</v>
      </c>
      <c r="C238" s="76" t="s">
        <v>320</v>
      </c>
      <c r="D238" s="76" t="s">
        <v>147</v>
      </c>
      <c r="E238" s="76"/>
      <c r="F238" s="76">
        <f t="shared" si="113"/>
        <v>60</v>
      </c>
      <c r="G238" s="76">
        <v>20</v>
      </c>
      <c r="H238" s="76">
        <v>20</v>
      </c>
      <c r="I238" s="76">
        <v>20</v>
      </c>
      <c r="J238" s="76">
        <v>20</v>
      </c>
      <c r="K238" s="76">
        <v>20</v>
      </c>
      <c r="L238" s="76">
        <v>20</v>
      </c>
      <c r="M238" s="76">
        <v>2018</v>
      </c>
      <c r="N238" s="76">
        <v>2020</v>
      </c>
      <c r="O238" s="76">
        <f t="shared" si="114"/>
        <v>3.80916030534351</v>
      </c>
      <c r="P238" s="99">
        <f t="shared" si="115"/>
        <v>1.26972010178117</v>
      </c>
      <c r="Q238" s="99">
        <f t="shared" si="116"/>
        <v>1.26972010178117</v>
      </c>
      <c r="R238" s="99">
        <f t="shared" si="117"/>
        <v>1.26972010178117</v>
      </c>
      <c r="S238" s="99">
        <f t="shared" si="118"/>
        <v>3.80916030534351</v>
      </c>
      <c r="T238" s="99"/>
      <c r="U238" s="99"/>
      <c r="V238" s="99"/>
      <c r="W238" s="99"/>
      <c r="X238" s="583"/>
      <c r="Y238" s="76"/>
      <c r="Z238" s="76"/>
      <c r="AA238" s="76"/>
      <c r="AB238" s="76"/>
      <c r="AC238" s="76"/>
      <c r="AD238" s="136"/>
    </row>
    <row r="239" customHeight="1" spans="1:30">
      <c r="A239" s="76"/>
      <c r="B239" s="212" t="s">
        <v>1270</v>
      </c>
      <c r="C239" s="76" t="s">
        <v>320</v>
      </c>
      <c r="D239" s="76" t="s">
        <v>147</v>
      </c>
      <c r="E239" s="76"/>
      <c r="F239" s="76">
        <f t="shared" si="113"/>
        <v>135</v>
      </c>
      <c r="G239" s="76">
        <v>45</v>
      </c>
      <c r="H239" s="76">
        <v>45</v>
      </c>
      <c r="I239" s="76">
        <v>45</v>
      </c>
      <c r="J239" s="76">
        <v>45</v>
      </c>
      <c r="K239" s="76">
        <v>45</v>
      </c>
      <c r="L239" s="76">
        <v>45</v>
      </c>
      <c r="M239" s="76">
        <v>2018</v>
      </c>
      <c r="N239" s="76">
        <v>2020</v>
      </c>
      <c r="O239" s="76">
        <f t="shared" si="114"/>
        <v>8.5706106870229</v>
      </c>
      <c r="P239" s="99">
        <f t="shared" si="115"/>
        <v>2.85687022900763</v>
      </c>
      <c r="Q239" s="99">
        <f t="shared" si="116"/>
        <v>2.85687022900763</v>
      </c>
      <c r="R239" s="99">
        <f t="shared" si="117"/>
        <v>2.85687022900763</v>
      </c>
      <c r="S239" s="99">
        <f t="shared" si="118"/>
        <v>8.5706106870229</v>
      </c>
      <c r="T239" s="99"/>
      <c r="U239" s="99"/>
      <c r="V239" s="99"/>
      <c r="W239" s="99"/>
      <c r="X239" s="583"/>
      <c r="Y239" s="76"/>
      <c r="Z239" s="76"/>
      <c r="AA239" s="76"/>
      <c r="AB239" s="76"/>
      <c r="AC239" s="76"/>
      <c r="AD239" s="136"/>
    </row>
    <row r="240" customHeight="1" spans="1:30">
      <c r="A240" s="76"/>
      <c r="B240" s="212" t="s">
        <v>1281</v>
      </c>
      <c r="C240" s="76" t="s">
        <v>320</v>
      </c>
      <c r="D240" s="76" t="s">
        <v>147</v>
      </c>
      <c r="E240" s="76"/>
      <c r="F240" s="76">
        <f t="shared" si="113"/>
        <v>210</v>
      </c>
      <c r="G240" s="76">
        <v>70</v>
      </c>
      <c r="H240" s="76">
        <v>70</v>
      </c>
      <c r="I240" s="76">
        <v>70</v>
      </c>
      <c r="J240" s="76">
        <v>70</v>
      </c>
      <c r="K240" s="76">
        <v>70</v>
      </c>
      <c r="L240" s="76">
        <v>70</v>
      </c>
      <c r="M240" s="76">
        <v>2018</v>
      </c>
      <c r="N240" s="76">
        <v>2020</v>
      </c>
      <c r="O240" s="76">
        <f t="shared" si="114"/>
        <v>13.3320610687023</v>
      </c>
      <c r="P240" s="99">
        <f t="shared" si="115"/>
        <v>4.4440203562341</v>
      </c>
      <c r="Q240" s="99">
        <f t="shared" si="116"/>
        <v>4.4440203562341</v>
      </c>
      <c r="R240" s="99">
        <f t="shared" si="117"/>
        <v>4.4440203562341</v>
      </c>
      <c r="S240" s="99">
        <f t="shared" si="118"/>
        <v>13.3320610687023</v>
      </c>
      <c r="T240" s="99"/>
      <c r="U240" s="99"/>
      <c r="V240" s="99"/>
      <c r="W240" s="99"/>
      <c r="X240" s="583"/>
      <c r="Y240" s="76"/>
      <c r="Z240" s="76"/>
      <c r="AA240" s="76"/>
      <c r="AB240" s="76"/>
      <c r="AC240" s="76"/>
      <c r="AD240" s="136"/>
    </row>
    <row r="241" customHeight="1" spans="1:30">
      <c r="A241" s="76"/>
      <c r="B241" s="212" t="s">
        <v>1271</v>
      </c>
      <c r="C241" s="76" t="s">
        <v>320</v>
      </c>
      <c r="D241" s="76" t="s">
        <v>147</v>
      </c>
      <c r="E241" s="76"/>
      <c r="F241" s="76">
        <f t="shared" si="113"/>
        <v>159</v>
      </c>
      <c r="G241" s="76">
        <v>53</v>
      </c>
      <c r="H241" s="76">
        <v>53</v>
      </c>
      <c r="I241" s="76">
        <v>53</v>
      </c>
      <c r="J241" s="76">
        <v>53</v>
      </c>
      <c r="K241" s="76">
        <v>53</v>
      </c>
      <c r="L241" s="76">
        <v>53</v>
      </c>
      <c r="M241" s="76">
        <v>2018</v>
      </c>
      <c r="N241" s="76">
        <v>2020</v>
      </c>
      <c r="O241" s="76">
        <f t="shared" si="114"/>
        <v>10.0942748091603</v>
      </c>
      <c r="P241" s="99">
        <f t="shared" si="115"/>
        <v>3.3647582697201</v>
      </c>
      <c r="Q241" s="99">
        <f t="shared" si="116"/>
        <v>3.3647582697201</v>
      </c>
      <c r="R241" s="99">
        <f t="shared" si="117"/>
        <v>3.3647582697201</v>
      </c>
      <c r="S241" s="99">
        <f t="shared" si="118"/>
        <v>10.0942748091603</v>
      </c>
      <c r="T241" s="99"/>
      <c r="U241" s="99"/>
      <c r="V241" s="99"/>
      <c r="W241" s="99"/>
      <c r="X241" s="583"/>
      <c r="Y241" s="76"/>
      <c r="Z241" s="76"/>
      <c r="AA241" s="76"/>
      <c r="AB241" s="76"/>
      <c r="AC241" s="76"/>
      <c r="AD241" s="136"/>
    </row>
    <row r="242" customHeight="1" spans="1:30">
      <c r="A242" s="76"/>
      <c r="B242" s="212" t="s">
        <v>1282</v>
      </c>
      <c r="C242" s="76" t="s">
        <v>320</v>
      </c>
      <c r="D242" s="76" t="s">
        <v>147</v>
      </c>
      <c r="E242" s="76"/>
      <c r="F242" s="76">
        <f t="shared" si="113"/>
        <v>213</v>
      </c>
      <c r="G242" s="76">
        <v>71</v>
      </c>
      <c r="H242" s="76">
        <v>71</v>
      </c>
      <c r="I242" s="76">
        <v>71</v>
      </c>
      <c r="J242" s="76">
        <v>71</v>
      </c>
      <c r="K242" s="76">
        <v>71</v>
      </c>
      <c r="L242" s="76">
        <v>71</v>
      </c>
      <c r="M242" s="76">
        <v>2018</v>
      </c>
      <c r="N242" s="76">
        <v>2020</v>
      </c>
      <c r="O242" s="76">
        <f t="shared" si="114"/>
        <v>13.5225190839695</v>
      </c>
      <c r="P242" s="99">
        <f t="shared" si="115"/>
        <v>4.50750636132315</v>
      </c>
      <c r="Q242" s="99">
        <f t="shared" si="116"/>
        <v>4.50750636132315</v>
      </c>
      <c r="R242" s="99">
        <f t="shared" si="117"/>
        <v>4.50750636132315</v>
      </c>
      <c r="S242" s="99">
        <f t="shared" si="118"/>
        <v>13.5225190839695</v>
      </c>
      <c r="T242" s="99"/>
      <c r="U242" s="99"/>
      <c r="V242" s="99"/>
      <c r="W242" s="99"/>
      <c r="X242" s="583"/>
      <c r="Y242" s="76"/>
      <c r="Z242" s="76"/>
      <c r="AA242" s="76"/>
      <c r="AB242" s="76"/>
      <c r="AC242" s="76"/>
      <c r="AD242" s="136"/>
    </row>
    <row r="243" customHeight="1" spans="1:30">
      <c r="A243" s="76"/>
      <c r="B243" s="212" t="s">
        <v>1283</v>
      </c>
      <c r="C243" s="76" t="s">
        <v>320</v>
      </c>
      <c r="D243" s="76" t="s">
        <v>147</v>
      </c>
      <c r="E243" s="76"/>
      <c r="F243" s="76">
        <f t="shared" si="113"/>
        <v>60</v>
      </c>
      <c r="G243" s="76">
        <v>20</v>
      </c>
      <c r="H243" s="76">
        <v>20</v>
      </c>
      <c r="I243" s="76">
        <v>20</v>
      </c>
      <c r="J243" s="76">
        <v>20</v>
      </c>
      <c r="K243" s="76">
        <v>20</v>
      </c>
      <c r="L243" s="76">
        <v>20</v>
      </c>
      <c r="M243" s="76">
        <v>2018</v>
      </c>
      <c r="N243" s="76">
        <v>2020</v>
      </c>
      <c r="O243" s="76">
        <f t="shared" si="114"/>
        <v>3.80916030534351</v>
      </c>
      <c r="P243" s="99">
        <f t="shared" si="115"/>
        <v>1.26972010178117</v>
      </c>
      <c r="Q243" s="99">
        <f t="shared" si="116"/>
        <v>1.26972010178117</v>
      </c>
      <c r="R243" s="99">
        <f t="shared" si="117"/>
        <v>1.26972010178117</v>
      </c>
      <c r="S243" s="99">
        <f t="shared" si="118"/>
        <v>3.80916030534351</v>
      </c>
      <c r="T243" s="99"/>
      <c r="U243" s="99"/>
      <c r="V243" s="99"/>
      <c r="W243" s="99"/>
      <c r="X243" s="583"/>
      <c r="Y243" s="76"/>
      <c r="Z243" s="76"/>
      <c r="AA243" s="76"/>
      <c r="AB243" s="76"/>
      <c r="AC243" s="76"/>
      <c r="AD243" s="136"/>
    </row>
    <row r="244" customHeight="1" spans="1:30">
      <c r="A244" s="76"/>
      <c r="B244" s="212" t="s">
        <v>1284</v>
      </c>
      <c r="C244" s="76" t="s">
        <v>320</v>
      </c>
      <c r="D244" s="76" t="s">
        <v>147</v>
      </c>
      <c r="E244" s="76"/>
      <c r="F244" s="76">
        <f t="shared" si="113"/>
        <v>39</v>
      </c>
      <c r="G244" s="76">
        <v>13</v>
      </c>
      <c r="H244" s="76">
        <v>13</v>
      </c>
      <c r="I244" s="76">
        <v>13</v>
      </c>
      <c r="J244" s="76">
        <v>13</v>
      </c>
      <c r="K244" s="76">
        <v>13</v>
      </c>
      <c r="L244" s="76">
        <v>13</v>
      </c>
      <c r="M244" s="76">
        <v>2018</v>
      </c>
      <c r="N244" s="76">
        <v>2020</v>
      </c>
      <c r="O244" s="76">
        <f t="shared" si="114"/>
        <v>2.47595419847328</v>
      </c>
      <c r="P244" s="99">
        <f t="shared" si="115"/>
        <v>0.825318066157761</v>
      </c>
      <c r="Q244" s="99">
        <f t="shared" si="116"/>
        <v>0.825318066157761</v>
      </c>
      <c r="R244" s="99">
        <f t="shared" si="117"/>
        <v>0.825318066157761</v>
      </c>
      <c r="S244" s="99">
        <f t="shared" si="118"/>
        <v>2.47595419847328</v>
      </c>
      <c r="T244" s="99"/>
      <c r="U244" s="99"/>
      <c r="V244" s="99"/>
      <c r="W244" s="99"/>
      <c r="X244" s="583"/>
      <c r="Y244" s="76"/>
      <c r="Z244" s="76"/>
      <c r="AA244" s="76"/>
      <c r="AB244" s="76"/>
      <c r="AC244" s="76"/>
      <c r="AD244" s="136"/>
    </row>
    <row r="245" customHeight="1" spans="1:30">
      <c r="A245" s="76">
        <v>19</v>
      </c>
      <c r="B245" s="92" t="s">
        <v>355</v>
      </c>
      <c r="C245" s="76" t="s">
        <v>320</v>
      </c>
      <c r="D245" s="76" t="s">
        <v>147</v>
      </c>
      <c r="E245" s="76"/>
      <c r="F245" s="76">
        <f t="shared" ref="F245:L245" si="119">SUM(F246:F262)</f>
        <v>549</v>
      </c>
      <c r="G245" s="76">
        <f t="shared" si="119"/>
        <v>183</v>
      </c>
      <c r="H245" s="76">
        <f t="shared" si="119"/>
        <v>183</v>
      </c>
      <c r="I245" s="76">
        <f t="shared" si="119"/>
        <v>183</v>
      </c>
      <c r="J245" s="76">
        <f t="shared" si="119"/>
        <v>183</v>
      </c>
      <c r="K245" s="76">
        <f t="shared" si="119"/>
        <v>183</v>
      </c>
      <c r="L245" s="76">
        <f t="shared" si="119"/>
        <v>183</v>
      </c>
      <c r="M245" s="76">
        <v>2018</v>
      </c>
      <c r="N245" s="76">
        <v>2020</v>
      </c>
      <c r="O245" s="76">
        <f t="shared" si="114"/>
        <v>0</v>
      </c>
      <c r="P245" s="99"/>
      <c r="Q245" s="99"/>
      <c r="R245" s="99"/>
      <c r="S245" s="99"/>
      <c r="T245" s="99"/>
      <c r="U245" s="99"/>
      <c r="V245" s="99"/>
      <c r="W245" s="99"/>
      <c r="X245" s="583" t="s">
        <v>1038</v>
      </c>
      <c r="Y245" s="76"/>
      <c r="Z245" s="76"/>
      <c r="AA245" s="76" t="s">
        <v>1285</v>
      </c>
      <c r="AB245" s="76" t="s">
        <v>1291</v>
      </c>
      <c r="AC245" s="76" t="s">
        <v>358</v>
      </c>
      <c r="AD245" s="136"/>
    </row>
    <row r="246" customHeight="1" spans="1:30">
      <c r="A246" s="76"/>
      <c r="B246" s="212" t="s">
        <v>1265</v>
      </c>
      <c r="C246" s="76" t="s">
        <v>320</v>
      </c>
      <c r="D246" s="76" t="s">
        <v>147</v>
      </c>
      <c r="E246" s="76"/>
      <c r="F246" s="76">
        <f t="shared" ref="F246:F262" si="120">SUM(G246:I246)</f>
        <v>15</v>
      </c>
      <c r="G246" s="76">
        <v>5</v>
      </c>
      <c r="H246" s="76">
        <v>5</v>
      </c>
      <c r="I246" s="76">
        <v>5</v>
      </c>
      <c r="J246" s="76">
        <v>5</v>
      </c>
      <c r="K246" s="76">
        <v>5</v>
      </c>
      <c r="L246" s="76">
        <v>5</v>
      </c>
      <c r="M246" s="76">
        <v>2018</v>
      </c>
      <c r="N246" s="76">
        <v>2020</v>
      </c>
      <c r="O246" s="76">
        <f t="shared" si="114"/>
        <v>0</v>
      </c>
      <c r="P246" s="99"/>
      <c r="Q246" s="99"/>
      <c r="R246" s="99"/>
      <c r="S246" s="99"/>
      <c r="T246" s="99"/>
      <c r="U246" s="99"/>
      <c r="V246" s="99"/>
      <c r="W246" s="99"/>
      <c r="X246" s="583"/>
      <c r="Y246" s="76"/>
      <c r="Z246" s="76"/>
      <c r="AA246" s="76"/>
      <c r="AB246" s="76"/>
      <c r="AC246" s="76"/>
      <c r="AD246" s="136"/>
    </row>
    <row r="247" customHeight="1" spans="1:30">
      <c r="A247" s="76"/>
      <c r="B247" s="212" t="s">
        <v>1266</v>
      </c>
      <c r="C247" s="76" t="s">
        <v>320</v>
      </c>
      <c r="D247" s="76" t="s">
        <v>147</v>
      </c>
      <c r="E247" s="76"/>
      <c r="F247" s="76">
        <f t="shared" si="120"/>
        <v>33</v>
      </c>
      <c r="G247" s="76">
        <v>11</v>
      </c>
      <c r="H247" s="76">
        <v>11</v>
      </c>
      <c r="I247" s="76">
        <v>11</v>
      </c>
      <c r="J247" s="76">
        <v>11</v>
      </c>
      <c r="K247" s="76">
        <v>11</v>
      </c>
      <c r="L247" s="76">
        <v>11</v>
      </c>
      <c r="M247" s="76">
        <v>2018</v>
      </c>
      <c r="N247" s="76">
        <v>2020</v>
      </c>
      <c r="O247" s="76">
        <f t="shared" si="114"/>
        <v>0</v>
      </c>
      <c r="P247" s="99"/>
      <c r="Q247" s="99"/>
      <c r="R247" s="99"/>
      <c r="S247" s="99"/>
      <c r="T247" s="99"/>
      <c r="U247" s="99"/>
      <c r="V247" s="99"/>
      <c r="W247" s="99"/>
      <c r="X247" s="583"/>
      <c r="Y247" s="76"/>
      <c r="Z247" s="76"/>
      <c r="AA247" s="76"/>
      <c r="AB247" s="76"/>
      <c r="AC247" s="76"/>
      <c r="AD247" s="136"/>
    </row>
    <row r="248" customHeight="1" spans="1:30">
      <c r="A248" s="76"/>
      <c r="B248" s="212" t="s">
        <v>1267</v>
      </c>
      <c r="C248" s="76" t="s">
        <v>320</v>
      </c>
      <c r="D248" s="76" t="s">
        <v>147</v>
      </c>
      <c r="E248" s="76"/>
      <c r="F248" s="76">
        <f t="shared" si="120"/>
        <v>18</v>
      </c>
      <c r="G248" s="76">
        <v>6</v>
      </c>
      <c r="H248" s="76">
        <v>6</v>
      </c>
      <c r="I248" s="76">
        <v>6</v>
      </c>
      <c r="J248" s="76">
        <v>6</v>
      </c>
      <c r="K248" s="76">
        <v>6</v>
      </c>
      <c r="L248" s="76">
        <v>6</v>
      </c>
      <c r="M248" s="76">
        <v>2018</v>
      </c>
      <c r="N248" s="76">
        <v>2020</v>
      </c>
      <c r="O248" s="76">
        <f t="shared" si="114"/>
        <v>0</v>
      </c>
      <c r="P248" s="99"/>
      <c r="Q248" s="99"/>
      <c r="R248" s="99"/>
      <c r="S248" s="99"/>
      <c r="T248" s="99"/>
      <c r="U248" s="99"/>
      <c r="V248" s="99"/>
      <c r="W248" s="99"/>
      <c r="X248" s="583"/>
      <c r="Y248" s="76"/>
      <c r="Z248" s="76"/>
      <c r="AA248" s="76"/>
      <c r="AB248" s="76"/>
      <c r="AC248" s="76"/>
      <c r="AD248" s="136"/>
    </row>
    <row r="249" customHeight="1" spans="1:30">
      <c r="A249" s="76"/>
      <c r="B249" s="212" t="s">
        <v>1268</v>
      </c>
      <c r="C249" s="76" t="s">
        <v>320</v>
      </c>
      <c r="D249" s="76" t="s">
        <v>147</v>
      </c>
      <c r="E249" s="76"/>
      <c r="F249" s="76">
        <f t="shared" si="120"/>
        <v>30</v>
      </c>
      <c r="G249" s="76">
        <v>10</v>
      </c>
      <c r="H249" s="76">
        <v>10</v>
      </c>
      <c r="I249" s="76">
        <v>10</v>
      </c>
      <c r="J249" s="76">
        <v>10</v>
      </c>
      <c r="K249" s="76">
        <v>10</v>
      </c>
      <c r="L249" s="76">
        <v>10</v>
      </c>
      <c r="M249" s="76">
        <v>2018</v>
      </c>
      <c r="N249" s="76">
        <v>2020</v>
      </c>
      <c r="O249" s="76">
        <f t="shared" si="114"/>
        <v>0</v>
      </c>
      <c r="P249" s="99"/>
      <c r="Q249" s="99"/>
      <c r="R249" s="99"/>
      <c r="S249" s="99"/>
      <c r="T249" s="99"/>
      <c r="U249" s="99"/>
      <c r="V249" s="99"/>
      <c r="W249" s="99"/>
      <c r="X249" s="583"/>
      <c r="Y249" s="76"/>
      <c r="Z249" s="76"/>
      <c r="AA249" s="76"/>
      <c r="AB249" s="76"/>
      <c r="AC249" s="76"/>
      <c r="AD249" s="136"/>
    </row>
    <row r="250" customHeight="1" spans="1:30">
      <c r="A250" s="76"/>
      <c r="B250" s="212" t="s">
        <v>1275</v>
      </c>
      <c r="C250" s="76" t="s">
        <v>320</v>
      </c>
      <c r="D250" s="76" t="s">
        <v>147</v>
      </c>
      <c r="E250" s="76"/>
      <c r="F250" s="76">
        <f t="shared" si="120"/>
        <v>48</v>
      </c>
      <c r="G250" s="76">
        <v>16</v>
      </c>
      <c r="H250" s="76">
        <v>16</v>
      </c>
      <c r="I250" s="76">
        <v>16</v>
      </c>
      <c r="J250" s="76">
        <v>16</v>
      </c>
      <c r="K250" s="76">
        <v>16</v>
      </c>
      <c r="L250" s="76">
        <v>16</v>
      </c>
      <c r="M250" s="76">
        <v>2018</v>
      </c>
      <c r="N250" s="76">
        <v>2020</v>
      </c>
      <c r="O250" s="76">
        <f t="shared" si="114"/>
        <v>0</v>
      </c>
      <c r="P250" s="99"/>
      <c r="Q250" s="99"/>
      <c r="R250" s="99"/>
      <c r="S250" s="99"/>
      <c r="T250" s="99"/>
      <c r="U250" s="99"/>
      <c r="V250" s="99"/>
      <c r="W250" s="99"/>
      <c r="X250" s="583"/>
      <c r="Y250" s="76"/>
      <c r="Z250" s="76"/>
      <c r="AA250" s="76"/>
      <c r="AB250" s="76"/>
      <c r="AC250" s="76"/>
      <c r="AD250" s="136"/>
    </row>
    <row r="251" customHeight="1" spans="1:30">
      <c r="A251" s="76"/>
      <c r="B251" s="212" t="s">
        <v>1276</v>
      </c>
      <c r="C251" s="76" t="s">
        <v>320</v>
      </c>
      <c r="D251" s="76" t="s">
        <v>147</v>
      </c>
      <c r="E251" s="76"/>
      <c r="F251" s="76">
        <f t="shared" si="120"/>
        <v>27</v>
      </c>
      <c r="G251" s="76">
        <v>9</v>
      </c>
      <c r="H251" s="76">
        <v>9</v>
      </c>
      <c r="I251" s="76">
        <v>9</v>
      </c>
      <c r="J251" s="76">
        <v>9</v>
      </c>
      <c r="K251" s="76">
        <v>9</v>
      </c>
      <c r="L251" s="76">
        <v>9</v>
      </c>
      <c r="M251" s="76">
        <v>2018</v>
      </c>
      <c r="N251" s="76">
        <v>2020</v>
      </c>
      <c r="O251" s="76">
        <f t="shared" si="114"/>
        <v>0</v>
      </c>
      <c r="P251" s="99"/>
      <c r="Q251" s="99"/>
      <c r="R251" s="99"/>
      <c r="S251" s="99"/>
      <c r="T251" s="99"/>
      <c r="U251" s="99"/>
      <c r="V251" s="99"/>
      <c r="W251" s="99"/>
      <c r="X251" s="583"/>
      <c r="Y251" s="76"/>
      <c r="Z251" s="76"/>
      <c r="AA251" s="76"/>
      <c r="AB251" s="76"/>
      <c r="AC251" s="76"/>
      <c r="AD251" s="136"/>
    </row>
    <row r="252" customHeight="1" spans="1:30">
      <c r="A252" s="76"/>
      <c r="B252" s="212" t="s">
        <v>1277</v>
      </c>
      <c r="C252" s="76" t="s">
        <v>320</v>
      </c>
      <c r="D252" s="76" t="s">
        <v>147</v>
      </c>
      <c r="E252" s="76"/>
      <c r="F252" s="76">
        <f t="shared" si="120"/>
        <v>51</v>
      </c>
      <c r="G252" s="76">
        <v>17</v>
      </c>
      <c r="H252" s="76">
        <v>17</v>
      </c>
      <c r="I252" s="76">
        <v>17</v>
      </c>
      <c r="J252" s="76">
        <v>17</v>
      </c>
      <c r="K252" s="76">
        <v>17</v>
      </c>
      <c r="L252" s="76">
        <v>17</v>
      </c>
      <c r="M252" s="76">
        <v>2018</v>
      </c>
      <c r="N252" s="76">
        <v>2020</v>
      </c>
      <c r="O252" s="76">
        <f t="shared" si="114"/>
        <v>0</v>
      </c>
      <c r="P252" s="99"/>
      <c r="Q252" s="99"/>
      <c r="R252" s="99"/>
      <c r="S252" s="99"/>
      <c r="T252" s="99"/>
      <c r="U252" s="99"/>
      <c r="V252" s="99"/>
      <c r="W252" s="99"/>
      <c r="X252" s="583"/>
      <c r="Y252" s="76"/>
      <c r="Z252" s="76"/>
      <c r="AA252" s="76"/>
      <c r="AB252" s="76"/>
      <c r="AC252" s="76"/>
      <c r="AD252" s="136"/>
    </row>
    <row r="253" customHeight="1" spans="1:30">
      <c r="A253" s="76"/>
      <c r="B253" s="212" t="s">
        <v>1278</v>
      </c>
      <c r="C253" s="76" t="s">
        <v>320</v>
      </c>
      <c r="D253" s="76" t="s">
        <v>147</v>
      </c>
      <c r="E253" s="76"/>
      <c r="F253" s="76">
        <f t="shared" si="120"/>
        <v>9</v>
      </c>
      <c r="G253" s="76">
        <v>3</v>
      </c>
      <c r="H253" s="76">
        <v>3</v>
      </c>
      <c r="I253" s="76">
        <v>3</v>
      </c>
      <c r="J253" s="76">
        <v>3</v>
      </c>
      <c r="K253" s="76">
        <v>3</v>
      </c>
      <c r="L253" s="76">
        <v>3</v>
      </c>
      <c r="M253" s="76">
        <v>2018</v>
      </c>
      <c r="N253" s="76">
        <v>2020</v>
      </c>
      <c r="O253" s="76">
        <f t="shared" si="114"/>
        <v>0</v>
      </c>
      <c r="P253" s="99"/>
      <c r="Q253" s="99"/>
      <c r="R253" s="99"/>
      <c r="S253" s="99"/>
      <c r="T253" s="99"/>
      <c r="U253" s="99"/>
      <c r="V253" s="99"/>
      <c r="W253" s="99"/>
      <c r="X253" s="583"/>
      <c r="Y253" s="76"/>
      <c r="Z253" s="76"/>
      <c r="AA253" s="76"/>
      <c r="AB253" s="76"/>
      <c r="AC253" s="76"/>
      <c r="AD253" s="136"/>
    </row>
    <row r="254" customHeight="1" spans="1:30">
      <c r="A254" s="76"/>
      <c r="B254" s="212" t="s">
        <v>1279</v>
      </c>
      <c r="C254" s="76" t="s">
        <v>320</v>
      </c>
      <c r="D254" s="76" t="s">
        <v>147</v>
      </c>
      <c r="E254" s="76"/>
      <c r="F254" s="76">
        <f t="shared" si="120"/>
        <v>6</v>
      </c>
      <c r="G254" s="76">
        <v>2</v>
      </c>
      <c r="H254" s="76">
        <v>2</v>
      </c>
      <c r="I254" s="76">
        <v>2</v>
      </c>
      <c r="J254" s="76">
        <v>2</v>
      </c>
      <c r="K254" s="76">
        <v>2</v>
      </c>
      <c r="L254" s="76">
        <v>2</v>
      </c>
      <c r="M254" s="76">
        <v>2018</v>
      </c>
      <c r="N254" s="76">
        <v>2020</v>
      </c>
      <c r="O254" s="76">
        <f t="shared" si="114"/>
        <v>0</v>
      </c>
      <c r="P254" s="99"/>
      <c r="Q254" s="99"/>
      <c r="R254" s="99"/>
      <c r="S254" s="99"/>
      <c r="T254" s="99"/>
      <c r="U254" s="99"/>
      <c r="V254" s="99"/>
      <c r="W254" s="99"/>
      <c r="X254" s="583"/>
      <c r="Y254" s="76"/>
      <c r="Z254" s="76"/>
      <c r="AA254" s="76"/>
      <c r="AB254" s="76"/>
      <c r="AC254" s="76"/>
      <c r="AD254" s="136"/>
    </row>
    <row r="255" customHeight="1" spans="1:30">
      <c r="A255" s="76"/>
      <c r="B255" s="212" t="s">
        <v>1280</v>
      </c>
      <c r="C255" s="76" t="s">
        <v>320</v>
      </c>
      <c r="D255" s="76" t="s">
        <v>147</v>
      </c>
      <c r="E255" s="76"/>
      <c r="F255" s="76">
        <f t="shared" si="120"/>
        <v>45</v>
      </c>
      <c r="G255" s="76">
        <v>15</v>
      </c>
      <c r="H255" s="76">
        <v>15</v>
      </c>
      <c r="I255" s="76">
        <v>15</v>
      </c>
      <c r="J255" s="76">
        <v>15</v>
      </c>
      <c r="K255" s="76">
        <v>15</v>
      </c>
      <c r="L255" s="76">
        <v>15</v>
      </c>
      <c r="M255" s="76">
        <v>2018</v>
      </c>
      <c r="N255" s="76">
        <v>2020</v>
      </c>
      <c r="O255" s="76">
        <f t="shared" si="114"/>
        <v>0</v>
      </c>
      <c r="P255" s="99"/>
      <c r="Q255" s="99"/>
      <c r="R255" s="99"/>
      <c r="S255" s="99"/>
      <c r="T255" s="99"/>
      <c r="U255" s="99"/>
      <c r="V255" s="99"/>
      <c r="W255" s="99"/>
      <c r="X255" s="583"/>
      <c r="Y255" s="76"/>
      <c r="Z255" s="76"/>
      <c r="AA255" s="76"/>
      <c r="AB255" s="76"/>
      <c r="AC255" s="76"/>
      <c r="AD255" s="136"/>
    </row>
    <row r="256" customHeight="1" spans="1:30">
      <c r="A256" s="76"/>
      <c r="B256" s="212" t="s">
        <v>1269</v>
      </c>
      <c r="C256" s="76" t="s">
        <v>320</v>
      </c>
      <c r="D256" s="76" t="s">
        <v>147</v>
      </c>
      <c r="E256" s="76"/>
      <c r="F256" s="76">
        <f t="shared" si="120"/>
        <v>6</v>
      </c>
      <c r="G256" s="76">
        <v>2</v>
      </c>
      <c r="H256" s="76">
        <v>2</v>
      </c>
      <c r="I256" s="76">
        <v>2</v>
      </c>
      <c r="J256" s="76">
        <v>2</v>
      </c>
      <c r="K256" s="76">
        <v>2</v>
      </c>
      <c r="L256" s="76">
        <v>2</v>
      </c>
      <c r="M256" s="76">
        <v>2018</v>
      </c>
      <c r="N256" s="76">
        <v>2020</v>
      </c>
      <c r="O256" s="76">
        <f t="shared" si="114"/>
        <v>0</v>
      </c>
      <c r="P256" s="99"/>
      <c r="Q256" s="99"/>
      <c r="R256" s="99"/>
      <c r="S256" s="99"/>
      <c r="T256" s="99"/>
      <c r="U256" s="99"/>
      <c r="V256" s="99"/>
      <c r="W256" s="99"/>
      <c r="X256" s="583"/>
      <c r="Y256" s="76"/>
      <c r="Z256" s="76"/>
      <c r="AA256" s="76"/>
      <c r="AB256" s="76"/>
      <c r="AC256" s="76"/>
      <c r="AD256" s="136"/>
    </row>
    <row r="257" customHeight="1" spans="1:30">
      <c r="A257" s="76"/>
      <c r="B257" s="212" t="s">
        <v>1270</v>
      </c>
      <c r="C257" s="76" t="s">
        <v>320</v>
      </c>
      <c r="D257" s="76" t="s">
        <v>147</v>
      </c>
      <c r="E257" s="76"/>
      <c r="F257" s="76">
        <f t="shared" si="120"/>
        <v>27</v>
      </c>
      <c r="G257" s="76">
        <v>9</v>
      </c>
      <c r="H257" s="76">
        <v>9</v>
      </c>
      <c r="I257" s="76">
        <v>9</v>
      </c>
      <c r="J257" s="76">
        <v>9</v>
      </c>
      <c r="K257" s="76">
        <v>9</v>
      </c>
      <c r="L257" s="76">
        <v>9</v>
      </c>
      <c r="M257" s="76">
        <v>2018</v>
      </c>
      <c r="N257" s="76">
        <v>2020</v>
      </c>
      <c r="O257" s="76">
        <f t="shared" si="114"/>
        <v>0</v>
      </c>
      <c r="P257" s="99"/>
      <c r="Q257" s="99"/>
      <c r="R257" s="99"/>
      <c r="S257" s="99"/>
      <c r="T257" s="99"/>
      <c r="U257" s="99"/>
      <c r="V257" s="99"/>
      <c r="W257" s="99"/>
      <c r="X257" s="583"/>
      <c r="Y257" s="76"/>
      <c r="Z257" s="76"/>
      <c r="AA257" s="76"/>
      <c r="AB257" s="76"/>
      <c r="AC257" s="76"/>
      <c r="AD257" s="136"/>
    </row>
    <row r="258" customHeight="1" spans="1:30">
      <c r="A258" s="76"/>
      <c r="B258" s="212" t="s">
        <v>1281</v>
      </c>
      <c r="C258" s="76" t="s">
        <v>320</v>
      </c>
      <c r="D258" s="76" t="s">
        <v>147</v>
      </c>
      <c r="E258" s="76"/>
      <c r="F258" s="76">
        <f t="shared" si="120"/>
        <v>57</v>
      </c>
      <c r="G258" s="76">
        <v>19</v>
      </c>
      <c r="H258" s="76">
        <v>19</v>
      </c>
      <c r="I258" s="76">
        <v>19</v>
      </c>
      <c r="J258" s="76">
        <v>19</v>
      </c>
      <c r="K258" s="76">
        <v>19</v>
      </c>
      <c r="L258" s="76">
        <v>19</v>
      </c>
      <c r="M258" s="76">
        <v>2018</v>
      </c>
      <c r="N258" s="76">
        <v>2020</v>
      </c>
      <c r="O258" s="76">
        <f t="shared" si="114"/>
        <v>0</v>
      </c>
      <c r="P258" s="99"/>
      <c r="Q258" s="99"/>
      <c r="R258" s="99"/>
      <c r="S258" s="99"/>
      <c r="T258" s="99"/>
      <c r="U258" s="99"/>
      <c r="V258" s="99"/>
      <c r="W258" s="99"/>
      <c r="X258" s="583"/>
      <c r="Y258" s="76"/>
      <c r="Z258" s="76"/>
      <c r="AA258" s="76"/>
      <c r="AB258" s="76"/>
      <c r="AC258" s="76"/>
      <c r="AD258" s="136"/>
    </row>
    <row r="259" customHeight="1" spans="1:30">
      <c r="A259" s="76"/>
      <c r="B259" s="212" t="s">
        <v>1271</v>
      </c>
      <c r="C259" s="76" t="s">
        <v>320</v>
      </c>
      <c r="D259" s="76" t="s">
        <v>147</v>
      </c>
      <c r="E259" s="76"/>
      <c r="F259" s="76">
        <f t="shared" si="120"/>
        <v>54</v>
      </c>
      <c r="G259" s="76">
        <v>18</v>
      </c>
      <c r="H259" s="76">
        <v>18</v>
      </c>
      <c r="I259" s="76">
        <v>18</v>
      </c>
      <c r="J259" s="76">
        <v>18</v>
      </c>
      <c r="K259" s="76">
        <v>18</v>
      </c>
      <c r="L259" s="76">
        <v>18</v>
      </c>
      <c r="M259" s="76">
        <v>2018</v>
      </c>
      <c r="N259" s="76">
        <v>2020</v>
      </c>
      <c r="O259" s="76">
        <f t="shared" si="114"/>
        <v>0</v>
      </c>
      <c r="P259" s="99"/>
      <c r="Q259" s="99"/>
      <c r="R259" s="99"/>
      <c r="S259" s="99"/>
      <c r="T259" s="99"/>
      <c r="U259" s="99"/>
      <c r="V259" s="99"/>
      <c r="W259" s="99"/>
      <c r="X259" s="583"/>
      <c r="Y259" s="76"/>
      <c r="Z259" s="76"/>
      <c r="AA259" s="76"/>
      <c r="AB259" s="76"/>
      <c r="AC259" s="76"/>
      <c r="AD259" s="136"/>
    </row>
    <row r="260" customHeight="1" spans="1:30">
      <c r="A260" s="76"/>
      <c r="B260" s="212" t="s">
        <v>1282</v>
      </c>
      <c r="C260" s="76" t="s">
        <v>320</v>
      </c>
      <c r="D260" s="76" t="s">
        <v>147</v>
      </c>
      <c r="E260" s="76"/>
      <c r="F260" s="76">
        <f t="shared" si="120"/>
        <v>72</v>
      </c>
      <c r="G260" s="76">
        <v>24</v>
      </c>
      <c r="H260" s="76">
        <v>24</v>
      </c>
      <c r="I260" s="76">
        <v>24</v>
      </c>
      <c r="J260" s="76">
        <v>24</v>
      </c>
      <c r="K260" s="76">
        <v>24</v>
      </c>
      <c r="L260" s="76">
        <v>24</v>
      </c>
      <c r="M260" s="76">
        <v>2018</v>
      </c>
      <c r="N260" s="76">
        <v>2020</v>
      </c>
      <c r="O260" s="76">
        <f t="shared" si="114"/>
        <v>0</v>
      </c>
      <c r="P260" s="99"/>
      <c r="Q260" s="99"/>
      <c r="R260" s="99"/>
      <c r="S260" s="99"/>
      <c r="T260" s="99"/>
      <c r="U260" s="99"/>
      <c r="V260" s="99"/>
      <c r="W260" s="99"/>
      <c r="X260" s="583"/>
      <c r="Y260" s="76"/>
      <c r="Z260" s="76"/>
      <c r="AA260" s="76"/>
      <c r="AB260" s="76"/>
      <c r="AC260" s="76"/>
      <c r="AD260" s="136"/>
    </row>
    <row r="261" customHeight="1" spans="1:30">
      <c r="A261" s="76"/>
      <c r="B261" s="212" t="s">
        <v>1283</v>
      </c>
      <c r="C261" s="76" t="s">
        <v>320</v>
      </c>
      <c r="D261" s="76" t="s">
        <v>147</v>
      </c>
      <c r="E261" s="76"/>
      <c r="F261" s="76">
        <f t="shared" si="120"/>
        <v>39</v>
      </c>
      <c r="G261" s="76">
        <v>13</v>
      </c>
      <c r="H261" s="76">
        <v>13</v>
      </c>
      <c r="I261" s="76">
        <v>13</v>
      </c>
      <c r="J261" s="76">
        <v>13</v>
      </c>
      <c r="K261" s="76">
        <v>13</v>
      </c>
      <c r="L261" s="76">
        <v>13</v>
      </c>
      <c r="M261" s="76">
        <v>2018</v>
      </c>
      <c r="N261" s="76">
        <v>2020</v>
      </c>
      <c r="O261" s="76">
        <f t="shared" si="114"/>
        <v>0</v>
      </c>
      <c r="P261" s="99"/>
      <c r="Q261" s="99"/>
      <c r="R261" s="99"/>
      <c r="S261" s="99"/>
      <c r="T261" s="99"/>
      <c r="U261" s="99"/>
      <c r="V261" s="99"/>
      <c r="W261" s="99"/>
      <c r="X261" s="583"/>
      <c r="Y261" s="76"/>
      <c r="Z261" s="76"/>
      <c r="AA261" s="76"/>
      <c r="AB261" s="76"/>
      <c r="AC261" s="76"/>
      <c r="AD261" s="136"/>
    </row>
    <row r="262" customHeight="1" spans="1:30">
      <c r="A262" s="76"/>
      <c r="B262" s="212" t="s">
        <v>1284</v>
      </c>
      <c r="C262" s="76" t="s">
        <v>320</v>
      </c>
      <c r="D262" s="76" t="s">
        <v>147</v>
      </c>
      <c r="E262" s="76"/>
      <c r="F262" s="76">
        <f t="shared" si="120"/>
        <v>12</v>
      </c>
      <c r="G262" s="76">
        <v>4</v>
      </c>
      <c r="H262" s="76">
        <v>4</v>
      </c>
      <c r="I262" s="76">
        <v>4</v>
      </c>
      <c r="J262" s="76">
        <v>4</v>
      </c>
      <c r="K262" s="76">
        <v>4</v>
      </c>
      <c r="L262" s="76">
        <v>4</v>
      </c>
      <c r="M262" s="76">
        <v>2018</v>
      </c>
      <c r="N262" s="76">
        <v>2020</v>
      </c>
      <c r="O262" s="76">
        <f t="shared" si="114"/>
        <v>0</v>
      </c>
      <c r="P262" s="99"/>
      <c r="Q262" s="99"/>
      <c r="R262" s="99"/>
      <c r="S262" s="99"/>
      <c r="T262" s="99"/>
      <c r="U262" s="99"/>
      <c r="V262" s="99"/>
      <c r="W262" s="99"/>
      <c r="X262" s="583"/>
      <c r="Y262" s="76"/>
      <c r="Z262" s="76"/>
      <c r="AA262" s="76"/>
      <c r="AB262" s="76"/>
      <c r="AC262" s="76"/>
      <c r="AD262" s="136"/>
    </row>
    <row r="263" customHeight="1" spans="1:30">
      <c r="A263" s="76">
        <v>20</v>
      </c>
      <c r="B263" s="92" t="s">
        <v>370</v>
      </c>
      <c r="C263" s="76" t="s">
        <v>320</v>
      </c>
      <c r="D263" s="76" t="s">
        <v>147</v>
      </c>
      <c r="E263" s="76"/>
      <c r="F263" s="76">
        <f t="shared" ref="F263:L263" si="121">SUM(F264:F280)</f>
        <v>1587</v>
      </c>
      <c r="G263" s="76">
        <f t="shared" si="121"/>
        <v>529</v>
      </c>
      <c r="H263" s="76">
        <f t="shared" si="121"/>
        <v>529</v>
      </c>
      <c r="I263" s="76">
        <f t="shared" si="121"/>
        <v>529</v>
      </c>
      <c r="J263" s="76">
        <f t="shared" si="121"/>
        <v>529</v>
      </c>
      <c r="K263" s="76">
        <f t="shared" si="121"/>
        <v>529</v>
      </c>
      <c r="L263" s="76">
        <f t="shared" si="121"/>
        <v>529</v>
      </c>
      <c r="M263" s="76">
        <v>2018</v>
      </c>
      <c r="N263" s="76">
        <v>2020</v>
      </c>
      <c r="O263" s="76">
        <f t="shared" ref="O263:R263" si="122">SUM(O264:O280)</f>
        <v>65.71</v>
      </c>
      <c r="P263" s="76">
        <f t="shared" si="122"/>
        <v>21.9033333333333</v>
      </c>
      <c r="Q263" s="76">
        <f t="shared" si="122"/>
        <v>21.9033333333333</v>
      </c>
      <c r="R263" s="76">
        <f t="shared" si="122"/>
        <v>21.9033333333333</v>
      </c>
      <c r="S263" s="99">
        <f t="shared" ref="S263:S280" si="123">O263</f>
        <v>65.71</v>
      </c>
      <c r="T263" s="99"/>
      <c r="U263" s="99"/>
      <c r="V263" s="99"/>
      <c r="W263" s="99"/>
      <c r="X263" s="583" t="s">
        <v>1038</v>
      </c>
      <c r="Y263" s="76"/>
      <c r="Z263" s="76"/>
      <c r="AA263" s="76" t="s">
        <v>1285</v>
      </c>
      <c r="AB263" s="76" t="s">
        <v>1291</v>
      </c>
      <c r="AC263" s="76" t="s">
        <v>358</v>
      </c>
      <c r="AD263" s="136"/>
    </row>
    <row r="264" customHeight="1" spans="1:30">
      <c r="A264" s="76"/>
      <c r="B264" s="212" t="s">
        <v>1265</v>
      </c>
      <c r="C264" s="76" t="s">
        <v>320</v>
      </c>
      <c r="D264" s="76" t="s">
        <v>147</v>
      </c>
      <c r="E264" s="76"/>
      <c r="F264" s="76">
        <f t="shared" ref="F264:F280" si="124">SUM(G264:I264)</f>
        <v>24</v>
      </c>
      <c r="G264" s="76">
        <v>8</v>
      </c>
      <c r="H264" s="76">
        <v>8</v>
      </c>
      <c r="I264" s="76">
        <v>8</v>
      </c>
      <c r="J264" s="76">
        <v>8</v>
      </c>
      <c r="K264" s="76">
        <v>8</v>
      </c>
      <c r="L264" s="76">
        <v>8</v>
      </c>
      <c r="M264" s="76">
        <v>2018</v>
      </c>
      <c r="N264" s="76">
        <v>2020</v>
      </c>
      <c r="O264" s="76">
        <f t="shared" ref="O264:O327" si="125">SUM(P264:R264)</f>
        <v>0.993724007561437</v>
      </c>
      <c r="P264" s="99">
        <f t="shared" ref="P264:P280" si="126">65.71/3/529*J264</f>
        <v>0.331241335853812</v>
      </c>
      <c r="Q264" s="99">
        <f t="shared" ref="Q264:Q280" si="127">65.71/3/529*J264</f>
        <v>0.331241335853812</v>
      </c>
      <c r="R264" s="99">
        <f t="shared" ref="R264:R280" si="128">65.71/3/529*J264</f>
        <v>0.331241335853812</v>
      </c>
      <c r="S264" s="99">
        <f t="shared" si="123"/>
        <v>0.993724007561437</v>
      </c>
      <c r="T264" s="99"/>
      <c r="U264" s="99"/>
      <c r="V264" s="99"/>
      <c r="W264" s="99"/>
      <c r="X264" s="583"/>
      <c r="Y264" s="76"/>
      <c r="Z264" s="76"/>
      <c r="AA264" s="76"/>
      <c r="AB264" s="76"/>
      <c r="AC264" s="76"/>
      <c r="AD264" s="136"/>
    </row>
    <row r="265" customHeight="1" spans="1:30">
      <c r="A265" s="76"/>
      <c r="B265" s="212" t="s">
        <v>1266</v>
      </c>
      <c r="C265" s="76" t="s">
        <v>320</v>
      </c>
      <c r="D265" s="76" t="s">
        <v>147</v>
      </c>
      <c r="E265" s="76"/>
      <c r="F265" s="76">
        <f t="shared" si="124"/>
        <v>99</v>
      </c>
      <c r="G265" s="76">
        <v>33</v>
      </c>
      <c r="H265" s="76">
        <v>33</v>
      </c>
      <c r="I265" s="76">
        <v>33</v>
      </c>
      <c r="J265" s="76">
        <v>33</v>
      </c>
      <c r="K265" s="76">
        <v>33</v>
      </c>
      <c r="L265" s="76">
        <v>33</v>
      </c>
      <c r="M265" s="76">
        <v>2018</v>
      </c>
      <c r="N265" s="76">
        <v>2020</v>
      </c>
      <c r="O265" s="76">
        <f t="shared" si="125"/>
        <v>4.09911153119093</v>
      </c>
      <c r="P265" s="99">
        <f t="shared" si="126"/>
        <v>1.36637051039698</v>
      </c>
      <c r="Q265" s="99">
        <f t="shared" si="127"/>
        <v>1.36637051039698</v>
      </c>
      <c r="R265" s="99">
        <f t="shared" si="128"/>
        <v>1.36637051039698</v>
      </c>
      <c r="S265" s="99">
        <f t="shared" si="123"/>
        <v>4.09911153119093</v>
      </c>
      <c r="T265" s="99"/>
      <c r="U265" s="99"/>
      <c r="V265" s="99"/>
      <c r="W265" s="99"/>
      <c r="X265" s="583"/>
      <c r="Y265" s="76"/>
      <c r="Z265" s="76"/>
      <c r="AA265" s="76"/>
      <c r="AB265" s="76"/>
      <c r="AC265" s="76"/>
      <c r="AD265" s="136"/>
    </row>
    <row r="266" customHeight="1" spans="1:30">
      <c r="A266" s="76"/>
      <c r="B266" s="212" t="s">
        <v>1267</v>
      </c>
      <c r="C266" s="76" t="s">
        <v>320</v>
      </c>
      <c r="D266" s="76" t="s">
        <v>147</v>
      </c>
      <c r="E266" s="76"/>
      <c r="F266" s="76">
        <f t="shared" si="124"/>
        <v>57</v>
      </c>
      <c r="G266" s="76">
        <v>19</v>
      </c>
      <c r="H266" s="76">
        <v>19</v>
      </c>
      <c r="I266" s="76">
        <v>19</v>
      </c>
      <c r="J266" s="76">
        <v>19</v>
      </c>
      <c r="K266" s="76">
        <v>19</v>
      </c>
      <c r="L266" s="76">
        <v>19</v>
      </c>
      <c r="M266" s="76">
        <v>2018</v>
      </c>
      <c r="N266" s="76">
        <v>2020</v>
      </c>
      <c r="O266" s="76">
        <f t="shared" si="125"/>
        <v>2.36009451795841</v>
      </c>
      <c r="P266" s="99">
        <f t="shared" si="126"/>
        <v>0.786698172652804</v>
      </c>
      <c r="Q266" s="99">
        <f t="shared" si="127"/>
        <v>0.786698172652804</v>
      </c>
      <c r="R266" s="99">
        <f t="shared" si="128"/>
        <v>0.786698172652804</v>
      </c>
      <c r="S266" s="99">
        <f t="shared" si="123"/>
        <v>2.36009451795841</v>
      </c>
      <c r="T266" s="99"/>
      <c r="U266" s="99"/>
      <c r="V266" s="99"/>
      <c r="W266" s="99"/>
      <c r="X266" s="583"/>
      <c r="Y266" s="76"/>
      <c r="Z266" s="76"/>
      <c r="AA266" s="76"/>
      <c r="AB266" s="76"/>
      <c r="AC266" s="76"/>
      <c r="AD266" s="136"/>
    </row>
    <row r="267" customHeight="1" spans="1:30">
      <c r="A267" s="76"/>
      <c r="B267" s="212" t="s">
        <v>1268</v>
      </c>
      <c r="C267" s="76" t="s">
        <v>320</v>
      </c>
      <c r="D267" s="76" t="s">
        <v>147</v>
      </c>
      <c r="E267" s="76"/>
      <c r="F267" s="76">
        <f t="shared" si="124"/>
        <v>75</v>
      </c>
      <c r="G267" s="76">
        <v>25</v>
      </c>
      <c r="H267" s="76">
        <v>25</v>
      </c>
      <c r="I267" s="76">
        <v>25</v>
      </c>
      <c r="J267" s="76">
        <v>25</v>
      </c>
      <c r="K267" s="76">
        <v>25</v>
      </c>
      <c r="L267" s="76">
        <v>25</v>
      </c>
      <c r="M267" s="76">
        <v>2018</v>
      </c>
      <c r="N267" s="76">
        <v>2020</v>
      </c>
      <c r="O267" s="76">
        <f t="shared" si="125"/>
        <v>3.10538752362949</v>
      </c>
      <c r="P267" s="99">
        <f t="shared" si="126"/>
        <v>1.03512917454316</v>
      </c>
      <c r="Q267" s="99">
        <f t="shared" si="127"/>
        <v>1.03512917454316</v>
      </c>
      <c r="R267" s="99">
        <f t="shared" si="128"/>
        <v>1.03512917454316</v>
      </c>
      <c r="S267" s="99">
        <f t="shared" si="123"/>
        <v>3.10538752362949</v>
      </c>
      <c r="T267" s="99"/>
      <c r="U267" s="99"/>
      <c r="V267" s="99"/>
      <c r="W267" s="99"/>
      <c r="X267" s="583"/>
      <c r="Y267" s="76"/>
      <c r="Z267" s="76"/>
      <c r="AA267" s="76"/>
      <c r="AB267" s="76"/>
      <c r="AC267" s="76"/>
      <c r="AD267" s="136"/>
    </row>
    <row r="268" customHeight="1" spans="1:30">
      <c r="A268" s="76"/>
      <c r="B268" s="212" t="s">
        <v>1275</v>
      </c>
      <c r="C268" s="76" t="s">
        <v>320</v>
      </c>
      <c r="D268" s="76" t="s">
        <v>147</v>
      </c>
      <c r="E268" s="76"/>
      <c r="F268" s="76">
        <f t="shared" si="124"/>
        <v>96</v>
      </c>
      <c r="G268" s="76">
        <v>32</v>
      </c>
      <c r="H268" s="76">
        <v>32</v>
      </c>
      <c r="I268" s="76">
        <v>32</v>
      </c>
      <c r="J268" s="76">
        <v>32</v>
      </c>
      <c r="K268" s="76">
        <v>32</v>
      </c>
      <c r="L268" s="76">
        <v>32</v>
      </c>
      <c r="M268" s="76">
        <v>2018</v>
      </c>
      <c r="N268" s="76">
        <v>2020</v>
      </c>
      <c r="O268" s="76">
        <f t="shared" si="125"/>
        <v>3.97489603024575</v>
      </c>
      <c r="P268" s="99">
        <f t="shared" si="126"/>
        <v>1.32496534341525</v>
      </c>
      <c r="Q268" s="99">
        <f t="shared" si="127"/>
        <v>1.32496534341525</v>
      </c>
      <c r="R268" s="99">
        <f t="shared" si="128"/>
        <v>1.32496534341525</v>
      </c>
      <c r="S268" s="99">
        <f t="shared" si="123"/>
        <v>3.97489603024575</v>
      </c>
      <c r="T268" s="99"/>
      <c r="U268" s="99"/>
      <c r="V268" s="99"/>
      <c r="W268" s="99"/>
      <c r="X268" s="583"/>
      <c r="Y268" s="76"/>
      <c r="Z268" s="76"/>
      <c r="AA268" s="76"/>
      <c r="AB268" s="76"/>
      <c r="AC268" s="76"/>
      <c r="AD268" s="136"/>
    </row>
    <row r="269" customHeight="1" spans="1:30">
      <c r="A269" s="76"/>
      <c r="B269" s="212" t="s">
        <v>1276</v>
      </c>
      <c r="C269" s="76" t="s">
        <v>320</v>
      </c>
      <c r="D269" s="76" t="s">
        <v>147</v>
      </c>
      <c r="E269" s="76"/>
      <c r="F269" s="76">
        <f t="shared" si="124"/>
        <v>81</v>
      </c>
      <c r="G269" s="76">
        <v>27</v>
      </c>
      <c r="H269" s="76">
        <v>27</v>
      </c>
      <c r="I269" s="76">
        <v>27</v>
      </c>
      <c r="J269" s="76">
        <v>27</v>
      </c>
      <c r="K269" s="76">
        <v>27</v>
      </c>
      <c r="L269" s="76">
        <v>27</v>
      </c>
      <c r="M269" s="76">
        <v>2018</v>
      </c>
      <c r="N269" s="76">
        <v>2020</v>
      </c>
      <c r="O269" s="76">
        <f t="shared" si="125"/>
        <v>3.35381852551985</v>
      </c>
      <c r="P269" s="99">
        <f t="shared" si="126"/>
        <v>1.11793950850662</v>
      </c>
      <c r="Q269" s="99">
        <f t="shared" si="127"/>
        <v>1.11793950850662</v>
      </c>
      <c r="R269" s="99">
        <f t="shared" si="128"/>
        <v>1.11793950850662</v>
      </c>
      <c r="S269" s="99">
        <f t="shared" si="123"/>
        <v>3.35381852551985</v>
      </c>
      <c r="T269" s="99"/>
      <c r="U269" s="99"/>
      <c r="V269" s="99"/>
      <c r="W269" s="99"/>
      <c r="X269" s="583"/>
      <c r="Y269" s="76"/>
      <c r="Z269" s="76"/>
      <c r="AA269" s="76"/>
      <c r="AB269" s="76"/>
      <c r="AC269" s="76"/>
      <c r="AD269" s="136"/>
    </row>
    <row r="270" customHeight="1" spans="1:30">
      <c r="A270" s="76"/>
      <c r="B270" s="212" t="s">
        <v>1277</v>
      </c>
      <c r="C270" s="76" t="s">
        <v>320</v>
      </c>
      <c r="D270" s="76" t="s">
        <v>147</v>
      </c>
      <c r="E270" s="76"/>
      <c r="F270" s="76">
        <f t="shared" si="124"/>
        <v>177</v>
      </c>
      <c r="G270" s="76">
        <v>59</v>
      </c>
      <c r="H270" s="76">
        <v>59</v>
      </c>
      <c r="I270" s="76">
        <v>59</v>
      </c>
      <c r="J270" s="76">
        <v>59</v>
      </c>
      <c r="K270" s="76">
        <v>59</v>
      </c>
      <c r="L270" s="76">
        <v>59</v>
      </c>
      <c r="M270" s="76">
        <v>2018</v>
      </c>
      <c r="N270" s="76">
        <v>2020</v>
      </c>
      <c r="O270" s="76">
        <f t="shared" si="125"/>
        <v>7.3287145557656</v>
      </c>
      <c r="P270" s="99">
        <f t="shared" si="126"/>
        <v>2.44290485192186</v>
      </c>
      <c r="Q270" s="99">
        <f t="shared" si="127"/>
        <v>2.44290485192186</v>
      </c>
      <c r="R270" s="99">
        <f t="shared" si="128"/>
        <v>2.44290485192186</v>
      </c>
      <c r="S270" s="99">
        <f t="shared" si="123"/>
        <v>7.3287145557656</v>
      </c>
      <c r="T270" s="99"/>
      <c r="U270" s="99"/>
      <c r="V270" s="99"/>
      <c r="W270" s="99"/>
      <c r="X270" s="583"/>
      <c r="Y270" s="76"/>
      <c r="Z270" s="76"/>
      <c r="AA270" s="76"/>
      <c r="AB270" s="76"/>
      <c r="AC270" s="76"/>
      <c r="AD270" s="136"/>
    </row>
    <row r="271" customHeight="1" spans="1:30">
      <c r="A271" s="76"/>
      <c r="B271" s="212" t="s">
        <v>1278</v>
      </c>
      <c r="C271" s="76" t="s">
        <v>320</v>
      </c>
      <c r="D271" s="76" t="s">
        <v>147</v>
      </c>
      <c r="E271" s="76"/>
      <c r="F271" s="76">
        <f t="shared" si="124"/>
        <v>102</v>
      </c>
      <c r="G271" s="76">
        <v>34</v>
      </c>
      <c r="H271" s="76">
        <v>34</v>
      </c>
      <c r="I271" s="76">
        <v>34</v>
      </c>
      <c r="J271" s="76">
        <v>34</v>
      </c>
      <c r="K271" s="76">
        <v>34</v>
      </c>
      <c r="L271" s="76">
        <v>34</v>
      </c>
      <c r="M271" s="76">
        <v>2018</v>
      </c>
      <c r="N271" s="76">
        <v>2020</v>
      </c>
      <c r="O271" s="76">
        <f t="shared" si="125"/>
        <v>4.22332703213611</v>
      </c>
      <c r="P271" s="99">
        <f t="shared" si="126"/>
        <v>1.4077756773787</v>
      </c>
      <c r="Q271" s="99">
        <f t="shared" si="127"/>
        <v>1.4077756773787</v>
      </c>
      <c r="R271" s="99">
        <f t="shared" si="128"/>
        <v>1.4077756773787</v>
      </c>
      <c r="S271" s="99">
        <f t="shared" si="123"/>
        <v>4.22332703213611</v>
      </c>
      <c r="T271" s="99"/>
      <c r="U271" s="99"/>
      <c r="V271" s="99"/>
      <c r="W271" s="99"/>
      <c r="X271" s="583"/>
      <c r="Y271" s="76"/>
      <c r="Z271" s="76"/>
      <c r="AA271" s="76"/>
      <c r="AB271" s="76"/>
      <c r="AC271" s="76"/>
      <c r="AD271" s="136"/>
    </row>
    <row r="272" customHeight="1" spans="1:30">
      <c r="A272" s="76"/>
      <c r="B272" s="212" t="s">
        <v>1279</v>
      </c>
      <c r="C272" s="76" t="s">
        <v>320</v>
      </c>
      <c r="D272" s="76" t="s">
        <v>147</v>
      </c>
      <c r="E272" s="76"/>
      <c r="F272" s="76">
        <f t="shared" si="124"/>
        <v>45</v>
      </c>
      <c r="G272" s="76">
        <v>15</v>
      </c>
      <c r="H272" s="76">
        <v>15</v>
      </c>
      <c r="I272" s="76">
        <v>15</v>
      </c>
      <c r="J272" s="76">
        <v>15</v>
      </c>
      <c r="K272" s="76">
        <v>15</v>
      </c>
      <c r="L272" s="76">
        <v>15</v>
      </c>
      <c r="M272" s="76">
        <v>2018</v>
      </c>
      <c r="N272" s="76">
        <v>2020</v>
      </c>
      <c r="O272" s="76">
        <f t="shared" si="125"/>
        <v>1.86323251417769</v>
      </c>
      <c r="P272" s="99">
        <f t="shared" si="126"/>
        <v>0.621077504725898</v>
      </c>
      <c r="Q272" s="99">
        <f t="shared" si="127"/>
        <v>0.621077504725898</v>
      </c>
      <c r="R272" s="99">
        <f t="shared" si="128"/>
        <v>0.621077504725898</v>
      </c>
      <c r="S272" s="99">
        <f t="shared" si="123"/>
        <v>1.86323251417769</v>
      </c>
      <c r="T272" s="99"/>
      <c r="U272" s="99"/>
      <c r="V272" s="99"/>
      <c r="W272" s="99"/>
      <c r="X272" s="583"/>
      <c r="Y272" s="76"/>
      <c r="Z272" s="76"/>
      <c r="AA272" s="76"/>
      <c r="AB272" s="76"/>
      <c r="AC272" s="76"/>
      <c r="AD272" s="136"/>
    </row>
    <row r="273" customHeight="1" spans="1:30">
      <c r="A273" s="76"/>
      <c r="B273" s="212" t="s">
        <v>1280</v>
      </c>
      <c r="C273" s="76" t="s">
        <v>320</v>
      </c>
      <c r="D273" s="76" t="s">
        <v>147</v>
      </c>
      <c r="E273" s="76"/>
      <c r="F273" s="76">
        <f t="shared" si="124"/>
        <v>54</v>
      </c>
      <c r="G273" s="76">
        <v>18</v>
      </c>
      <c r="H273" s="76">
        <v>18</v>
      </c>
      <c r="I273" s="76">
        <v>18</v>
      </c>
      <c r="J273" s="76">
        <v>18</v>
      </c>
      <c r="K273" s="76">
        <v>18</v>
      </c>
      <c r="L273" s="76">
        <v>18</v>
      </c>
      <c r="M273" s="76">
        <v>2018</v>
      </c>
      <c r="N273" s="76">
        <v>2020</v>
      </c>
      <c r="O273" s="76">
        <f t="shared" si="125"/>
        <v>2.23587901701323</v>
      </c>
      <c r="P273" s="99">
        <f t="shared" si="126"/>
        <v>0.745293005671077</v>
      </c>
      <c r="Q273" s="99">
        <f t="shared" si="127"/>
        <v>0.745293005671077</v>
      </c>
      <c r="R273" s="99">
        <f t="shared" si="128"/>
        <v>0.745293005671077</v>
      </c>
      <c r="S273" s="99">
        <f t="shared" si="123"/>
        <v>2.23587901701323</v>
      </c>
      <c r="T273" s="99"/>
      <c r="U273" s="99"/>
      <c r="V273" s="99"/>
      <c r="W273" s="99"/>
      <c r="X273" s="583"/>
      <c r="Y273" s="76"/>
      <c r="Z273" s="76"/>
      <c r="AA273" s="76"/>
      <c r="AB273" s="76"/>
      <c r="AC273" s="76"/>
      <c r="AD273" s="136"/>
    </row>
    <row r="274" customHeight="1" spans="1:30">
      <c r="A274" s="76"/>
      <c r="B274" s="212" t="s">
        <v>1269</v>
      </c>
      <c r="C274" s="76" t="s">
        <v>320</v>
      </c>
      <c r="D274" s="76" t="s">
        <v>147</v>
      </c>
      <c r="E274" s="76"/>
      <c r="F274" s="76">
        <f t="shared" si="124"/>
        <v>51</v>
      </c>
      <c r="G274" s="76">
        <v>17</v>
      </c>
      <c r="H274" s="76">
        <v>17</v>
      </c>
      <c r="I274" s="76">
        <v>17</v>
      </c>
      <c r="J274" s="76">
        <v>17</v>
      </c>
      <c r="K274" s="76">
        <v>17</v>
      </c>
      <c r="L274" s="76">
        <v>17</v>
      </c>
      <c r="M274" s="76">
        <v>2018</v>
      </c>
      <c r="N274" s="76">
        <v>2020</v>
      </c>
      <c r="O274" s="76">
        <f t="shared" si="125"/>
        <v>2.11166351606805</v>
      </c>
      <c r="P274" s="99">
        <f t="shared" si="126"/>
        <v>0.703887838689351</v>
      </c>
      <c r="Q274" s="99">
        <f t="shared" si="127"/>
        <v>0.703887838689351</v>
      </c>
      <c r="R274" s="99">
        <f t="shared" si="128"/>
        <v>0.703887838689351</v>
      </c>
      <c r="S274" s="99">
        <f t="shared" si="123"/>
        <v>2.11166351606805</v>
      </c>
      <c r="T274" s="99"/>
      <c r="U274" s="99"/>
      <c r="V274" s="99"/>
      <c r="W274" s="99"/>
      <c r="X274" s="583"/>
      <c r="Y274" s="76"/>
      <c r="Z274" s="76"/>
      <c r="AA274" s="76"/>
      <c r="AB274" s="76"/>
      <c r="AC274" s="76"/>
      <c r="AD274" s="136"/>
    </row>
    <row r="275" customHeight="1" spans="1:30">
      <c r="A275" s="76"/>
      <c r="B275" s="212" t="s">
        <v>1270</v>
      </c>
      <c r="C275" s="76" t="s">
        <v>320</v>
      </c>
      <c r="D275" s="76" t="s">
        <v>147</v>
      </c>
      <c r="E275" s="76"/>
      <c r="F275" s="76">
        <f t="shared" si="124"/>
        <v>108</v>
      </c>
      <c r="G275" s="76">
        <v>36</v>
      </c>
      <c r="H275" s="76">
        <v>36</v>
      </c>
      <c r="I275" s="76">
        <v>36</v>
      </c>
      <c r="J275" s="76">
        <v>36</v>
      </c>
      <c r="K275" s="76">
        <v>36</v>
      </c>
      <c r="L275" s="76">
        <v>36</v>
      </c>
      <c r="M275" s="76">
        <v>2018</v>
      </c>
      <c r="N275" s="76">
        <v>2020</v>
      </c>
      <c r="O275" s="76">
        <f t="shared" si="125"/>
        <v>4.47175803402646</v>
      </c>
      <c r="P275" s="99">
        <f t="shared" si="126"/>
        <v>1.49058601134215</v>
      </c>
      <c r="Q275" s="99">
        <f t="shared" si="127"/>
        <v>1.49058601134215</v>
      </c>
      <c r="R275" s="99">
        <f t="shared" si="128"/>
        <v>1.49058601134215</v>
      </c>
      <c r="S275" s="99">
        <f t="shared" si="123"/>
        <v>4.47175803402646</v>
      </c>
      <c r="T275" s="99"/>
      <c r="U275" s="99"/>
      <c r="V275" s="99"/>
      <c r="W275" s="99"/>
      <c r="X275" s="583"/>
      <c r="Y275" s="76"/>
      <c r="Z275" s="76"/>
      <c r="AA275" s="76"/>
      <c r="AB275" s="76"/>
      <c r="AC275" s="76"/>
      <c r="AD275" s="136"/>
    </row>
    <row r="276" customHeight="1" spans="1:30">
      <c r="A276" s="76"/>
      <c r="B276" s="212" t="s">
        <v>1281</v>
      </c>
      <c r="C276" s="76" t="s">
        <v>320</v>
      </c>
      <c r="D276" s="76" t="s">
        <v>147</v>
      </c>
      <c r="E276" s="76"/>
      <c r="F276" s="76">
        <f t="shared" si="124"/>
        <v>198</v>
      </c>
      <c r="G276" s="76">
        <v>66</v>
      </c>
      <c r="H276" s="76">
        <v>66</v>
      </c>
      <c r="I276" s="76">
        <v>66</v>
      </c>
      <c r="J276" s="76">
        <v>66</v>
      </c>
      <c r="K276" s="76">
        <v>66</v>
      </c>
      <c r="L276" s="76">
        <v>66</v>
      </c>
      <c r="M276" s="76">
        <v>2018</v>
      </c>
      <c r="N276" s="76">
        <v>2020</v>
      </c>
      <c r="O276" s="76">
        <f t="shared" si="125"/>
        <v>8.19822306238185</v>
      </c>
      <c r="P276" s="99">
        <f t="shared" si="126"/>
        <v>2.73274102079395</v>
      </c>
      <c r="Q276" s="99">
        <f t="shared" si="127"/>
        <v>2.73274102079395</v>
      </c>
      <c r="R276" s="99">
        <f t="shared" si="128"/>
        <v>2.73274102079395</v>
      </c>
      <c r="S276" s="99">
        <f t="shared" si="123"/>
        <v>8.19822306238185</v>
      </c>
      <c r="T276" s="99"/>
      <c r="U276" s="99"/>
      <c r="V276" s="99"/>
      <c r="W276" s="99"/>
      <c r="X276" s="583"/>
      <c r="Y276" s="76"/>
      <c r="Z276" s="76"/>
      <c r="AA276" s="76"/>
      <c r="AB276" s="76"/>
      <c r="AC276" s="76"/>
      <c r="AD276" s="136"/>
    </row>
    <row r="277" customHeight="1" spans="1:30">
      <c r="A277" s="76"/>
      <c r="B277" s="212" t="s">
        <v>1271</v>
      </c>
      <c r="C277" s="76" t="s">
        <v>320</v>
      </c>
      <c r="D277" s="76" t="s">
        <v>147</v>
      </c>
      <c r="E277" s="76"/>
      <c r="F277" s="76">
        <f t="shared" si="124"/>
        <v>144</v>
      </c>
      <c r="G277" s="76">
        <v>48</v>
      </c>
      <c r="H277" s="76">
        <v>48</v>
      </c>
      <c r="I277" s="76">
        <v>48</v>
      </c>
      <c r="J277" s="76">
        <v>48</v>
      </c>
      <c r="K277" s="76">
        <v>48</v>
      </c>
      <c r="L277" s="76">
        <v>48</v>
      </c>
      <c r="M277" s="76">
        <v>2018</v>
      </c>
      <c r="N277" s="76">
        <v>2020</v>
      </c>
      <c r="O277" s="76">
        <f t="shared" si="125"/>
        <v>5.96234404536862</v>
      </c>
      <c r="P277" s="99">
        <f t="shared" si="126"/>
        <v>1.98744801512287</v>
      </c>
      <c r="Q277" s="99">
        <f t="shared" si="127"/>
        <v>1.98744801512287</v>
      </c>
      <c r="R277" s="99">
        <f t="shared" si="128"/>
        <v>1.98744801512287</v>
      </c>
      <c r="S277" s="99">
        <f t="shared" si="123"/>
        <v>5.96234404536862</v>
      </c>
      <c r="T277" s="99"/>
      <c r="U277" s="99"/>
      <c r="V277" s="99"/>
      <c r="W277" s="99"/>
      <c r="X277" s="583"/>
      <c r="Y277" s="76"/>
      <c r="Z277" s="76"/>
      <c r="AA277" s="76"/>
      <c r="AB277" s="76"/>
      <c r="AC277" s="76"/>
      <c r="AD277" s="136"/>
    </row>
    <row r="278" customHeight="1" spans="1:30">
      <c r="A278" s="76"/>
      <c r="B278" s="212" t="s">
        <v>1282</v>
      </c>
      <c r="C278" s="76" t="s">
        <v>320</v>
      </c>
      <c r="D278" s="76" t="s">
        <v>147</v>
      </c>
      <c r="E278" s="76"/>
      <c r="F278" s="76">
        <f t="shared" si="124"/>
        <v>180</v>
      </c>
      <c r="G278" s="76">
        <v>60</v>
      </c>
      <c r="H278" s="76">
        <v>60</v>
      </c>
      <c r="I278" s="76">
        <v>60</v>
      </c>
      <c r="J278" s="76">
        <v>60</v>
      </c>
      <c r="K278" s="76">
        <v>60</v>
      </c>
      <c r="L278" s="76">
        <v>60</v>
      </c>
      <c r="M278" s="76">
        <v>2018</v>
      </c>
      <c r="N278" s="76">
        <v>2020</v>
      </c>
      <c r="O278" s="76">
        <f t="shared" si="125"/>
        <v>7.45293005671077</v>
      </c>
      <c r="P278" s="99">
        <f t="shared" si="126"/>
        <v>2.48431001890359</v>
      </c>
      <c r="Q278" s="99">
        <f t="shared" si="127"/>
        <v>2.48431001890359</v>
      </c>
      <c r="R278" s="99">
        <f t="shared" si="128"/>
        <v>2.48431001890359</v>
      </c>
      <c r="S278" s="99">
        <f t="shared" si="123"/>
        <v>7.45293005671077</v>
      </c>
      <c r="T278" s="99"/>
      <c r="U278" s="99"/>
      <c r="V278" s="99"/>
      <c r="W278" s="99"/>
      <c r="X278" s="583"/>
      <c r="Y278" s="76"/>
      <c r="Z278" s="76"/>
      <c r="AA278" s="76"/>
      <c r="AB278" s="76"/>
      <c r="AC278" s="76"/>
      <c r="AD278" s="136"/>
    </row>
    <row r="279" customHeight="1" spans="1:30">
      <c r="A279" s="76"/>
      <c r="B279" s="212" t="s">
        <v>1283</v>
      </c>
      <c r="C279" s="76" t="s">
        <v>320</v>
      </c>
      <c r="D279" s="76" t="s">
        <v>147</v>
      </c>
      <c r="E279" s="76"/>
      <c r="F279" s="76">
        <f t="shared" si="124"/>
        <v>60</v>
      </c>
      <c r="G279" s="76">
        <v>20</v>
      </c>
      <c r="H279" s="76">
        <v>20</v>
      </c>
      <c r="I279" s="76">
        <v>20</v>
      </c>
      <c r="J279" s="76">
        <v>20</v>
      </c>
      <c r="K279" s="76">
        <v>20</v>
      </c>
      <c r="L279" s="76">
        <v>20</v>
      </c>
      <c r="M279" s="76">
        <v>2018</v>
      </c>
      <c r="N279" s="76">
        <v>2020</v>
      </c>
      <c r="O279" s="76">
        <f t="shared" si="125"/>
        <v>2.48431001890359</v>
      </c>
      <c r="P279" s="99">
        <f t="shared" si="126"/>
        <v>0.828103339634531</v>
      </c>
      <c r="Q279" s="99">
        <f t="shared" si="127"/>
        <v>0.828103339634531</v>
      </c>
      <c r="R279" s="99">
        <f t="shared" si="128"/>
        <v>0.828103339634531</v>
      </c>
      <c r="S279" s="99">
        <f t="shared" si="123"/>
        <v>2.48431001890359</v>
      </c>
      <c r="T279" s="99"/>
      <c r="U279" s="99"/>
      <c r="V279" s="99"/>
      <c r="W279" s="99"/>
      <c r="X279" s="583"/>
      <c r="Y279" s="76"/>
      <c r="Z279" s="76"/>
      <c r="AA279" s="76"/>
      <c r="AB279" s="76"/>
      <c r="AC279" s="76"/>
      <c r="AD279" s="136"/>
    </row>
    <row r="280" customHeight="1" spans="1:30">
      <c r="A280" s="76"/>
      <c r="B280" s="212" t="s">
        <v>1284</v>
      </c>
      <c r="C280" s="76" t="s">
        <v>320</v>
      </c>
      <c r="D280" s="76" t="s">
        <v>147</v>
      </c>
      <c r="E280" s="76"/>
      <c r="F280" s="76">
        <f t="shared" si="124"/>
        <v>36</v>
      </c>
      <c r="G280" s="76">
        <v>12</v>
      </c>
      <c r="H280" s="76">
        <v>12</v>
      </c>
      <c r="I280" s="76">
        <v>12</v>
      </c>
      <c r="J280" s="76">
        <v>12</v>
      </c>
      <c r="K280" s="76">
        <v>12</v>
      </c>
      <c r="L280" s="76">
        <v>12</v>
      </c>
      <c r="M280" s="76">
        <v>2018</v>
      </c>
      <c r="N280" s="76">
        <v>2020</v>
      </c>
      <c r="O280" s="76">
        <f t="shared" si="125"/>
        <v>1.49058601134215</v>
      </c>
      <c r="P280" s="99">
        <f t="shared" si="126"/>
        <v>0.496862003780718</v>
      </c>
      <c r="Q280" s="99">
        <f t="shared" si="127"/>
        <v>0.496862003780718</v>
      </c>
      <c r="R280" s="99">
        <f t="shared" si="128"/>
        <v>0.496862003780718</v>
      </c>
      <c r="S280" s="99">
        <f t="shared" si="123"/>
        <v>1.49058601134215</v>
      </c>
      <c r="T280" s="99"/>
      <c r="U280" s="99"/>
      <c r="V280" s="99"/>
      <c r="W280" s="99"/>
      <c r="X280" s="583"/>
      <c r="Y280" s="76"/>
      <c r="Z280" s="76"/>
      <c r="AA280" s="76"/>
      <c r="AB280" s="76"/>
      <c r="AC280" s="76"/>
      <c r="AD280" s="136"/>
    </row>
    <row r="281" customHeight="1" spans="1:30">
      <c r="A281" s="76">
        <v>21</v>
      </c>
      <c r="B281" s="95" t="s">
        <v>819</v>
      </c>
      <c r="C281" s="76" t="s">
        <v>320</v>
      </c>
      <c r="D281" s="76"/>
      <c r="E281" s="76"/>
      <c r="F281" s="76"/>
      <c r="G281" s="76"/>
      <c r="H281" s="76"/>
      <c r="I281" s="76"/>
      <c r="J281" s="76"/>
      <c r="K281" s="76">
        <v>2235</v>
      </c>
      <c r="L281" s="76">
        <v>2235</v>
      </c>
      <c r="M281" s="76">
        <v>2012</v>
      </c>
      <c r="N281" s="76">
        <v>2020</v>
      </c>
      <c r="O281" s="76">
        <f>SUM(O282+O338+O356)</f>
        <v>239.388</v>
      </c>
      <c r="P281" s="76">
        <f t="shared" ref="P281:W281" si="129">SUM(P282+P338+P356)</f>
        <v>36.896</v>
      </c>
      <c r="Q281" s="76">
        <f t="shared" si="129"/>
        <v>101.246</v>
      </c>
      <c r="R281" s="76">
        <f t="shared" si="129"/>
        <v>101.246</v>
      </c>
      <c r="S281" s="76">
        <f t="shared" si="129"/>
        <v>36.9</v>
      </c>
      <c r="T281" s="76">
        <f t="shared" si="129"/>
        <v>0</v>
      </c>
      <c r="U281" s="76">
        <f t="shared" si="129"/>
        <v>9.438</v>
      </c>
      <c r="V281" s="76">
        <f t="shared" si="129"/>
        <v>193.05</v>
      </c>
      <c r="W281" s="76">
        <f t="shared" si="129"/>
        <v>0</v>
      </c>
      <c r="X281" s="583"/>
      <c r="Y281" s="76"/>
      <c r="Z281" s="76"/>
      <c r="AA281" s="76" t="s">
        <v>1292</v>
      </c>
      <c r="AB281" s="76" t="s">
        <v>1293</v>
      </c>
      <c r="AC281" s="76" t="s">
        <v>320</v>
      </c>
      <c r="AD281" s="136"/>
    </row>
    <row r="282" customHeight="1" spans="1:30">
      <c r="A282" s="76">
        <v>22</v>
      </c>
      <c r="B282" s="92" t="s">
        <v>239</v>
      </c>
      <c r="C282" s="76" t="s">
        <v>320</v>
      </c>
      <c r="D282" s="76" t="s">
        <v>147</v>
      </c>
      <c r="E282" s="76"/>
      <c r="F282" s="76">
        <f t="shared" ref="F282:J282" si="130">SUM(F283+F301+F319+F337)</f>
        <v>12000</v>
      </c>
      <c r="G282" s="76">
        <f t="shared" si="130"/>
        <v>3600</v>
      </c>
      <c r="H282" s="76">
        <f t="shared" si="130"/>
        <v>3600</v>
      </c>
      <c r="I282" s="76">
        <f t="shared" si="130"/>
        <v>4800</v>
      </c>
      <c r="J282" s="76">
        <f t="shared" si="130"/>
        <v>12000</v>
      </c>
      <c r="K282" s="76">
        <f>SUM(K283:K319)</f>
        <v>1680</v>
      </c>
      <c r="L282" s="76">
        <f>SUM(L283:L319)</f>
        <v>1680</v>
      </c>
      <c r="M282" s="76">
        <v>2018</v>
      </c>
      <c r="N282" s="76">
        <v>2020</v>
      </c>
      <c r="O282" s="76">
        <f t="shared" si="125"/>
        <v>0</v>
      </c>
      <c r="P282" s="76"/>
      <c r="Q282" s="76"/>
      <c r="R282" s="76"/>
      <c r="S282" s="76"/>
      <c r="T282" s="76"/>
      <c r="U282" s="76"/>
      <c r="V282" s="76"/>
      <c r="W282" s="76"/>
      <c r="X282" s="583"/>
      <c r="Y282" s="76"/>
      <c r="Z282" s="76"/>
      <c r="AA282" s="76" t="s">
        <v>1292</v>
      </c>
      <c r="AB282" s="76" t="s">
        <v>1293</v>
      </c>
      <c r="AC282" s="76" t="s">
        <v>320</v>
      </c>
      <c r="AD282" s="136"/>
    </row>
    <row r="283" customHeight="1" spans="1:30">
      <c r="A283" s="76">
        <v>23</v>
      </c>
      <c r="B283" s="92" t="s">
        <v>241</v>
      </c>
      <c r="C283" s="76" t="s">
        <v>320</v>
      </c>
      <c r="D283" s="76" t="s">
        <v>147</v>
      </c>
      <c r="E283" s="76"/>
      <c r="F283" s="76">
        <f t="shared" ref="F283:L283" si="131">SUM(F284:F300)</f>
        <v>2400</v>
      </c>
      <c r="G283" s="76">
        <f t="shared" si="131"/>
        <v>720</v>
      </c>
      <c r="H283" s="76">
        <f t="shared" si="131"/>
        <v>720</v>
      </c>
      <c r="I283" s="76">
        <f t="shared" si="131"/>
        <v>960</v>
      </c>
      <c r="J283" s="76">
        <f t="shared" si="131"/>
        <v>2400</v>
      </c>
      <c r="K283" s="76">
        <f t="shared" si="131"/>
        <v>240</v>
      </c>
      <c r="L283" s="76">
        <f t="shared" si="131"/>
        <v>240</v>
      </c>
      <c r="M283" s="76">
        <v>2018</v>
      </c>
      <c r="N283" s="76">
        <v>2020</v>
      </c>
      <c r="O283" s="76">
        <f t="shared" si="125"/>
        <v>0</v>
      </c>
      <c r="P283" s="76"/>
      <c r="Q283" s="76"/>
      <c r="R283" s="76"/>
      <c r="S283" s="76"/>
      <c r="T283" s="76"/>
      <c r="U283" s="76"/>
      <c r="V283" s="76"/>
      <c r="W283" s="76"/>
      <c r="X283" s="583" t="s">
        <v>1038</v>
      </c>
      <c r="Y283" s="76"/>
      <c r="Z283" s="76"/>
      <c r="AA283" s="76" t="s">
        <v>1292</v>
      </c>
      <c r="AB283" s="76" t="s">
        <v>1293</v>
      </c>
      <c r="AC283" s="76" t="s">
        <v>195</v>
      </c>
      <c r="AD283" s="136"/>
    </row>
    <row r="284" customHeight="1" spans="1:30">
      <c r="A284" s="76"/>
      <c r="B284" s="212" t="s">
        <v>1265</v>
      </c>
      <c r="C284" s="76" t="s">
        <v>320</v>
      </c>
      <c r="D284" s="76" t="s">
        <v>147</v>
      </c>
      <c r="E284" s="76"/>
      <c r="F284" s="76">
        <v>100</v>
      </c>
      <c r="G284" s="76">
        <f t="shared" ref="G284:G300" si="132">0.3*F284</f>
        <v>30</v>
      </c>
      <c r="H284" s="76">
        <f t="shared" ref="H284:H300" si="133">0.3*F284</f>
        <v>30</v>
      </c>
      <c r="I284" s="76">
        <f t="shared" ref="I284:I300" si="134">0.4*F284</f>
        <v>40</v>
      </c>
      <c r="J284" s="76">
        <v>100</v>
      </c>
      <c r="K284" s="76">
        <v>10</v>
      </c>
      <c r="L284" s="76">
        <v>10</v>
      </c>
      <c r="M284" s="76">
        <v>2018</v>
      </c>
      <c r="N284" s="76">
        <v>2020</v>
      </c>
      <c r="O284" s="76">
        <f t="shared" si="125"/>
        <v>0</v>
      </c>
      <c r="P284" s="76"/>
      <c r="Q284" s="76"/>
      <c r="R284" s="76"/>
      <c r="S284" s="76"/>
      <c r="T284" s="76"/>
      <c r="U284" s="76"/>
      <c r="V284" s="76"/>
      <c r="W284" s="76"/>
      <c r="X284" s="583"/>
      <c r="Y284" s="76"/>
      <c r="Z284" s="76"/>
      <c r="AA284" s="76"/>
      <c r="AB284" s="76"/>
      <c r="AC284" s="76"/>
      <c r="AD284" s="136"/>
    </row>
    <row r="285" customHeight="1" spans="1:30">
      <c r="A285" s="76"/>
      <c r="B285" s="212" t="s">
        <v>1266</v>
      </c>
      <c r="C285" s="76" t="s">
        <v>320</v>
      </c>
      <c r="D285" s="76" t="s">
        <v>147</v>
      </c>
      <c r="E285" s="76"/>
      <c r="F285" s="76">
        <v>100</v>
      </c>
      <c r="G285" s="76">
        <f t="shared" si="132"/>
        <v>30</v>
      </c>
      <c r="H285" s="76">
        <f t="shared" si="133"/>
        <v>30</v>
      </c>
      <c r="I285" s="76">
        <f t="shared" si="134"/>
        <v>40</v>
      </c>
      <c r="J285" s="76">
        <v>100</v>
      </c>
      <c r="K285" s="76">
        <v>10</v>
      </c>
      <c r="L285" s="76">
        <v>10</v>
      </c>
      <c r="M285" s="76">
        <v>2018</v>
      </c>
      <c r="N285" s="76">
        <v>2020</v>
      </c>
      <c r="O285" s="76">
        <f t="shared" si="125"/>
        <v>0</v>
      </c>
      <c r="P285" s="76"/>
      <c r="Q285" s="76"/>
      <c r="R285" s="76"/>
      <c r="S285" s="76"/>
      <c r="T285" s="76"/>
      <c r="U285" s="76"/>
      <c r="V285" s="76"/>
      <c r="W285" s="76"/>
      <c r="X285" s="583"/>
      <c r="Y285" s="76"/>
      <c r="Z285" s="76"/>
      <c r="AA285" s="76"/>
      <c r="AB285" s="76"/>
      <c r="AC285" s="76"/>
      <c r="AD285" s="136"/>
    </row>
    <row r="286" customHeight="1" spans="1:30">
      <c r="A286" s="76"/>
      <c r="B286" s="212" t="s">
        <v>1267</v>
      </c>
      <c r="C286" s="76" t="s">
        <v>320</v>
      </c>
      <c r="D286" s="76" t="s">
        <v>147</v>
      </c>
      <c r="E286" s="76"/>
      <c r="F286" s="76">
        <v>100</v>
      </c>
      <c r="G286" s="76">
        <f t="shared" si="132"/>
        <v>30</v>
      </c>
      <c r="H286" s="76">
        <f t="shared" si="133"/>
        <v>30</v>
      </c>
      <c r="I286" s="76">
        <f t="shared" si="134"/>
        <v>40</v>
      </c>
      <c r="J286" s="76">
        <v>100</v>
      </c>
      <c r="K286" s="76">
        <v>10</v>
      </c>
      <c r="L286" s="76">
        <v>10</v>
      </c>
      <c r="M286" s="76">
        <v>2018</v>
      </c>
      <c r="N286" s="76">
        <v>2020</v>
      </c>
      <c r="O286" s="76">
        <f t="shared" si="125"/>
        <v>0</v>
      </c>
      <c r="P286" s="76"/>
      <c r="Q286" s="76"/>
      <c r="R286" s="76"/>
      <c r="S286" s="76"/>
      <c r="T286" s="76"/>
      <c r="U286" s="76"/>
      <c r="V286" s="76"/>
      <c r="W286" s="76"/>
      <c r="X286" s="583"/>
      <c r="Y286" s="76"/>
      <c r="Z286" s="76"/>
      <c r="AA286" s="76"/>
      <c r="AB286" s="76"/>
      <c r="AC286" s="76"/>
      <c r="AD286" s="136"/>
    </row>
    <row r="287" customHeight="1" spans="1:30">
      <c r="A287" s="76"/>
      <c r="B287" s="212" t="s">
        <v>1268</v>
      </c>
      <c r="C287" s="76" t="s">
        <v>320</v>
      </c>
      <c r="D287" s="76" t="s">
        <v>147</v>
      </c>
      <c r="E287" s="76"/>
      <c r="F287" s="76">
        <v>200</v>
      </c>
      <c r="G287" s="76">
        <f t="shared" si="132"/>
        <v>60</v>
      </c>
      <c r="H287" s="76">
        <f t="shared" si="133"/>
        <v>60</v>
      </c>
      <c r="I287" s="76">
        <f t="shared" si="134"/>
        <v>80</v>
      </c>
      <c r="J287" s="76">
        <v>200</v>
      </c>
      <c r="K287" s="76">
        <v>20</v>
      </c>
      <c r="L287" s="76">
        <v>20</v>
      </c>
      <c r="M287" s="76">
        <v>2018</v>
      </c>
      <c r="N287" s="76">
        <v>2020</v>
      </c>
      <c r="O287" s="76">
        <f t="shared" si="125"/>
        <v>0</v>
      </c>
      <c r="P287" s="76"/>
      <c r="Q287" s="76"/>
      <c r="R287" s="76"/>
      <c r="S287" s="76"/>
      <c r="T287" s="76"/>
      <c r="U287" s="76"/>
      <c r="V287" s="76"/>
      <c r="W287" s="76"/>
      <c r="X287" s="583"/>
      <c r="Y287" s="76"/>
      <c r="Z287" s="76"/>
      <c r="AA287" s="76"/>
      <c r="AB287" s="76"/>
      <c r="AC287" s="76"/>
      <c r="AD287" s="136"/>
    </row>
    <row r="288" customHeight="1" spans="1:30">
      <c r="A288" s="76"/>
      <c r="B288" s="212" t="s">
        <v>1275</v>
      </c>
      <c r="C288" s="76" t="s">
        <v>320</v>
      </c>
      <c r="D288" s="76" t="s">
        <v>147</v>
      </c>
      <c r="E288" s="76"/>
      <c r="F288" s="76">
        <v>200</v>
      </c>
      <c r="G288" s="76">
        <f t="shared" si="132"/>
        <v>60</v>
      </c>
      <c r="H288" s="76">
        <f t="shared" si="133"/>
        <v>60</v>
      </c>
      <c r="I288" s="76">
        <f t="shared" si="134"/>
        <v>80</v>
      </c>
      <c r="J288" s="76">
        <v>200</v>
      </c>
      <c r="K288" s="76">
        <v>20</v>
      </c>
      <c r="L288" s="76">
        <v>20</v>
      </c>
      <c r="M288" s="76">
        <v>2018</v>
      </c>
      <c r="N288" s="76">
        <v>2020</v>
      </c>
      <c r="O288" s="76">
        <f t="shared" si="125"/>
        <v>0</v>
      </c>
      <c r="P288" s="76"/>
      <c r="Q288" s="76"/>
      <c r="R288" s="76"/>
      <c r="S288" s="76"/>
      <c r="T288" s="76"/>
      <c r="U288" s="76"/>
      <c r="V288" s="76"/>
      <c r="W288" s="76"/>
      <c r="X288" s="583"/>
      <c r="Y288" s="76"/>
      <c r="Z288" s="76"/>
      <c r="AA288" s="76"/>
      <c r="AB288" s="76"/>
      <c r="AC288" s="76"/>
      <c r="AD288" s="136"/>
    </row>
    <row r="289" customHeight="1" spans="1:30">
      <c r="A289" s="76"/>
      <c r="B289" s="212" t="s">
        <v>1276</v>
      </c>
      <c r="C289" s="76" t="s">
        <v>320</v>
      </c>
      <c r="D289" s="76" t="s">
        <v>147</v>
      </c>
      <c r="E289" s="76"/>
      <c r="F289" s="76">
        <v>200</v>
      </c>
      <c r="G289" s="76">
        <f t="shared" si="132"/>
        <v>60</v>
      </c>
      <c r="H289" s="76">
        <f t="shared" si="133"/>
        <v>60</v>
      </c>
      <c r="I289" s="76">
        <f t="shared" si="134"/>
        <v>80</v>
      </c>
      <c r="J289" s="76">
        <v>200</v>
      </c>
      <c r="K289" s="76">
        <v>20</v>
      </c>
      <c r="L289" s="76">
        <v>20</v>
      </c>
      <c r="M289" s="76">
        <v>2018</v>
      </c>
      <c r="N289" s="76">
        <v>2020</v>
      </c>
      <c r="O289" s="76">
        <f t="shared" si="125"/>
        <v>0</v>
      </c>
      <c r="P289" s="76"/>
      <c r="Q289" s="76"/>
      <c r="R289" s="76"/>
      <c r="S289" s="76"/>
      <c r="T289" s="76"/>
      <c r="U289" s="76"/>
      <c r="V289" s="76"/>
      <c r="W289" s="76"/>
      <c r="X289" s="583"/>
      <c r="Y289" s="76"/>
      <c r="Z289" s="76"/>
      <c r="AA289" s="76"/>
      <c r="AB289" s="76"/>
      <c r="AC289" s="76"/>
      <c r="AD289" s="136"/>
    </row>
    <row r="290" customHeight="1" spans="1:30">
      <c r="A290" s="76"/>
      <c r="B290" s="212" t="s">
        <v>1277</v>
      </c>
      <c r="C290" s="76" t="s">
        <v>320</v>
      </c>
      <c r="D290" s="76" t="s">
        <v>147</v>
      </c>
      <c r="E290" s="76"/>
      <c r="F290" s="76">
        <v>200</v>
      </c>
      <c r="G290" s="76">
        <f t="shared" si="132"/>
        <v>60</v>
      </c>
      <c r="H290" s="76">
        <f t="shared" si="133"/>
        <v>60</v>
      </c>
      <c r="I290" s="76">
        <f t="shared" si="134"/>
        <v>80</v>
      </c>
      <c r="J290" s="76">
        <v>200</v>
      </c>
      <c r="K290" s="76">
        <v>20</v>
      </c>
      <c r="L290" s="76">
        <v>20</v>
      </c>
      <c r="M290" s="76">
        <v>2018</v>
      </c>
      <c r="N290" s="76">
        <v>2020</v>
      </c>
      <c r="O290" s="76">
        <f t="shared" si="125"/>
        <v>0</v>
      </c>
      <c r="P290" s="76"/>
      <c r="Q290" s="76"/>
      <c r="R290" s="76"/>
      <c r="S290" s="76"/>
      <c r="T290" s="76"/>
      <c r="U290" s="76"/>
      <c r="V290" s="76"/>
      <c r="W290" s="76"/>
      <c r="X290" s="583"/>
      <c r="Y290" s="76"/>
      <c r="Z290" s="76"/>
      <c r="AA290" s="76"/>
      <c r="AB290" s="76"/>
      <c r="AC290" s="76"/>
      <c r="AD290" s="136"/>
    </row>
    <row r="291" customHeight="1" spans="1:30">
      <c r="A291" s="76"/>
      <c r="B291" s="212" t="s">
        <v>1278</v>
      </c>
      <c r="C291" s="76" t="s">
        <v>320</v>
      </c>
      <c r="D291" s="76" t="s">
        <v>147</v>
      </c>
      <c r="E291" s="76"/>
      <c r="F291" s="76">
        <v>200</v>
      </c>
      <c r="G291" s="76">
        <f t="shared" si="132"/>
        <v>60</v>
      </c>
      <c r="H291" s="76">
        <f t="shared" si="133"/>
        <v>60</v>
      </c>
      <c r="I291" s="76">
        <f t="shared" si="134"/>
        <v>80</v>
      </c>
      <c r="J291" s="76">
        <v>200</v>
      </c>
      <c r="K291" s="76">
        <v>20</v>
      </c>
      <c r="L291" s="76">
        <v>20</v>
      </c>
      <c r="M291" s="76">
        <v>2018</v>
      </c>
      <c r="N291" s="76">
        <v>2020</v>
      </c>
      <c r="O291" s="76">
        <f t="shared" si="125"/>
        <v>0</v>
      </c>
      <c r="P291" s="76"/>
      <c r="Q291" s="76"/>
      <c r="R291" s="76"/>
      <c r="S291" s="76"/>
      <c r="T291" s="76"/>
      <c r="U291" s="76"/>
      <c r="V291" s="76"/>
      <c r="W291" s="76"/>
      <c r="X291" s="583"/>
      <c r="Y291" s="76"/>
      <c r="Z291" s="76"/>
      <c r="AA291" s="76"/>
      <c r="AB291" s="76"/>
      <c r="AC291" s="76"/>
      <c r="AD291" s="136"/>
    </row>
    <row r="292" customHeight="1" spans="1:30">
      <c r="A292" s="76"/>
      <c r="B292" s="212" t="s">
        <v>1279</v>
      </c>
      <c r="C292" s="76" t="s">
        <v>320</v>
      </c>
      <c r="D292" s="76" t="s">
        <v>147</v>
      </c>
      <c r="E292" s="76"/>
      <c r="F292" s="76">
        <v>100</v>
      </c>
      <c r="G292" s="76">
        <f t="shared" si="132"/>
        <v>30</v>
      </c>
      <c r="H292" s="76">
        <f t="shared" si="133"/>
        <v>30</v>
      </c>
      <c r="I292" s="76">
        <f t="shared" si="134"/>
        <v>40</v>
      </c>
      <c r="J292" s="76">
        <v>100</v>
      </c>
      <c r="K292" s="76">
        <v>10</v>
      </c>
      <c r="L292" s="76">
        <v>10</v>
      </c>
      <c r="M292" s="76">
        <v>2018</v>
      </c>
      <c r="N292" s="76">
        <v>2020</v>
      </c>
      <c r="O292" s="76">
        <f t="shared" si="125"/>
        <v>0</v>
      </c>
      <c r="P292" s="76"/>
      <c r="Q292" s="76"/>
      <c r="R292" s="76"/>
      <c r="S292" s="76"/>
      <c r="T292" s="76"/>
      <c r="U292" s="76"/>
      <c r="V292" s="76"/>
      <c r="W292" s="76"/>
      <c r="X292" s="583"/>
      <c r="Y292" s="76"/>
      <c r="Z292" s="76"/>
      <c r="AA292" s="76"/>
      <c r="AB292" s="76"/>
      <c r="AC292" s="76"/>
      <c r="AD292" s="136"/>
    </row>
    <row r="293" customHeight="1" spans="1:30">
      <c r="A293" s="76"/>
      <c r="B293" s="212" t="s">
        <v>1280</v>
      </c>
      <c r="C293" s="76" t="s">
        <v>320</v>
      </c>
      <c r="D293" s="76" t="s">
        <v>147</v>
      </c>
      <c r="E293" s="76"/>
      <c r="F293" s="76">
        <v>100</v>
      </c>
      <c r="G293" s="76">
        <f t="shared" si="132"/>
        <v>30</v>
      </c>
      <c r="H293" s="76">
        <f t="shared" si="133"/>
        <v>30</v>
      </c>
      <c r="I293" s="76">
        <f t="shared" si="134"/>
        <v>40</v>
      </c>
      <c r="J293" s="76">
        <v>100</v>
      </c>
      <c r="K293" s="76">
        <v>10</v>
      </c>
      <c r="L293" s="76">
        <v>10</v>
      </c>
      <c r="M293" s="76">
        <v>2018</v>
      </c>
      <c r="N293" s="76">
        <v>2020</v>
      </c>
      <c r="O293" s="76">
        <f t="shared" si="125"/>
        <v>0</v>
      </c>
      <c r="P293" s="76"/>
      <c r="Q293" s="76"/>
      <c r="R293" s="76"/>
      <c r="S293" s="76"/>
      <c r="T293" s="76"/>
      <c r="U293" s="76"/>
      <c r="V293" s="76"/>
      <c r="W293" s="76"/>
      <c r="X293" s="583"/>
      <c r="Y293" s="76"/>
      <c r="Z293" s="76"/>
      <c r="AA293" s="76"/>
      <c r="AB293" s="76"/>
      <c r="AC293" s="76"/>
      <c r="AD293" s="136"/>
    </row>
    <row r="294" customHeight="1" spans="1:30">
      <c r="A294" s="76"/>
      <c r="B294" s="212" t="s">
        <v>1269</v>
      </c>
      <c r="C294" s="76" t="s">
        <v>320</v>
      </c>
      <c r="D294" s="76" t="s">
        <v>147</v>
      </c>
      <c r="E294" s="76"/>
      <c r="F294" s="76">
        <v>100</v>
      </c>
      <c r="G294" s="76">
        <f t="shared" si="132"/>
        <v>30</v>
      </c>
      <c r="H294" s="76">
        <f t="shared" si="133"/>
        <v>30</v>
      </c>
      <c r="I294" s="76">
        <f t="shared" si="134"/>
        <v>40</v>
      </c>
      <c r="J294" s="76">
        <v>100</v>
      </c>
      <c r="K294" s="76">
        <v>10</v>
      </c>
      <c r="L294" s="76">
        <v>10</v>
      </c>
      <c r="M294" s="76">
        <v>2018</v>
      </c>
      <c r="N294" s="76">
        <v>2020</v>
      </c>
      <c r="O294" s="76">
        <f t="shared" si="125"/>
        <v>0</v>
      </c>
      <c r="P294" s="76"/>
      <c r="Q294" s="76"/>
      <c r="R294" s="76"/>
      <c r="S294" s="76"/>
      <c r="T294" s="76"/>
      <c r="U294" s="76"/>
      <c r="V294" s="76"/>
      <c r="W294" s="76"/>
      <c r="X294" s="583"/>
      <c r="Y294" s="76"/>
      <c r="Z294" s="76"/>
      <c r="AA294" s="76"/>
      <c r="AB294" s="76"/>
      <c r="AC294" s="76"/>
      <c r="AD294" s="136"/>
    </row>
    <row r="295" customHeight="1" spans="1:30">
      <c r="A295" s="76"/>
      <c r="B295" s="212" t="s">
        <v>1270</v>
      </c>
      <c r="C295" s="76" t="s">
        <v>320</v>
      </c>
      <c r="D295" s="76" t="s">
        <v>147</v>
      </c>
      <c r="E295" s="76"/>
      <c r="F295" s="76">
        <v>100</v>
      </c>
      <c r="G295" s="76">
        <f t="shared" si="132"/>
        <v>30</v>
      </c>
      <c r="H295" s="76">
        <f t="shared" si="133"/>
        <v>30</v>
      </c>
      <c r="I295" s="76">
        <f t="shared" si="134"/>
        <v>40</v>
      </c>
      <c r="J295" s="76">
        <v>100</v>
      </c>
      <c r="K295" s="76">
        <v>10</v>
      </c>
      <c r="L295" s="76">
        <v>10</v>
      </c>
      <c r="M295" s="76">
        <v>2018</v>
      </c>
      <c r="N295" s="76">
        <v>2020</v>
      </c>
      <c r="O295" s="76">
        <f t="shared" si="125"/>
        <v>0</v>
      </c>
      <c r="P295" s="76"/>
      <c r="Q295" s="76"/>
      <c r="R295" s="76"/>
      <c r="S295" s="76"/>
      <c r="T295" s="76"/>
      <c r="U295" s="76"/>
      <c r="V295" s="76"/>
      <c r="W295" s="76"/>
      <c r="X295" s="583"/>
      <c r="Y295" s="76"/>
      <c r="Z295" s="76"/>
      <c r="AA295" s="76"/>
      <c r="AB295" s="76"/>
      <c r="AC295" s="76"/>
      <c r="AD295" s="136"/>
    </row>
    <row r="296" customHeight="1" spans="1:30">
      <c r="A296" s="76"/>
      <c r="B296" s="212" t="s">
        <v>1281</v>
      </c>
      <c r="C296" s="76" t="s">
        <v>320</v>
      </c>
      <c r="D296" s="76" t="s">
        <v>147</v>
      </c>
      <c r="E296" s="76"/>
      <c r="F296" s="76">
        <v>100</v>
      </c>
      <c r="G296" s="76">
        <f t="shared" si="132"/>
        <v>30</v>
      </c>
      <c r="H296" s="76">
        <f t="shared" si="133"/>
        <v>30</v>
      </c>
      <c r="I296" s="76">
        <f t="shared" si="134"/>
        <v>40</v>
      </c>
      <c r="J296" s="76">
        <v>100</v>
      </c>
      <c r="K296" s="76">
        <v>10</v>
      </c>
      <c r="L296" s="76">
        <v>10</v>
      </c>
      <c r="M296" s="76">
        <v>2018</v>
      </c>
      <c r="N296" s="76">
        <v>2020</v>
      </c>
      <c r="O296" s="76">
        <f t="shared" si="125"/>
        <v>0</v>
      </c>
      <c r="P296" s="76"/>
      <c r="Q296" s="76"/>
      <c r="R296" s="76"/>
      <c r="S296" s="76"/>
      <c r="T296" s="76"/>
      <c r="U296" s="76"/>
      <c r="V296" s="76"/>
      <c r="W296" s="76"/>
      <c r="X296" s="583"/>
      <c r="Y296" s="76"/>
      <c r="Z296" s="76"/>
      <c r="AA296" s="76"/>
      <c r="AB296" s="76"/>
      <c r="AC296" s="76"/>
      <c r="AD296" s="136"/>
    </row>
    <row r="297" customHeight="1" spans="1:30">
      <c r="A297" s="76"/>
      <c r="B297" s="212" t="s">
        <v>1271</v>
      </c>
      <c r="C297" s="76" t="s">
        <v>320</v>
      </c>
      <c r="D297" s="76" t="s">
        <v>147</v>
      </c>
      <c r="E297" s="76"/>
      <c r="F297" s="76">
        <v>200</v>
      </c>
      <c r="G297" s="76">
        <f t="shared" si="132"/>
        <v>60</v>
      </c>
      <c r="H297" s="76">
        <f t="shared" si="133"/>
        <v>60</v>
      </c>
      <c r="I297" s="76">
        <f t="shared" si="134"/>
        <v>80</v>
      </c>
      <c r="J297" s="76">
        <v>200</v>
      </c>
      <c r="K297" s="76">
        <v>20</v>
      </c>
      <c r="L297" s="76">
        <v>20</v>
      </c>
      <c r="M297" s="76">
        <v>2018</v>
      </c>
      <c r="N297" s="76">
        <v>2020</v>
      </c>
      <c r="O297" s="76">
        <f t="shared" si="125"/>
        <v>0</v>
      </c>
      <c r="P297" s="76"/>
      <c r="Q297" s="76"/>
      <c r="R297" s="76"/>
      <c r="S297" s="76"/>
      <c r="T297" s="76"/>
      <c r="U297" s="76"/>
      <c r="V297" s="76"/>
      <c r="W297" s="76"/>
      <c r="X297" s="583"/>
      <c r="Y297" s="76"/>
      <c r="Z297" s="76"/>
      <c r="AA297" s="76"/>
      <c r="AB297" s="76"/>
      <c r="AC297" s="76"/>
      <c r="AD297" s="136"/>
    </row>
    <row r="298" customHeight="1" spans="1:30">
      <c r="A298" s="76"/>
      <c r="B298" s="212" t="s">
        <v>1282</v>
      </c>
      <c r="C298" s="76" t="s">
        <v>320</v>
      </c>
      <c r="D298" s="76" t="s">
        <v>147</v>
      </c>
      <c r="E298" s="76"/>
      <c r="F298" s="76">
        <v>200</v>
      </c>
      <c r="G298" s="76">
        <f t="shared" si="132"/>
        <v>60</v>
      </c>
      <c r="H298" s="76">
        <f t="shared" si="133"/>
        <v>60</v>
      </c>
      <c r="I298" s="76">
        <f t="shared" si="134"/>
        <v>80</v>
      </c>
      <c r="J298" s="76">
        <v>200</v>
      </c>
      <c r="K298" s="76">
        <v>20</v>
      </c>
      <c r="L298" s="76">
        <v>20</v>
      </c>
      <c r="M298" s="76">
        <v>2018</v>
      </c>
      <c r="N298" s="76">
        <v>2020</v>
      </c>
      <c r="O298" s="76">
        <f t="shared" si="125"/>
        <v>0</v>
      </c>
      <c r="P298" s="76"/>
      <c r="Q298" s="76"/>
      <c r="R298" s="76"/>
      <c r="S298" s="76"/>
      <c r="T298" s="76"/>
      <c r="U298" s="76"/>
      <c r="V298" s="76"/>
      <c r="W298" s="76"/>
      <c r="X298" s="583"/>
      <c r="Y298" s="76"/>
      <c r="Z298" s="76"/>
      <c r="AA298" s="76"/>
      <c r="AB298" s="76"/>
      <c r="AC298" s="76"/>
      <c r="AD298" s="136"/>
    </row>
    <row r="299" customHeight="1" spans="1:30">
      <c r="A299" s="76"/>
      <c r="B299" s="212" t="s">
        <v>1283</v>
      </c>
      <c r="C299" s="76" t="s">
        <v>320</v>
      </c>
      <c r="D299" s="76" t="s">
        <v>147</v>
      </c>
      <c r="E299" s="76"/>
      <c r="F299" s="76">
        <v>100</v>
      </c>
      <c r="G299" s="76">
        <f t="shared" si="132"/>
        <v>30</v>
      </c>
      <c r="H299" s="76">
        <f t="shared" si="133"/>
        <v>30</v>
      </c>
      <c r="I299" s="76">
        <f t="shared" si="134"/>
        <v>40</v>
      </c>
      <c r="J299" s="76">
        <v>100</v>
      </c>
      <c r="K299" s="76">
        <v>10</v>
      </c>
      <c r="L299" s="76">
        <v>10</v>
      </c>
      <c r="M299" s="76">
        <v>2018</v>
      </c>
      <c r="N299" s="76">
        <v>2020</v>
      </c>
      <c r="O299" s="76">
        <f t="shared" si="125"/>
        <v>0</v>
      </c>
      <c r="P299" s="76"/>
      <c r="Q299" s="76"/>
      <c r="R299" s="76"/>
      <c r="S299" s="76"/>
      <c r="T299" s="76"/>
      <c r="U299" s="76"/>
      <c r="V299" s="76"/>
      <c r="W299" s="76"/>
      <c r="X299" s="583"/>
      <c r="Y299" s="76"/>
      <c r="Z299" s="76"/>
      <c r="AA299" s="76"/>
      <c r="AB299" s="76"/>
      <c r="AC299" s="76"/>
      <c r="AD299" s="136"/>
    </row>
    <row r="300" customHeight="1" spans="1:30">
      <c r="A300" s="76"/>
      <c r="B300" s="212" t="s">
        <v>1284</v>
      </c>
      <c r="C300" s="76" t="s">
        <v>320</v>
      </c>
      <c r="D300" s="76" t="s">
        <v>147</v>
      </c>
      <c r="E300" s="76"/>
      <c r="F300" s="76">
        <v>100</v>
      </c>
      <c r="G300" s="76">
        <f t="shared" si="132"/>
        <v>30</v>
      </c>
      <c r="H300" s="76">
        <f t="shared" si="133"/>
        <v>30</v>
      </c>
      <c r="I300" s="76">
        <f t="shared" si="134"/>
        <v>40</v>
      </c>
      <c r="J300" s="76">
        <v>100</v>
      </c>
      <c r="K300" s="76">
        <v>10</v>
      </c>
      <c r="L300" s="76">
        <v>10</v>
      </c>
      <c r="M300" s="76">
        <v>2018</v>
      </c>
      <c r="N300" s="76">
        <v>2020</v>
      </c>
      <c r="O300" s="76">
        <f t="shared" si="125"/>
        <v>0</v>
      </c>
      <c r="P300" s="76"/>
      <c r="Q300" s="76"/>
      <c r="R300" s="76"/>
      <c r="S300" s="76"/>
      <c r="T300" s="76"/>
      <c r="U300" s="76"/>
      <c r="V300" s="76"/>
      <c r="W300" s="76"/>
      <c r="X300" s="583"/>
      <c r="Y300" s="76"/>
      <c r="Z300" s="76"/>
      <c r="AA300" s="76"/>
      <c r="AB300" s="76"/>
      <c r="AC300" s="76"/>
      <c r="AD300" s="136"/>
    </row>
    <row r="301" customHeight="1" spans="1:30">
      <c r="A301" s="76">
        <v>24</v>
      </c>
      <c r="B301" s="92" t="s">
        <v>264</v>
      </c>
      <c r="C301" s="76" t="s">
        <v>320</v>
      </c>
      <c r="D301" s="76" t="s">
        <v>147</v>
      </c>
      <c r="E301" s="76"/>
      <c r="F301" s="76">
        <f t="shared" ref="F301:L301" si="135">SUM(F302:F318)</f>
        <v>2400</v>
      </c>
      <c r="G301" s="76">
        <f t="shared" si="135"/>
        <v>720</v>
      </c>
      <c r="H301" s="76">
        <f t="shared" si="135"/>
        <v>720</v>
      </c>
      <c r="I301" s="76">
        <f t="shared" si="135"/>
        <v>960</v>
      </c>
      <c r="J301" s="76">
        <f t="shared" si="135"/>
        <v>2400</v>
      </c>
      <c r="K301" s="76">
        <f t="shared" si="135"/>
        <v>240</v>
      </c>
      <c r="L301" s="76">
        <f t="shared" si="135"/>
        <v>240</v>
      </c>
      <c r="M301" s="76">
        <v>2018</v>
      </c>
      <c r="N301" s="76">
        <v>2020</v>
      </c>
      <c r="O301" s="76">
        <f t="shared" si="125"/>
        <v>0</v>
      </c>
      <c r="P301" s="76"/>
      <c r="Q301" s="76"/>
      <c r="R301" s="76"/>
      <c r="S301" s="76"/>
      <c r="T301" s="76"/>
      <c r="U301" s="76"/>
      <c r="V301" s="76"/>
      <c r="W301" s="76"/>
      <c r="X301" s="583" t="s">
        <v>1038</v>
      </c>
      <c r="Y301" s="76"/>
      <c r="Z301" s="76"/>
      <c r="AA301" s="76" t="s">
        <v>1292</v>
      </c>
      <c r="AB301" s="76" t="s">
        <v>1293</v>
      </c>
      <c r="AC301" s="76" t="s">
        <v>195</v>
      </c>
      <c r="AD301" s="136"/>
    </row>
    <row r="302" customHeight="1" spans="1:30">
      <c r="A302" s="76"/>
      <c r="B302" s="212" t="s">
        <v>1265</v>
      </c>
      <c r="C302" s="76" t="s">
        <v>320</v>
      </c>
      <c r="D302" s="76" t="s">
        <v>147</v>
      </c>
      <c r="E302" s="76"/>
      <c r="F302" s="76">
        <v>100</v>
      </c>
      <c r="G302" s="76">
        <f t="shared" ref="G302:G318" si="136">0.3*F302</f>
        <v>30</v>
      </c>
      <c r="H302" s="76">
        <f t="shared" ref="H302:H318" si="137">0.3*F302</f>
        <v>30</v>
      </c>
      <c r="I302" s="76">
        <f t="shared" ref="I302:I318" si="138">0.4*F302</f>
        <v>40</v>
      </c>
      <c r="J302" s="76">
        <v>100</v>
      </c>
      <c r="K302" s="76">
        <f t="shared" ref="K302:K318" si="139">0.1*F302</f>
        <v>10</v>
      </c>
      <c r="L302" s="76">
        <f t="shared" ref="L302:L318" si="140">K302</f>
        <v>10</v>
      </c>
      <c r="M302" s="76">
        <v>2018</v>
      </c>
      <c r="N302" s="76">
        <v>2020</v>
      </c>
      <c r="O302" s="76">
        <f t="shared" si="125"/>
        <v>0</v>
      </c>
      <c r="P302" s="76"/>
      <c r="Q302" s="76"/>
      <c r="R302" s="76"/>
      <c r="S302" s="76"/>
      <c r="T302" s="76"/>
      <c r="U302" s="76"/>
      <c r="V302" s="76"/>
      <c r="W302" s="76"/>
      <c r="X302" s="583"/>
      <c r="Y302" s="76"/>
      <c r="Z302" s="76"/>
      <c r="AA302" s="76"/>
      <c r="AB302" s="76"/>
      <c r="AC302" s="76"/>
      <c r="AD302" s="136"/>
    </row>
    <row r="303" customHeight="1" spans="1:30">
      <c r="A303" s="76"/>
      <c r="B303" s="212" t="s">
        <v>1266</v>
      </c>
      <c r="C303" s="76" t="s">
        <v>320</v>
      </c>
      <c r="D303" s="76" t="s">
        <v>147</v>
      </c>
      <c r="E303" s="76"/>
      <c r="F303" s="76">
        <v>100</v>
      </c>
      <c r="G303" s="76">
        <f t="shared" si="136"/>
        <v>30</v>
      </c>
      <c r="H303" s="76">
        <f t="shared" si="137"/>
        <v>30</v>
      </c>
      <c r="I303" s="76">
        <f t="shared" si="138"/>
        <v>40</v>
      </c>
      <c r="J303" s="76">
        <v>100</v>
      </c>
      <c r="K303" s="76">
        <f t="shared" si="139"/>
        <v>10</v>
      </c>
      <c r="L303" s="76">
        <f t="shared" si="140"/>
        <v>10</v>
      </c>
      <c r="M303" s="76">
        <v>2018</v>
      </c>
      <c r="N303" s="76">
        <v>2020</v>
      </c>
      <c r="O303" s="76">
        <f t="shared" si="125"/>
        <v>0</v>
      </c>
      <c r="P303" s="76"/>
      <c r="Q303" s="76"/>
      <c r="R303" s="76"/>
      <c r="S303" s="76"/>
      <c r="T303" s="76"/>
      <c r="U303" s="76"/>
      <c r="V303" s="76"/>
      <c r="W303" s="76"/>
      <c r="X303" s="583"/>
      <c r="Y303" s="76"/>
      <c r="Z303" s="76"/>
      <c r="AA303" s="76"/>
      <c r="AB303" s="76"/>
      <c r="AC303" s="76"/>
      <c r="AD303" s="136"/>
    </row>
    <row r="304" customHeight="1" spans="1:30">
      <c r="A304" s="76"/>
      <c r="B304" s="212" t="s">
        <v>1267</v>
      </c>
      <c r="C304" s="76" t="s">
        <v>320</v>
      </c>
      <c r="D304" s="76" t="s">
        <v>147</v>
      </c>
      <c r="E304" s="76"/>
      <c r="F304" s="76">
        <v>100</v>
      </c>
      <c r="G304" s="76">
        <f t="shared" si="136"/>
        <v>30</v>
      </c>
      <c r="H304" s="76">
        <f t="shared" si="137"/>
        <v>30</v>
      </c>
      <c r="I304" s="76">
        <f t="shared" si="138"/>
        <v>40</v>
      </c>
      <c r="J304" s="76">
        <v>100</v>
      </c>
      <c r="K304" s="76">
        <f t="shared" si="139"/>
        <v>10</v>
      </c>
      <c r="L304" s="76">
        <f t="shared" si="140"/>
        <v>10</v>
      </c>
      <c r="M304" s="76">
        <v>2018</v>
      </c>
      <c r="N304" s="76">
        <v>2020</v>
      </c>
      <c r="O304" s="76">
        <f t="shared" si="125"/>
        <v>0</v>
      </c>
      <c r="P304" s="76"/>
      <c r="Q304" s="76"/>
      <c r="R304" s="76"/>
      <c r="S304" s="76"/>
      <c r="T304" s="76"/>
      <c r="U304" s="76"/>
      <c r="V304" s="76"/>
      <c r="W304" s="76"/>
      <c r="X304" s="583"/>
      <c r="Y304" s="76"/>
      <c r="Z304" s="76"/>
      <c r="AA304" s="76"/>
      <c r="AB304" s="76"/>
      <c r="AC304" s="76"/>
      <c r="AD304" s="136"/>
    </row>
    <row r="305" customHeight="1" spans="1:30">
      <c r="A305" s="76"/>
      <c r="B305" s="212" t="s">
        <v>1268</v>
      </c>
      <c r="C305" s="76" t="s">
        <v>320</v>
      </c>
      <c r="D305" s="76" t="s">
        <v>147</v>
      </c>
      <c r="E305" s="76"/>
      <c r="F305" s="76">
        <v>200</v>
      </c>
      <c r="G305" s="76">
        <f t="shared" si="136"/>
        <v>60</v>
      </c>
      <c r="H305" s="76">
        <f t="shared" si="137"/>
        <v>60</v>
      </c>
      <c r="I305" s="76">
        <f t="shared" si="138"/>
        <v>80</v>
      </c>
      <c r="J305" s="76">
        <v>200</v>
      </c>
      <c r="K305" s="76">
        <f t="shared" si="139"/>
        <v>20</v>
      </c>
      <c r="L305" s="76">
        <f t="shared" si="140"/>
        <v>20</v>
      </c>
      <c r="M305" s="76">
        <v>2018</v>
      </c>
      <c r="N305" s="76">
        <v>2020</v>
      </c>
      <c r="O305" s="76">
        <f t="shared" si="125"/>
        <v>0</v>
      </c>
      <c r="P305" s="76"/>
      <c r="Q305" s="76"/>
      <c r="R305" s="76"/>
      <c r="S305" s="76"/>
      <c r="T305" s="76"/>
      <c r="U305" s="76"/>
      <c r="V305" s="76"/>
      <c r="W305" s="76"/>
      <c r="X305" s="583"/>
      <c r="Y305" s="76"/>
      <c r="Z305" s="76"/>
      <c r="AA305" s="76"/>
      <c r="AB305" s="76"/>
      <c r="AC305" s="76"/>
      <c r="AD305" s="136"/>
    </row>
    <row r="306" customHeight="1" spans="1:30">
      <c r="A306" s="76"/>
      <c r="B306" s="212" t="s">
        <v>1275</v>
      </c>
      <c r="C306" s="76" t="s">
        <v>320</v>
      </c>
      <c r="D306" s="76" t="s">
        <v>147</v>
      </c>
      <c r="E306" s="76"/>
      <c r="F306" s="76">
        <v>200</v>
      </c>
      <c r="G306" s="76">
        <f t="shared" si="136"/>
        <v>60</v>
      </c>
      <c r="H306" s="76">
        <f t="shared" si="137"/>
        <v>60</v>
      </c>
      <c r="I306" s="76">
        <f t="shared" si="138"/>
        <v>80</v>
      </c>
      <c r="J306" s="76">
        <v>200</v>
      </c>
      <c r="K306" s="76">
        <f t="shared" si="139"/>
        <v>20</v>
      </c>
      <c r="L306" s="76">
        <f t="shared" si="140"/>
        <v>20</v>
      </c>
      <c r="M306" s="76">
        <v>2018</v>
      </c>
      <c r="N306" s="76">
        <v>2020</v>
      </c>
      <c r="O306" s="76">
        <f t="shared" si="125"/>
        <v>0</v>
      </c>
      <c r="P306" s="76"/>
      <c r="Q306" s="76"/>
      <c r="R306" s="76"/>
      <c r="S306" s="76"/>
      <c r="T306" s="76"/>
      <c r="U306" s="76"/>
      <c r="V306" s="76"/>
      <c r="W306" s="76"/>
      <c r="X306" s="583"/>
      <c r="Y306" s="76"/>
      <c r="Z306" s="76"/>
      <c r="AA306" s="76"/>
      <c r="AB306" s="76"/>
      <c r="AC306" s="76"/>
      <c r="AD306" s="136"/>
    </row>
    <row r="307" customHeight="1" spans="1:30">
      <c r="A307" s="76"/>
      <c r="B307" s="212" t="s">
        <v>1276</v>
      </c>
      <c r="C307" s="76" t="s">
        <v>320</v>
      </c>
      <c r="D307" s="76" t="s">
        <v>147</v>
      </c>
      <c r="E307" s="76"/>
      <c r="F307" s="76">
        <v>200</v>
      </c>
      <c r="G307" s="76">
        <f t="shared" si="136"/>
        <v>60</v>
      </c>
      <c r="H307" s="76">
        <f t="shared" si="137"/>
        <v>60</v>
      </c>
      <c r="I307" s="76">
        <f t="shared" si="138"/>
        <v>80</v>
      </c>
      <c r="J307" s="76">
        <v>200</v>
      </c>
      <c r="K307" s="76">
        <f t="shared" si="139"/>
        <v>20</v>
      </c>
      <c r="L307" s="76">
        <f t="shared" si="140"/>
        <v>20</v>
      </c>
      <c r="M307" s="76">
        <v>2018</v>
      </c>
      <c r="N307" s="76">
        <v>2020</v>
      </c>
      <c r="O307" s="76">
        <f t="shared" si="125"/>
        <v>0</v>
      </c>
      <c r="P307" s="76"/>
      <c r="Q307" s="76"/>
      <c r="R307" s="76"/>
      <c r="S307" s="76"/>
      <c r="T307" s="76"/>
      <c r="U307" s="76"/>
      <c r="V307" s="76"/>
      <c r="W307" s="76"/>
      <c r="X307" s="583"/>
      <c r="Y307" s="76"/>
      <c r="Z307" s="76"/>
      <c r="AA307" s="76"/>
      <c r="AB307" s="76"/>
      <c r="AC307" s="76"/>
      <c r="AD307" s="136"/>
    </row>
    <row r="308" customHeight="1" spans="1:30">
      <c r="A308" s="76"/>
      <c r="B308" s="212" t="s">
        <v>1277</v>
      </c>
      <c r="C308" s="76" t="s">
        <v>320</v>
      </c>
      <c r="D308" s="76" t="s">
        <v>147</v>
      </c>
      <c r="E308" s="76"/>
      <c r="F308" s="76">
        <v>200</v>
      </c>
      <c r="G308" s="76">
        <f t="shared" si="136"/>
        <v>60</v>
      </c>
      <c r="H308" s="76">
        <f t="shared" si="137"/>
        <v>60</v>
      </c>
      <c r="I308" s="76">
        <f t="shared" si="138"/>
        <v>80</v>
      </c>
      <c r="J308" s="76">
        <v>200</v>
      </c>
      <c r="K308" s="76">
        <f t="shared" si="139"/>
        <v>20</v>
      </c>
      <c r="L308" s="76">
        <f t="shared" si="140"/>
        <v>20</v>
      </c>
      <c r="M308" s="76">
        <v>2018</v>
      </c>
      <c r="N308" s="76">
        <v>2020</v>
      </c>
      <c r="O308" s="76">
        <f t="shared" si="125"/>
        <v>0</v>
      </c>
      <c r="P308" s="76"/>
      <c r="Q308" s="76"/>
      <c r="R308" s="76"/>
      <c r="S308" s="76"/>
      <c r="T308" s="76"/>
      <c r="U308" s="76"/>
      <c r="V308" s="76"/>
      <c r="W308" s="76"/>
      <c r="X308" s="583"/>
      <c r="Y308" s="76"/>
      <c r="Z308" s="76"/>
      <c r="AA308" s="76"/>
      <c r="AB308" s="76"/>
      <c r="AC308" s="76"/>
      <c r="AD308" s="136"/>
    </row>
    <row r="309" customHeight="1" spans="1:30">
      <c r="A309" s="76"/>
      <c r="B309" s="212" t="s">
        <v>1278</v>
      </c>
      <c r="C309" s="76" t="s">
        <v>320</v>
      </c>
      <c r="D309" s="76" t="s">
        <v>147</v>
      </c>
      <c r="E309" s="76"/>
      <c r="F309" s="76">
        <v>200</v>
      </c>
      <c r="G309" s="76">
        <f t="shared" si="136"/>
        <v>60</v>
      </c>
      <c r="H309" s="76">
        <f t="shared" si="137"/>
        <v>60</v>
      </c>
      <c r="I309" s="76">
        <f t="shared" si="138"/>
        <v>80</v>
      </c>
      <c r="J309" s="76">
        <v>200</v>
      </c>
      <c r="K309" s="76">
        <f t="shared" si="139"/>
        <v>20</v>
      </c>
      <c r="L309" s="76">
        <f t="shared" si="140"/>
        <v>20</v>
      </c>
      <c r="M309" s="76">
        <v>2018</v>
      </c>
      <c r="N309" s="76">
        <v>2020</v>
      </c>
      <c r="O309" s="76">
        <f t="shared" si="125"/>
        <v>0</v>
      </c>
      <c r="P309" s="76"/>
      <c r="Q309" s="76"/>
      <c r="R309" s="76"/>
      <c r="S309" s="76"/>
      <c r="T309" s="76"/>
      <c r="U309" s="76"/>
      <c r="V309" s="76"/>
      <c r="W309" s="76"/>
      <c r="X309" s="583"/>
      <c r="Y309" s="76"/>
      <c r="Z309" s="76"/>
      <c r="AA309" s="76"/>
      <c r="AB309" s="76"/>
      <c r="AC309" s="76"/>
      <c r="AD309" s="136"/>
    </row>
    <row r="310" customHeight="1" spans="1:30">
      <c r="A310" s="76"/>
      <c r="B310" s="212" t="s">
        <v>1279</v>
      </c>
      <c r="C310" s="76" t="s">
        <v>320</v>
      </c>
      <c r="D310" s="76" t="s">
        <v>147</v>
      </c>
      <c r="E310" s="76"/>
      <c r="F310" s="76">
        <v>100</v>
      </c>
      <c r="G310" s="76">
        <f t="shared" si="136"/>
        <v>30</v>
      </c>
      <c r="H310" s="76">
        <f t="shared" si="137"/>
        <v>30</v>
      </c>
      <c r="I310" s="76">
        <f t="shared" si="138"/>
        <v>40</v>
      </c>
      <c r="J310" s="76">
        <v>100</v>
      </c>
      <c r="K310" s="76">
        <f t="shared" si="139"/>
        <v>10</v>
      </c>
      <c r="L310" s="76">
        <f t="shared" si="140"/>
        <v>10</v>
      </c>
      <c r="M310" s="76">
        <v>2018</v>
      </c>
      <c r="N310" s="76">
        <v>2020</v>
      </c>
      <c r="O310" s="76">
        <f t="shared" si="125"/>
        <v>0</v>
      </c>
      <c r="P310" s="76"/>
      <c r="Q310" s="76"/>
      <c r="R310" s="76"/>
      <c r="S310" s="76"/>
      <c r="T310" s="76"/>
      <c r="U310" s="76"/>
      <c r="V310" s="76"/>
      <c r="W310" s="76"/>
      <c r="X310" s="583"/>
      <c r="Y310" s="76"/>
      <c r="Z310" s="76"/>
      <c r="AA310" s="76"/>
      <c r="AB310" s="76"/>
      <c r="AC310" s="76"/>
      <c r="AD310" s="136"/>
    </row>
    <row r="311" customHeight="1" spans="1:30">
      <c r="A311" s="76"/>
      <c r="B311" s="212" t="s">
        <v>1280</v>
      </c>
      <c r="C311" s="76" t="s">
        <v>320</v>
      </c>
      <c r="D311" s="76" t="s">
        <v>147</v>
      </c>
      <c r="E311" s="76"/>
      <c r="F311" s="76">
        <v>100</v>
      </c>
      <c r="G311" s="76">
        <f t="shared" si="136"/>
        <v>30</v>
      </c>
      <c r="H311" s="76">
        <f t="shared" si="137"/>
        <v>30</v>
      </c>
      <c r="I311" s="76">
        <f t="shared" si="138"/>
        <v>40</v>
      </c>
      <c r="J311" s="76">
        <v>100</v>
      </c>
      <c r="K311" s="76">
        <f t="shared" si="139"/>
        <v>10</v>
      </c>
      <c r="L311" s="76">
        <f t="shared" si="140"/>
        <v>10</v>
      </c>
      <c r="M311" s="76">
        <v>2018</v>
      </c>
      <c r="N311" s="76">
        <v>2020</v>
      </c>
      <c r="O311" s="76">
        <f t="shared" si="125"/>
        <v>0</v>
      </c>
      <c r="P311" s="76"/>
      <c r="Q311" s="76"/>
      <c r="R311" s="76"/>
      <c r="S311" s="76"/>
      <c r="T311" s="76"/>
      <c r="U311" s="76"/>
      <c r="V311" s="76"/>
      <c r="W311" s="76"/>
      <c r="X311" s="583"/>
      <c r="Y311" s="76"/>
      <c r="Z311" s="76"/>
      <c r="AA311" s="76"/>
      <c r="AB311" s="76"/>
      <c r="AC311" s="76"/>
      <c r="AD311" s="136"/>
    </row>
    <row r="312" customHeight="1" spans="1:30">
      <c r="A312" s="76"/>
      <c r="B312" s="212" t="s">
        <v>1269</v>
      </c>
      <c r="C312" s="76" t="s">
        <v>320</v>
      </c>
      <c r="D312" s="76" t="s">
        <v>147</v>
      </c>
      <c r="E312" s="76"/>
      <c r="F312" s="76">
        <v>100</v>
      </c>
      <c r="G312" s="76">
        <f t="shared" si="136"/>
        <v>30</v>
      </c>
      <c r="H312" s="76">
        <f t="shared" si="137"/>
        <v>30</v>
      </c>
      <c r="I312" s="76">
        <f t="shared" si="138"/>
        <v>40</v>
      </c>
      <c r="J312" s="76">
        <v>100</v>
      </c>
      <c r="K312" s="76">
        <f t="shared" si="139"/>
        <v>10</v>
      </c>
      <c r="L312" s="76">
        <f t="shared" si="140"/>
        <v>10</v>
      </c>
      <c r="M312" s="76">
        <v>2018</v>
      </c>
      <c r="N312" s="76">
        <v>2020</v>
      </c>
      <c r="O312" s="76">
        <f t="shared" si="125"/>
        <v>0</v>
      </c>
      <c r="P312" s="76"/>
      <c r="Q312" s="76"/>
      <c r="R312" s="76"/>
      <c r="S312" s="76"/>
      <c r="T312" s="76"/>
      <c r="U312" s="76"/>
      <c r="V312" s="76"/>
      <c r="W312" s="76"/>
      <c r="X312" s="583"/>
      <c r="Y312" s="76"/>
      <c r="Z312" s="76"/>
      <c r="AA312" s="76"/>
      <c r="AB312" s="76"/>
      <c r="AC312" s="76"/>
      <c r="AD312" s="136"/>
    </row>
    <row r="313" customHeight="1" spans="1:30">
      <c r="A313" s="76"/>
      <c r="B313" s="212" t="s">
        <v>1270</v>
      </c>
      <c r="C313" s="76" t="s">
        <v>320</v>
      </c>
      <c r="D313" s="76" t="s">
        <v>147</v>
      </c>
      <c r="E313" s="76"/>
      <c r="F313" s="76">
        <v>100</v>
      </c>
      <c r="G313" s="76">
        <f t="shared" si="136"/>
        <v>30</v>
      </c>
      <c r="H313" s="76">
        <f t="shared" si="137"/>
        <v>30</v>
      </c>
      <c r="I313" s="76">
        <f t="shared" si="138"/>
        <v>40</v>
      </c>
      <c r="J313" s="76">
        <v>100</v>
      </c>
      <c r="K313" s="76">
        <f t="shared" si="139"/>
        <v>10</v>
      </c>
      <c r="L313" s="76">
        <f t="shared" si="140"/>
        <v>10</v>
      </c>
      <c r="M313" s="76">
        <v>2018</v>
      </c>
      <c r="N313" s="76">
        <v>2020</v>
      </c>
      <c r="O313" s="76">
        <f t="shared" si="125"/>
        <v>0</v>
      </c>
      <c r="P313" s="76"/>
      <c r="Q313" s="76"/>
      <c r="R313" s="76"/>
      <c r="S313" s="76"/>
      <c r="T313" s="76"/>
      <c r="U313" s="76"/>
      <c r="V313" s="76"/>
      <c r="W313" s="76"/>
      <c r="X313" s="583"/>
      <c r="Y313" s="76"/>
      <c r="Z313" s="76"/>
      <c r="AA313" s="76"/>
      <c r="AB313" s="76"/>
      <c r="AC313" s="76"/>
      <c r="AD313" s="136"/>
    </row>
    <row r="314" customHeight="1" spans="1:30">
      <c r="A314" s="76"/>
      <c r="B314" s="212" t="s">
        <v>1281</v>
      </c>
      <c r="C314" s="76" t="s">
        <v>320</v>
      </c>
      <c r="D314" s="76" t="s">
        <v>147</v>
      </c>
      <c r="E314" s="76"/>
      <c r="F314" s="76">
        <v>100</v>
      </c>
      <c r="G314" s="76">
        <f t="shared" si="136"/>
        <v>30</v>
      </c>
      <c r="H314" s="76">
        <f t="shared" si="137"/>
        <v>30</v>
      </c>
      <c r="I314" s="76">
        <f t="shared" si="138"/>
        <v>40</v>
      </c>
      <c r="J314" s="76">
        <v>100</v>
      </c>
      <c r="K314" s="76">
        <f t="shared" si="139"/>
        <v>10</v>
      </c>
      <c r="L314" s="76">
        <f t="shared" si="140"/>
        <v>10</v>
      </c>
      <c r="M314" s="76">
        <v>2018</v>
      </c>
      <c r="N314" s="76">
        <v>2020</v>
      </c>
      <c r="O314" s="76">
        <f t="shared" si="125"/>
        <v>0</v>
      </c>
      <c r="P314" s="76"/>
      <c r="Q314" s="76"/>
      <c r="R314" s="76"/>
      <c r="S314" s="76"/>
      <c r="T314" s="76"/>
      <c r="U314" s="76"/>
      <c r="V314" s="76"/>
      <c r="W314" s="76"/>
      <c r="X314" s="583"/>
      <c r="Y314" s="76"/>
      <c r="Z314" s="76"/>
      <c r="AA314" s="76"/>
      <c r="AB314" s="76"/>
      <c r="AC314" s="76"/>
      <c r="AD314" s="136"/>
    </row>
    <row r="315" customHeight="1" spans="1:30">
      <c r="A315" s="76"/>
      <c r="B315" s="212" t="s">
        <v>1271</v>
      </c>
      <c r="C315" s="76" t="s">
        <v>320</v>
      </c>
      <c r="D315" s="76" t="s">
        <v>147</v>
      </c>
      <c r="E315" s="76"/>
      <c r="F315" s="76">
        <v>200</v>
      </c>
      <c r="G315" s="76">
        <f t="shared" si="136"/>
        <v>60</v>
      </c>
      <c r="H315" s="76">
        <f t="shared" si="137"/>
        <v>60</v>
      </c>
      <c r="I315" s="76">
        <f t="shared" si="138"/>
        <v>80</v>
      </c>
      <c r="J315" s="76">
        <v>200</v>
      </c>
      <c r="K315" s="76">
        <f t="shared" si="139"/>
        <v>20</v>
      </c>
      <c r="L315" s="76">
        <f t="shared" si="140"/>
        <v>20</v>
      </c>
      <c r="M315" s="76">
        <v>2018</v>
      </c>
      <c r="N315" s="76">
        <v>2020</v>
      </c>
      <c r="O315" s="76">
        <f t="shared" si="125"/>
        <v>0</v>
      </c>
      <c r="P315" s="76"/>
      <c r="Q315" s="76"/>
      <c r="R315" s="76"/>
      <c r="S315" s="76"/>
      <c r="T315" s="76"/>
      <c r="U315" s="76"/>
      <c r="V315" s="76"/>
      <c r="W315" s="76"/>
      <c r="X315" s="583"/>
      <c r="Y315" s="76"/>
      <c r="Z315" s="76"/>
      <c r="AA315" s="76"/>
      <c r="AB315" s="76"/>
      <c r="AC315" s="76"/>
      <c r="AD315" s="136"/>
    </row>
    <row r="316" customHeight="1" spans="1:30">
      <c r="A316" s="76"/>
      <c r="B316" s="212" t="s">
        <v>1282</v>
      </c>
      <c r="C316" s="76" t="s">
        <v>320</v>
      </c>
      <c r="D316" s="76" t="s">
        <v>147</v>
      </c>
      <c r="E316" s="76"/>
      <c r="F316" s="76">
        <v>200</v>
      </c>
      <c r="G316" s="76">
        <f t="shared" si="136"/>
        <v>60</v>
      </c>
      <c r="H316" s="76">
        <f t="shared" si="137"/>
        <v>60</v>
      </c>
      <c r="I316" s="76">
        <f t="shared" si="138"/>
        <v>80</v>
      </c>
      <c r="J316" s="76">
        <v>200</v>
      </c>
      <c r="K316" s="76">
        <f t="shared" si="139"/>
        <v>20</v>
      </c>
      <c r="L316" s="76">
        <f t="shared" si="140"/>
        <v>20</v>
      </c>
      <c r="M316" s="76">
        <v>2018</v>
      </c>
      <c r="N316" s="76">
        <v>2020</v>
      </c>
      <c r="O316" s="76">
        <f t="shared" si="125"/>
        <v>0</v>
      </c>
      <c r="P316" s="76"/>
      <c r="Q316" s="76"/>
      <c r="R316" s="76"/>
      <c r="S316" s="76"/>
      <c r="T316" s="76"/>
      <c r="U316" s="76"/>
      <c r="V316" s="76"/>
      <c r="W316" s="76"/>
      <c r="X316" s="583"/>
      <c r="Y316" s="76"/>
      <c r="Z316" s="76"/>
      <c r="AA316" s="76"/>
      <c r="AB316" s="76"/>
      <c r="AC316" s="76"/>
      <c r="AD316" s="136"/>
    </row>
    <row r="317" customHeight="1" spans="1:30">
      <c r="A317" s="76"/>
      <c r="B317" s="212" t="s">
        <v>1283</v>
      </c>
      <c r="C317" s="76" t="s">
        <v>320</v>
      </c>
      <c r="D317" s="76" t="s">
        <v>147</v>
      </c>
      <c r="E317" s="76"/>
      <c r="F317" s="76">
        <v>100</v>
      </c>
      <c r="G317" s="76">
        <f t="shared" si="136"/>
        <v>30</v>
      </c>
      <c r="H317" s="76">
        <f t="shared" si="137"/>
        <v>30</v>
      </c>
      <c r="I317" s="76">
        <f t="shared" si="138"/>
        <v>40</v>
      </c>
      <c r="J317" s="76">
        <v>100</v>
      </c>
      <c r="K317" s="76">
        <f t="shared" si="139"/>
        <v>10</v>
      </c>
      <c r="L317" s="76">
        <f t="shared" si="140"/>
        <v>10</v>
      </c>
      <c r="M317" s="76">
        <v>2018</v>
      </c>
      <c r="N317" s="76">
        <v>2020</v>
      </c>
      <c r="O317" s="76">
        <f t="shared" si="125"/>
        <v>0</v>
      </c>
      <c r="P317" s="76"/>
      <c r="Q317" s="76"/>
      <c r="R317" s="76"/>
      <c r="S317" s="76"/>
      <c r="T317" s="76"/>
      <c r="U317" s="76"/>
      <c r="V317" s="76"/>
      <c r="W317" s="76"/>
      <c r="X317" s="583"/>
      <c r="Y317" s="76"/>
      <c r="Z317" s="76"/>
      <c r="AA317" s="76"/>
      <c r="AB317" s="76"/>
      <c r="AC317" s="76"/>
      <c r="AD317" s="136"/>
    </row>
    <row r="318" customHeight="1" spans="1:30">
      <c r="A318" s="76"/>
      <c r="B318" s="212" t="s">
        <v>1284</v>
      </c>
      <c r="C318" s="76" t="s">
        <v>320</v>
      </c>
      <c r="D318" s="76" t="s">
        <v>147</v>
      </c>
      <c r="E318" s="76"/>
      <c r="F318" s="76">
        <v>100</v>
      </c>
      <c r="G318" s="76">
        <f t="shared" si="136"/>
        <v>30</v>
      </c>
      <c r="H318" s="76">
        <f t="shared" si="137"/>
        <v>30</v>
      </c>
      <c r="I318" s="76">
        <f t="shared" si="138"/>
        <v>40</v>
      </c>
      <c r="J318" s="76">
        <v>100</v>
      </c>
      <c r="K318" s="76">
        <f t="shared" si="139"/>
        <v>10</v>
      </c>
      <c r="L318" s="76">
        <f t="shared" si="140"/>
        <v>10</v>
      </c>
      <c r="M318" s="76">
        <v>2018</v>
      </c>
      <c r="N318" s="76">
        <v>2020</v>
      </c>
      <c r="O318" s="76">
        <f t="shared" si="125"/>
        <v>0</v>
      </c>
      <c r="P318" s="76"/>
      <c r="Q318" s="76"/>
      <c r="R318" s="76"/>
      <c r="S318" s="76"/>
      <c r="T318" s="76"/>
      <c r="U318" s="76"/>
      <c r="V318" s="76"/>
      <c r="W318" s="76"/>
      <c r="X318" s="583"/>
      <c r="Y318" s="76"/>
      <c r="Z318" s="76"/>
      <c r="AA318" s="76"/>
      <c r="AB318" s="76"/>
      <c r="AC318" s="76"/>
      <c r="AD318" s="136"/>
    </row>
    <row r="319" customHeight="1" spans="1:30">
      <c r="A319" s="76">
        <v>25</v>
      </c>
      <c r="B319" s="92" t="s">
        <v>265</v>
      </c>
      <c r="C319" s="76" t="s">
        <v>320</v>
      </c>
      <c r="D319" s="76" t="s">
        <v>147</v>
      </c>
      <c r="E319" s="76"/>
      <c r="F319" s="76">
        <f t="shared" ref="F319:L319" si="141">SUM(F320:F336)</f>
        <v>7200</v>
      </c>
      <c r="G319" s="76">
        <f t="shared" si="141"/>
        <v>2160</v>
      </c>
      <c r="H319" s="76">
        <f t="shared" si="141"/>
        <v>2160</v>
      </c>
      <c r="I319" s="76">
        <f t="shared" si="141"/>
        <v>2880</v>
      </c>
      <c r="J319" s="76">
        <f t="shared" si="141"/>
        <v>7200</v>
      </c>
      <c r="K319" s="76">
        <f t="shared" si="141"/>
        <v>720</v>
      </c>
      <c r="L319" s="76">
        <f t="shared" si="141"/>
        <v>720</v>
      </c>
      <c r="M319" s="76">
        <v>2018</v>
      </c>
      <c r="N319" s="76">
        <v>2020</v>
      </c>
      <c r="O319" s="76">
        <f t="shared" si="125"/>
        <v>0</v>
      </c>
      <c r="P319" s="76"/>
      <c r="Q319" s="76"/>
      <c r="R319" s="76"/>
      <c r="S319" s="76"/>
      <c r="T319" s="76"/>
      <c r="U319" s="76"/>
      <c r="V319" s="76"/>
      <c r="W319" s="76"/>
      <c r="X319" s="583" t="s">
        <v>1038</v>
      </c>
      <c r="Y319" s="76"/>
      <c r="Z319" s="76"/>
      <c r="AA319" s="76" t="s">
        <v>1292</v>
      </c>
      <c r="AB319" s="76" t="s">
        <v>1293</v>
      </c>
      <c r="AC319" s="76" t="s">
        <v>195</v>
      </c>
      <c r="AD319" s="136"/>
    </row>
    <row r="320" customHeight="1" spans="1:30">
      <c r="A320" s="76"/>
      <c r="B320" s="212" t="s">
        <v>1265</v>
      </c>
      <c r="C320" s="76" t="s">
        <v>320</v>
      </c>
      <c r="D320" s="76" t="s">
        <v>147</v>
      </c>
      <c r="E320" s="76"/>
      <c r="F320" s="76">
        <f t="shared" ref="F320:F336" si="142">J320</f>
        <v>300</v>
      </c>
      <c r="G320" s="76">
        <f t="shared" ref="G320:G336" si="143">0.3*F320</f>
        <v>90</v>
      </c>
      <c r="H320" s="76">
        <f t="shared" ref="H320:H336" si="144">0.3*F320</f>
        <v>90</v>
      </c>
      <c r="I320" s="76">
        <f t="shared" ref="I320:I336" si="145">0.4*F320</f>
        <v>120</v>
      </c>
      <c r="J320" s="76">
        <v>300</v>
      </c>
      <c r="K320" s="76">
        <f t="shared" ref="K320:K336" si="146">0.1*F320</f>
        <v>30</v>
      </c>
      <c r="L320" s="76">
        <f t="shared" ref="L320:L336" si="147">K320</f>
        <v>30</v>
      </c>
      <c r="M320" s="76">
        <v>2018</v>
      </c>
      <c r="N320" s="76">
        <v>2020</v>
      </c>
      <c r="O320" s="76">
        <f t="shared" si="125"/>
        <v>0</v>
      </c>
      <c r="P320" s="76"/>
      <c r="Q320" s="76"/>
      <c r="R320" s="76"/>
      <c r="S320" s="76"/>
      <c r="T320" s="76"/>
      <c r="U320" s="76"/>
      <c r="V320" s="76"/>
      <c r="W320" s="76"/>
      <c r="X320" s="583"/>
      <c r="Y320" s="76"/>
      <c r="Z320" s="76"/>
      <c r="AA320" s="76"/>
      <c r="AB320" s="76"/>
      <c r="AC320" s="76"/>
      <c r="AD320" s="136"/>
    </row>
    <row r="321" customHeight="1" spans="1:30">
      <c r="A321" s="76"/>
      <c r="B321" s="212" t="s">
        <v>1266</v>
      </c>
      <c r="C321" s="76" t="s">
        <v>320</v>
      </c>
      <c r="D321" s="76" t="s">
        <v>147</v>
      </c>
      <c r="E321" s="76"/>
      <c r="F321" s="76">
        <f t="shared" si="142"/>
        <v>300</v>
      </c>
      <c r="G321" s="76">
        <f t="shared" si="143"/>
        <v>90</v>
      </c>
      <c r="H321" s="76">
        <f t="shared" si="144"/>
        <v>90</v>
      </c>
      <c r="I321" s="76">
        <f t="shared" si="145"/>
        <v>120</v>
      </c>
      <c r="J321" s="76">
        <v>300</v>
      </c>
      <c r="K321" s="76">
        <f t="shared" si="146"/>
        <v>30</v>
      </c>
      <c r="L321" s="76">
        <f t="shared" si="147"/>
        <v>30</v>
      </c>
      <c r="M321" s="76">
        <v>2018</v>
      </c>
      <c r="N321" s="76">
        <v>2020</v>
      </c>
      <c r="O321" s="76">
        <f t="shared" si="125"/>
        <v>0</v>
      </c>
      <c r="P321" s="76"/>
      <c r="Q321" s="76"/>
      <c r="R321" s="76"/>
      <c r="S321" s="76"/>
      <c r="T321" s="76"/>
      <c r="U321" s="76"/>
      <c r="V321" s="76"/>
      <c r="W321" s="76"/>
      <c r="X321" s="583"/>
      <c r="Y321" s="76"/>
      <c r="Z321" s="76"/>
      <c r="AA321" s="76"/>
      <c r="AB321" s="76"/>
      <c r="AC321" s="76"/>
      <c r="AD321" s="136"/>
    </row>
    <row r="322" customHeight="1" spans="1:30">
      <c r="A322" s="76"/>
      <c r="B322" s="212" t="s">
        <v>1267</v>
      </c>
      <c r="C322" s="76" t="s">
        <v>320</v>
      </c>
      <c r="D322" s="76" t="s">
        <v>147</v>
      </c>
      <c r="E322" s="76"/>
      <c r="F322" s="76">
        <f t="shared" si="142"/>
        <v>300</v>
      </c>
      <c r="G322" s="76">
        <f t="shared" si="143"/>
        <v>90</v>
      </c>
      <c r="H322" s="76">
        <f t="shared" si="144"/>
        <v>90</v>
      </c>
      <c r="I322" s="76">
        <f t="shared" si="145"/>
        <v>120</v>
      </c>
      <c r="J322" s="76">
        <v>300</v>
      </c>
      <c r="K322" s="76">
        <f t="shared" si="146"/>
        <v>30</v>
      </c>
      <c r="L322" s="76">
        <f t="shared" si="147"/>
        <v>30</v>
      </c>
      <c r="M322" s="76">
        <v>2018</v>
      </c>
      <c r="N322" s="76">
        <v>2020</v>
      </c>
      <c r="O322" s="76">
        <f t="shared" si="125"/>
        <v>0</v>
      </c>
      <c r="P322" s="76"/>
      <c r="Q322" s="76"/>
      <c r="R322" s="76"/>
      <c r="S322" s="76"/>
      <c r="T322" s="76"/>
      <c r="U322" s="76"/>
      <c r="V322" s="76"/>
      <c r="W322" s="76"/>
      <c r="X322" s="583"/>
      <c r="Y322" s="76"/>
      <c r="Z322" s="76"/>
      <c r="AA322" s="76"/>
      <c r="AB322" s="76"/>
      <c r="AC322" s="76"/>
      <c r="AD322" s="136"/>
    </row>
    <row r="323" customHeight="1" spans="1:30">
      <c r="A323" s="76"/>
      <c r="B323" s="212" t="s">
        <v>1268</v>
      </c>
      <c r="C323" s="76" t="s">
        <v>320</v>
      </c>
      <c r="D323" s="76" t="s">
        <v>147</v>
      </c>
      <c r="E323" s="76"/>
      <c r="F323" s="76">
        <f t="shared" si="142"/>
        <v>600</v>
      </c>
      <c r="G323" s="76">
        <f t="shared" si="143"/>
        <v>180</v>
      </c>
      <c r="H323" s="76">
        <f t="shared" si="144"/>
        <v>180</v>
      </c>
      <c r="I323" s="76">
        <f t="shared" si="145"/>
        <v>240</v>
      </c>
      <c r="J323" s="76">
        <v>600</v>
      </c>
      <c r="K323" s="76">
        <f t="shared" si="146"/>
        <v>60</v>
      </c>
      <c r="L323" s="76">
        <f t="shared" si="147"/>
        <v>60</v>
      </c>
      <c r="M323" s="76">
        <v>2018</v>
      </c>
      <c r="N323" s="76">
        <v>2020</v>
      </c>
      <c r="O323" s="76">
        <f t="shared" si="125"/>
        <v>0</v>
      </c>
      <c r="P323" s="76"/>
      <c r="Q323" s="76"/>
      <c r="R323" s="76"/>
      <c r="S323" s="76"/>
      <c r="T323" s="76"/>
      <c r="U323" s="76"/>
      <c r="V323" s="76"/>
      <c r="W323" s="76"/>
      <c r="X323" s="583"/>
      <c r="Y323" s="76"/>
      <c r="Z323" s="76"/>
      <c r="AA323" s="76"/>
      <c r="AB323" s="76"/>
      <c r="AC323" s="76"/>
      <c r="AD323" s="136"/>
    </row>
    <row r="324" customHeight="1" spans="1:30">
      <c r="A324" s="76"/>
      <c r="B324" s="212" t="s">
        <v>1275</v>
      </c>
      <c r="C324" s="76" t="s">
        <v>320</v>
      </c>
      <c r="D324" s="76" t="s">
        <v>147</v>
      </c>
      <c r="E324" s="76"/>
      <c r="F324" s="76">
        <f t="shared" si="142"/>
        <v>600</v>
      </c>
      <c r="G324" s="76">
        <f t="shared" si="143"/>
        <v>180</v>
      </c>
      <c r="H324" s="76">
        <f t="shared" si="144"/>
        <v>180</v>
      </c>
      <c r="I324" s="76">
        <f t="shared" si="145"/>
        <v>240</v>
      </c>
      <c r="J324" s="76">
        <v>600</v>
      </c>
      <c r="K324" s="76">
        <f t="shared" si="146"/>
        <v>60</v>
      </c>
      <c r="L324" s="76">
        <f t="shared" si="147"/>
        <v>60</v>
      </c>
      <c r="M324" s="76">
        <v>2018</v>
      </c>
      <c r="N324" s="76">
        <v>2020</v>
      </c>
      <c r="O324" s="76">
        <f t="shared" si="125"/>
        <v>0</v>
      </c>
      <c r="P324" s="76"/>
      <c r="Q324" s="76"/>
      <c r="R324" s="76"/>
      <c r="S324" s="76"/>
      <c r="T324" s="76"/>
      <c r="U324" s="76"/>
      <c r="V324" s="76"/>
      <c r="W324" s="76"/>
      <c r="X324" s="583"/>
      <c r="Y324" s="76"/>
      <c r="Z324" s="76"/>
      <c r="AA324" s="76"/>
      <c r="AB324" s="76"/>
      <c r="AC324" s="76"/>
      <c r="AD324" s="136"/>
    </row>
    <row r="325" customHeight="1" spans="1:30">
      <c r="A325" s="76"/>
      <c r="B325" s="212" t="s">
        <v>1276</v>
      </c>
      <c r="C325" s="76" t="s">
        <v>320</v>
      </c>
      <c r="D325" s="76" t="s">
        <v>147</v>
      </c>
      <c r="E325" s="76"/>
      <c r="F325" s="76">
        <f t="shared" si="142"/>
        <v>600</v>
      </c>
      <c r="G325" s="76">
        <f t="shared" si="143"/>
        <v>180</v>
      </c>
      <c r="H325" s="76">
        <f t="shared" si="144"/>
        <v>180</v>
      </c>
      <c r="I325" s="76">
        <f t="shared" si="145"/>
        <v>240</v>
      </c>
      <c r="J325" s="76">
        <v>600</v>
      </c>
      <c r="K325" s="76">
        <f t="shared" si="146"/>
        <v>60</v>
      </c>
      <c r="L325" s="76">
        <f t="shared" si="147"/>
        <v>60</v>
      </c>
      <c r="M325" s="76">
        <v>2018</v>
      </c>
      <c r="N325" s="76">
        <v>2020</v>
      </c>
      <c r="O325" s="76">
        <f t="shared" si="125"/>
        <v>0</v>
      </c>
      <c r="P325" s="76"/>
      <c r="Q325" s="76"/>
      <c r="R325" s="76"/>
      <c r="S325" s="76"/>
      <c r="T325" s="76"/>
      <c r="U325" s="76"/>
      <c r="V325" s="76"/>
      <c r="W325" s="76"/>
      <c r="X325" s="583"/>
      <c r="Y325" s="76"/>
      <c r="Z325" s="76"/>
      <c r="AA325" s="76"/>
      <c r="AB325" s="76"/>
      <c r="AC325" s="76"/>
      <c r="AD325" s="136"/>
    </row>
    <row r="326" customHeight="1" spans="1:30">
      <c r="A326" s="76"/>
      <c r="B326" s="212" t="s">
        <v>1277</v>
      </c>
      <c r="C326" s="76" t="s">
        <v>320</v>
      </c>
      <c r="D326" s="76" t="s">
        <v>147</v>
      </c>
      <c r="E326" s="76"/>
      <c r="F326" s="76">
        <f t="shared" si="142"/>
        <v>600</v>
      </c>
      <c r="G326" s="76">
        <f t="shared" si="143"/>
        <v>180</v>
      </c>
      <c r="H326" s="76">
        <f t="shared" si="144"/>
        <v>180</v>
      </c>
      <c r="I326" s="76">
        <f t="shared" si="145"/>
        <v>240</v>
      </c>
      <c r="J326" s="76">
        <v>600</v>
      </c>
      <c r="K326" s="76">
        <f t="shared" si="146"/>
        <v>60</v>
      </c>
      <c r="L326" s="76">
        <f t="shared" si="147"/>
        <v>60</v>
      </c>
      <c r="M326" s="76">
        <v>2018</v>
      </c>
      <c r="N326" s="76">
        <v>2020</v>
      </c>
      <c r="O326" s="76">
        <f t="shared" si="125"/>
        <v>0</v>
      </c>
      <c r="P326" s="76"/>
      <c r="Q326" s="76"/>
      <c r="R326" s="76"/>
      <c r="S326" s="76"/>
      <c r="T326" s="76"/>
      <c r="U326" s="76"/>
      <c r="V326" s="76"/>
      <c r="W326" s="76"/>
      <c r="X326" s="583"/>
      <c r="Y326" s="76"/>
      <c r="Z326" s="76"/>
      <c r="AA326" s="76"/>
      <c r="AB326" s="76"/>
      <c r="AC326" s="76"/>
      <c r="AD326" s="136"/>
    </row>
    <row r="327" customHeight="1" spans="1:30">
      <c r="A327" s="76"/>
      <c r="B327" s="212" t="s">
        <v>1278</v>
      </c>
      <c r="C327" s="76" t="s">
        <v>320</v>
      </c>
      <c r="D327" s="76" t="s">
        <v>147</v>
      </c>
      <c r="E327" s="76"/>
      <c r="F327" s="76">
        <f t="shared" si="142"/>
        <v>600</v>
      </c>
      <c r="G327" s="76">
        <f t="shared" si="143"/>
        <v>180</v>
      </c>
      <c r="H327" s="76">
        <f t="shared" si="144"/>
        <v>180</v>
      </c>
      <c r="I327" s="76">
        <f t="shared" si="145"/>
        <v>240</v>
      </c>
      <c r="J327" s="76">
        <v>600</v>
      </c>
      <c r="K327" s="76">
        <f t="shared" si="146"/>
        <v>60</v>
      </c>
      <c r="L327" s="76">
        <f t="shared" si="147"/>
        <v>60</v>
      </c>
      <c r="M327" s="76">
        <v>2018</v>
      </c>
      <c r="N327" s="76">
        <v>2020</v>
      </c>
      <c r="O327" s="76">
        <f t="shared" si="125"/>
        <v>0</v>
      </c>
      <c r="P327" s="76"/>
      <c r="Q327" s="76"/>
      <c r="R327" s="76"/>
      <c r="S327" s="76"/>
      <c r="T327" s="76"/>
      <c r="U327" s="76"/>
      <c r="V327" s="76"/>
      <c r="W327" s="76"/>
      <c r="X327" s="583"/>
      <c r="Y327" s="76"/>
      <c r="Z327" s="76"/>
      <c r="AA327" s="76"/>
      <c r="AB327" s="76"/>
      <c r="AC327" s="76"/>
      <c r="AD327" s="136"/>
    </row>
    <row r="328" customHeight="1" spans="1:30">
      <c r="A328" s="76"/>
      <c r="B328" s="212" t="s">
        <v>1279</v>
      </c>
      <c r="C328" s="76" t="s">
        <v>320</v>
      </c>
      <c r="D328" s="76" t="s">
        <v>147</v>
      </c>
      <c r="E328" s="76"/>
      <c r="F328" s="76">
        <f t="shared" si="142"/>
        <v>300</v>
      </c>
      <c r="G328" s="76">
        <f t="shared" si="143"/>
        <v>90</v>
      </c>
      <c r="H328" s="76">
        <f t="shared" si="144"/>
        <v>90</v>
      </c>
      <c r="I328" s="76">
        <f t="shared" si="145"/>
        <v>120</v>
      </c>
      <c r="J328" s="76">
        <v>300</v>
      </c>
      <c r="K328" s="76">
        <f t="shared" si="146"/>
        <v>30</v>
      </c>
      <c r="L328" s="76">
        <f t="shared" si="147"/>
        <v>30</v>
      </c>
      <c r="M328" s="76">
        <v>2018</v>
      </c>
      <c r="N328" s="76">
        <v>2020</v>
      </c>
      <c r="O328" s="76">
        <f t="shared" ref="O328:O355" si="148">SUM(P328:R328)</f>
        <v>0</v>
      </c>
      <c r="P328" s="76"/>
      <c r="Q328" s="76"/>
      <c r="R328" s="76"/>
      <c r="S328" s="76"/>
      <c r="T328" s="76"/>
      <c r="U328" s="76"/>
      <c r="V328" s="76"/>
      <c r="W328" s="76"/>
      <c r="X328" s="583"/>
      <c r="Y328" s="76"/>
      <c r="Z328" s="76"/>
      <c r="AA328" s="76"/>
      <c r="AB328" s="76"/>
      <c r="AC328" s="76"/>
      <c r="AD328" s="136"/>
    </row>
    <row r="329" customHeight="1" spans="1:30">
      <c r="A329" s="76"/>
      <c r="B329" s="212" t="s">
        <v>1280</v>
      </c>
      <c r="C329" s="76" t="s">
        <v>320</v>
      </c>
      <c r="D329" s="76" t="s">
        <v>147</v>
      </c>
      <c r="E329" s="76"/>
      <c r="F329" s="76">
        <f t="shared" si="142"/>
        <v>300</v>
      </c>
      <c r="G329" s="76">
        <f t="shared" si="143"/>
        <v>90</v>
      </c>
      <c r="H329" s="76">
        <f t="shared" si="144"/>
        <v>90</v>
      </c>
      <c r="I329" s="76">
        <f t="shared" si="145"/>
        <v>120</v>
      </c>
      <c r="J329" s="76">
        <v>300</v>
      </c>
      <c r="K329" s="76">
        <f t="shared" si="146"/>
        <v>30</v>
      </c>
      <c r="L329" s="76">
        <f t="shared" si="147"/>
        <v>30</v>
      </c>
      <c r="M329" s="76">
        <v>2018</v>
      </c>
      <c r="N329" s="76">
        <v>2020</v>
      </c>
      <c r="O329" s="76">
        <f t="shared" si="148"/>
        <v>0</v>
      </c>
      <c r="P329" s="76"/>
      <c r="Q329" s="76"/>
      <c r="R329" s="76"/>
      <c r="S329" s="76"/>
      <c r="T329" s="76"/>
      <c r="U329" s="76"/>
      <c r="V329" s="76"/>
      <c r="W329" s="76"/>
      <c r="X329" s="583"/>
      <c r="Y329" s="76"/>
      <c r="Z329" s="76"/>
      <c r="AA329" s="76"/>
      <c r="AB329" s="76"/>
      <c r="AC329" s="76"/>
      <c r="AD329" s="136"/>
    </row>
    <row r="330" customHeight="1" spans="1:30">
      <c r="A330" s="76"/>
      <c r="B330" s="212" t="s">
        <v>1269</v>
      </c>
      <c r="C330" s="76" t="s">
        <v>320</v>
      </c>
      <c r="D330" s="76" t="s">
        <v>147</v>
      </c>
      <c r="E330" s="76"/>
      <c r="F330" s="76">
        <f t="shared" si="142"/>
        <v>300</v>
      </c>
      <c r="G330" s="76">
        <f t="shared" si="143"/>
        <v>90</v>
      </c>
      <c r="H330" s="76">
        <f t="shared" si="144"/>
        <v>90</v>
      </c>
      <c r="I330" s="76">
        <f t="shared" si="145"/>
        <v>120</v>
      </c>
      <c r="J330" s="76">
        <v>300</v>
      </c>
      <c r="K330" s="76">
        <f t="shared" si="146"/>
        <v>30</v>
      </c>
      <c r="L330" s="76">
        <f t="shared" si="147"/>
        <v>30</v>
      </c>
      <c r="M330" s="76">
        <v>2018</v>
      </c>
      <c r="N330" s="76">
        <v>2020</v>
      </c>
      <c r="O330" s="76">
        <f t="shared" si="148"/>
        <v>0</v>
      </c>
      <c r="P330" s="76"/>
      <c r="Q330" s="76"/>
      <c r="R330" s="76"/>
      <c r="S330" s="76"/>
      <c r="T330" s="76"/>
      <c r="U330" s="76"/>
      <c r="V330" s="76"/>
      <c r="W330" s="76"/>
      <c r="X330" s="583"/>
      <c r="Y330" s="76"/>
      <c r="Z330" s="76"/>
      <c r="AA330" s="76"/>
      <c r="AB330" s="76"/>
      <c r="AC330" s="76"/>
      <c r="AD330" s="136"/>
    </row>
    <row r="331" customHeight="1" spans="1:30">
      <c r="A331" s="76"/>
      <c r="B331" s="212" t="s">
        <v>1270</v>
      </c>
      <c r="C331" s="76" t="s">
        <v>320</v>
      </c>
      <c r="D331" s="76" t="s">
        <v>147</v>
      </c>
      <c r="E331" s="76"/>
      <c r="F331" s="76">
        <f t="shared" si="142"/>
        <v>300</v>
      </c>
      <c r="G331" s="76">
        <f t="shared" si="143"/>
        <v>90</v>
      </c>
      <c r="H331" s="76">
        <f t="shared" si="144"/>
        <v>90</v>
      </c>
      <c r="I331" s="76">
        <f t="shared" si="145"/>
        <v>120</v>
      </c>
      <c r="J331" s="76">
        <v>300</v>
      </c>
      <c r="K331" s="76">
        <f t="shared" si="146"/>
        <v>30</v>
      </c>
      <c r="L331" s="76">
        <f t="shared" si="147"/>
        <v>30</v>
      </c>
      <c r="M331" s="76">
        <v>2018</v>
      </c>
      <c r="N331" s="76">
        <v>2020</v>
      </c>
      <c r="O331" s="76">
        <f t="shared" si="148"/>
        <v>0</v>
      </c>
      <c r="P331" s="76"/>
      <c r="Q331" s="76"/>
      <c r="R331" s="76"/>
      <c r="S331" s="76"/>
      <c r="T331" s="76"/>
      <c r="U331" s="76"/>
      <c r="V331" s="76"/>
      <c r="W331" s="76"/>
      <c r="X331" s="583"/>
      <c r="Y331" s="76"/>
      <c r="Z331" s="76"/>
      <c r="AA331" s="76"/>
      <c r="AB331" s="76"/>
      <c r="AC331" s="76"/>
      <c r="AD331" s="136"/>
    </row>
    <row r="332" customHeight="1" spans="1:30">
      <c r="A332" s="76"/>
      <c r="B332" s="212" t="s">
        <v>1281</v>
      </c>
      <c r="C332" s="76" t="s">
        <v>320</v>
      </c>
      <c r="D332" s="76" t="s">
        <v>147</v>
      </c>
      <c r="E332" s="76"/>
      <c r="F332" s="76">
        <f t="shared" si="142"/>
        <v>300</v>
      </c>
      <c r="G332" s="76">
        <f t="shared" si="143"/>
        <v>90</v>
      </c>
      <c r="H332" s="76">
        <f t="shared" si="144"/>
        <v>90</v>
      </c>
      <c r="I332" s="76">
        <f t="shared" si="145"/>
        <v>120</v>
      </c>
      <c r="J332" s="76">
        <v>300</v>
      </c>
      <c r="K332" s="76">
        <f t="shared" si="146"/>
        <v>30</v>
      </c>
      <c r="L332" s="76">
        <f t="shared" si="147"/>
        <v>30</v>
      </c>
      <c r="M332" s="76">
        <v>2018</v>
      </c>
      <c r="N332" s="76">
        <v>2020</v>
      </c>
      <c r="O332" s="76">
        <f t="shared" si="148"/>
        <v>0</v>
      </c>
      <c r="P332" s="76"/>
      <c r="Q332" s="76"/>
      <c r="R332" s="76"/>
      <c r="S332" s="76"/>
      <c r="T332" s="76"/>
      <c r="U332" s="76"/>
      <c r="V332" s="76"/>
      <c r="W332" s="76"/>
      <c r="X332" s="583"/>
      <c r="Y332" s="76"/>
      <c r="Z332" s="76"/>
      <c r="AA332" s="76"/>
      <c r="AB332" s="76"/>
      <c r="AC332" s="76"/>
      <c r="AD332" s="136"/>
    </row>
    <row r="333" customHeight="1" spans="1:30">
      <c r="A333" s="76"/>
      <c r="B333" s="212" t="s">
        <v>1271</v>
      </c>
      <c r="C333" s="76" t="s">
        <v>320</v>
      </c>
      <c r="D333" s="76" t="s">
        <v>147</v>
      </c>
      <c r="E333" s="76"/>
      <c r="F333" s="76">
        <f t="shared" si="142"/>
        <v>600</v>
      </c>
      <c r="G333" s="76">
        <f t="shared" si="143"/>
        <v>180</v>
      </c>
      <c r="H333" s="76">
        <f t="shared" si="144"/>
        <v>180</v>
      </c>
      <c r="I333" s="76">
        <f t="shared" si="145"/>
        <v>240</v>
      </c>
      <c r="J333" s="76">
        <v>600</v>
      </c>
      <c r="K333" s="76">
        <f t="shared" si="146"/>
        <v>60</v>
      </c>
      <c r="L333" s="76">
        <f t="shared" si="147"/>
        <v>60</v>
      </c>
      <c r="M333" s="76">
        <v>2018</v>
      </c>
      <c r="N333" s="76">
        <v>2020</v>
      </c>
      <c r="O333" s="76">
        <f t="shared" si="148"/>
        <v>0</v>
      </c>
      <c r="P333" s="76"/>
      <c r="Q333" s="76"/>
      <c r="R333" s="76"/>
      <c r="S333" s="76"/>
      <c r="T333" s="76"/>
      <c r="U333" s="76"/>
      <c r="V333" s="76"/>
      <c r="W333" s="76"/>
      <c r="X333" s="583"/>
      <c r="Y333" s="76"/>
      <c r="Z333" s="76"/>
      <c r="AA333" s="76"/>
      <c r="AB333" s="76"/>
      <c r="AC333" s="76"/>
      <c r="AD333" s="136"/>
    </row>
    <row r="334" customHeight="1" spans="1:30">
      <c r="A334" s="76"/>
      <c r="B334" s="212" t="s">
        <v>1282</v>
      </c>
      <c r="C334" s="76" t="s">
        <v>320</v>
      </c>
      <c r="D334" s="76" t="s">
        <v>147</v>
      </c>
      <c r="E334" s="76"/>
      <c r="F334" s="76">
        <f t="shared" si="142"/>
        <v>600</v>
      </c>
      <c r="G334" s="76">
        <f t="shared" si="143"/>
        <v>180</v>
      </c>
      <c r="H334" s="76">
        <f t="shared" si="144"/>
        <v>180</v>
      </c>
      <c r="I334" s="76">
        <f t="shared" si="145"/>
        <v>240</v>
      </c>
      <c r="J334" s="76">
        <v>600</v>
      </c>
      <c r="K334" s="76">
        <f t="shared" si="146"/>
        <v>60</v>
      </c>
      <c r="L334" s="76">
        <f t="shared" si="147"/>
        <v>60</v>
      </c>
      <c r="M334" s="76">
        <v>2018</v>
      </c>
      <c r="N334" s="76">
        <v>2020</v>
      </c>
      <c r="O334" s="76">
        <f t="shared" si="148"/>
        <v>0</v>
      </c>
      <c r="P334" s="76"/>
      <c r="Q334" s="76"/>
      <c r="R334" s="76"/>
      <c r="S334" s="76"/>
      <c r="T334" s="76"/>
      <c r="U334" s="76"/>
      <c r="V334" s="76"/>
      <c r="W334" s="76"/>
      <c r="X334" s="583"/>
      <c r="Y334" s="76"/>
      <c r="Z334" s="76"/>
      <c r="AA334" s="76"/>
      <c r="AB334" s="76"/>
      <c r="AC334" s="76"/>
      <c r="AD334" s="136"/>
    </row>
    <row r="335" customHeight="1" spans="1:30">
      <c r="A335" s="76"/>
      <c r="B335" s="212" t="s">
        <v>1283</v>
      </c>
      <c r="C335" s="76" t="s">
        <v>320</v>
      </c>
      <c r="D335" s="76" t="s">
        <v>147</v>
      </c>
      <c r="E335" s="76"/>
      <c r="F335" s="76">
        <f t="shared" si="142"/>
        <v>300</v>
      </c>
      <c r="G335" s="76">
        <f t="shared" si="143"/>
        <v>90</v>
      </c>
      <c r="H335" s="76">
        <f t="shared" si="144"/>
        <v>90</v>
      </c>
      <c r="I335" s="76">
        <f t="shared" si="145"/>
        <v>120</v>
      </c>
      <c r="J335" s="76">
        <v>300</v>
      </c>
      <c r="K335" s="76">
        <f t="shared" si="146"/>
        <v>30</v>
      </c>
      <c r="L335" s="76">
        <f t="shared" si="147"/>
        <v>30</v>
      </c>
      <c r="M335" s="76">
        <v>2018</v>
      </c>
      <c r="N335" s="76">
        <v>2020</v>
      </c>
      <c r="O335" s="76">
        <f t="shared" si="148"/>
        <v>0</v>
      </c>
      <c r="P335" s="76"/>
      <c r="Q335" s="76"/>
      <c r="R335" s="76"/>
      <c r="S335" s="76"/>
      <c r="T335" s="76"/>
      <c r="U335" s="76"/>
      <c r="V335" s="76"/>
      <c r="W335" s="76"/>
      <c r="X335" s="583"/>
      <c r="Y335" s="76"/>
      <c r="Z335" s="76"/>
      <c r="AA335" s="76"/>
      <c r="AB335" s="76"/>
      <c r="AC335" s="76"/>
      <c r="AD335" s="136"/>
    </row>
    <row r="336" customHeight="1" spans="1:30">
      <c r="A336" s="76"/>
      <c r="B336" s="212" t="s">
        <v>1284</v>
      </c>
      <c r="C336" s="76" t="s">
        <v>320</v>
      </c>
      <c r="D336" s="76" t="s">
        <v>147</v>
      </c>
      <c r="E336" s="76"/>
      <c r="F336" s="76">
        <f t="shared" si="142"/>
        <v>300</v>
      </c>
      <c r="G336" s="76">
        <f t="shared" si="143"/>
        <v>90</v>
      </c>
      <c r="H336" s="76">
        <f t="shared" si="144"/>
        <v>90</v>
      </c>
      <c r="I336" s="76">
        <f t="shared" si="145"/>
        <v>120</v>
      </c>
      <c r="J336" s="76">
        <v>300</v>
      </c>
      <c r="K336" s="76">
        <f t="shared" si="146"/>
        <v>30</v>
      </c>
      <c r="L336" s="76">
        <f t="shared" si="147"/>
        <v>30</v>
      </c>
      <c r="M336" s="76">
        <v>2018</v>
      </c>
      <c r="N336" s="76">
        <v>2020</v>
      </c>
      <c r="O336" s="76">
        <f t="shared" si="148"/>
        <v>0</v>
      </c>
      <c r="P336" s="76"/>
      <c r="Q336" s="76"/>
      <c r="R336" s="76"/>
      <c r="S336" s="76"/>
      <c r="T336" s="76"/>
      <c r="U336" s="76"/>
      <c r="V336" s="76"/>
      <c r="W336" s="76"/>
      <c r="X336" s="583"/>
      <c r="Y336" s="76"/>
      <c r="Z336" s="76"/>
      <c r="AA336" s="76"/>
      <c r="AB336" s="76"/>
      <c r="AC336" s="76"/>
      <c r="AD336" s="136"/>
    </row>
    <row r="337" customHeight="1" spans="1:30">
      <c r="A337" s="76">
        <v>26</v>
      </c>
      <c r="B337" s="92" t="s">
        <v>266</v>
      </c>
      <c r="C337" s="76" t="s">
        <v>320</v>
      </c>
      <c r="D337" s="76" t="s">
        <v>147</v>
      </c>
      <c r="E337" s="76"/>
      <c r="F337" s="76"/>
      <c r="G337" s="76"/>
      <c r="H337" s="76"/>
      <c r="I337" s="76"/>
      <c r="J337" s="76"/>
      <c r="K337" s="76"/>
      <c r="L337" s="76"/>
      <c r="M337" s="76"/>
      <c r="N337" s="76"/>
      <c r="O337" s="76">
        <f t="shared" si="148"/>
        <v>0</v>
      </c>
      <c r="P337" s="76"/>
      <c r="Q337" s="76"/>
      <c r="R337" s="76"/>
      <c r="S337" s="76"/>
      <c r="T337" s="76"/>
      <c r="U337" s="76"/>
      <c r="V337" s="76"/>
      <c r="W337" s="76"/>
      <c r="X337" s="583" t="s">
        <v>1038</v>
      </c>
      <c r="Y337" s="76"/>
      <c r="Z337" s="76"/>
      <c r="AA337" s="76" t="s">
        <v>1292</v>
      </c>
      <c r="AB337" s="76" t="s">
        <v>1293</v>
      </c>
      <c r="AC337" s="76" t="s">
        <v>195</v>
      </c>
      <c r="AD337" s="136"/>
    </row>
    <row r="338" customHeight="1" spans="1:30">
      <c r="A338" s="76">
        <v>27</v>
      </c>
      <c r="B338" s="92" t="s">
        <v>267</v>
      </c>
      <c r="C338" s="76" t="s">
        <v>52</v>
      </c>
      <c r="D338" s="76" t="s">
        <v>194</v>
      </c>
      <c r="E338" s="76"/>
      <c r="F338" s="76">
        <f t="shared" ref="F338:L338" si="149">SUM(F339:F355)</f>
        <v>4050</v>
      </c>
      <c r="G338" s="76">
        <f t="shared" si="149"/>
        <v>1161</v>
      </c>
      <c r="H338" s="76">
        <f t="shared" si="149"/>
        <v>1242</v>
      </c>
      <c r="I338" s="76">
        <f t="shared" si="149"/>
        <v>1620</v>
      </c>
      <c r="J338" s="76">
        <f t="shared" si="149"/>
        <v>4050</v>
      </c>
      <c r="K338" s="76">
        <f t="shared" si="149"/>
        <v>407</v>
      </c>
      <c r="L338" s="76">
        <f t="shared" si="149"/>
        <v>407</v>
      </c>
      <c r="M338" s="76">
        <v>2018</v>
      </c>
      <c r="N338" s="76">
        <v>2020</v>
      </c>
      <c r="O338" s="76">
        <f t="shared" si="148"/>
        <v>0</v>
      </c>
      <c r="P338" s="76"/>
      <c r="Q338" s="76"/>
      <c r="R338" s="76"/>
      <c r="S338" s="76"/>
      <c r="T338" s="76"/>
      <c r="U338" s="76"/>
      <c r="V338" s="76"/>
      <c r="W338" s="76"/>
      <c r="X338" s="583"/>
      <c r="Y338" s="76"/>
      <c r="Z338" s="76"/>
      <c r="AA338" s="76" t="s">
        <v>1292</v>
      </c>
      <c r="AB338" s="76" t="s">
        <v>1293</v>
      </c>
      <c r="AC338" s="76" t="s">
        <v>195</v>
      </c>
      <c r="AD338" s="136"/>
    </row>
    <row r="339" customHeight="1" spans="1:30">
      <c r="A339" s="76"/>
      <c r="B339" s="212" t="s">
        <v>1265</v>
      </c>
      <c r="C339" s="76" t="s">
        <v>52</v>
      </c>
      <c r="D339" s="76" t="s">
        <v>194</v>
      </c>
      <c r="E339" s="76"/>
      <c r="F339" s="76">
        <v>270</v>
      </c>
      <c r="G339" s="76">
        <f t="shared" ref="G339:G347" si="150">0.3*F339</f>
        <v>81</v>
      </c>
      <c r="H339" s="76">
        <f t="shared" ref="H339:H347" si="151">0.3*F339</f>
        <v>81</v>
      </c>
      <c r="I339" s="76">
        <f t="shared" ref="I339:I355" si="152">0.4*F339</f>
        <v>108</v>
      </c>
      <c r="J339" s="76">
        <v>270</v>
      </c>
      <c r="K339" s="76">
        <f t="shared" ref="K339:K355" si="153">ROUND(0.1*J339,0)</f>
        <v>27</v>
      </c>
      <c r="L339" s="76">
        <v>27</v>
      </c>
      <c r="M339" s="76">
        <v>2018</v>
      </c>
      <c r="N339" s="76">
        <v>2020</v>
      </c>
      <c r="O339" s="76">
        <f t="shared" si="148"/>
        <v>0</v>
      </c>
      <c r="P339" s="76"/>
      <c r="Q339" s="76"/>
      <c r="R339" s="76"/>
      <c r="S339" s="76"/>
      <c r="T339" s="76"/>
      <c r="U339" s="76"/>
      <c r="V339" s="76"/>
      <c r="W339" s="76"/>
      <c r="X339" s="583"/>
      <c r="Y339" s="76"/>
      <c r="Z339" s="76"/>
      <c r="AA339" s="76"/>
      <c r="AB339" s="76"/>
      <c r="AC339" s="76"/>
      <c r="AD339" s="136"/>
    </row>
    <row r="340" customHeight="1" spans="1:30">
      <c r="A340" s="76"/>
      <c r="B340" s="212" t="s">
        <v>1266</v>
      </c>
      <c r="C340" s="76" t="s">
        <v>52</v>
      </c>
      <c r="D340" s="76" t="s">
        <v>194</v>
      </c>
      <c r="E340" s="76"/>
      <c r="F340" s="76">
        <v>135</v>
      </c>
      <c r="G340" s="76">
        <f>0.2*F340</f>
        <v>27</v>
      </c>
      <c r="H340" s="76">
        <f>0.4*F340</f>
        <v>54</v>
      </c>
      <c r="I340" s="76">
        <f t="shared" si="152"/>
        <v>54</v>
      </c>
      <c r="J340" s="76">
        <v>135</v>
      </c>
      <c r="K340" s="76">
        <f t="shared" si="153"/>
        <v>14</v>
      </c>
      <c r="L340" s="76">
        <v>14</v>
      </c>
      <c r="M340" s="76">
        <v>2018</v>
      </c>
      <c r="N340" s="76">
        <v>2020</v>
      </c>
      <c r="O340" s="76">
        <f t="shared" si="148"/>
        <v>0</v>
      </c>
      <c r="P340" s="76"/>
      <c r="Q340" s="76"/>
      <c r="R340" s="76"/>
      <c r="S340" s="76"/>
      <c r="T340" s="76"/>
      <c r="U340" s="76"/>
      <c r="V340" s="76"/>
      <c r="W340" s="76"/>
      <c r="X340" s="583"/>
      <c r="Y340" s="76"/>
      <c r="Z340" s="76"/>
      <c r="AA340" s="76"/>
      <c r="AB340" s="76"/>
      <c r="AC340" s="76"/>
      <c r="AD340" s="136"/>
    </row>
    <row r="341" customHeight="1" spans="1:30">
      <c r="A341" s="76"/>
      <c r="B341" s="212" t="s">
        <v>1267</v>
      </c>
      <c r="C341" s="76" t="s">
        <v>52</v>
      </c>
      <c r="D341" s="76" t="s">
        <v>194</v>
      </c>
      <c r="E341" s="76"/>
      <c r="F341" s="76">
        <v>270</v>
      </c>
      <c r="G341" s="76">
        <f t="shared" si="150"/>
        <v>81</v>
      </c>
      <c r="H341" s="76">
        <f t="shared" si="151"/>
        <v>81</v>
      </c>
      <c r="I341" s="76">
        <f t="shared" si="152"/>
        <v>108</v>
      </c>
      <c r="J341" s="76">
        <v>270</v>
      </c>
      <c r="K341" s="76">
        <f t="shared" si="153"/>
        <v>27</v>
      </c>
      <c r="L341" s="76">
        <v>27</v>
      </c>
      <c r="M341" s="76">
        <v>2018</v>
      </c>
      <c r="N341" s="76">
        <v>2020</v>
      </c>
      <c r="O341" s="76">
        <f t="shared" si="148"/>
        <v>0</v>
      </c>
      <c r="P341" s="76"/>
      <c r="Q341" s="76"/>
      <c r="R341" s="76"/>
      <c r="S341" s="76"/>
      <c r="T341" s="76"/>
      <c r="U341" s="76"/>
      <c r="V341" s="76"/>
      <c r="W341" s="76"/>
      <c r="X341" s="583"/>
      <c r="Y341" s="76"/>
      <c r="Z341" s="76"/>
      <c r="AA341" s="76"/>
      <c r="AB341" s="76"/>
      <c r="AC341" s="76"/>
      <c r="AD341" s="136"/>
    </row>
    <row r="342" customHeight="1" spans="1:30">
      <c r="A342" s="76"/>
      <c r="B342" s="212" t="s">
        <v>1268</v>
      </c>
      <c r="C342" s="76" t="s">
        <v>52</v>
      </c>
      <c r="D342" s="76" t="s">
        <v>194</v>
      </c>
      <c r="E342" s="76"/>
      <c r="F342" s="76">
        <v>270</v>
      </c>
      <c r="G342" s="76">
        <f t="shared" si="150"/>
        <v>81</v>
      </c>
      <c r="H342" s="76">
        <f t="shared" si="151"/>
        <v>81</v>
      </c>
      <c r="I342" s="76">
        <f t="shared" si="152"/>
        <v>108</v>
      </c>
      <c r="J342" s="76">
        <v>270</v>
      </c>
      <c r="K342" s="76">
        <f t="shared" si="153"/>
        <v>27</v>
      </c>
      <c r="L342" s="76">
        <v>27</v>
      </c>
      <c r="M342" s="76">
        <v>2018</v>
      </c>
      <c r="N342" s="76">
        <v>2020</v>
      </c>
      <c r="O342" s="76">
        <f t="shared" si="148"/>
        <v>0</v>
      </c>
      <c r="P342" s="76"/>
      <c r="Q342" s="76"/>
      <c r="R342" s="76"/>
      <c r="S342" s="76"/>
      <c r="T342" s="76"/>
      <c r="U342" s="76"/>
      <c r="V342" s="76"/>
      <c r="W342" s="76"/>
      <c r="X342" s="583"/>
      <c r="Y342" s="76"/>
      <c r="Z342" s="76"/>
      <c r="AA342" s="76"/>
      <c r="AB342" s="76"/>
      <c r="AC342" s="76"/>
      <c r="AD342" s="136"/>
    </row>
    <row r="343" customHeight="1" spans="1:30">
      <c r="A343" s="76"/>
      <c r="B343" s="212" t="s">
        <v>1275</v>
      </c>
      <c r="C343" s="76" t="s">
        <v>52</v>
      </c>
      <c r="D343" s="76" t="s">
        <v>194</v>
      </c>
      <c r="E343" s="76"/>
      <c r="F343" s="76">
        <v>270</v>
      </c>
      <c r="G343" s="76">
        <f t="shared" si="150"/>
        <v>81</v>
      </c>
      <c r="H343" s="76">
        <f t="shared" si="151"/>
        <v>81</v>
      </c>
      <c r="I343" s="76">
        <f t="shared" si="152"/>
        <v>108</v>
      </c>
      <c r="J343" s="76">
        <v>270</v>
      </c>
      <c r="K343" s="76">
        <f t="shared" si="153"/>
        <v>27</v>
      </c>
      <c r="L343" s="76">
        <v>27</v>
      </c>
      <c r="M343" s="76">
        <v>2018</v>
      </c>
      <c r="N343" s="76">
        <v>2020</v>
      </c>
      <c r="O343" s="76">
        <f t="shared" si="148"/>
        <v>0</v>
      </c>
      <c r="P343" s="76"/>
      <c r="Q343" s="76"/>
      <c r="R343" s="76"/>
      <c r="S343" s="76"/>
      <c r="T343" s="76"/>
      <c r="U343" s="76"/>
      <c r="V343" s="76"/>
      <c r="W343" s="76"/>
      <c r="X343" s="583"/>
      <c r="Y343" s="76"/>
      <c r="Z343" s="76"/>
      <c r="AA343" s="76"/>
      <c r="AB343" s="76"/>
      <c r="AC343" s="76"/>
      <c r="AD343" s="136"/>
    </row>
    <row r="344" customHeight="1" spans="1:30">
      <c r="A344" s="76"/>
      <c r="B344" s="212" t="s">
        <v>1276</v>
      </c>
      <c r="C344" s="76" t="s">
        <v>52</v>
      </c>
      <c r="D344" s="76" t="s">
        <v>194</v>
      </c>
      <c r="E344" s="76"/>
      <c r="F344" s="76">
        <v>270</v>
      </c>
      <c r="G344" s="76">
        <f t="shared" si="150"/>
        <v>81</v>
      </c>
      <c r="H344" s="76">
        <f t="shared" si="151"/>
        <v>81</v>
      </c>
      <c r="I344" s="76">
        <f t="shared" si="152"/>
        <v>108</v>
      </c>
      <c r="J344" s="76">
        <v>270</v>
      </c>
      <c r="K344" s="76">
        <f t="shared" si="153"/>
        <v>27</v>
      </c>
      <c r="L344" s="76">
        <v>27</v>
      </c>
      <c r="M344" s="76">
        <v>2018</v>
      </c>
      <c r="N344" s="76">
        <v>2020</v>
      </c>
      <c r="O344" s="76">
        <f t="shared" si="148"/>
        <v>0</v>
      </c>
      <c r="P344" s="76"/>
      <c r="Q344" s="76"/>
      <c r="R344" s="76"/>
      <c r="S344" s="76"/>
      <c r="T344" s="76"/>
      <c r="U344" s="76"/>
      <c r="V344" s="76"/>
      <c r="W344" s="76"/>
      <c r="X344" s="583"/>
      <c r="Y344" s="76"/>
      <c r="Z344" s="76"/>
      <c r="AA344" s="76"/>
      <c r="AB344" s="76"/>
      <c r="AC344" s="76"/>
      <c r="AD344" s="136"/>
    </row>
    <row r="345" customHeight="1" spans="1:30">
      <c r="A345" s="76"/>
      <c r="B345" s="212" t="s">
        <v>1277</v>
      </c>
      <c r="C345" s="76" t="s">
        <v>52</v>
      </c>
      <c r="D345" s="76" t="s">
        <v>194</v>
      </c>
      <c r="E345" s="76"/>
      <c r="F345" s="76">
        <v>270</v>
      </c>
      <c r="G345" s="76">
        <f t="shared" si="150"/>
        <v>81</v>
      </c>
      <c r="H345" s="76">
        <f t="shared" si="151"/>
        <v>81</v>
      </c>
      <c r="I345" s="76">
        <f t="shared" si="152"/>
        <v>108</v>
      </c>
      <c r="J345" s="76">
        <v>270</v>
      </c>
      <c r="K345" s="76">
        <f t="shared" si="153"/>
        <v>27</v>
      </c>
      <c r="L345" s="76">
        <v>27</v>
      </c>
      <c r="M345" s="76">
        <v>2018</v>
      </c>
      <c r="N345" s="76">
        <v>2020</v>
      </c>
      <c r="O345" s="76">
        <f t="shared" si="148"/>
        <v>0</v>
      </c>
      <c r="P345" s="76"/>
      <c r="Q345" s="76"/>
      <c r="R345" s="76"/>
      <c r="S345" s="76"/>
      <c r="T345" s="76"/>
      <c r="U345" s="76"/>
      <c r="V345" s="76"/>
      <c r="W345" s="76"/>
      <c r="X345" s="583"/>
      <c r="Y345" s="76"/>
      <c r="Z345" s="76"/>
      <c r="AA345" s="76"/>
      <c r="AB345" s="76"/>
      <c r="AC345" s="76"/>
      <c r="AD345" s="136"/>
    </row>
    <row r="346" customHeight="1" spans="1:30">
      <c r="A346" s="76"/>
      <c r="B346" s="212" t="s">
        <v>1278</v>
      </c>
      <c r="C346" s="76" t="s">
        <v>52</v>
      </c>
      <c r="D346" s="76" t="s">
        <v>194</v>
      </c>
      <c r="E346" s="76"/>
      <c r="F346" s="76">
        <v>270</v>
      </c>
      <c r="G346" s="76">
        <f t="shared" si="150"/>
        <v>81</v>
      </c>
      <c r="H346" s="76">
        <f t="shared" si="151"/>
        <v>81</v>
      </c>
      <c r="I346" s="76">
        <f t="shared" si="152"/>
        <v>108</v>
      </c>
      <c r="J346" s="76">
        <v>270</v>
      </c>
      <c r="K346" s="76">
        <f t="shared" si="153"/>
        <v>27</v>
      </c>
      <c r="L346" s="76">
        <v>27</v>
      </c>
      <c r="M346" s="76">
        <v>2018</v>
      </c>
      <c r="N346" s="76">
        <v>2020</v>
      </c>
      <c r="O346" s="76">
        <f t="shared" si="148"/>
        <v>0</v>
      </c>
      <c r="P346" s="76"/>
      <c r="Q346" s="76"/>
      <c r="R346" s="76"/>
      <c r="S346" s="76"/>
      <c r="T346" s="76"/>
      <c r="U346" s="76"/>
      <c r="V346" s="76"/>
      <c r="W346" s="76"/>
      <c r="X346" s="583"/>
      <c r="Y346" s="76"/>
      <c r="Z346" s="76"/>
      <c r="AA346" s="76"/>
      <c r="AB346" s="76"/>
      <c r="AC346" s="76"/>
      <c r="AD346" s="136"/>
    </row>
    <row r="347" customHeight="1" spans="1:30">
      <c r="A347" s="76"/>
      <c r="B347" s="212" t="s">
        <v>1279</v>
      </c>
      <c r="C347" s="76" t="s">
        <v>52</v>
      </c>
      <c r="D347" s="76" t="s">
        <v>194</v>
      </c>
      <c r="E347" s="76"/>
      <c r="F347" s="76">
        <v>270</v>
      </c>
      <c r="G347" s="76">
        <f t="shared" si="150"/>
        <v>81</v>
      </c>
      <c r="H347" s="76">
        <f t="shared" si="151"/>
        <v>81</v>
      </c>
      <c r="I347" s="76">
        <f t="shared" si="152"/>
        <v>108</v>
      </c>
      <c r="J347" s="76">
        <v>270</v>
      </c>
      <c r="K347" s="76">
        <f t="shared" si="153"/>
        <v>27</v>
      </c>
      <c r="L347" s="76">
        <v>27</v>
      </c>
      <c r="M347" s="76">
        <v>2018</v>
      </c>
      <c r="N347" s="76">
        <v>2020</v>
      </c>
      <c r="O347" s="76">
        <f t="shared" si="148"/>
        <v>0</v>
      </c>
      <c r="P347" s="76"/>
      <c r="Q347" s="76"/>
      <c r="R347" s="76"/>
      <c r="S347" s="76"/>
      <c r="T347" s="76"/>
      <c r="U347" s="76"/>
      <c r="V347" s="76"/>
      <c r="W347" s="76"/>
      <c r="X347" s="583"/>
      <c r="Y347" s="76"/>
      <c r="Z347" s="76"/>
      <c r="AA347" s="76"/>
      <c r="AB347" s="76"/>
      <c r="AC347" s="76"/>
      <c r="AD347" s="136"/>
    </row>
    <row r="348" customHeight="1" spans="1:30">
      <c r="A348" s="76"/>
      <c r="B348" s="212" t="s">
        <v>1280</v>
      </c>
      <c r="C348" s="76" t="s">
        <v>52</v>
      </c>
      <c r="D348" s="76" t="s">
        <v>194</v>
      </c>
      <c r="E348" s="76"/>
      <c r="F348" s="76">
        <v>135</v>
      </c>
      <c r="G348" s="76">
        <f>0.2*F348</f>
        <v>27</v>
      </c>
      <c r="H348" s="76">
        <f>0.2*F348</f>
        <v>27</v>
      </c>
      <c r="I348" s="76">
        <f t="shared" si="152"/>
        <v>54</v>
      </c>
      <c r="J348" s="76">
        <v>135</v>
      </c>
      <c r="K348" s="76">
        <f t="shared" si="153"/>
        <v>14</v>
      </c>
      <c r="L348" s="76">
        <v>14</v>
      </c>
      <c r="M348" s="76">
        <v>2018</v>
      </c>
      <c r="N348" s="76">
        <v>2020</v>
      </c>
      <c r="O348" s="76">
        <f t="shared" si="148"/>
        <v>0</v>
      </c>
      <c r="P348" s="76"/>
      <c r="Q348" s="76"/>
      <c r="R348" s="76"/>
      <c r="S348" s="76"/>
      <c r="T348" s="76"/>
      <c r="U348" s="76"/>
      <c r="V348" s="76"/>
      <c r="W348" s="76"/>
      <c r="X348" s="583"/>
      <c r="Y348" s="76"/>
      <c r="Z348" s="76"/>
      <c r="AA348" s="76"/>
      <c r="AB348" s="76"/>
      <c r="AC348" s="76"/>
      <c r="AD348" s="136"/>
    </row>
    <row r="349" customHeight="1" spans="1:30">
      <c r="A349" s="76"/>
      <c r="B349" s="212" t="s">
        <v>1269</v>
      </c>
      <c r="C349" s="76" t="s">
        <v>52</v>
      </c>
      <c r="D349" s="76" t="s">
        <v>194</v>
      </c>
      <c r="E349" s="76"/>
      <c r="F349" s="76">
        <v>270</v>
      </c>
      <c r="G349" s="76">
        <f t="shared" ref="G349:G353" si="154">0.3*F349</f>
        <v>81</v>
      </c>
      <c r="H349" s="76">
        <f t="shared" ref="H349:H353" si="155">0.3*F349</f>
        <v>81</v>
      </c>
      <c r="I349" s="76">
        <f t="shared" si="152"/>
        <v>108</v>
      </c>
      <c r="J349" s="76">
        <v>270</v>
      </c>
      <c r="K349" s="76">
        <f t="shared" si="153"/>
        <v>27</v>
      </c>
      <c r="L349" s="76">
        <v>27</v>
      </c>
      <c r="M349" s="76">
        <v>2018</v>
      </c>
      <c r="N349" s="76">
        <v>2020</v>
      </c>
      <c r="O349" s="76">
        <f t="shared" si="148"/>
        <v>0</v>
      </c>
      <c r="P349" s="76"/>
      <c r="Q349" s="76"/>
      <c r="R349" s="76"/>
      <c r="S349" s="76"/>
      <c r="T349" s="76"/>
      <c r="U349" s="76"/>
      <c r="V349" s="76"/>
      <c r="W349" s="76"/>
      <c r="X349" s="583"/>
      <c r="Y349" s="76"/>
      <c r="Z349" s="76"/>
      <c r="AA349" s="76"/>
      <c r="AB349" s="76"/>
      <c r="AC349" s="76"/>
      <c r="AD349" s="136"/>
    </row>
    <row r="350" customHeight="1" spans="1:30">
      <c r="A350" s="76"/>
      <c r="B350" s="212" t="s">
        <v>1270</v>
      </c>
      <c r="C350" s="76" t="s">
        <v>52</v>
      </c>
      <c r="D350" s="76" t="s">
        <v>194</v>
      </c>
      <c r="E350" s="76"/>
      <c r="F350" s="76">
        <v>270</v>
      </c>
      <c r="G350" s="76">
        <f t="shared" si="154"/>
        <v>81</v>
      </c>
      <c r="H350" s="76">
        <f t="shared" si="155"/>
        <v>81</v>
      </c>
      <c r="I350" s="76">
        <f t="shared" si="152"/>
        <v>108</v>
      </c>
      <c r="J350" s="76">
        <v>270</v>
      </c>
      <c r="K350" s="76">
        <f t="shared" si="153"/>
        <v>27</v>
      </c>
      <c r="L350" s="76">
        <v>27</v>
      </c>
      <c r="M350" s="76">
        <v>2018</v>
      </c>
      <c r="N350" s="76">
        <v>2020</v>
      </c>
      <c r="O350" s="76">
        <f t="shared" si="148"/>
        <v>0</v>
      </c>
      <c r="P350" s="76"/>
      <c r="Q350" s="76"/>
      <c r="R350" s="76"/>
      <c r="S350" s="76"/>
      <c r="T350" s="76"/>
      <c r="U350" s="76"/>
      <c r="V350" s="76"/>
      <c r="W350" s="76"/>
      <c r="X350" s="583"/>
      <c r="Y350" s="76"/>
      <c r="Z350" s="76"/>
      <c r="AA350" s="76"/>
      <c r="AB350" s="76"/>
      <c r="AC350" s="76"/>
      <c r="AD350" s="136"/>
    </row>
    <row r="351" customHeight="1" spans="1:30">
      <c r="A351" s="76"/>
      <c r="B351" s="212" t="s">
        <v>1281</v>
      </c>
      <c r="C351" s="76" t="s">
        <v>52</v>
      </c>
      <c r="D351" s="76" t="s">
        <v>194</v>
      </c>
      <c r="E351" s="76"/>
      <c r="F351" s="76">
        <v>270</v>
      </c>
      <c r="G351" s="76">
        <f t="shared" si="154"/>
        <v>81</v>
      </c>
      <c r="H351" s="76">
        <f t="shared" si="155"/>
        <v>81</v>
      </c>
      <c r="I351" s="76">
        <f t="shared" si="152"/>
        <v>108</v>
      </c>
      <c r="J351" s="76">
        <v>270</v>
      </c>
      <c r="K351" s="76">
        <f t="shared" si="153"/>
        <v>27</v>
      </c>
      <c r="L351" s="76">
        <v>27</v>
      </c>
      <c r="M351" s="76">
        <v>2018</v>
      </c>
      <c r="N351" s="76">
        <v>2020</v>
      </c>
      <c r="O351" s="76">
        <f t="shared" si="148"/>
        <v>0</v>
      </c>
      <c r="P351" s="76"/>
      <c r="Q351" s="76"/>
      <c r="R351" s="76"/>
      <c r="S351" s="76"/>
      <c r="T351" s="76"/>
      <c r="U351" s="76"/>
      <c r="V351" s="76"/>
      <c r="W351" s="76"/>
      <c r="X351" s="583"/>
      <c r="Y351" s="76"/>
      <c r="Z351" s="76"/>
      <c r="AA351" s="76"/>
      <c r="AB351" s="76"/>
      <c r="AC351" s="76"/>
      <c r="AD351" s="136"/>
    </row>
    <row r="352" customHeight="1" spans="1:30">
      <c r="A352" s="76"/>
      <c r="B352" s="212" t="s">
        <v>1271</v>
      </c>
      <c r="C352" s="76" t="s">
        <v>52</v>
      </c>
      <c r="D352" s="76" t="s">
        <v>194</v>
      </c>
      <c r="E352" s="76"/>
      <c r="F352" s="76">
        <v>270</v>
      </c>
      <c r="G352" s="76">
        <f t="shared" si="154"/>
        <v>81</v>
      </c>
      <c r="H352" s="76">
        <f t="shared" si="155"/>
        <v>81</v>
      </c>
      <c r="I352" s="76">
        <f t="shared" si="152"/>
        <v>108</v>
      </c>
      <c r="J352" s="76">
        <v>270</v>
      </c>
      <c r="K352" s="76">
        <f t="shared" si="153"/>
        <v>27</v>
      </c>
      <c r="L352" s="76">
        <v>27</v>
      </c>
      <c r="M352" s="76">
        <v>2018</v>
      </c>
      <c r="N352" s="76">
        <v>2020</v>
      </c>
      <c r="O352" s="76">
        <f t="shared" si="148"/>
        <v>0</v>
      </c>
      <c r="P352" s="76"/>
      <c r="Q352" s="76"/>
      <c r="R352" s="76"/>
      <c r="S352" s="76"/>
      <c r="T352" s="76"/>
      <c r="U352" s="76"/>
      <c r="V352" s="76"/>
      <c r="W352" s="76"/>
      <c r="X352" s="583"/>
      <c r="Y352" s="76"/>
      <c r="Z352" s="76"/>
      <c r="AA352" s="76"/>
      <c r="AB352" s="76"/>
      <c r="AC352" s="76"/>
      <c r="AD352" s="136"/>
    </row>
    <row r="353" customHeight="1" spans="1:30">
      <c r="A353" s="76"/>
      <c r="B353" s="212" t="s">
        <v>1282</v>
      </c>
      <c r="C353" s="76" t="s">
        <v>52</v>
      </c>
      <c r="D353" s="76" t="s">
        <v>194</v>
      </c>
      <c r="E353" s="76"/>
      <c r="F353" s="76">
        <v>270</v>
      </c>
      <c r="G353" s="76">
        <f t="shared" si="154"/>
        <v>81</v>
      </c>
      <c r="H353" s="76">
        <f t="shared" si="155"/>
        <v>81</v>
      </c>
      <c r="I353" s="76">
        <f t="shared" si="152"/>
        <v>108</v>
      </c>
      <c r="J353" s="76">
        <v>270</v>
      </c>
      <c r="K353" s="76">
        <f t="shared" si="153"/>
        <v>27</v>
      </c>
      <c r="L353" s="76">
        <v>27</v>
      </c>
      <c r="M353" s="76">
        <v>2018</v>
      </c>
      <c r="N353" s="76">
        <v>2020</v>
      </c>
      <c r="O353" s="76">
        <f t="shared" si="148"/>
        <v>0</v>
      </c>
      <c r="P353" s="76"/>
      <c r="Q353" s="76"/>
      <c r="R353" s="76"/>
      <c r="S353" s="76"/>
      <c r="T353" s="76"/>
      <c r="U353" s="76"/>
      <c r="V353" s="76"/>
      <c r="W353" s="76"/>
      <c r="X353" s="583"/>
      <c r="Y353" s="76"/>
      <c r="Z353" s="76"/>
      <c r="AA353" s="76"/>
      <c r="AB353" s="76"/>
      <c r="AC353" s="76"/>
      <c r="AD353" s="136"/>
    </row>
    <row r="354" customHeight="1" spans="1:30">
      <c r="A354" s="76"/>
      <c r="B354" s="212" t="s">
        <v>1283</v>
      </c>
      <c r="C354" s="76" t="s">
        <v>52</v>
      </c>
      <c r="D354" s="76" t="s">
        <v>194</v>
      </c>
      <c r="E354" s="76"/>
      <c r="F354" s="76">
        <v>135</v>
      </c>
      <c r="G354" s="76">
        <f>0.2*F354</f>
        <v>27</v>
      </c>
      <c r="H354" s="76">
        <f>0.4*F354</f>
        <v>54</v>
      </c>
      <c r="I354" s="76">
        <f t="shared" si="152"/>
        <v>54</v>
      </c>
      <c r="J354" s="76">
        <v>135</v>
      </c>
      <c r="K354" s="76">
        <f t="shared" si="153"/>
        <v>14</v>
      </c>
      <c r="L354" s="76">
        <v>14</v>
      </c>
      <c r="M354" s="76">
        <v>2018</v>
      </c>
      <c r="N354" s="76">
        <v>2020</v>
      </c>
      <c r="O354" s="76">
        <f t="shared" si="148"/>
        <v>0</v>
      </c>
      <c r="P354" s="76"/>
      <c r="Q354" s="76"/>
      <c r="R354" s="76"/>
      <c r="S354" s="76"/>
      <c r="T354" s="76"/>
      <c r="U354" s="76"/>
      <c r="V354" s="76"/>
      <c r="W354" s="76"/>
      <c r="X354" s="583"/>
      <c r="Y354" s="76"/>
      <c r="Z354" s="76"/>
      <c r="AA354" s="76"/>
      <c r="AB354" s="76"/>
      <c r="AC354" s="76"/>
      <c r="AD354" s="136"/>
    </row>
    <row r="355" customHeight="1" spans="1:30">
      <c r="A355" s="76"/>
      <c r="B355" s="212" t="s">
        <v>1284</v>
      </c>
      <c r="C355" s="76" t="s">
        <v>52</v>
      </c>
      <c r="D355" s="76" t="s">
        <v>194</v>
      </c>
      <c r="E355" s="76"/>
      <c r="F355" s="76">
        <v>135</v>
      </c>
      <c r="G355" s="76">
        <f>0.2*F355</f>
        <v>27</v>
      </c>
      <c r="H355" s="76">
        <f>0.4*F355</f>
        <v>54</v>
      </c>
      <c r="I355" s="76">
        <f t="shared" si="152"/>
        <v>54</v>
      </c>
      <c r="J355" s="76">
        <v>135</v>
      </c>
      <c r="K355" s="76">
        <f t="shared" si="153"/>
        <v>14</v>
      </c>
      <c r="L355" s="76">
        <v>14</v>
      </c>
      <c r="M355" s="76">
        <v>2018</v>
      </c>
      <c r="N355" s="76">
        <v>2020</v>
      </c>
      <c r="O355" s="76">
        <f t="shared" si="148"/>
        <v>0</v>
      </c>
      <c r="P355" s="76"/>
      <c r="Q355" s="76"/>
      <c r="R355" s="76"/>
      <c r="S355" s="76"/>
      <c r="T355" s="76"/>
      <c r="U355" s="76"/>
      <c r="V355" s="76"/>
      <c r="W355" s="76"/>
      <c r="X355" s="583"/>
      <c r="Y355" s="76"/>
      <c r="Z355" s="76"/>
      <c r="AA355" s="76"/>
      <c r="AB355" s="76"/>
      <c r="AC355" s="76"/>
      <c r="AD355" s="136"/>
    </row>
    <row r="356" customHeight="1" spans="1:30">
      <c r="A356" s="76">
        <v>28</v>
      </c>
      <c r="B356" s="92" t="s">
        <v>268</v>
      </c>
      <c r="C356" s="76" t="s">
        <v>320</v>
      </c>
      <c r="D356" s="76" t="s">
        <v>147</v>
      </c>
      <c r="E356" s="76"/>
      <c r="F356" s="76">
        <f t="shared" ref="F356:L356" si="156">SUM(F357+F364+F382+F400+F411+F417+F435+F453+F471)</f>
        <v>531</v>
      </c>
      <c r="G356" s="76">
        <f t="shared" si="156"/>
        <v>177</v>
      </c>
      <c r="H356" s="76">
        <f t="shared" si="156"/>
        <v>177</v>
      </c>
      <c r="I356" s="76">
        <f t="shared" si="156"/>
        <v>177</v>
      </c>
      <c r="J356" s="76">
        <f t="shared" si="156"/>
        <v>177</v>
      </c>
      <c r="K356" s="76">
        <f t="shared" si="156"/>
        <v>148</v>
      </c>
      <c r="L356" s="76">
        <f t="shared" si="156"/>
        <v>148</v>
      </c>
      <c r="M356" s="76">
        <v>2018</v>
      </c>
      <c r="N356" s="76">
        <v>2020</v>
      </c>
      <c r="O356" s="76">
        <f t="shared" ref="O356:W356" si="157">SUM(O357+O364+O382+O400+O411+O417+O435+O453+O471)</f>
        <v>239.388</v>
      </c>
      <c r="P356" s="76">
        <f t="shared" si="157"/>
        <v>36.896</v>
      </c>
      <c r="Q356" s="76">
        <f t="shared" si="157"/>
        <v>101.246</v>
      </c>
      <c r="R356" s="76">
        <f t="shared" si="157"/>
        <v>101.246</v>
      </c>
      <c r="S356" s="76">
        <f t="shared" si="157"/>
        <v>36.9</v>
      </c>
      <c r="T356" s="76">
        <f t="shared" si="157"/>
        <v>0</v>
      </c>
      <c r="U356" s="76">
        <f t="shared" si="157"/>
        <v>9.438</v>
      </c>
      <c r="V356" s="76">
        <f t="shared" si="157"/>
        <v>193.05</v>
      </c>
      <c r="W356" s="76">
        <f t="shared" si="157"/>
        <v>0</v>
      </c>
      <c r="X356" s="583"/>
      <c r="Y356" s="76"/>
      <c r="Z356" s="76"/>
      <c r="AA356" s="76" t="s">
        <v>1292</v>
      </c>
      <c r="AB356" s="76" t="s">
        <v>1293</v>
      </c>
      <c r="AC356" s="76" t="s">
        <v>320</v>
      </c>
      <c r="AD356" s="136"/>
    </row>
    <row r="357" customHeight="1" spans="1:30">
      <c r="A357" s="76">
        <v>29</v>
      </c>
      <c r="B357" s="92" t="s">
        <v>269</v>
      </c>
      <c r="C357" s="76" t="s">
        <v>320</v>
      </c>
      <c r="D357" s="76" t="s">
        <v>147</v>
      </c>
      <c r="E357" s="76"/>
      <c r="F357" s="76">
        <f t="shared" ref="F357:L357" si="158">SUM(F358:F363)</f>
        <v>48</v>
      </c>
      <c r="G357" s="76">
        <f t="shared" si="158"/>
        <v>16</v>
      </c>
      <c r="H357" s="76">
        <f t="shared" si="158"/>
        <v>16</v>
      </c>
      <c r="I357" s="76">
        <f t="shared" si="158"/>
        <v>16</v>
      </c>
      <c r="J357" s="76">
        <f t="shared" si="158"/>
        <v>16</v>
      </c>
      <c r="K357" s="76">
        <f t="shared" si="158"/>
        <v>1</v>
      </c>
      <c r="L357" s="76">
        <f t="shared" si="158"/>
        <v>1</v>
      </c>
      <c r="M357" s="76">
        <v>2018</v>
      </c>
      <c r="N357" s="76">
        <v>2020</v>
      </c>
      <c r="O357" s="76">
        <f t="shared" ref="O357:O363" si="159">SUM(P357:R357)</f>
        <v>28.8</v>
      </c>
      <c r="P357" s="76">
        <v>9.6</v>
      </c>
      <c r="Q357" s="76">
        <v>9.6</v>
      </c>
      <c r="R357" s="76">
        <v>9.6</v>
      </c>
      <c r="S357" s="76">
        <v>28.8</v>
      </c>
      <c r="T357" s="76"/>
      <c r="U357" s="76"/>
      <c r="V357" s="76"/>
      <c r="W357" s="76"/>
      <c r="X357" s="583" t="s">
        <v>1038</v>
      </c>
      <c r="Y357" s="76"/>
      <c r="Z357" s="76"/>
      <c r="AA357" s="76" t="s">
        <v>1292</v>
      </c>
      <c r="AB357" s="76" t="s">
        <v>1293</v>
      </c>
      <c r="AC357" s="76" t="s">
        <v>201</v>
      </c>
      <c r="AD357" s="136"/>
    </row>
    <row r="358" customHeight="1" spans="1:30">
      <c r="A358" s="76"/>
      <c r="B358" s="212" t="s">
        <v>1268</v>
      </c>
      <c r="C358" s="76" t="s">
        <v>320</v>
      </c>
      <c r="D358" s="76" t="s">
        <v>147</v>
      </c>
      <c r="E358" s="76"/>
      <c r="F358" s="76">
        <f t="shared" ref="F358:F363" si="160">SUM(G358:I358)</f>
        <v>3</v>
      </c>
      <c r="G358" s="76">
        <v>1</v>
      </c>
      <c r="H358" s="76">
        <v>1</v>
      </c>
      <c r="I358" s="76">
        <v>1</v>
      </c>
      <c r="J358" s="76">
        <v>1</v>
      </c>
      <c r="K358" s="76"/>
      <c r="L358" s="76"/>
      <c r="M358" s="76">
        <v>2018</v>
      </c>
      <c r="N358" s="76">
        <v>2020</v>
      </c>
      <c r="O358" s="76">
        <f t="shared" si="159"/>
        <v>1.8</v>
      </c>
      <c r="P358" s="76">
        <f t="shared" ref="P358:P363" si="161">0.6*J358</f>
        <v>0.6</v>
      </c>
      <c r="Q358" s="76">
        <f t="shared" ref="Q358:Q363" si="162">0.6*J358</f>
        <v>0.6</v>
      </c>
      <c r="R358" s="76">
        <f t="shared" ref="R358:R363" si="163">0.6*J358</f>
        <v>0.6</v>
      </c>
      <c r="S358" s="76">
        <f t="shared" ref="S358:S363" si="164">O358</f>
        <v>1.8</v>
      </c>
      <c r="T358" s="76"/>
      <c r="U358" s="76"/>
      <c r="V358" s="76"/>
      <c r="W358" s="76"/>
      <c r="X358" s="583"/>
      <c r="Y358" s="76"/>
      <c r="Z358" s="76"/>
      <c r="AA358" s="76"/>
      <c r="AB358" s="76"/>
      <c r="AC358" s="76"/>
      <c r="AD358" s="136"/>
    </row>
    <row r="359" customHeight="1" spans="1:30">
      <c r="A359" s="76"/>
      <c r="B359" s="212" t="s">
        <v>1275</v>
      </c>
      <c r="C359" s="76" t="s">
        <v>320</v>
      </c>
      <c r="D359" s="76" t="s">
        <v>147</v>
      </c>
      <c r="E359" s="76"/>
      <c r="F359" s="76">
        <f t="shared" si="160"/>
        <v>12</v>
      </c>
      <c r="G359" s="76">
        <v>4</v>
      </c>
      <c r="H359" s="76">
        <v>4</v>
      </c>
      <c r="I359" s="76">
        <v>4</v>
      </c>
      <c r="J359" s="76">
        <v>4</v>
      </c>
      <c r="K359" s="76"/>
      <c r="L359" s="76"/>
      <c r="M359" s="76">
        <v>2018</v>
      </c>
      <c r="N359" s="76">
        <v>2020</v>
      </c>
      <c r="O359" s="76">
        <f t="shared" si="159"/>
        <v>7.2</v>
      </c>
      <c r="P359" s="76">
        <f t="shared" si="161"/>
        <v>2.4</v>
      </c>
      <c r="Q359" s="76">
        <f t="shared" si="162"/>
        <v>2.4</v>
      </c>
      <c r="R359" s="76">
        <f t="shared" si="163"/>
        <v>2.4</v>
      </c>
      <c r="S359" s="76">
        <f t="shared" si="164"/>
        <v>7.2</v>
      </c>
      <c r="T359" s="76"/>
      <c r="U359" s="76"/>
      <c r="V359" s="76"/>
      <c r="W359" s="76"/>
      <c r="X359" s="583"/>
      <c r="Y359" s="76"/>
      <c r="Z359" s="76"/>
      <c r="AA359" s="76"/>
      <c r="AB359" s="76"/>
      <c r="AC359" s="76"/>
      <c r="AD359" s="136"/>
    </row>
    <row r="360" customHeight="1" spans="1:30">
      <c r="A360" s="76"/>
      <c r="B360" s="212" t="s">
        <v>1276</v>
      </c>
      <c r="C360" s="76" t="s">
        <v>320</v>
      </c>
      <c r="D360" s="76" t="s">
        <v>147</v>
      </c>
      <c r="E360" s="76"/>
      <c r="F360" s="76">
        <f t="shared" si="160"/>
        <v>3</v>
      </c>
      <c r="G360" s="76">
        <v>1</v>
      </c>
      <c r="H360" s="76">
        <v>1</v>
      </c>
      <c r="I360" s="76">
        <v>1</v>
      </c>
      <c r="J360" s="76">
        <v>1</v>
      </c>
      <c r="K360" s="76"/>
      <c r="L360" s="76"/>
      <c r="M360" s="76">
        <v>2018</v>
      </c>
      <c r="N360" s="76">
        <v>2020</v>
      </c>
      <c r="O360" s="76">
        <f t="shared" si="159"/>
        <v>1.8</v>
      </c>
      <c r="P360" s="76">
        <f t="shared" si="161"/>
        <v>0.6</v>
      </c>
      <c r="Q360" s="76">
        <f t="shared" si="162"/>
        <v>0.6</v>
      </c>
      <c r="R360" s="76">
        <f t="shared" si="163"/>
        <v>0.6</v>
      </c>
      <c r="S360" s="76">
        <f t="shared" si="164"/>
        <v>1.8</v>
      </c>
      <c r="T360" s="76"/>
      <c r="U360" s="76"/>
      <c r="V360" s="76"/>
      <c r="W360" s="76"/>
      <c r="X360" s="583"/>
      <c r="Y360" s="76"/>
      <c r="Z360" s="76"/>
      <c r="AA360" s="76"/>
      <c r="AB360" s="76"/>
      <c r="AC360" s="76"/>
      <c r="AD360" s="136"/>
    </row>
    <row r="361" customHeight="1" spans="1:30">
      <c r="A361" s="76"/>
      <c r="B361" s="212" t="s">
        <v>1277</v>
      </c>
      <c r="C361" s="76" t="s">
        <v>320</v>
      </c>
      <c r="D361" s="76" t="s">
        <v>147</v>
      </c>
      <c r="E361" s="76"/>
      <c r="F361" s="76">
        <f t="shared" si="160"/>
        <v>9</v>
      </c>
      <c r="G361" s="76">
        <v>3</v>
      </c>
      <c r="H361" s="76">
        <v>3</v>
      </c>
      <c r="I361" s="76">
        <v>3</v>
      </c>
      <c r="J361" s="76">
        <v>3</v>
      </c>
      <c r="K361" s="76">
        <v>1</v>
      </c>
      <c r="L361" s="76">
        <v>1</v>
      </c>
      <c r="M361" s="76">
        <v>2018</v>
      </c>
      <c r="N361" s="76">
        <v>2020</v>
      </c>
      <c r="O361" s="76">
        <f t="shared" si="159"/>
        <v>5.4</v>
      </c>
      <c r="P361" s="76">
        <f t="shared" si="161"/>
        <v>1.8</v>
      </c>
      <c r="Q361" s="76">
        <f t="shared" si="162"/>
        <v>1.8</v>
      </c>
      <c r="R361" s="76">
        <f t="shared" si="163"/>
        <v>1.8</v>
      </c>
      <c r="S361" s="76">
        <f t="shared" si="164"/>
        <v>5.4</v>
      </c>
      <c r="T361" s="76"/>
      <c r="U361" s="76"/>
      <c r="V361" s="76"/>
      <c r="W361" s="76"/>
      <c r="X361" s="583"/>
      <c r="Y361" s="76"/>
      <c r="Z361" s="76"/>
      <c r="AA361" s="76"/>
      <c r="AB361" s="76"/>
      <c r="AC361" s="76"/>
      <c r="AD361" s="136"/>
    </row>
    <row r="362" customHeight="1" spans="1:30">
      <c r="A362" s="76"/>
      <c r="B362" s="212" t="s">
        <v>1278</v>
      </c>
      <c r="C362" s="76" t="s">
        <v>320</v>
      </c>
      <c r="D362" s="76" t="s">
        <v>147</v>
      </c>
      <c r="E362" s="76"/>
      <c r="F362" s="76">
        <f t="shared" si="160"/>
        <v>12</v>
      </c>
      <c r="G362" s="76">
        <v>4</v>
      </c>
      <c r="H362" s="76">
        <v>4</v>
      </c>
      <c r="I362" s="76">
        <v>4</v>
      </c>
      <c r="J362" s="76">
        <v>4</v>
      </c>
      <c r="K362" s="76"/>
      <c r="L362" s="76"/>
      <c r="M362" s="76">
        <v>2018</v>
      </c>
      <c r="N362" s="76">
        <v>2020</v>
      </c>
      <c r="O362" s="76">
        <f t="shared" si="159"/>
        <v>7.2</v>
      </c>
      <c r="P362" s="76">
        <f t="shared" si="161"/>
        <v>2.4</v>
      </c>
      <c r="Q362" s="76">
        <f t="shared" si="162"/>
        <v>2.4</v>
      </c>
      <c r="R362" s="76">
        <f t="shared" si="163"/>
        <v>2.4</v>
      </c>
      <c r="S362" s="76">
        <f t="shared" si="164"/>
        <v>7.2</v>
      </c>
      <c r="T362" s="76"/>
      <c r="U362" s="76"/>
      <c r="V362" s="76"/>
      <c r="W362" s="76"/>
      <c r="X362" s="583"/>
      <c r="Y362" s="76"/>
      <c r="Z362" s="76"/>
      <c r="AA362" s="76"/>
      <c r="AB362" s="76"/>
      <c r="AC362" s="76"/>
      <c r="AD362" s="136"/>
    </row>
    <row r="363" customHeight="1" spans="1:30">
      <c r="A363" s="76"/>
      <c r="B363" s="212" t="s">
        <v>1279</v>
      </c>
      <c r="C363" s="76" t="s">
        <v>320</v>
      </c>
      <c r="D363" s="76" t="s">
        <v>147</v>
      </c>
      <c r="E363" s="76"/>
      <c r="F363" s="76">
        <f t="shared" si="160"/>
        <v>9</v>
      </c>
      <c r="G363" s="76">
        <v>3</v>
      </c>
      <c r="H363" s="76">
        <v>3</v>
      </c>
      <c r="I363" s="76">
        <v>3</v>
      </c>
      <c r="J363" s="76">
        <v>3</v>
      </c>
      <c r="K363" s="76"/>
      <c r="L363" s="76"/>
      <c r="M363" s="76">
        <v>2018</v>
      </c>
      <c r="N363" s="76">
        <v>2020</v>
      </c>
      <c r="O363" s="76">
        <f t="shared" si="159"/>
        <v>5.4</v>
      </c>
      <c r="P363" s="76">
        <f t="shared" si="161"/>
        <v>1.8</v>
      </c>
      <c r="Q363" s="76">
        <f t="shared" si="162"/>
        <v>1.8</v>
      </c>
      <c r="R363" s="76">
        <f t="shared" si="163"/>
        <v>1.8</v>
      </c>
      <c r="S363" s="76">
        <f t="shared" si="164"/>
        <v>5.4</v>
      </c>
      <c r="T363" s="76"/>
      <c r="U363" s="76"/>
      <c r="V363" s="76"/>
      <c r="W363" s="76"/>
      <c r="X363" s="583"/>
      <c r="Y363" s="76"/>
      <c r="Z363" s="76"/>
      <c r="AA363" s="76"/>
      <c r="AB363" s="76"/>
      <c r="AC363" s="76"/>
      <c r="AD363" s="136"/>
    </row>
    <row r="364" customHeight="1" spans="1:30">
      <c r="A364" s="76">
        <v>30</v>
      </c>
      <c r="B364" s="92" t="s">
        <v>1294</v>
      </c>
      <c r="C364" s="76" t="s">
        <v>320</v>
      </c>
      <c r="D364" s="76" t="s">
        <v>147</v>
      </c>
      <c r="E364" s="76"/>
      <c r="F364" s="76">
        <f t="shared" ref="F364:L364" si="165">SUM(F365:F381)</f>
        <v>51</v>
      </c>
      <c r="G364" s="76">
        <f t="shared" si="165"/>
        <v>17</v>
      </c>
      <c r="H364" s="76">
        <f t="shared" si="165"/>
        <v>17</v>
      </c>
      <c r="I364" s="76">
        <f t="shared" si="165"/>
        <v>17</v>
      </c>
      <c r="J364" s="76">
        <f t="shared" si="165"/>
        <v>17</v>
      </c>
      <c r="K364" s="76">
        <f t="shared" si="165"/>
        <v>17</v>
      </c>
      <c r="L364" s="76">
        <f t="shared" si="165"/>
        <v>17</v>
      </c>
      <c r="M364" s="76">
        <v>2018</v>
      </c>
      <c r="N364" s="76">
        <v>2020</v>
      </c>
      <c r="O364" s="76">
        <f t="shared" ref="O364:W364" si="166">SUM(O365:O381)</f>
        <v>24.072</v>
      </c>
      <c r="P364" s="76">
        <f t="shared" si="166"/>
        <v>2.924</v>
      </c>
      <c r="Q364" s="76">
        <f t="shared" si="166"/>
        <v>10.574</v>
      </c>
      <c r="R364" s="76">
        <f t="shared" si="166"/>
        <v>10.574</v>
      </c>
      <c r="S364" s="76">
        <f t="shared" si="166"/>
        <v>0</v>
      </c>
      <c r="T364" s="76">
        <f t="shared" si="166"/>
        <v>0</v>
      </c>
      <c r="U364" s="76">
        <f t="shared" si="166"/>
        <v>1.122</v>
      </c>
      <c r="V364" s="76">
        <f t="shared" si="166"/>
        <v>22.95</v>
      </c>
      <c r="W364" s="76">
        <f t="shared" si="166"/>
        <v>0</v>
      </c>
      <c r="X364" s="583"/>
      <c r="Y364" s="76"/>
      <c r="Z364" s="76"/>
      <c r="AA364" s="76" t="s">
        <v>1292</v>
      </c>
      <c r="AB364" s="76" t="s">
        <v>1293</v>
      </c>
      <c r="AC364" s="76" t="s">
        <v>271</v>
      </c>
      <c r="AD364" s="136"/>
    </row>
    <row r="365" customHeight="1" spans="1:30">
      <c r="A365" s="76"/>
      <c r="B365" s="212" t="s">
        <v>1265</v>
      </c>
      <c r="C365" s="76" t="s">
        <v>320</v>
      </c>
      <c r="D365" s="76" t="s">
        <v>147</v>
      </c>
      <c r="E365" s="76"/>
      <c r="F365" s="76">
        <f t="shared" ref="F365:F381" si="167">SUM(G365:I365)</f>
        <v>3</v>
      </c>
      <c r="G365" s="486">
        <v>1</v>
      </c>
      <c r="H365" s="486">
        <v>1</v>
      </c>
      <c r="I365" s="486">
        <v>1</v>
      </c>
      <c r="J365" s="486">
        <v>1</v>
      </c>
      <c r="K365" s="486">
        <v>1</v>
      </c>
      <c r="L365" s="486">
        <v>1</v>
      </c>
      <c r="M365" s="76">
        <v>2018</v>
      </c>
      <c r="N365" s="76">
        <v>2020</v>
      </c>
      <c r="O365" s="76">
        <f t="shared" ref="O365:O381" si="168">SUM(P365:R365)</f>
        <v>1.416</v>
      </c>
      <c r="P365" s="76">
        <f t="shared" ref="P365:P381" si="169">0.172*J365</f>
        <v>0.172</v>
      </c>
      <c r="Q365" s="76">
        <f t="shared" ref="Q365:Q381" si="170">0.622*J365</f>
        <v>0.622</v>
      </c>
      <c r="R365" s="76">
        <f t="shared" ref="R365:R381" si="171">0.622*J365</f>
        <v>0.622</v>
      </c>
      <c r="S365" s="76"/>
      <c r="T365" s="76"/>
      <c r="U365" s="76">
        <f t="shared" ref="U365:U381" si="172">0.022*3*J365</f>
        <v>0.066</v>
      </c>
      <c r="V365" s="76">
        <f t="shared" ref="V365:V381" si="173">O365-U365</f>
        <v>1.35</v>
      </c>
      <c r="W365" s="76"/>
      <c r="X365" s="583"/>
      <c r="Y365" s="76"/>
      <c r="Z365" s="76"/>
      <c r="AA365" s="76"/>
      <c r="AB365" s="76"/>
      <c r="AC365" s="76"/>
      <c r="AD365" s="136"/>
    </row>
    <row r="366" customHeight="1" spans="1:30">
      <c r="A366" s="76"/>
      <c r="B366" s="212" t="s">
        <v>1266</v>
      </c>
      <c r="C366" s="76" t="s">
        <v>320</v>
      </c>
      <c r="D366" s="76" t="s">
        <v>147</v>
      </c>
      <c r="E366" s="76"/>
      <c r="F366" s="76">
        <f t="shared" si="167"/>
        <v>3</v>
      </c>
      <c r="G366" s="486">
        <v>1</v>
      </c>
      <c r="H366" s="486">
        <v>1</v>
      </c>
      <c r="I366" s="486">
        <v>1</v>
      </c>
      <c r="J366" s="486">
        <v>1</v>
      </c>
      <c r="K366" s="486">
        <v>1</v>
      </c>
      <c r="L366" s="486">
        <v>1</v>
      </c>
      <c r="M366" s="76">
        <v>2018</v>
      </c>
      <c r="N366" s="76">
        <v>2020</v>
      </c>
      <c r="O366" s="76">
        <f t="shared" si="168"/>
        <v>1.416</v>
      </c>
      <c r="P366" s="76">
        <f t="shared" si="169"/>
        <v>0.172</v>
      </c>
      <c r="Q366" s="76">
        <f t="shared" si="170"/>
        <v>0.622</v>
      </c>
      <c r="R366" s="76">
        <f t="shared" si="171"/>
        <v>0.622</v>
      </c>
      <c r="S366" s="76"/>
      <c r="T366" s="76"/>
      <c r="U366" s="76">
        <f t="shared" si="172"/>
        <v>0.066</v>
      </c>
      <c r="V366" s="76">
        <f t="shared" si="173"/>
        <v>1.35</v>
      </c>
      <c r="W366" s="76"/>
      <c r="X366" s="583"/>
      <c r="Y366" s="76"/>
      <c r="Z366" s="76"/>
      <c r="AA366" s="76"/>
      <c r="AB366" s="76"/>
      <c r="AC366" s="76"/>
      <c r="AD366" s="136"/>
    </row>
    <row r="367" customHeight="1" spans="1:30">
      <c r="A367" s="76"/>
      <c r="B367" s="212" t="s">
        <v>1267</v>
      </c>
      <c r="C367" s="76" t="s">
        <v>320</v>
      </c>
      <c r="D367" s="76" t="s">
        <v>147</v>
      </c>
      <c r="E367" s="76"/>
      <c r="F367" s="76">
        <f t="shared" si="167"/>
        <v>3</v>
      </c>
      <c r="G367" s="486">
        <v>1</v>
      </c>
      <c r="H367" s="486">
        <v>1</v>
      </c>
      <c r="I367" s="486">
        <v>1</v>
      </c>
      <c r="J367" s="486">
        <v>1</v>
      </c>
      <c r="K367" s="486">
        <v>1</v>
      </c>
      <c r="L367" s="486">
        <v>1</v>
      </c>
      <c r="M367" s="76">
        <v>2018</v>
      </c>
      <c r="N367" s="76">
        <v>2020</v>
      </c>
      <c r="O367" s="76">
        <f t="shared" si="168"/>
        <v>1.416</v>
      </c>
      <c r="P367" s="76">
        <f t="shared" si="169"/>
        <v>0.172</v>
      </c>
      <c r="Q367" s="76">
        <f t="shared" si="170"/>
        <v>0.622</v>
      </c>
      <c r="R367" s="76">
        <f t="shared" si="171"/>
        <v>0.622</v>
      </c>
      <c r="S367" s="76"/>
      <c r="T367" s="76"/>
      <c r="U367" s="76">
        <f t="shared" si="172"/>
        <v>0.066</v>
      </c>
      <c r="V367" s="76">
        <f t="shared" si="173"/>
        <v>1.35</v>
      </c>
      <c r="W367" s="76"/>
      <c r="X367" s="583"/>
      <c r="Y367" s="76"/>
      <c r="Z367" s="76"/>
      <c r="AA367" s="76"/>
      <c r="AB367" s="76"/>
      <c r="AC367" s="76"/>
      <c r="AD367" s="136"/>
    </row>
    <row r="368" customHeight="1" spans="1:30">
      <c r="A368" s="76"/>
      <c r="B368" s="212" t="s">
        <v>1268</v>
      </c>
      <c r="C368" s="76" t="s">
        <v>320</v>
      </c>
      <c r="D368" s="76" t="s">
        <v>147</v>
      </c>
      <c r="E368" s="76"/>
      <c r="F368" s="76">
        <f t="shared" si="167"/>
        <v>3</v>
      </c>
      <c r="G368" s="486">
        <v>1</v>
      </c>
      <c r="H368" s="486">
        <v>1</v>
      </c>
      <c r="I368" s="486">
        <v>1</v>
      </c>
      <c r="J368" s="486">
        <v>1</v>
      </c>
      <c r="K368" s="486">
        <v>1</v>
      </c>
      <c r="L368" s="486">
        <v>1</v>
      </c>
      <c r="M368" s="76">
        <v>2018</v>
      </c>
      <c r="N368" s="76">
        <v>2020</v>
      </c>
      <c r="O368" s="76">
        <f t="shared" si="168"/>
        <v>1.416</v>
      </c>
      <c r="P368" s="76">
        <f t="shared" si="169"/>
        <v>0.172</v>
      </c>
      <c r="Q368" s="76">
        <f t="shared" si="170"/>
        <v>0.622</v>
      </c>
      <c r="R368" s="76">
        <f t="shared" si="171"/>
        <v>0.622</v>
      </c>
      <c r="S368" s="76"/>
      <c r="T368" s="76"/>
      <c r="U368" s="76">
        <f t="shared" si="172"/>
        <v>0.066</v>
      </c>
      <c r="V368" s="76">
        <f t="shared" si="173"/>
        <v>1.35</v>
      </c>
      <c r="W368" s="76"/>
      <c r="X368" s="583"/>
      <c r="Y368" s="76"/>
      <c r="Z368" s="76"/>
      <c r="AA368" s="76"/>
      <c r="AB368" s="76"/>
      <c r="AC368" s="76"/>
      <c r="AD368" s="136"/>
    </row>
    <row r="369" customHeight="1" spans="1:30">
      <c r="A369" s="76"/>
      <c r="B369" s="212" t="s">
        <v>1275</v>
      </c>
      <c r="C369" s="76" t="s">
        <v>320</v>
      </c>
      <c r="D369" s="76" t="s">
        <v>147</v>
      </c>
      <c r="E369" s="76"/>
      <c r="F369" s="76">
        <f t="shared" si="167"/>
        <v>3</v>
      </c>
      <c r="G369" s="486">
        <v>1</v>
      </c>
      <c r="H369" s="486">
        <v>1</v>
      </c>
      <c r="I369" s="486">
        <v>1</v>
      </c>
      <c r="J369" s="486">
        <v>1</v>
      </c>
      <c r="K369" s="486">
        <v>1</v>
      </c>
      <c r="L369" s="486">
        <v>1</v>
      </c>
      <c r="M369" s="76">
        <v>2018</v>
      </c>
      <c r="N369" s="76">
        <v>2020</v>
      </c>
      <c r="O369" s="76">
        <f t="shared" si="168"/>
        <v>1.416</v>
      </c>
      <c r="P369" s="76">
        <f t="shared" si="169"/>
        <v>0.172</v>
      </c>
      <c r="Q369" s="76">
        <f t="shared" si="170"/>
        <v>0.622</v>
      </c>
      <c r="R369" s="76">
        <f t="shared" si="171"/>
        <v>0.622</v>
      </c>
      <c r="S369" s="76"/>
      <c r="T369" s="76"/>
      <c r="U369" s="76">
        <f t="shared" si="172"/>
        <v>0.066</v>
      </c>
      <c r="V369" s="76">
        <f t="shared" si="173"/>
        <v>1.35</v>
      </c>
      <c r="W369" s="76"/>
      <c r="X369" s="583"/>
      <c r="Y369" s="76"/>
      <c r="Z369" s="76"/>
      <c r="AA369" s="76"/>
      <c r="AB369" s="76"/>
      <c r="AC369" s="76"/>
      <c r="AD369" s="136"/>
    </row>
    <row r="370" customHeight="1" spans="1:30">
      <c r="A370" s="76"/>
      <c r="B370" s="212" t="s">
        <v>1276</v>
      </c>
      <c r="C370" s="76" t="s">
        <v>320</v>
      </c>
      <c r="D370" s="76" t="s">
        <v>147</v>
      </c>
      <c r="E370" s="76"/>
      <c r="F370" s="76">
        <f t="shared" si="167"/>
        <v>3</v>
      </c>
      <c r="G370" s="486">
        <v>1</v>
      </c>
      <c r="H370" s="486">
        <v>1</v>
      </c>
      <c r="I370" s="486">
        <v>1</v>
      </c>
      <c r="J370" s="486">
        <v>1</v>
      </c>
      <c r="K370" s="486">
        <v>1</v>
      </c>
      <c r="L370" s="486">
        <v>1</v>
      </c>
      <c r="M370" s="76">
        <v>2018</v>
      </c>
      <c r="N370" s="76">
        <v>2020</v>
      </c>
      <c r="O370" s="76">
        <f t="shared" si="168"/>
        <v>1.416</v>
      </c>
      <c r="P370" s="76">
        <f t="shared" si="169"/>
        <v>0.172</v>
      </c>
      <c r="Q370" s="76">
        <f t="shared" si="170"/>
        <v>0.622</v>
      </c>
      <c r="R370" s="76">
        <f t="shared" si="171"/>
        <v>0.622</v>
      </c>
      <c r="S370" s="76"/>
      <c r="T370" s="76"/>
      <c r="U370" s="76">
        <f t="shared" si="172"/>
        <v>0.066</v>
      </c>
      <c r="V370" s="76">
        <f t="shared" si="173"/>
        <v>1.35</v>
      </c>
      <c r="W370" s="76"/>
      <c r="X370" s="583"/>
      <c r="Y370" s="76"/>
      <c r="Z370" s="76"/>
      <c r="AA370" s="76"/>
      <c r="AB370" s="76"/>
      <c r="AC370" s="76"/>
      <c r="AD370" s="136"/>
    </row>
    <row r="371" customHeight="1" spans="1:30">
      <c r="A371" s="76"/>
      <c r="B371" s="212" t="s">
        <v>1277</v>
      </c>
      <c r="C371" s="76" t="s">
        <v>320</v>
      </c>
      <c r="D371" s="76" t="s">
        <v>147</v>
      </c>
      <c r="E371" s="76"/>
      <c r="F371" s="76">
        <f t="shared" si="167"/>
        <v>3</v>
      </c>
      <c r="G371" s="486">
        <v>1</v>
      </c>
      <c r="H371" s="486">
        <v>1</v>
      </c>
      <c r="I371" s="486">
        <v>1</v>
      </c>
      <c r="J371" s="486">
        <v>1</v>
      </c>
      <c r="K371" s="486">
        <v>1</v>
      </c>
      <c r="L371" s="486">
        <v>1</v>
      </c>
      <c r="M371" s="76">
        <v>2018</v>
      </c>
      <c r="N371" s="76">
        <v>2020</v>
      </c>
      <c r="O371" s="76">
        <f t="shared" si="168"/>
        <v>1.416</v>
      </c>
      <c r="P371" s="76">
        <f t="shared" si="169"/>
        <v>0.172</v>
      </c>
      <c r="Q371" s="76">
        <f t="shared" si="170"/>
        <v>0.622</v>
      </c>
      <c r="R371" s="76">
        <f t="shared" si="171"/>
        <v>0.622</v>
      </c>
      <c r="S371" s="76"/>
      <c r="T371" s="76"/>
      <c r="U371" s="76">
        <f t="shared" si="172"/>
        <v>0.066</v>
      </c>
      <c r="V371" s="76">
        <f t="shared" si="173"/>
        <v>1.35</v>
      </c>
      <c r="W371" s="76"/>
      <c r="X371" s="583"/>
      <c r="Y371" s="76"/>
      <c r="Z371" s="76"/>
      <c r="AA371" s="76"/>
      <c r="AB371" s="76"/>
      <c r="AC371" s="76"/>
      <c r="AD371" s="136"/>
    </row>
    <row r="372" customHeight="1" spans="1:30">
      <c r="A372" s="76"/>
      <c r="B372" s="212" t="s">
        <v>1278</v>
      </c>
      <c r="C372" s="76" t="s">
        <v>320</v>
      </c>
      <c r="D372" s="76" t="s">
        <v>147</v>
      </c>
      <c r="E372" s="76"/>
      <c r="F372" s="76">
        <f t="shared" si="167"/>
        <v>3</v>
      </c>
      <c r="G372" s="486">
        <v>1</v>
      </c>
      <c r="H372" s="486">
        <v>1</v>
      </c>
      <c r="I372" s="486">
        <v>1</v>
      </c>
      <c r="J372" s="486">
        <v>1</v>
      </c>
      <c r="K372" s="486">
        <v>1</v>
      </c>
      <c r="L372" s="486">
        <v>1</v>
      </c>
      <c r="M372" s="76">
        <v>2018</v>
      </c>
      <c r="N372" s="76">
        <v>2020</v>
      </c>
      <c r="O372" s="76">
        <f t="shared" si="168"/>
        <v>1.416</v>
      </c>
      <c r="P372" s="76">
        <f t="shared" si="169"/>
        <v>0.172</v>
      </c>
      <c r="Q372" s="76">
        <f t="shared" si="170"/>
        <v>0.622</v>
      </c>
      <c r="R372" s="76">
        <f t="shared" si="171"/>
        <v>0.622</v>
      </c>
      <c r="S372" s="76"/>
      <c r="T372" s="76"/>
      <c r="U372" s="76">
        <f t="shared" si="172"/>
        <v>0.066</v>
      </c>
      <c r="V372" s="76">
        <f t="shared" si="173"/>
        <v>1.35</v>
      </c>
      <c r="W372" s="76"/>
      <c r="X372" s="583"/>
      <c r="Y372" s="76"/>
      <c r="Z372" s="76"/>
      <c r="AA372" s="76"/>
      <c r="AB372" s="76"/>
      <c r="AC372" s="76"/>
      <c r="AD372" s="136"/>
    </row>
    <row r="373" customHeight="1" spans="1:30">
      <c r="A373" s="76"/>
      <c r="B373" s="212" t="s">
        <v>1279</v>
      </c>
      <c r="C373" s="76" t="s">
        <v>320</v>
      </c>
      <c r="D373" s="76" t="s">
        <v>147</v>
      </c>
      <c r="E373" s="76"/>
      <c r="F373" s="76">
        <f t="shared" si="167"/>
        <v>3</v>
      </c>
      <c r="G373" s="486">
        <v>1</v>
      </c>
      <c r="H373" s="486">
        <v>1</v>
      </c>
      <c r="I373" s="486">
        <v>1</v>
      </c>
      <c r="J373" s="486">
        <v>1</v>
      </c>
      <c r="K373" s="486">
        <v>1</v>
      </c>
      <c r="L373" s="486">
        <v>1</v>
      </c>
      <c r="M373" s="76">
        <v>2018</v>
      </c>
      <c r="N373" s="76">
        <v>2020</v>
      </c>
      <c r="O373" s="76">
        <f t="shared" si="168"/>
        <v>1.416</v>
      </c>
      <c r="P373" s="76">
        <f t="shared" si="169"/>
        <v>0.172</v>
      </c>
      <c r="Q373" s="76">
        <f t="shared" si="170"/>
        <v>0.622</v>
      </c>
      <c r="R373" s="76">
        <f t="shared" si="171"/>
        <v>0.622</v>
      </c>
      <c r="S373" s="76"/>
      <c r="T373" s="76"/>
      <c r="U373" s="76">
        <f t="shared" si="172"/>
        <v>0.066</v>
      </c>
      <c r="V373" s="76">
        <f t="shared" si="173"/>
        <v>1.35</v>
      </c>
      <c r="W373" s="76"/>
      <c r="X373" s="583"/>
      <c r="Y373" s="76"/>
      <c r="Z373" s="76"/>
      <c r="AA373" s="76"/>
      <c r="AB373" s="76"/>
      <c r="AC373" s="76"/>
      <c r="AD373" s="136"/>
    </row>
    <row r="374" customHeight="1" spans="1:30">
      <c r="A374" s="76"/>
      <c r="B374" s="212" t="s">
        <v>1280</v>
      </c>
      <c r="C374" s="76" t="s">
        <v>320</v>
      </c>
      <c r="D374" s="76" t="s">
        <v>147</v>
      </c>
      <c r="E374" s="76"/>
      <c r="F374" s="76">
        <f t="shared" si="167"/>
        <v>3</v>
      </c>
      <c r="G374" s="486">
        <v>1</v>
      </c>
      <c r="H374" s="486">
        <v>1</v>
      </c>
      <c r="I374" s="486">
        <v>1</v>
      </c>
      <c r="J374" s="486">
        <v>1</v>
      </c>
      <c r="K374" s="486">
        <v>1</v>
      </c>
      <c r="L374" s="486">
        <v>1</v>
      </c>
      <c r="M374" s="76">
        <v>2018</v>
      </c>
      <c r="N374" s="76">
        <v>2020</v>
      </c>
      <c r="O374" s="76">
        <f t="shared" si="168"/>
        <v>1.416</v>
      </c>
      <c r="P374" s="76">
        <f t="shared" si="169"/>
        <v>0.172</v>
      </c>
      <c r="Q374" s="76">
        <f t="shared" si="170"/>
        <v>0.622</v>
      </c>
      <c r="R374" s="76">
        <f t="shared" si="171"/>
        <v>0.622</v>
      </c>
      <c r="S374" s="76"/>
      <c r="T374" s="76"/>
      <c r="U374" s="76">
        <f t="shared" si="172"/>
        <v>0.066</v>
      </c>
      <c r="V374" s="76">
        <f t="shared" si="173"/>
        <v>1.35</v>
      </c>
      <c r="W374" s="76"/>
      <c r="X374" s="583"/>
      <c r="Y374" s="76"/>
      <c r="Z374" s="76"/>
      <c r="AA374" s="76"/>
      <c r="AB374" s="76"/>
      <c r="AC374" s="76"/>
      <c r="AD374" s="136"/>
    </row>
    <row r="375" customHeight="1" spans="1:30">
      <c r="A375" s="76"/>
      <c r="B375" s="212" t="s">
        <v>1269</v>
      </c>
      <c r="C375" s="76" t="s">
        <v>320</v>
      </c>
      <c r="D375" s="76" t="s">
        <v>147</v>
      </c>
      <c r="E375" s="76"/>
      <c r="F375" s="76">
        <f t="shared" si="167"/>
        <v>3</v>
      </c>
      <c r="G375" s="486">
        <v>1</v>
      </c>
      <c r="H375" s="486">
        <v>1</v>
      </c>
      <c r="I375" s="486">
        <v>1</v>
      </c>
      <c r="J375" s="486">
        <v>1</v>
      </c>
      <c r="K375" s="486">
        <v>1</v>
      </c>
      <c r="L375" s="486">
        <v>1</v>
      </c>
      <c r="M375" s="76">
        <v>2018</v>
      </c>
      <c r="N375" s="76">
        <v>2020</v>
      </c>
      <c r="O375" s="76">
        <f t="shared" si="168"/>
        <v>1.416</v>
      </c>
      <c r="P375" s="76">
        <f t="shared" si="169"/>
        <v>0.172</v>
      </c>
      <c r="Q375" s="76">
        <f t="shared" si="170"/>
        <v>0.622</v>
      </c>
      <c r="R375" s="76">
        <f t="shared" si="171"/>
        <v>0.622</v>
      </c>
      <c r="S375" s="76"/>
      <c r="T375" s="76"/>
      <c r="U375" s="76">
        <f t="shared" si="172"/>
        <v>0.066</v>
      </c>
      <c r="V375" s="76">
        <f t="shared" si="173"/>
        <v>1.35</v>
      </c>
      <c r="W375" s="76"/>
      <c r="X375" s="583"/>
      <c r="Y375" s="76"/>
      <c r="Z375" s="76"/>
      <c r="AA375" s="76"/>
      <c r="AB375" s="76"/>
      <c r="AC375" s="76"/>
      <c r="AD375" s="136"/>
    </row>
    <row r="376" customHeight="1" spans="1:30">
      <c r="A376" s="76"/>
      <c r="B376" s="212" t="s">
        <v>1270</v>
      </c>
      <c r="C376" s="76" t="s">
        <v>320</v>
      </c>
      <c r="D376" s="76" t="s">
        <v>147</v>
      </c>
      <c r="E376" s="76"/>
      <c r="F376" s="76">
        <f t="shared" si="167"/>
        <v>3</v>
      </c>
      <c r="G376" s="486">
        <v>1</v>
      </c>
      <c r="H376" s="486">
        <v>1</v>
      </c>
      <c r="I376" s="486">
        <v>1</v>
      </c>
      <c r="J376" s="486">
        <v>1</v>
      </c>
      <c r="K376" s="486">
        <v>1</v>
      </c>
      <c r="L376" s="486">
        <v>1</v>
      </c>
      <c r="M376" s="76">
        <v>2018</v>
      </c>
      <c r="N376" s="76">
        <v>2020</v>
      </c>
      <c r="O376" s="76">
        <f t="shared" si="168"/>
        <v>1.416</v>
      </c>
      <c r="P376" s="76">
        <f t="shared" si="169"/>
        <v>0.172</v>
      </c>
      <c r="Q376" s="76">
        <f t="shared" si="170"/>
        <v>0.622</v>
      </c>
      <c r="R376" s="76">
        <f t="shared" si="171"/>
        <v>0.622</v>
      </c>
      <c r="S376" s="76"/>
      <c r="T376" s="76"/>
      <c r="U376" s="76">
        <f t="shared" si="172"/>
        <v>0.066</v>
      </c>
      <c r="V376" s="76">
        <f t="shared" si="173"/>
        <v>1.35</v>
      </c>
      <c r="W376" s="76"/>
      <c r="X376" s="583"/>
      <c r="Y376" s="76"/>
      <c r="Z376" s="76"/>
      <c r="AA376" s="76"/>
      <c r="AB376" s="76"/>
      <c r="AC376" s="76"/>
      <c r="AD376" s="136"/>
    </row>
    <row r="377" customHeight="1" spans="1:30">
      <c r="A377" s="76"/>
      <c r="B377" s="212" t="s">
        <v>1281</v>
      </c>
      <c r="C377" s="76" t="s">
        <v>320</v>
      </c>
      <c r="D377" s="76" t="s">
        <v>147</v>
      </c>
      <c r="E377" s="76"/>
      <c r="F377" s="76">
        <f t="shared" si="167"/>
        <v>3</v>
      </c>
      <c r="G377" s="486">
        <v>1</v>
      </c>
      <c r="H377" s="486">
        <v>1</v>
      </c>
      <c r="I377" s="486">
        <v>1</v>
      </c>
      <c r="J377" s="486">
        <v>1</v>
      </c>
      <c r="K377" s="486">
        <v>1</v>
      </c>
      <c r="L377" s="486">
        <v>1</v>
      </c>
      <c r="M377" s="76">
        <v>2018</v>
      </c>
      <c r="N377" s="76">
        <v>2020</v>
      </c>
      <c r="O377" s="76">
        <f t="shared" si="168"/>
        <v>1.416</v>
      </c>
      <c r="P377" s="76">
        <f t="shared" si="169"/>
        <v>0.172</v>
      </c>
      <c r="Q377" s="76">
        <f t="shared" si="170"/>
        <v>0.622</v>
      </c>
      <c r="R377" s="76">
        <f t="shared" si="171"/>
        <v>0.622</v>
      </c>
      <c r="S377" s="76"/>
      <c r="T377" s="76"/>
      <c r="U377" s="76">
        <f t="shared" si="172"/>
        <v>0.066</v>
      </c>
      <c r="V377" s="76">
        <f t="shared" si="173"/>
        <v>1.35</v>
      </c>
      <c r="W377" s="76"/>
      <c r="X377" s="583"/>
      <c r="Y377" s="76"/>
      <c r="Z377" s="76"/>
      <c r="AA377" s="76"/>
      <c r="AB377" s="76"/>
      <c r="AC377" s="76"/>
      <c r="AD377" s="136"/>
    </row>
    <row r="378" customHeight="1" spans="1:30">
      <c r="A378" s="76"/>
      <c r="B378" s="212" t="s">
        <v>1271</v>
      </c>
      <c r="C378" s="76" t="s">
        <v>320</v>
      </c>
      <c r="D378" s="76" t="s">
        <v>147</v>
      </c>
      <c r="E378" s="76"/>
      <c r="F378" s="76">
        <f t="shared" si="167"/>
        <v>3</v>
      </c>
      <c r="G378" s="486">
        <v>1</v>
      </c>
      <c r="H378" s="486">
        <v>1</v>
      </c>
      <c r="I378" s="486">
        <v>1</v>
      </c>
      <c r="J378" s="486">
        <v>1</v>
      </c>
      <c r="K378" s="486">
        <v>1</v>
      </c>
      <c r="L378" s="486">
        <v>1</v>
      </c>
      <c r="M378" s="76">
        <v>2018</v>
      </c>
      <c r="N378" s="76">
        <v>2020</v>
      </c>
      <c r="O378" s="76">
        <f t="shared" si="168"/>
        <v>1.416</v>
      </c>
      <c r="P378" s="76">
        <f t="shared" si="169"/>
        <v>0.172</v>
      </c>
      <c r="Q378" s="76">
        <f t="shared" si="170"/>
        <v>0.622</v>
      </c>
      <c r="R378" s="76">
        <f t="shared" si="171"/>
        <v>0.622</v>
      </c>
      <c r="S378" s="76"/>
      <c r="T378" s="76"/>
      <c r="U378" s="76">
        <f t="shared" si="172"/>
        <v>0.066</v>
      </c>
      <c r="V378" s="76">
        <f t="shared" si="173"/>
        <v>1.35</v>
      </c>
      <c r="W378" s="76"/>
      <c r="X378" s="583"/>
      <c r="Y378" s="76"/>
      <c r="Z378" s="76"/>
      <c r="AA378" s="76"/>
      <c r="AB378" s="76"/>
      <c r="AC378" s="76"/>
      <c r="AD378" s="136"/>
    </row>
    <row r="379" customHeight="1" spans="1:30">
      <c r="A379" s="76"/>
      <c r="B379" s="212" t="s">
        <v>1282</v>
      </c>
      <c r="C379" s="76" t="s">
        <v>320</v>
      </c>
      <c r="D379" s="76" t="s">
        <v>147</v>
      </c>
      <c r="E379" s="76"/>
      <c r="F379" s="76">
        <f t="shared" si="167"/>
        <v>3</v>
      </c>
      <c r="G379" s="486">
        <v>1</v>
      </c>
      <c r="H379" s="486">
        <v>1</v>
      </c>
      <c r="I379" s="486">
        <v>1</v>
      </c>
      <c r="J379" s="486">
        <v>1</v>
      </c>
      <c r="K379" s="486">
        <v>1</v>
      </c>
      <c r="L379" s="486">
        <v>1</v>
      </c>
      <c r="M379" s="76">
        <v>2018</v>
      </c>
      <c r="N379" s="76">
        <v>2020</v>
      </c>
      <c r="O379" s="76">
        <f t="shared" si="168"/>
        <v>1.416</v>
      </c>
      <c r="P379" s="76">
        <f t="shared" si="169"/>
        <v>0.172</v>
      </c>
      <c r="Q379" s="76">
        <f t="shared" si="170"/>
        <v>0.622</v>
      </c>
      <c r="R379" s="76">
        <f t="shared" si="171"/>
        <v>0.622</v>
      </c>
      <c r="S379" s="76"/>
      <c r="T379" s="76"/>
      <c r="U379" s="76">
        <f t="shared" si="172"/>
        <v>0.066</v>
      </c>
      <c r="V379" s="76">
        <f t="shared" si="173"/>
        <v>1.35</v>
      </c>
      <c r="W379" s="76"/>
      <c r="X379" s="583"/>
      <c r="Y379" s="76"/>
      <c r="Z379" s="76"/>
      <c r="AA379" s="76"/>
      <c r="AB379" s="76"/>
      <c r="AC379" s="76"/>
      <c r="AD379" s="136"/>
    </row>
    <row r="380" customHeight="1" spans="1:30">
      <c r="A380" s="76"/>
      <c r="B380" s="212" t="s">
        <v>1283</v>
      </c>
      <c r="C380" s="76" t="s">
        <v>320</v>
      </c>
      <c r="D380" s="76" t="s">
        <v>147</v>
      </c>
      <c r="E380" s="76"/>
      <c r="F380" s="76">
        <f t="shared" si="167"/>
        <v>3</v>
      </c>
      <c r="G380" s="486">
        <v>1</v>
      </c>
      <c r="H380" s="486">
        <v>1</v>
      </c>
      <c r="I380" s="486">
        <v>1</v>
      </c>
      <c r="J380" s="486">
        <v>1</v>
      </c>
      <c r="K380" s="486">
        <v>1</v>
      </c>
      <c r="L380" s="486">
        <v>1</v>
      </c>
      <c r="M380" s="76">
        <v>2018</v>
      </c>
      <c r="N380" s="76">
        <v>2020</v>
      </c>
      <c r="O380" s="76">
        <f t="shared" si="168"/>
        <v>1.416</v>
      </c>
      <c r="P380" s="76">
        <f t="shared" si="169"/>
        <v>0.172</v>
      </c>
      <c r="Q380" s="76">
        <f t="shared" si="170"/>
        <v>0.622</v>
      </c>
      <c r="R380" s="76">
        <f t="shared" si="171"/>
        <v>0.622</v>
      </c>
      <c r="S380" s="76"/>
      <c r="T380" s="76"/>
      <c r="U380" s="76">
        <f t="shared" si="172"/>
        <v>0.066</v>
      </c>
      <c r="V380" s="76">
        <f t="shared" si="173"/>
        <v>1.35</v>
      </c>
      <c r="W380" s="76"/>
      <c r="X380" s="583"/>
      <c r="Y380" s="76"/>
      <c r="Z380" s="76"/>
      <c r="AA380" s="76"/>
      <c r="AB380" s="76"/>
      <c r="AC380" s="76"/>
      <c r="AD380" s="136"/>
    </row>
    <row r="381" customHeight="1" spans="1:30">
      <c r="A381" s="76"/>
      <c r="B381" s="212" t="s">
        <v>1284</v>
      </c>
      <c r="C381" s="76" t="s">
        <v>320</v>
      </c>
      <c r="D381" s="76" t="s">
        <v>147</v>
      </c>
      <c r="E381" s="76"/>
      <c r="F381" s="76">
        <f t="shared" si="167"/>
        <v>3</v>
      </c>
      <c r="G381" s="486">
        <v>1</v>
      </c>
      <c r="H381" s="486">
        <v>1</v>
      </c>
      <c r="I381" s="486">
        <v>1</v>
      </c>
      <c r="J381" s="486">
        <v>1</v>
      </c>
      <c r="K381" s="486">
        <v>1</v>
      </c>
      <c r="L381" s="486">
        <v>1</v>
      </c>
      <c r="M381" s="76">
        <v>2018</v>
      </c>
      <c r="N381" s="76">
        <v>2020</v>
      </c>
      <c r="O381" s="76">
        <f t="shared" si="168"/>
        <v>1.416</v>
      </c>
      <c r="P381" s="76">
        <f t="shared" si="169"/>
        <v>0.172</v>
      </c>
      <c r="Q381" s="76">
        <f t="shared" si="170"/>
        <v>0.622</v>
      </c>
      <c r="R381" s="76">
        <f t="shared" si="171"/>
        <v>0.622</v>
      </c>
      <c r="S381" s="76"/>
      <c r="T381" s="76"/>
      <c r="U381" s="76">
        <f t="shared" si="172"/>
        <v>0.066</v>
      </c>
      <c r="V381" s="76">
        <f t="shared" si="173"/>
        <v>1.35</v>
      </c>
      <c r="W381" s="76"/>
      <c r="X381" s="583"/>
      <c r="Y381" s="76"/>
      <c r="Z381" s="76"/>
      <c r="AA381" s="76"/>
      <c r="AB381" s="76"/>
      <c r="AC381" s="76"/>
      <c r="AD381" s="136"/>
    </row>
    <row r="382" customHeight="1" spans="1:30">
      <c r="A382" s="76">
        <v>31</v>
      </c>
      <c r="B382" s="92" t="s">
        <v>1295</v>
      </c>
      <c r="C382" s="76" t="s">
        <v>320</v>
      </c>
      <c r="D382" s="76" t="s">
        <v>147</v>
      </c>
      <c r="E382" s="76"/>
      <c r="F382" s="76">
        <f t="shared" ref="F382:L382" si="174">SUM(F383:F399)</f>
        <v>129</v>
      </c>
      <c r="G382" s="76">
        <f t="shared" si="174"/>
        <v>43</v>
      </c>
      <c r="H382" s="76">
        <f t="shared" si="174"/>
        <v>43</v>
      </c>
      <c r="I382" s="76">
        <f t="shared" si="174"/>
        <v>43</v>
      </c>
      <c r="J382" s="76">
        <f t="shared" si="174"/>
        <v>43</v>
      </c>
      <c r="K382" s="76">
        <f t="shared" si="174"/>
        <v>43</v>
      </c>
      <c r="L382" s="76">
        <f t="shared" si="174"/>
        <v>43</v>
      </c>
      <c r="M382" s="76">
        <v>2018</v>
      </c>
      <c r="N382" s="76">
        <v>2020</v>
      </c>
      <c r="O382" s="76">
        <f t="shared" ref="O382:W382" si="175">SUM(O383:O399)</f>
        <v>60.888</v>
      </c>
      <c r="P382" s="76">
        <f t="shared" si="175"/>
        <v>7.396</v>
      </c>
      <c r="Q382" s="76">
        <f t="shared" si="175"/>
        <v>26.746</v>
      </c>
      <c r="R382" s="76">
        <f t="shared" si="175"/>
        <v>26.746</v>
      </c>
      <c r="S382" s="76">
        <f t="shared" si="175"/>
        <v>0</v>
      </c>
      <c r="T382" s="76">
        <f t="shared" si="175"/>
        <v>0</v>
      </c>
      <c r="U382" s="76">
        <f t="shared" si="175"/>
        <v>2.838</v>
      </c>
      <c r="V382" s="76">
        <f t="shared" si="175"/>
        <v>58.05</v>
      </c>
      <c r="W382" s="76">
        <f t="shared" si="175"/>
        <v>0</v>
      </c>
      <c r="X382" s="583"/>
      <c r="Y382" s="76"/>
      <c r="Z382" s="76"/>
      <c r="AA382" s="76" t="s">
        <v>1292</v>
      </c>
      <c r="AB382" s="76" t="s">
        <v>1293</v>
      </c>
      <c r="AC382" s="76" t="s">
        <v>273</v>
      </c>
      <c r="AD382" s="136"/>
    </row>
    <row r="383" customHeight="1" spans="1:30">
      <c r="A383" s="76"/>
      <c r="B383" s="212" t="s">
        <v>1265</v>
      </c>
      <c r="C383" s="76"/>
      <c r="D383" s="76"/>
      <c r="E383" s="76"/>
      <c r="F383" s="76">
        <f t="shared" ref="F383:F399" si="176">SUM(G383:I383)</f>
        <v>18</v>
      </c>
      <c r="G383" s="486">
        <v>6</v>
      </c>
      <c r="H383" s="486">
        <v>6</v>
      </c>
      <c r="I383" s="486">
        <v>6</v>
      </c>
      <c r="J383" s="486">
        <v>6</v>
      </c>
      <c r="K383" s="486">
        <v>6</v>
      </c>
      <c r="L383" s="486">
        <v>6</v>
      </c>
      <c r="M383" s="76">
        <v>2018</v>
      </c>
      <c r="N383" s="76">
        <v>2020</v>
      </c>
      <c r="O383" s="76">
        <f t="shared" ref="O383:O399" si="177">SUM(P383:R383)</f>
        <v>8.496</v>
      </c>
      <c r="P383" s="76">
        <f t="shared" ref="P383:P399" si="178">0.172*J383</f>
        <v>1.032</v>
      </c>
      <c r="Q383" s="76">
        <f t="shared" ref="Q383:Q399" si="179">0.622*J383</f>
        <v>3.732</v>
      </c>
      <c r="R383" s="76">
        <f t="shared" ref="R383:R399" si="180">0.622*J383</f>
        <v>3.732</v>
      </c>
      <c r="S383" s="76"/>
      <c r="T383" s="76"/>
      <c r="U383" s="76">
        <f t="shared" ref="U383:U399" si="181">0.022*3*J383</f>
        <v>0.396</v>
      </c>
      <c r="V383" s="76">
        <f t="shared" ref="V383:V399" si="182">O383-U383</f>
        <v>8.1</v>
      </c>
      <c r="W383" s="76"/>
      <c r="X383" s="583"/>
      <c r="Y383" s="76"/>
      <c r="Z383" s="76"/>
      <c r="AA383" s="76"/>
      <c r="AB383" s="76"/>
      <c r="AC383" s="76"/>
      <c r="AD383" s="136"/>
    </row>
    <row r="384" customHeight="1" spans="1:30">
      <c r="A384" s="76"/>
      <c r="B384" s="212" t="s">
        <v>1266</v>
      </c>
      <c r="C384" s="76"/>
      <c r="D384" s="76"/>
      <c r="E384" s="76"/>
      <c r="F384" s="76">
        <f t="shared" si="176"/>
        <v>3</v>
      </c>
      <c r="G384" s="486">
        <v>1</v>
      </c>
      <c r="H384" s="486">
        <v>1</v>
      </c>
      <c r="I384" s="486">
        <v>1</v>
      </c>
      <c r="J384" s="486">
        <v>1</v>
      </c>
      <c r="K384" s="486">
        <v>1</v>
      </c>
      <c r="L384" s="486">
        <v>1</v>
      </c>
      <c r="M384" s="76">
        <v>2018</v>
      </c>
      <c r="N384" s="76">
        <v>2020</v>
      </c>
      <c r="O384" s="76">
        <f t="shared" si="177"/>
        <v>1.416</v>
      </c>
      <c r="P384" s="76">
        <f t="shared" si="178"/>
        <v>0.172</v>
      </c>
      <c r="Q384" s="76">
        <f t="shared" si="179"/>
        <v>0.622</v>
      </c>
      <c r="R384" s="76">
        <f t="shared" si="180"/>
        <v>0.622</v>
      </c>
      <c r="S384" s="76"/>
      <c r="T384" s="76"/>
      <c r="U384" s="76">
        <f t="shared" si="181"/>
        <v>0.066</v>
      </c>
      <c r="V384" s="76">
        <f t="shared" si="182"/>
        <v>1.35</v>
      </c>
      <c r="W384" s="76"/>
      <c r="X384" s="583"/>
      <c r="Y384" s="76"/>
      <c r="Z384" s="76"/>
      <c r="AA384" s="76"/>
      <c r="AB384" s="76"/>
      <c r="AC384" s="76"/>
      <c r="AD384" s="136"/>
    </row>
    <row r="385" customHeight="1" spans="1:30">
      <c r="A385" s="76"/>
      <c r="B385" s="212" t="s">
        <v>1267</v>
      </c>
      <c r="C385" s="76"/>
      <c r="D385" s="76"/>
      <c r="E385" s="76"/>
      <c r="F385" s="76">
        <f t="shared" si="176"/>
        <v>3</v>
      </c>
      <c r="G385" s="486">
        <v>1</v>
      </c>
      <c r="H385" s="486">
        <v>1</v>
      </c>
      <c r="I385" s="486">
        <v>1</v>
      </c>
      <c r="J385" s="486">
        <v>1</v>
      </c>
      <c r="K385" s="486">
        <v>1</v>
      </c>
      <c r="L385" s="486">
        <v>1</v>
      </c>
      <c r="M385" s="76">
        <v>2018</v>
      </c>
      <c r="N385" s="76">
        <v>2020</v>
      </c>
      <c r="O385" s="76">
        <f t="shared" si="177"/>
        <v>1.416</v>
      </c>
      <c r="P385" s="76">
        <f t="shared" si="178"/>
        <v>0.172</v>
      </c>
      <c r="Q385" s="76">
        <f t="shared" si="179"/>
        <v>0.622</v>
      </c>
      <c r="R385" s="76">
        <f t="shared" si="180"/>
        <v>0.622</v>
      </c>
      <c r="S385" s="76"/>
      <c r="T385" s="76"/>
      <c r="U385" s="76">
        <f t="shared" si="181"/>
        <v>0.066</v>
      </c>
      <c r="V385" s="76">
        <f t="shared" si="182"/>
        <v>1.35</v>
      </c>
      <c r="W385" s="76"/>
      <c r="X385" s="583"/>
      <c r="Y385" s="76"/>
      <c r="Z385" s="76"/>
      <c r="AA385" s="76"/>
      <c r="AB385" s="76"/>
      <c r="AC385" s="76"/>
      <c r="AD385" s="136"/>
    </row>
    <row r="386" customHeight="1" spans="1:30">
      <c r="A386" s="76"/>
      <c r="B386" s="212" t="s">
        <v>1268</v>
      </c>
      <c r="C386" s="76"/>
      <c r="D386" s="76"/>
      <c r="E386" s="76"/>
      <c r="F386" s="76">
        <f t="shared" si="176"/>
        <v>12</v>
      </c>
      <c r="G386" s="486">
        <v>4</v>
      </c>
      <c r="H386" s="486">
        <v>4</v>
      </c>
      <c r="I386" s="486">
        <v>4</v>
      </c>
      <c r="J386" s="486">
        <v>4</v>
      </c>
      <c r="K386" s="486">
        <v>4</v>
      </c>
      <c r="L386" s="486">
        <v>4</v>
      </c>
      <c r="M386" s="76">
        <v>2018</v>
      </c>
      <c r="N386" s="76">
        <v>2020</v>
      </c>
      <c r="O386" s="76">
        <f t="shared" si="177"/>
        <v>5.664</v>
      </c>
      <c r="P386" s="76">
        <f t="shared" si="178"/>
        <v>0.688</v>
      </c>
      <c r="Q386" s="76">
        <f t="shared" si="179"/>
        <v>2.488</v>
      </c>
      <c r="R386" s="76">
        <f t="shared" si="180"/>
        <v>2.488</v>
      </c>
      <c r="S386" s="76"/>
      <c r="T386" s="76"/>
      <c r="U386" s="76">
        <f t="shared" si="181"/>
        <v>0.264</v>
      </c>
      <c r="V386" s="76">
        <f t="shared" si="182"/>
        <v>5.4</v>
      </c>
      <c r="W386" s="76"/>
      <c r="X386" s="583"/>
      <c r="Y386" s="76"/>
      <c r="Z386" s="76"/>
      <c r="AA386" s="76"/>
      <c r="AB386" s="76"/>
      <c r="AC386" s="76"/>
      <c r="AD386" s="136"/>
    </row>
    <row r="387" customHeight="1" spans="1:30">
      <c r="A387" s="76"/>
      <c r="B387" s="212" t="s">
        <v>1275</v>
      </c>
      <c r="C387" s="76"/>
      <c r="D387" s="76"/>
      <c r="E387" s="76"/>
      <c r="F387" s="76">
        <f t="shared" si="176"/>
        <v>12</v>
      </c>
      <c r="G387" s="486">
        <v>4</v>
      </c>
      <c r="H387" s="486">
        <v>4</v>
      </c>
      <c r="I387" s="486">
        <v>4</v>
      </c>
      <c r="J387" s="486">
        <v>4</v>
      </c>
      <c r="K387" s="486">
        <v>4</v>
      </c>
      <c r="L387" s="486">
        <v>4</v>
      </c>
      <c r="M387" s="76">
        <v>2018</v>
      </c>
      <c r="N387" s="76">
        <v>2020</v>
      </c>
      <c r="O387" s="76">
        <f t="shared" si="177"/>
        <v>5.664</v>
      </c>
      <c r="P387" s="76">
        <f t="shared" si="178"/>
        <v>0.688</v>
      </c>
      <c r="Q387" s="76">
        <f t="shared" si="179"/>
        <v>2.488</v>
      </c>
      <c r="R387" s="76">
        <f t="shared" si="180"/>
        <v>2.488</v>
      </c>
      <c r="S387" s="76"/>
      <c r="T387" s="76"/>
      <c r="U387" s="76">
        <f t="shared" si="181"/>
        <v>0.264</v>
      </c>
      <c r="V387" s="76">
        <f t="shared" si="182"/>
        <v>5.4</v>
      </c>
      <c r="W387" s="76"/>
      <c r="X387" s="583"/>
      <c r="Y387" s="76"/>
      <c r="Z387" s="76"/>
      <c r="AA387" s="76"/>
      <c r="AB387" s="76"/>
      <c r="AC387" s="76"/>
      <c r="AD387" s="136"/>
    </row>
    <row r="388" customHeight="1" spans="1:30">
      <c r="A388" s="76"/>
      <c r="B388" s="212" t="s">
        <v>1276</v>
      </c>
      <c r="C388" s="76"/>
      <c r="D388" s="76"/>
      <c r="E388" s="76"/>
      <c r="F388" s="76">
        <f t="shared" si="176"/>
        <v>3</v>
      </c>
      <c r="G388" s="486">
        <v>1</v>
      </c>
      <c r="H388" s="486">
        <v>1</v>
      </c>
      <c r="I388" s="486">
        <v>1</v>
      </c>
      <c r="J388" s="486">
        <v>1</v>
      </c>
      <c r="K388" s="486">
        <v>1</v>
      </c>
      <c r="L388" s="486">
        <v>1</v>
      </c>
      <c r="M388" s="76">
        <v>2018</v>
      </c>
      <c r="N388" s="76">
        <v>2020</v>
      </c>
      <c r="O388" s="76">
        <f t="shared" si="177"/>
        <v>1.416</v>
      </c>
      <c r="P388" s="76">
        <f t="shared" si="178"/>
        <v>0.172</v>
      </c>
      <c r="Q388" s="76">
        <f t="shared" si="179"/>
        <v>0.622</v>
      </c>
      <c r="R388" s="76">
        <f t="shared" si="180"/>
        <v>0.622</v>
      </c>
      <c r="S388" s="76"/>
      <c r="T388" s="76"/>
      <c r="U388" s="76">
        <f t="shared" si="181"/>
        <v>0.066</v>
      </c>
      <c r="V388" s="76">
        <f t="shared" si="182"/>
        <v>1.35</v>
      </c>
      <c r="W388" s="76"/>
      <c r="X388" s="583"/>
      <c r="Y388" s="76"/>
      <c r="Z388" s="76"/>
      <c r="AA388" s="76"/>
      <c r="AB388" s="76"/>
      <c r="AC388" s="76"/>
      <c r="AD388" s="136"/>
    </row>
    <row r="389" customHeight="1" spans="1:30">
      <c r="A389" s="76"/>
      <c r="B389" s="212" t="s">
        <v>1277</v>
      </c>
      <c r="C389" s="76"/>
      <c r="D389" s="76"/>
      <c r="E389" s="76"/>
      <c r="F389" s="76">
        <f t="shared" si="176"/>
        <v>12</v>
      </c>
      <c r="G389" s="486">
        <v>4</v>
      </c>
      <c r="H389" s="486">
        <v>4</v>
      </c>
      <c r="I389" s="486">
        <v>4</v>
      </c>
      <c r="J389" s="486">
        <v>4</v>
      </c>
      <c r="K389" s="486">
        <v>4</v>
      </c>
      <c r="L389" s="486">
        <v>4</v>
      </c>
      <c r="M389" s="76">
        <v>2018</v>
      </c>
      <c r="N389" s="76">
        <v>2020</v>
      </c>
      <c r="O389" s="76">
        <f t="shared" si="177"/>
        <v>5.664</v>
      </c>
      <c r="P389" s="76">
        <f t="shared" si="178"/>
        <v>0.688</v>
      </c>
      <c r="Q389" s="76">
        <f t="shared" si="179"/>
        <v>2.488</v>
      </c>
      <c r="R389" s="76">
        <f t="shared" si="180"/>
        <v>2.488</v>
      </c>
      <c r="S389" s="76"/>
      <c r="T389" s="76"/>
      <c r="U389" s="76">
        <f t="shared" si="181"/>
        <v>0.264</v>
      </c>
      <c r="V389" s="76">
        <f t="shared" si="182"/>
        <v>5.4</v>
      </c>
      <c r="W389" s="76"/>
      <c r="X389" s="583"/>
      <c r="Y389" s="76"/>
      <c r="Z389" s="76"/>
      <c r="AA389" s="76"/>
      <c r="AB389" s="76"/>
      <c r="AC389" s="76"/>
      <c r="AD389" s="136"/>
    </row>
    <row r="390" customHeight="1" spans="1:30">
      <c r="A390" s="76"/>
      <c r="B390" s="212" t="s">
        <v>1278</v>
      </c>
      <c r="C390" s="76"/>
      <c r="D390" s="76"/>
      <c r="E390" s="76"/>
      <c r="F390" s="76">
        <f t="shared" si="176"/>
        <v>12</v>
      </c>
      <c r="G390" s="486">
        <v>4</v>
      </c>
      <c r="H390" s="486">
        <v>4</v>
      </c>
      <c r="I390" s="486">
        <v>4</v>
      </c>
      <c r="J390" s="486">
        <v>4</v>
      </c>
      <c r="K390" s="486">
        <v>4</v>
      </c>
      <c r="L390" s="486">
        <v>4</v>
      </c>
      <c r="M390" s="76">
        <v>2018</v>
      </c>
      <c r="N390" s="76">
        <v>2020</v>
      </c>
      <c r="O390" s="76">
        <f t="shared" si="177"/>
        <v>5.664</v>
      </c>
      <c r="P390" s="76">
        <f t="shared" si="178"/>
        <v>0.688</v>
      </c>
      <c r="Q390" s="76">
        <f t="shared" si="179"/>
        <v>2.488</v>
      </c>
      <c r="R390" s="76">
        <f t="shared" si="180"/>
        <v>2.488</v>
      </c>
      <c r="S390" s="76"/>
      <c r="T390" s="76"/>
      <c r="U390" s="76">
        <f t="shared" si="181"/>
        <v>0.264</v>
      </c>
      <c r="V390" s="76">
        <f t="shared" si="182"/>
        <v>5.4</v>
      </c>
      <c r="W390" s="76"/>
      <c r="X390" s="583"/>
      <c r="Y390" s="76"/>
      <c r="Z390" s="76"/>
      <c r="AA390" s="76"/>
      <c r="AB390" s="76"/>
      <c r="AC390" s="76"/>
      <c r="AD390" s="136"/>
    </row>
    <row r="391" customHeight="1" spans="1:30">
      <c r="A391" s="76"/>
      <c r="B391" s="212" t="s">
        <v>1279</v>
      </c>
      <c r="C391" s="76"/>
      <c r="D391" s="76"/>
      <c r="E391" s="76"/>
      <c r="F391" s="76">
        <f t="shared" si="176"/>
        <v>12</v>
      </c>
      <c r="G391" s="486">
        <v>4</v>
      </c>
      <c r="H391" s="486">
        <v>4</v>
      </c>
      <c r="I391" s="486">
        <v>4</v>
      </c>
      <c r="J391" s="486">
        <v>4</v>
      </c>
      <c r="K391" s="486">
        <v>4</v>
      </c>
      <c r="L391" s="486">
        <v>4</v>
      </c>
      <c r="M391" s="76">
        <v>2018</v>
      </c>
      <c r="N391" s="76">
        <v>2020</v>
      </c>
      <c r="O391" s="76">
        <f t="shared" si="177"/>
        <v>5.664</v>
      </c>
      <c r="P391" s="76">
        <f t="shared" si="178"/>
        <v>0.688</v>
      </c>
      <c r="Q391" s="76">
        <f t="shared" si="179"/>
        <v>2.488</v>
      </c>
      <c r="R391" s="76">
        <f t="shared" si="180"/>
        <v>2.488</v>
      </c>
      <c r="S391" s="76"/>
      <c r="T391" s="76"/>
      <c r="U391" s="76">
        <f t="shared" si="181"/>
        <v>0.264</v>
      </c>
      <c r="V391" s="76">
        <f t="shared" si="182"/>
        <v>5.4</v>
      </c>
      <c r="W391" s="76"/>
      <c r="X391" s="583"/>
      <c r="Y391" s="76"/>
      <c r="Z391" s="76"/>
      <c r="AA391" s="76"/>
      <c r="AB391" s="76"/>
      <c r="AC391" s="76"/>
      <c r="AD391" s="136"/>
    </row>
    <row r="392" customHeight="1" spans="1:30">
      <c r="A392" s="76"/>
      <c r="B392" s="212" t="s">
        <v>1280</v>
      </c>
      <c r="C392" s="76"/>
      <c r="D392" s="76"/>
      <c r="E392" s="76"/>
      <c r="F392" s="76">
        <f t="shared" si="176"/>
        <v>3</v>
      </c>
      <c r="G392" s="486">
        <v>1</v>
      </c>
      <c r="H392" s="486">
        <v>1</v>
      </c>
      <c r="I392" s="486">
        <v>1</v>
      </c>
      <c r="J392" s="486">
        <v>1</v>
      </c>
      <c r="K392" s="486">
        <v>1</v>
      </c>
      <c r="L392" s="486">
        <v>1</v>
      </c>
      <c r="M392" s="76">
        <v>2018</v>
      </c>
      <c r="N392" s="76">
        <v>2020</v>
      </c>
      <c r="O392" s="76">
        <f t="shared" si="177"/>
        <v>1.416</v>
      </c>
      <c r="P392" s="76">
        <f t="shared" si="178"/>
        <v>0.172</v>
      </c>
      <c r="Q392" s="76">
        <f t="shared" si="179"/>
        <v>0.622</v>
      </c>
      <c r="R392" s="76">
        <f t="shared" si="180"/>
        <v>0.622</v>
      </c>
      <c r="S392" s="76"/>
      <c r="T392" s="76"/>
      <c r="U392" s="76">
        <f t="shared" si="181"/>
        <v>0.066</v>
      </c>
      <c r="V392" s="76">
        <f t="shared" si="182"/>
        <v>1.35</v>
      </c>
      <c r="W392" s="76"/>
      <c r="X392" s="583"/>
      <c r="Y392" s="76"/>
      <c r="Z392" s="76"/>
      <c r="AA392" s="76"/>
      <c r="AB392" s="76"/>
      <c r="AC392" s="76"/>
      <c r="AD392" s="136"/>
    </row>
    <row r="393" customHeight="1" spans="1:30">
      <c r="A393" s="76"/>
      <c r="B393" s="212" t="s">
        <v>1269</v>
      </c>
      <c r="C393" s="76"/>
      <c r="D393" s="76"/>
      <c r="E393" s="76"/>
      <c r="F393" s="76">
        <f t="shared" si="176"/>
        <v>3</v>
      </c>
      <c r="G393" s="486">
        <v>1</v>
      </c>
      <c r="H393" s="486">
        <v>1</v>
      </c>
      <c r="I393" s="486">
        <v>1</v>
      </c>
      <c r="J393" s="486">
        <v>1</v>
      </c>
      <c r="K393" s="486">
        <v>1</v>
      </c>
      <c r="L393" s="486">
        <v>1</v>
      </c>
      <c r="M393" s="76">
        <v>2018</v>
      </c>
      <c r="N393" s="76">
        <v>2020</v>
      </c>
      <c r="O393" s="76">
        <f t="shared" si="177"/>
        <v>1.416</v>
      </c>
      <c r="P393" s="76">
        <f t="shared" si="178"/>
        <v>0.172</v>
      </c>
      <c r="Q393" s="76">
        <f t="shared" si="179"/>
        <v>0.622</v>
      </c>
      <c r="R393" s="76">
        <f t="shared" si="180"/>
        <v>0.622</v>
      </c>
      <c r="S393" s="76"/>
      <c r="T393" s="76"/>
      <c r="U393" s="76">
        <f t="shared" si="181"/>
        <v>0.066</v>
      </c>
      <c r="V393" s="76">
        <f t="shared" si="182"/>
        <v>1.35</v>
      </c>
      <c r="W393" s="76"/>
      <c r="X393" s="583"/>
      <c r="Y393" s="76"/>
      <c r="Z393" s="76"/>
      <c r="AA393" s="76"/>
      <c r="AB393" s="76"/>
      <c r="AC393" s="76"/>
      <c r="AD393" s="136"/>
    </row>
    <row r="394" customHeight="1" spans="1:30">
      <c r="A394" s="76"/>
      <c r="B394" s="212" t="s">
        <v>1270</v>
      </c>
      <c r="C394" s="76"/>
      <c r="D394" s="76"/>
      <c r="E394" s="76"/>
      <c r="F394" s="76">
        <f t="shared" si="176"/>
        <v>3</v>
      </c>
      <c r="G394" s="486">
        <v>1</v>
      </c>
      <c r="H394" s="486">
        <v>1</v>
      </c>
      <c r="I394" s="486">
        <v>1</v>
      </c>
      <c r="J394" s="486">
        <v>1</v>
      </c>
      <c r="K394" s="486">
        <v>1</v>
      </c>
      <c r="L394" s="486">
        <v>1</v>
      </c>
      <c r="M394" s="76">
        <v>2018</v>
      </c>
      <c r="N394" s="76">
        <v>2020</v>
      </c>
      <c r="O394" s="76">
        <f t="shared" si="177"/>
        <v>1.416</v>
      </c>
      <c r="P394" s="76">
        <f t="shared" si="178"/>
        <v>0.172</v>
      </c>
      <c r="Q394" s="76">
        <f t="shared" si="179"/>
        <v>0.622</v>
      </c>
      <c r="R394" s="76">
        <f t="shared" si="180"/>
        <v>0.622</v>
      </c>
      <c r="S394" s="76"/>
      <c r="T394" s="76"/>
      <c r="U394" s="76">
        <f t="shared" si="181"/>
        <v>0.066</v>
      </c>
      <c r="V394" s="76">
        <f t="shared" si="182"/>
        <v>1.35</v>
      </c>
      <c r="W394" s="76"/>
      <c r="X394" s="583"/>
      <c r="Y394" s="76"/>
      <c r="Z394" s="76"/>
      <c r="AA394" s="76"/>
      <c r="AB394" s="76"/>
      <c r="AC394" s="76"/>
      <c r="AD394" s="136"/>
    </row>
    <row r="395" customHeight="1" spans="1:30">
      <c r="A395" s="76"/>
      <c r="B395" s="212" t="s">
        <v>1281</v>
      </c>
      <c r="C395" s="76"/>
      <c r="D395" s="76"/>
      <c r="E395" s="76"/>
      <c r="F395" s="76">
        <f t="shared" si="176"/>
        <v>12</v>
      </c>
      <c r="G395" s="486">
        <v>4</v>
      </c>
      <c r="H395" s="486">
        <v>4</v>
      </c>
      <c r="I395" s="486">
        <v>4</v>
      </c>
      <c r="J395" s="486">
        <v>4</v>
      </c>
      <c r="K395" s="486">
        <v>4</v>
      </c>
      <c r="L395" s="486">
        <v>4</v>
      </c>
      <c r="M395" s="76">
        <v>2018</v>
      </c>
      <c r="N395" s="76">
        <v>2020</v>
      </c>
      <c r="O395" s="76">
        <f t="shared" si="177"/>
        <v>5.664</v>
      </c>
      <c r="P395" s="76">
        <f t="shared" si="178"/>
        <v>0.688</v>
      </c>
      <c r="Q395" s="76">
        <f t="shared" si="179"/>
        <v>2.488</v>
      </c>
      <c r="R395" s="76">
        <f t="shared" si="180"/>
        <v>2.488</v>
      </c>
      <c r="S395" s="76"/>
      <c r="T395" s="76"/>
      <c r="U395" s="76">
        <f t="shared" si="181"/>
        <v>0.264</v>
      </c>
      <c r="V395" s="76">
        <f t="shared" si="182"/>
        <v>5.4</v>
      </c>
      <c r="W395" s="76"/>
      <c r="X395" s="583"/>
      <c r="Y395" s="76"/>
      <c r="Z395" s="76"/>
      <c r="AA395" s="76"/>
      <c r="AB395" s="76"/>
      <c r="AC395" s="76"/>
      <c r="AD395" s="136"/>
    </row>
    <row r="396" customHeight="1" spans="1:30">
      <c r="A396" s="76"/>
      <c r="B396" s="212" t="s">
        <v>1271</v>
      </c>
      <c r="C396" s="76"/>
      <c r="D396" s="76"/>
      <c r="E396" s="76"/>
      <c r="F396" s="76">
        <f t="shared" si="176"/>
        <v>3</v>
      </c>
      <c r="G396" s="486">
        <v>1</v>
      </c>
      <c r="H396" s="486">
        <v>1</v>
      </c>
      <c r="I396" s="486">
        <v>1</v>
      </c>
      <c r="J396" s="486">
        <v>1</v>
      </c>
      <c r="K396" s="486">
        <v>1</v>
      </c>
      <c r="L396" s="486">
        <v>1</v>
      </c>
      <c r="M396" s="76">
        <v>2018</v>
      </c>
      <c r="N396" s="76">
        <v>2020</v>
      </c>
      <c r="O396" s="76">
        <f t="shared" si="177"/>
        <v>1.416</v>
      </c>
      <c r="P396" s="76">
        <f t="shared" si="178"/>
        <v>0.172</v>
      </c>
      <c r="Q396" s="76">
        <f t="shared" si="179"/>
        <v>0.622</v>
      </c>
      <c r="R396" s="76">
        <f t="shared" si="180"/>
        <v>0.622</v>
      </c>
      <c r="S396" s="76"/>
      <c r="T396" s="76"/>
      <c r="U396" s="76">
        <f t="shared" si="181"/>
        <v>0.066</v>
      </c>
      <c r="V396" s="76">
        <f t="shared" si="182"/>
        <v>1.35</v>
      </c>
      <c r="W396" s="76"/>
      <c r="X396" s="583"/>
      <c r="Y396" s="76"/>
      <c r="Z396" s="76"/>
      <c r="AA396" s="76"/>
      <c r="AB396" s="76"/>
      <c r="AC396" s="76"/>
      <c r="AD396" s="136"/>
    </row>
    <row r="397" customHeight="1" spans="1:30">
      <c r="A397" s="76"/>
      <c r="B397" s="212" t="s">
        <v>1282</v>
      </c>
      <c r="C397" s="76"/>
      <c r="D397" s="76"/>
      <c r="E397" s="76"/>
      <c r="F397" s="76">
        <f t="shared" si="176"/>
        <v>3</v>
      </c>
      <c r="G397" s="486">
        <v>1</v>
      </c>
      <c r="H397" s="486">
        <v>1</v>
      </c>
      <c r="I397" s="486">
        <v>1</v>
      </c>
      <c r="J397" s="486">
        <v>1</v>
      </c>
      <c r="K397" s="486">
        <v>1</v>
      </c>
      <c r="L397" s="486">
        <v>1</v>
      </c>
      <c r="M397" s="76">
        <v>2018</v>
      </c>
      <c r="N397" s="76">
        <v>2020</v>
      </c>
      <c r="O397" s="76">
        <f t="shared" si="177"/>
        <v>1.416</v>
      </c>
      <c r="P397" s="76">
        <f t="shared" si="178"/>
        <v>0.172</v>
      </c>
      <c r="Q397" s="76">
        <f t="shared" si="179"/>
        <v>0.622</v>
      </c>
      <c r="R397" s="76">
        <f t="shared" si="180"/>
        <v>0.622</v>
      </c>
      <c r="S397" s="76"/>
      <c r="T397" s="76"/>
      <c r="U397" s="76">
        <f t="shared" si="181"/>
        <v>0.066</v>
      </c>
      <c r="V397" s="76">
        <f t="shared" si="182"/>
        <v>1.35</v>
      </c>
      <c r="W397" s="76"/>
      <c r="X397" s="583"/>
      <c r="Y397" s="76"/>
      <c r="Z397" s="76"/>
      <c r="AA397" s="76"/>
      <c r="AB397" s="76"/>
      <c r="AC397" s="76"/>
      <c r="AD397" s="136"/>
    </row>
    <row r="398" customHeight="1" spans="1:30">
      <c r="A398" s="76"/>
      <c r="B398" s="212" t="s">
        <v>1283</v>
      </c>
      <c r="C398" s="76"/>
      <c r="D398" s="76"/>
      <c r="E398" s="76"/>
      <c r="F398" s="76">
        <f t="shared" si="176"/>
        <v>3</v>
      </c>
      <c r="G398" s="486">
        <v>1</v>
      </c>
      <c r="H398" s="486">
        <v>1</v>
      </c>
      <c r="I398" s="486">
        <v>1</v>
      </c>
      <c r="J398" s="486">
        <v>1</v>
      </c>
      <c r="K398" s="486">
        <v>1</v>
      </c>
      <c r="L398" s="486">
        <v>1</v>
      </c>
      <c r="M398" s="76">
        <v>2018</v>
      </c>
      <c r="N398" s="76">
        <v>2020</v>
      </c>
      <c r="O398" s="76">
        <f t="shared" si="177"/>
        <v>1.416</v>
      </c>
      <c r="P398" s="76">
        <f t="shared" si="178"/>
        <v>0.172</v>
      </c>
      <c r="Q398" s="76">
        <f t="shared" si="179"/>
        <v>0.622</v>
      </c>
      <c r="R398" s="76">
        <f t="shared" si="180"/>
        <v>0.622</v>
      </c>
      <c r="S398" s="76"/>
      <c r="T398" s="76"/>
      <c r="U398" s="76">
        <f t="shared" si="181"/>
        <v>0.066</v>
      </c>
      <c r="V398" s="76">
        <f t="shared" si="182"/>
        <v>1.35</v>
      </c>
      <c r="W398" s="76"/>
      <c r="X398" s="583"/>
      <c r="Y398" s="76"/>
      <c r="Z398" s="76"/>
      <c r="AA398" s="76"/>
      <c r="AB398" s="76"/>
      <c r="AC398" s="76"/>
      <c r="AD398" s="136"/>
    </row>
    <row r="399" customHeight="1" spans="1:30">
      <c r="A399" s="76"/>
      <c r="B399" s="212" t="s">
        <v>1284</v>
      </c>
      <c r="C399" s="76"/>
      <c r="D399" s="76"/>
      <c r="E399" s="76"/>
      <c r="F399" s="76">
        <f t="shared" si="176"/>
        <v>12</v>
      </c>
      <c r="G399" s="486">
        <v>4</v>
      </c>
      <c r="H399" s="486">
        <v>4</v>
      </c>
      <c r="I399" s="486">
        <v>4</v>
      </c>
      <c r="J399" s="486">
        <v>4</v>
      </c>
      <c r="K399" s="486">
        <v>4</v>
      </c>
      <c r="L399" s="486">
        <v>4</v>
      </c>
      <c r="M399" s="76">
        <v>2018</v>
      </c>
      <c r="N399" s="76">
        <v>2020</v>
      </c>
      <c r="O399" s="76">
        <f t="shared" si="177"/>
        <v>5.664</v>
      </c>
      <c r="P399" s="76">
        <f t="shared" si="178"/>
        <v>0.688</v>
      </c>
      <c r="Q399" s="76">
        <f t="shared" si="179"/>
        <v>2.488</v>
      </c>
      <c r="R399" s="76">
        <f t="shared" si="180"/>
        <v>2.488</v>
      </c>
      <c r="S399" s="76"/>
      <c r="T399" s="76"/>
      <c r="U399" s="76">
        <f t="shared" si="181"/>
        <v>0.264</v>
      </c>
      <c r="V399" s="76">
        <f t="shared" si="182"/>
        <v>5.4</v>
      </c>
      <c r="W399" s="76"/>
      <c r="X399" s="583"/>
      <c r="Y399" s="76"/>
      <c r="Z399" s="76"/>
      <c r="AA399" s="76"/>
      <c r="AB399" s="76"/>
      <c r="AC399" s="76"/>
      <c r="AD399" s="136"/>
    </row>
    <row r="400" customHeight="1" spans="1:30">
      <c r="A400" s="76">
        <v>32</v>
      </c>
      <c r="B400" s="92" t="s">
        <v>1296</v>
      </c>
      <c r="C400" s="76" t="s">
        <v>320</v>
      </c>
      <c r="D400" s="76" t="s">
        <v>147</v>
      </c>
      <c r="E400" s="76"/>
      <c r="F400" s="76">
        <f t="shared" ref="F400:L400" si="183">SUM(F401:F410)</f>
        <v>30</v>
      </c>
      <c r="G400" s="76">
        <f t="shared" si="183"/>
        <v>10</v>
      </c>
      <c r="H400" s="76">
        <f t="shared" si="183"/>
        <v>10</v>
      </c>
      <c r="I400" s="76">
        <f t="shared" si="183"/>
        <v>10</v>
      </c>
      <c r="J400" s="76">
        <f t="shared" si="183"/>
        <v>10</v>
      </c>
      <c r="K400" s="76">
        <f t="shared" si="183"/>
        <v>10</v>
      </c>
      <c r="L400" s="76">
        <f t="shared" si="183"/>
        <v>10</v>
      </c>
      <c r="M400" s="76">
        <v>2018</v>
      </c>
      <c r="N400" s="76">
        <v>2020</v>
      </c>
      <c r="O400" s="76">
        <f t="shared" ref="O400:W400" si="184">SUM(O401:O410)</f>
        <v>14.16</v>
      </c>
      <c r="P400" s="76">
        <f t="shared" si="184"/>
        <v>1.72</v>
      </c>
      <c r="Q400" s="76">
        <f t="shared" si="184"/>
        <v>6.22</v>
      </c>
      <c r="R400" s="76">
        <f t="shared" si="184"/>
        <v>6.22</v>
      </c>
      <c r="S400" s="76">
        <f t="shared" si="184"/>
        <v>0</v>
      </c>
      <c r="T400" s="76">
        <f t="shared" si="184"/>
        <v>0</v>
      </c>
      <c r="U400" s="76">
        <f t="shared" si="184"/>
        <v>0.66</v>
      </c>
      <c r="V400" s="76">
        <f t="shared" si="184"/>
        <v>13.5</v>
      </c>
      <c r="W400" s="76">
        <f t="shared" si="184"/>
        <v>0</v>
      </c>
      <c r="X400" s="583"/>
      <c r="Y400" s="76"/>
      <c r="Z400" s="76"/>
      <c r="AA400" s="76" t="s">
        <v>1292</v>
      </c>
      <c r="AB400" s="76" t="s">
        <v>1293</v>
      </c>
      <c r="AC400" s="76" t="s">
        <v>275</v>
      </c>
      <c r="AD400" s="136"/>
    </row>
    <row r="401" customHeight="1" spans="1:30">
      <c r="A401" s="76"/>
      <c r="B401" s="212" t="s">
        <v>1265</v>
      </c>
      <c r="C401" s="76" t="s">
        <v>320</v>
      </c>
      <c r="D401" s="76" t="s">
        <v>147</v>
      </c>
      <c r="E401" s="76"/>
      <c r="F401" s="76">
        <f t="shared" ref="F401:F410" si="185">SUM(G401:I401)</f>
        <v>3</v>
      </c>
      <c r="G401" s="486">
        <v>1</v>
      </c>
      <c r="H401" s="486">
        <v>1</v>
      </c>
      <c r="I401" s="486">
        <v>1</v>
      </c>
      <c r="J401" s="486">
        <v>1</v>
      </c>
      <c r="K401" s="486">
        <v>1</v>
      </c>
      <c r="L401" s="486">
        <v>1</v>
      </c>
      <c r="M401" s="76">
        <v>2018</v>
      </c>
      <c r="N401" s="76">
        <v>2020</v>
      </c>
      <c r="O401" s="76">
        <f t="shared" ref="O401:O410" si="186">SUM(P401:R401)</f>
        <v>1.416</v>
      </c>
      <c r="P401" s="76">
        <f t="shared" ref="P401:P410" si="187">0.172*J401</f>
        <v>0.172</v>
      </c>
      <c r="Q401" s="76">
        <f t="shared" ref="Q401:Q410" si="188">0.622*J401</f>
        <v>0.622</v>
      </c>
      <c r="R401" s="76">
        <f t="shared" ref="R401:R410" si="189">0.622*J401</f>
        <v>0.622</v>
      </c>
      <c r="S401" s="76"/>
      <c r="T401" s="76"/>
      <c r="U401" s="76">
        <f t="shared" ref="U401:U410" si="190">0.022*3*J401</f>
        <v>0.066</v>
      </c>
      <c r="V401" s="76">
        <f t="shared" ref="V401:V410" si="191">O401-U401</f>
        <v>1.35</v>
      </c>
      <c r="W401" s="76"/>
      <c r="X401" s="583"/>
      <c r="Y401" s="76"/>
      <c r="Z401" s="76"/>
      <c r="AA401" s="76"/>
      <c r="AB401" s="76"/>
      <c r="AC401" s="76"/>
      <c r="AD401" s="136"/>
    </row>
    <row r="402" customHeight="1" spans="1:30">
      <c r="A402" s="76"/>
      <c r="B402" s="212" t="s">
        <v>1277</v>
      </c>
      <c r="C402" s="76" t="s">
        <v>320</v>
      </c>
      <c r="D402" s="76" t="s">
        <v>147</v>
      </c>
      <c r="E402" s="76"/>
      <c r="F402" s="76">
        <f t="shared" si="185"/>
        <v>3</v>
      </c>
      <c r="G402" s="486">
        <v>1</v>
      </c>
      <c r="H402" s="486">
        <v>1</v>
      </c>
      <c r="I402" s="486">
        <v>1</v>
      </c>
      <c r="J402" s="486">
        <v>1</v>
      </c>
      <c r="K402" s="486">
        <v>1</v>
      </c>
      <c r="L402" s="486">
        <v>1</v>
      </c>
      <c r="M402" s="76">
        <v>2018</v>
      </c>
      <c r="N402" s="76">
        <v>2020</v>
      </c>
      <c r="O402" s="76">
        <f t="shared" si="186"/>
        <v>1.416</v>
      </c>
      <c r="P402" s="76">
        <f t="shared" si="187"/>
        <v>0.172</v>
      </c>
      <c r="Q402" s="76">
        <f t="shared" si="188"/>
        <v>0.622</v>
      </c>
      <c r="R402" s="76">
        <f t="shared" si="189"/>
        <v>0.622</v>
      </c>
      <c r="S402" s="76"/>
      <c r="T402" s="76"/>
      <c r="U402" s="76">
        <f t="shared" si="190"/>
        <v>0.066</v>
      </c>
      <c r="V402" s="76">
        <f t="shared" si="191"/>
        <v>1.35</v>
      </c>
      <c r="W402" s="76"/>
      <c r="X402" s="583"/>
      <c r="Y402" s="76"/>
      <c r="Z402" s="76"/>
      <c r="AA402" s="76"/>
      <c r="AB402" s="76"/>
      <c r="AC402" s="76"/>
      <c r="AD402" s="136"/>
    </row>
    <row r="403" customHeight="1" spans="1:30">
      <c r="A403" s="76"/>
      <c r="B403" s="212" t="s">
        <v>1280</v>
      </c>
      <c r="C403" s="76" t="s">
        <v>320</v>
      </c>
      <c r="D403" s="76" t="s">
        <v>147</v>
      </c>
      <c r="E403" s="76"/>
      <c r="F403" s="76">
        <f t="shared" si="185"/>
        <v>3</v>
      </c>
      <c r="G403" s="486">
        <v>1</v>
      </c>
      <c r="H403" s="486">
        <v>1</v>
      </c>
      <c r="I403" s="486">
        <v>1</v>
      </c>
      <c r="J403" s="486">
        <v>1</v>
      </c>
      <c r="K403" s="486">
        <v>1</v>
      </c>
      <c r="L403" s="486">
        <v>1</v>
      </c>
      <c r="M403" s="76">
        <v>2018</v>
      </c>
      <c r="N403" s="76">
        <v>2020</v>
      </c>
      <c r="O403" s="76">
        <f t="shared" si="186"/>
        <v>1.416</v>
      </c>
      <c r="P403" s="76">
        <f t="shared" si="187"/>
        <v>0.172</v>
      </c>
      <c r="Q403" s="76">
        <f t="shared" si="188"/>
        <v>0.622</v>
      </c>
      <c r="R403" s="76">
        <f t="shared" si="189"/>
        <v>0.622</v>
      </c>
      <c r="S403" s="76"/>
      <c r="T403" s="76"/>
      <c r="U403" s="76">
        <f t="shared" si="190"/>
        <v>0.066</v>
      </c>
      <c r="V403" s="76">
        <f t="shared" si="191"/>
        <v>1.35</v>
      </c>
      <c r="W403" s="76"/>
      <c r="X403" s="583"/>
      <c r="Y403" s="76"/>
      <c r="Z403" s="76"/>
      <c r="AA403" s="76"/>
      <c r="AB403" s="76"/>
      <c r="AC403" s="76"/>
      <c r="AD403" s="136"/>
    </row>
    <row r="404" customHeight="1" spans="1:30">
      <c r="A404" s="76"/>
      <c r="B404" s="212" t="s">
        <v>1269</v>
      </c>
      <c r="C404" s="76" t="s">
        <v>320</v>
      </c>
      <c r="D404" s="76" t="s">
        <v>147</v>
      </c>
      <c r="E404" s="76"/>
      <c r="F404" s="76">
        <f t="shared" si="185"/>
        <v>3</v>
      </c>
      <c r="G404" s="486">
        <v>1</v>
      </c>
      <c r="H404" s="486">
        <v>1</v>
      </c>
      <c r="I404" s="486">
        <v>1</v>
      </c>
      <c r="J404" s="486">
        <v>1</v>
      </c>
      <c r="K404" s="486">
        <v>1</v>
      </c>
      <c r="L404" s="486">
        <v>1</v>
      </c>
      <c r="M404" s="76">
        <v>2018</v>
      </c>
      <c r="N404" s="76">
        <v>2020</v>
      </c>
      <c r="O404" s="76">
        <f t="shared" si="186"/>
        <v>1.416</v>
      </c>
      <c r="P404" s="76">
        <f t="shared" si="187"/>
        <v>0.172</v>
      </c>
      <c r="Q404" s="76">
        <f t="shared" si="188"/>
        <v>0.622</v>
      </c>
      <c r="R404" s="76">
        <f t="shared" si="189"/>
        <v>0.622</v>
      </c>
      <c r="S404" s="76"/>
      <c r="T404" s="76"/>
      <c r="U404" s="76">
        <f t="shared" si="190"/>
        <v>0.066</v>
      </c>
      <c r="V404" s="76">
        <f t="shared" si="191"/>
        <v>1.35</v>
      </c>
      <c r="W404" s="76"/>
      <c r="X404" s="583"/>
      <c r="Y404" s="76"/>
      <c r="Z404" s="76"/>
      <c r="AA404" s="76"/>
      <c r="AB404" s="76"/>
      <c r="AC404" s="76"/>
      <c r="AD404" s="136"/>
    </row>
    <row r="405" customHeight="1" spans="1:30">
      <c r="A405" s="76"/>
      <c r="B405" s="212" t="s">
        <v>1270</v>
      </c>
      <c r="C405" s="76" t="s">
        <v>320</v>
      </c>
      <c r="D405" s="76" t="s">
        <v>147</v>
      </c>
      <c r="E405" s="76"/>
      <c r="F405" s="76">
        <f t="shared" si="185"/>
        <v>3</v>
      </c>
      <c r="G405" s="486">
        <v>1</v>
      </c>
      <c r="H405" s="486">
        <v>1</v>
      </c>
      <c r="I405" s="486">
        <v>1</v>
      </c>
      <c r="J405" s="486">
        <v>1</v>
      </c>
      <c r="K405" s="486">
        <v>1</v>
      </c>
      <c r="L405" s="486">
        <v>1</v>
      </c>
      <c r="M405" s="76">
        <v>2018</v>
      </c>
      <c r="N405" s="76">
        <v>2020</v>
      </c>
      <c r="O405" s="76">
        <f t="shared" si="186"/>
        <v>1.416</v>
      </c>
      <c r="P405" s="76">
        <f t="shared" si="187"/>
        <v>0.172</v>
      </c>
      <c r="Q405" s="76">
        <f t="shared" si="188"/>
        <v>0.622</v>
      </c>
      <c r="R405" s="76">
        <f t="shared" si="189"/>
        <v>0.622</v>
      </c>
      <c r="S405" s="76"/>
      <c r="T405" s="76"/>
      <c r="U405" s="76">
        <f t="shared" si="190"/>
        <v>0.066</v>
      </c>
      <c r="V405" s="76">
        <f t="shared" si="191"/>
        <v>1.35</v>
      </c>
      <c r="W405" s="76"/>
      <c r="X405" s="583"/>
      <c r="Y405" s="76"/>
      <c r="Z405" s="76"/>
      <c r="AA405" s="76"/>
      <c r="AB405" s="76"/>
      <c r="AC405" s="76"/>
      <c r="AD405" s="136"/>
    </row>
    <row r="406" customHeight="1" spans="1:30">
      <c r="A406" s="76"/>
      <c r="B406" s="212" t="s">
        <v>1281</v>
      </c>
      <c r="C406" s="76" t="s">
        <v>320</v>
      </c>
      <c r="D406" s="76" t="s">
        <v>147</v>
      </c>
      <c r="E406" s="76"/>
      <c r="F406" s="76">
        <f t="shared" si="185"/>
        <v>3</v>
      </c>
      <c r="G406" s="486">
        <v>1</v>
      </c>
      <c r="H406" s="486">
        <v>1</v>
      </c>
      <c r="I406" s="486">
        <v>1</v>
      </c>
      <c r="J406" s="486">
        <v>1</v>
      </c>
      <c r="K406" s="486">
        <v>1</v>
      </c>
      <c r="L406" s="486">
        <v>1</v>
      </c>
      <c r="M406" s="76">
        <v>2018</v>
      </c>
      <c r="N406" s="76">
        <v>2020</v>
      </c>
      <c r="O406" s="76">
        <f t="shared" si="186"/>
        <v>1.416</v>
      </c>
      <c r="P406" s="76">
        <f t="shared" si="187"/>
        <v>0.172</v>
      </c>
      <c r="Q406" s="76">
        <f t="shared" si="188"/>
        <v>0.622</v>
      </c>
      <c r="R406" s="76">
        <f t="shared" si="189"/>
        <v>0.622</v>
      </c>
      <c r="S406" s="76"/>
      <c r="T406" s="76"/>
      <c r="U406" s="76">
        <f t="shared" si="190"/>
        <v>0.066</v>
      </c>
      <c r="V406" s="76">
        <f t="shared" si="191"/>
        <v>1.35</v>
      </c>
      <c r="W406" s="76"/>
      <c r="X406" s="583"/>
      <c r="Y406" s="76"/>
      <c r="Z406" s="76"/>
      <c r="AA406" s="76"/>
      <c r="AB406" s="76"/>
      <c r="AC406" s="76"/>
      <c r="AD406" s="136"/>
    </row>
    <row r="407" customHeight="1" spans="1:30">
      <c r="A407" s="76"/>
      <c r="B407" s="212" t="s">
        <v>1271</v>
      </c>
      <c r="C407" s="76" t="s">
        <v>320</v>
      </c>
      <c r="D407" s="76" t="s">
        <v>147</v>
      </c>
      <c r="E407" s="76"/>
      <c r="F407" s="76">
        <f t="shared" si="185"/>
        <v>3</v>
      </c>
      <c r="G407" s="486">
        <v>1</v>
      </c>
      <c r="H407" s="486">
        <v>1</v>
      </c>
      <c r="I407" s="486">
        <v>1</v>
      </c>
      <c r="J407" s="486">
        <v>1</v>
      </c>
      <c r="K407" s="486">
        <v>1</v>
      </c>
      <c r="L407" s="486">
        <v>1</v>
      </c>
      <c r="M407" s="76">
        <v>2018</v>
      </c>
      <c r="N407" s="76">
        <v>2020</v>
      </c>
      <c r="O407" s="76">
        <f t="shared" si="186"/>
        <v>1.416</v>
      </c>
      <c r="P407" s="76">
        <f t="shared" si="187"/>
        <v>0.172</v>
      </c>
      <c r="Q407" s="76">
        <f t="shared" si="188"/>
        <v>0.622</v>
      </c>
      <c r="R407" s="76">
        <f t="shared" si="189"/>
        <v>0.622</v>
      </c>
      <c r="S407" s="76"/>
      <c r="T407" s="76"/>
      <c r="U407" s="76">
        <f t="shared" si="190"/>
        <v>0.066</v>
      </c>
      <c r="V407" s="76">
        <f t="shared" si="191"/>
        <v>1.35</v>
      </c>
      <c r="W407" s="76"/>
      <c r="X407" s="583"/>
      <c r="Y407" s="76"/>
      <c r="Z407" s="76"/>
      <c r="AA407" s="76"/>
      <c r="AB407" s="76"/>
      <c r="AC407" s="76"/>
      <c r="AD407" s="136"/>
    </row>
    <row r="408" customHeight="1" spans="1:30">
      <c r="A408" s="76"/>
      <c r="B408" s="212" t="s">
        <v>1282</v>
      </c>
      <c r="C408" s="76" t="s">
        <v>320</v>
      </c>
      <c r="D408" s="76" t="s">
        <v>147</v>
      </c>
      <c r="E408" s="76"/>
      <c r="F408" s="76">
        <f t="shared" si="185"/>
        <v>3</v>
      </c>
      <c r="G408" s="486">
        <v>1</v>
      </c>
      <c r="H408" s="486">
        <v>1</v>
      </c>
      <c r="I408" s="486">
        <v>1</v>
      </c>
      <c r="J408" s="486">
        <v>1</v>
      </c>
      <c r="K408" s="486">
        <v>1</v>
      </c>
      <c r="L408" s="486">
        <v>1</v>
      </c>
      <c r="M408" s="76">
        <v>2018</v>
      </c>
      <c r="N408" s="76">
        <v>2020</v>
      </c>
      <c r="O408" s="76">
        <f t="shared" si="186"/>
        <v>1.416</v>
      </c>
      <c r="P408" s="76">
        <f t="shared" si="187"/>
        <v>0.172</v>
      </c>
      <c r="Q408" s="76">
        <f t="shared" si="188"/>
        <v>0.622</v>
      </c>
      <c r="R408" s="76">
        <f t="shared" si="189"/>
        <v>0.622</v>
      </c>
      <c r="S408" s="76"/>
      <c r="T408" s="76"/>
      <c r="U408" s="76">
        <f t="shared" si="190"/>
        <v>0.066</v>
      </c>
      <c r="V408" s="76">
        <f t="shared" si="191"/>
        <v>1.35</v>
      </c>
      <c r="W408" s="76"/>
      <c r="X408" s="583"/>
      <c r="Y408" s="76"/>
      <c r="Z408" s="76"/>
      <c r="AA408" s="76"/>
      <c r="AB408" s="76"/>
      <c r="AC408" s="76"/>
      <c r="AD408" s="136"/>
    </row>
    <row r="409" customHeight="1" spans="1:30">
      <c r="A409" s="76"/>
      <c r="B409" s="212" t="s">
        <v>1283</v>
      </c>
      <c r="C409" s="76" t="s">
        <v>320</v>
      </c>
      <c r="D409" s="76" t="s">
        <v>147</v>
      </c>
      <c r="E409" s="76"/>
      <c r="F409" s="76">
        <f t="shared" si="185"/>
        <v>3</v>
      </c>
      <c r="G409" s="486">
        <v>1</v>
      </c>
      <c r="H409" s="486">
        <v>1</v>
      </c>
      <c r="I409" s="486">
        <v>1</v>
      </c>
      <c r="J409" s="486">
        <v>1</v>
      </c>
      <c r="K409" s="486">
        <v>1</v>
      </c>
      <c r="L409" s="486">
        <v>1</v>
      </c>
      <c r="M409" s="76">
        <v>2018</v>
      </c>
      <c r="N409" s="76">
        <v>2020</v>
      </c>
      <c r="O409" s="76">
        <f t="shared" si="186"/>
        <v>1.416</v>
      </c>
      <c r="P409" s="76">
        <f t="shared" si="187"/>
        <v>0.172</v>
      </c>
      <c r="Q409" s="76">
        <f t="shared" si="188"/>
        <v>0.622</v>
      </c>
      <c r="R409" s="76">
        <f t="shared" si="189"/>
        <v>0.622</v>
      </c>
      <c r="S409" s="76"/>
      <c r="T409" s="76"/>
      <c r="U409" s="76">
        <f t="shared" si="190"/>
        <v>0.066</v>
      </c>
      <c r="V409" s="76">
        <f t="shared" si="191"/>
        <v>1.35</v>
      </c>
      <c r="W409" s="76"/>
      <c r="X409" s="583"/>
      <c r="Y409" s="76"/>
      <c r="Z409" s="76"/>
      <c r="AA409" s="76"/>
      <c r="AB409" s="76"/>
      <c r="AC409" s="76"/>
      <c r="AD409" s="136"/>
    </row>
    <row r="410" customHeight="1" spans="1:30">
      <c r="A410" s="76"/>
      <c r="B410" s="212" t="s">
        <v>1284</v>
      </c>
      <c r="C410" s="76" t="s">
        <v>320</v>
      </c>
      <c r="D410" s="76" t="s">
        <v>147</v>
      </c>
      <c r="E410" s="76"/>
      <c r="F410" s="76">
        <f t="shared" si="185"/>
        <v>3</v>
      </c>
      <c r="G410" s="486">
        <v>1</v>
      </c>
      <c r="H410" s="486">
        <v>1</v>
      </c>
      <c r="I410" s="486">
        <v>1</v>
      </c>
      <c r="J410" s="486">
        <v>1</v>
      </c>
      <c r="K410" s="486">
        <v>1</v>
      </c>
      <c r="L410" s="486">
        <v>1</v>
      </c>
      <c r="M410" s="76">
        <v>2018</v>
      </c>
      <c r="N410" s="76">
        <v>2020</v>
      </c>
      <c r="O410" s="76">
        <f t="shared" si="186"/>
        <v>1.416</v>
      </c>
      <c r="P410" s="76">
        <f t="shared" si="187"/>
        <v>0.172</v>
      </c>
      <c r="Q410" s="76">
        <f t="shared" si="188"/>
        <v>0.622</v>
      </c>
      <c r="R410" s="76">
        <f t="shared" si="189"/>
        <v>0.622</v>
      </c>
      <c r="S410" s="76"/>
      <c r="T410" s="76"/>
      <c r="U410" s="76">
        <f t="shared" si="190"/>
        <v>0.066</v>
      </c>
      <c r="V410" s="76">
        <f t="shared" si="191"/>
        <v>1.35</v>
      </c>
      <c r="W410" s="76"/>
      <c r="X410" s="583"/>
      <c r="Y410" s="76"/>
      <c r="Z410" s="76"/>
      <c r="AA410" s="76"/>
      <c r="AB410" s="76"/>
      <c r="AC410" s="76"/>
      <c r="AD410" s="136"/>
    </row>
    <row r="411" customHeight="1" spans="1:30">
      <c r="A411" s="76">
        <v>33</v>
      </c>
      <c r="B411" s="92" t="s">
        <v>276</v>
      </c>
      <c r="C411" s="76" t="s">
        <v>320</v>
      </c>
      <c r="D411" s="76" t="s">
        <v>147</v>
      </c>
      <c r="E411" s="76"/>
      <c r="F411" s="76">
        <f t="shared" ref="F411:L411" si="192">SUM(F412:F416)</f>
        <v>54</v>
      </c>
      <c r="G411" s="76">
        <f t="shared" si="192"/>
        <v>18</v>
      </c>
      <c r="H411" s="76">
        <f t="shared" si="192"/>
        <v>18</v>
      </c>
      <c r="I411" s="76">
        <f t="shared" si="192"/>
        <v>18</v>
      </c>
      <c r="J411" s="76">
        <f t="shared" si="192"/>
        <v>18</v>
      </c>
      <c r="K411" s="76">
        <f t="shared" si="192"/>
        <v>4</v>
      </c>
      <c r="L411" s="76">
        <f t="shared" si="192"/>
        <v>4</v>
      </c>
      <c r="M411" s="76">
        <v>2018</v>
      </c>
      <c r="N411" s="76">
        <v>2020</v>
      </c>
      <c r="O411" s="76">
        <f t="shared" ref="O411:S411" si="193">SUM(O412:O416)</f>
        <v>8.1</v>
      </c>
      <c r="P411" s="76">
        <f t="shared" si="193"/>
        <v>2.7</v>
      </c>
      <c r="Q411" s="76">
        <f t="shared" si="193"/>
        <v>2.7</v>
      </c>
      <c r="R411" s="76">
        <f t="shared" si="193"/>
        <v>2.7</v>
      </c>
      <c r="S411" s="76">
        <f t="shared" si="193"/>
        <v>8.1</v>
      </c>
      <c r="T411" s="76"/>
      <c r="U411" s="76"/>
      <c r="V411" s="76"/>
      <c r="W411" s="76"/>
      <c r="X411" s="583" t="s">
        <v>1038</v>
      </c>
      <c r="Y411" s="76"/>
      <c r="Z411" s="76"/>
      <c r="AA411" s="76" t="s">
        <v>1292</v>
      </c>
      <c r="AB411" s="76" t="s">
        <v>1293</v>
      </c>
      <c r="AC411" s="76" t="s">
        <v>277</v>
      </c>
      <c r="AD411" s="136"/>
    </row>
    <row r="412" customHeight="1" spans="1:30">
      <c r="A412" s="76"/>
      <c r="B412" s="212" t="s">
        <v>1277</v>
      </c>
      <c r="C412" s="76" t="s">
        <v>320</v>
      </c>
      <c r="D412" s="76" t="s">
        <v>147</v>
      </c>
      <c r="E412" s="76"/>
      <c r="F412" s="76">
        <f t="shared" ref="F412:F416" si="194">SUM(G412:I412)</f>
        <v>12</v>
      </c>
      <c r="G412" s="76">
        <v>4</v>
      </c>
      <c r="H412" s="76">
        <v>4</v>
      </c>
      <c r="I412" s="76">
        <v>4</v>
      </c>
      <c r="J412" s="76">
        <v>4</v>
      </c>
      <c r="K412" s="76">
        <v>3</v>
      </c>
      <c r="L412" s="76">
        <v>3</v>
      </c>
      <c r="M412" s="76">
        <v>2018</v>
      </c>
      <c r="N412" s="76">
        <v>2020</v>
      </c>
      <c r="O412" s="76">
        <f t="shared" ref="O412:O416" si="195">SUM(P412:R412)</f>
        <v>1.8</v>
      </c>
      <c r="P412" s="76">
        <f t="shared" ref="P412:P416" si="196">0.15*J412</f>
        <v>0.6</v>
      </c>
      <c r="Q412" s="76">
        <f t="shared" ref="Q412:Q416" si="197">0.15*J412</f>
        <v>0.6</v>
      </c>
      <c r="R412" s="76">
        <f t="shared" ref="R412:R416" si="198">0.15*J412</f>
        <v>0.6</v>
      </c>
      <c r="S412" s="76">
        <f t="shared" ref="S412:S416" si="199">O412</f>
        <v>1.8</v>
      </c>
      <c r="T412" s="76"/>
      <c r="U412" s="76"/>
      <c r="V412" s="76"/>
      <c r="W412" s="76"/>
      <c r="X412" s="583"/>
      <c r="Y412" s="76"/>
      <c r="Z412" s="76"/>
      <c r="AA412" s="76"/>
      <c r="AB412" s="76"/>
      <c r="AC412" s="76"/>
      <c r="AD412" s="136"/>
    </row>
    <row r="413" customHeight="1" spans="1:30">
      <c r="A413" s="76"/>
      <c r="B413" s="212" t="s">
        <v>1279</v>
      </c>
      <c r="C413" s="76" t="s">
        <v>320</v>
      </c>
      <c r="D413" s="76" t="s">
        <v>147</v>
      </c>
      <c r="E413" s="76"/>
      <c r="F413" s="76">
        <f t="shared" si="194"/>
        <v>6</v>
      </c>
      <c r="G413" s="76">
        <v>2</v>
      </c>
      <c r="H413" s="76">
        <v>2</v>
      </c>
      <c r="I413" s="76">
        <v>2</v>
      </c>
      <c r="J413" s="76">
        <v>2</v>
      </c>
      <c r="K413" s="76"/>
      <c r="L413" s="76"/>
      <c r="M413" s="76">
        <v>2018</v>
      </c>
      <c r="N413" s="76">
        <v>2020</v>
      </c>
      <c r="O413" s="76">
        <f t="shared" si="195"/>
        <v>0.9</v>
      </c>
      <c r="P413" s="76">
        <f t="shared" si="196"/>
        <v>0.3</v>
      </c>
      <c r="Q413" s="76">
        <f t="shared" si="197"/>
        <v>0.3</v>
      </c>
      <c r="R413" s="76">
        <f t="shared" si="198"/>
        <v>0.3</v>
      </c>
      <c r="S413" s="76">
        <f t="shared" si="199"/>
        <v>0.9</v>
      </c>
      <c r="T413" s="76"/>
      <c r="U413" s="76"/>
      <c r="V413" s="76"/>
      <c r="W413" s="76"/>
      <c r="X413" s="583"/>
      <c r="Y413" s="76"/>
      <c r="Z413" s="76"/>
      <c r="AA413" s="76"/>
      <c r="AB413" s="76"/>
      <c r="AC413" s="76"/>
      <c r="AD413" s="136"/>
    </row>
    <row r="414" customHeight="1" spans="1:30">
      <c r="A414" s="76"/>
      <c r="B414" s="212" t="s">
        <v>1269</v>
      </c>
      <c r="C414" s="76" t="s">
        <v>320</v>
      </c>
      <c r="D414" s="76" t="s">
        <v>147</v>
      </c>
      <c r="E414" s="76"/>
      <c r="F414" s="76">
        <f t="shared" si="194"/>
        <v>6</v>
      </c>
      <c r="G414" s="76">
        <v>2</v>
      </c>
      <c r="H414" s="76">
        <v>2</v>
      </c>
      <c r="I414" s="76">
        <v>2</v>
      </c>
      <c r="J414" s="76">
        <v>2</v>
      </c>
      <c r="K414" s="76"/>
      <c r="L414" s="76"/>
      <c r="M414" s="76">
        <v>2018</v>
      </c>
      <c r="N414" s="76">
        <v>2020</v>
      </c>
      <c r="O414" s="76">
        <f t="shared" si="195"/>
        <v>0.9</v>
      </c>
      <c r="P414" s="76">
        <f t="shared" si="196"/>
        <v>0.3</v>
      </c>
      <c r="Q414" s="76">
        <f t="shared" si="197"/>
        <v>0.3</v>
      </c>
      <c r="R414" s="76">
        <f t="shared" si="198"/>
        <v>0.3</v>
      </c>
      <c r="S414" s="76">
        <f t="shared" si="199"/>
        <v>0.9</v>
      </c>
      <c r="T414" s="76"/>
      <c r="U414" s="76"/>
      <c r="V414" s="76"/>
      <c r="W414" s="76"/>
      <c r="X414" s="583"/>
      <c r="Y414" s="76"/>
      <c r="Z414" s="76"/>
      <c r="AA414" s="76"/>
      <c r="AB414" s="76"/>
      <c r="AC414" s="76"/>
      <c r="AD414" s="136"/>
    </row>
    <row r="415" customHeight="1" spans="1:30">
      <c r="A415" s="76"/>
      <c r="B415" s="212" t="s">
        <v>1270</v>
      </c>
      <c r="C415" s="76" t="s">
        <v>320</v>
      </c>
      <c r="D415" s="76" t="s">
        <v>147</v>
      </c>
      <c r="E415" s="76"/>
      <c r="F415" s="76">
        <f t="shared" si="194"/>
        <v>18</v>
      </c>
      <c r="G415" s="76">
        <v>6</v>
      </c>
      <c r="H415" s="76">
        <v>6</v>
      </c>
      <c r="I415" s="76">
        <v>6</v>
      </c>
      <c r="J415" s="76">
        <v>6</v>
      </c>
      <c r="K415" s="76">
        <v>1</v>
      </c>
      <c r="L415" s="76">
        <v>1</v>
      </c>
      <c r="M415" s="76">
        <v>2018</v>
      </c>
      <c r="N415" s="76">
        <v>2020</v>
      </c>
      <c r="O415" s="76">
        <f t="shared" si="195"/>
        <v>2.7</v>
      </c>
      <c r="P415" s="76">
        <f t="shared" si="196"/>
        <v>0.9</v>
      </c>
      <c r="Q415" s="76">
        <f t="shared" si="197"/>
        <v>0.9</v>
      </c>
      <c r="R415" s="76">
        <f t="shared" si="198"/>
        <v>0.9</v>
      </c>
      <c r="S415" s="76">
        <f t="shared" si="199"/>
        <v>2.7</v>
      </c>
      <c r="T415" s="76"/>
      <c r="U415" s="76"/>
      <c r="V415" s="76"/>
      <c r="W415" s="76"/>
      <c r="X415" s="583"/>
      <c r="Y415" s="76"/>
      <c r="Z415" s="76"/>
      <c r="AA415" s="76"/>
      <c r="AB415" s="76"/>
      <c r="AC415" s="76"/>
      <c r="AD415" s="136"/>
    </row>
    <row r="416" customHeight="1" spans="1:30">
      <c r="A416" s="76"/>
      <c r="B416" s="212" t="s">
        <v>1284</v>
      </c>
      <c r="C416" s="76" t="s">
        <v>320</v>
      </c>
      <c r="D416" s="76" t="s">
        <v>147</v>
      </c>
      <c r="E416" s="76"/>
      <c r="F416" s="76">
        <f t="shared" si="194"/>
        <v>12</v>
      </c>
      <c r="G416" s="76">
        <v>4</v>
      </c>
      <c r="H416" s="76">
        <v>4</v>
      </c>
      <c r="I416" s="76">
        <v>4</v>
      </c>
      <c r="J416" s="76">
        <v>4</v>
      </c>
      <c r="K416" s="76"/>
      <c r="L416" s="76"/>
      <c r="M416" s="76">
        <v>2018</v>
      </c>
      <c r="N416" s="76">
        <v>2020</v>
      </c>
      <c r="O416" s="76">
        <f t="shared" si="195"/>
        <v>1.8</v>
      </c>
      <c r="P416" s="76">
        <f t="shared" si="196"/>
        <v>0.6</v>
      </c>
      <c r="Q416" s="76">
        <f t="shared" si="197"/>
        <v>0.6</v>
      </c>
      <c r="R416" s="76">
        <f t="shared" si="198"/>
        <v>0.6</v>
      </c>
      <c r="S416" s="76">
        <f t="shared" si="199"/>
        <v>1.8</v>
      </c>
      <c r="T416" s="76"/>
      <c r="U416" s="76"/>
      <c r="V416" s="76"/>
      <c r="W416" s="76"/>
      <c r="X416" s="583"/>
      <c r="Y416" s="76"/>
      <c r="Z416" s="76"/>
      <c r="AA416" s="76"/>
      <c r="AB416" s="76"/>
      <c r="AC416" s="76"/>
      <c r="AD416" s="136"/>
    </row>
    <row r="417" customHeight="1" spans="1:30">
      <c r="A417" s="76"/>
      <c r="B417" s="92" t="s">
        <v>1297</v>
      </c>
      <c r="C417" s="76" t="s">
        <v>320</v>
      </c>
      <c r="D417" s="76" t="s">
        <v>147</v>
      </c>
      <c r="E417" s="76"/>
      <c r="F417" s="76">
        <f t="shared" ref="F417:L417" si="200">SUM(F418:F434)</f>
        <v>51</v>
      </c>
      <c r="G417" s="76">
        <f t="shared" si="200"/>
        <v>17</v>
      </c>
      <c r="H417" s="76">
        <f t="shared" si="200"/>
        <v>17</v>
      </c>
      <c r="I417" s="76">
        <f t="shared" si="200"/>
        <v>17</v>
      </c>
      <c r="J417" s="76">
        <f t="shared" si="200"/>
        <v>17</v>
      </c>
      <c r="K417" s="76">
        <f t="shared" si="200"/>
        <v>17</v>
      </c>
      <c r="L417" s="76">
        <f t="shared" si="200"/>
        <v>17</v>
      </c>
      <c r="M417" s="76">
        <v>2018</v>
      </c>
      <c r="N417" s="76">
        <v>2020</v>
      </c>
      <c r="O417" s="76">
        <f t="shared" ref="O417:W417" si="201">SUM(O418:O434)</f>
        <v>24.072</v>
      </c>
      <c r="P417" s="76">
        <f t="shared" si="201"/>
        <v>2.924</v>
      </c>
      <c r="Q417" s="76">
        <f t="shared" si="201"/>
        <v>10.574</v>
      </c>
      <c r="R417" s="76">
        <f t="shared" si="201"/>
        <v>10.574</v>
      </c>
      <c r="S417" s="76">
        <f t="shared" si="201"/>
        <v>0</v>
      </c>
      <c r="T417" s="76">
        <f t="shared" si="201"/>
        <v>0</v>
      </c>
      <c r="U417" s="76">
        <f t="shared" si="201"/>
        <v>1.122</v>
      </c>
      <c r="V417" s="76">
        <f t="shared" si="201"/>
        <v>22.95</v>
      </c>
      <c r="W417" s="76">
        <f t="shared" si="201"/>
        <v>0</v>
      </c>
      <c r="X417" s="583"/>
      <c r="Y417" s="76"/>
      <c r="Z417" s="76"/>
      <c r="AA417" s="76" t="s">
        <v>1292</v>
      </c>
      <c r="AB417" s="76" t="s">
        <v>1293</v>
      </c>
      <c r="AC417" s="76" t="s">
        <v>1298</v>
      </c>
      <c r="AD417" s="136"/>
    </row>
    <row r="418" customHeight="1" spans="1:30">
      <c r="A418" s="76"/>
      <c r="B418" s="212" t="s">
        <v>1265</v>
      </c>
      <c r="C418" s="76"/>
      <c r="D418" s="76"/>
      <c r="E418" s="76"/>
      <c r="F418" s="76">
        <f t="shared" ref="F418:F434" si="202">SUM(G418:I418)</f>
        <v>3</v>
      </c>
      <c r="G418" s="486">
        <v>1</v>
      </c>
      <c r="H418" s="486">
        <v>1</v>
      </c>
      <c r="I418" s="486">
        <v>1</v>
      </c>
      <c r="J418" s="486">
        <v>1</v>
      </c>
      <c r="K418" s="486">
        <v>1</v>
      </c>
      <c r="L418" s="486">
        <v>1</v>
      </c>
      <c r="M418" s="76">
        <v>2018</v>
      </c>
      <c r="N418" s="76">
        <v>2020</v>
      </c>
      <c r="O418" s="76">
        <f t="shared" ref="O418:O434" si="203">SUM(P418:R418)</f>
        <v>1.416</v>
      </c>
      <c r="P418" s="76">
        <f t="shared" ref="P418:P434" si="204">0.172*J418</f>
        <v>0.172</v>
      </c>
      <c r="Q418" s="76">
        <f t="shared" ref="Q418:Q434" si="205">0.622*J418</f>
        <v>0.622</v>
      </c>
      <c r="R418" s="76">
        <f t="shared" ref="R418:R434" si="206">0.622*J418</f>
        <v>0.622</v>
      </c>
      <c r="S418" s="76"/>
      <c r="T418" s="76"/>
      <c r="U418" s="76">
        <f t="shared" ref="U418:U434" si="207">0.022*3*J418</f>
        <v>0.066</v>
      </c>
      <c r="V418" s="76">
        <f t="shared" ref="V418:V434" si="208">O418-U418</f>
        <v>1.35</v>
      </c>
      <c r="W418" s="76"/>
      <c r="X418" s="583"/>
      <c r="Y418" s="76"/>
      <c r="Z418" s="76"/>
      <c r="AA418" s="76"/>
      <c r="AB418" s="76"/>
      <c r="AC418" s="76"/>
      <c r="AD418" s="136"/>
    </row>
    <row r="419" customHeight="1" spans="1:30">
      <c r="A419" s="76"/>
      <c r="B419" s="212" t="s">
        <v>1266</v>
      </c>
      <c r="C419" s="76"/>
      <c r="D419" s="76"/>
      <c r="E419" s="76"/>
      <c r="F419" s="76">
        <f t="shared" si="202"/>
        <v>3</v>
      </c>
      <c r="G419" s="486">
        <v>1</v>
      </c>
      <c r="H419" s="486">
        <v>1</v>
      </c>
      <c r="I419" s="486">
        <v>1</v>
      </c>
      <c r="J419" s="486">
        <v>1</v>
      </c>
      <c r="K419" s="486">
        <v>1</v>
      </c>
      <c r="L419" s="486">
        <v>1</v>
      </c>
      <c r="M419" s="76">
        <v>2018</v>
      </c>
      <c r="N419" s="76">
        <v>2020</v>
      </c>
      <c r="O419" s="76">
        <f t="shared" si="203"/>
        <v>1.416</v>
      </c>
      <c r="P419" s="76">
        <f t="shared" si="204"/>
        <v>0.172</v>
      </c>
      <c r="Q419" s="76">
        <f t="shared" si="205"/>
        <v>0.622</v>
      </c>
      <c r="R419" s="76">
        <f t="shared" si="206"/>
        <v>0.622</v>
      </c>
      <c r="S419" s="76"/>
      <c r="T419" s="76"/>
      <c r="U419" s="76">
        <f t="shared" si="207"/>
        <v>0.066</v>
      </c>
      <c r="V419" s="76">
        <f t="shared" si="208"/>
        <v>1.35</v>
      </c>
      <c r="W419" s="76"/>
      <c r="X419" s="583"/>
      <c r="Y419" s="76"/>
      <c r="Z419" s="76"/>
      <c r="AA419" s="76"/>
      <c r="AB419" s="76"/>
      <c r="AC419" s="76"/>
      <c r="AD419" s="136"/>
    </row>
    <row r="420" customHeight="1" spans="1:30">
      <c r="A420" s="76"/>
      <c r="B420" s="212" t="s">
        <v>1267</v>
      </c>
      <c r="C420" s="76"/>
      <c r="D420" s="76"/>
      <c r="E420" s="76"/>
      <c r="F420" s="76">
        <f t="shared" si="202"/>
        <v>3</v>
      </c>
      <c r="G420" s="486">
        <v>1</v>
      </c>
      <c r="H420" s="486">
        <v>1</v>
      </c>
      <c r="I420" s="486">
        <v>1</v>
      </c>
      <c r="J420" s="486">
        <v>1</v>
      </c>
      <c r="K420" s="486">
        <v>1</v>
      </c>
      <c r="L420" s="486">
        <v>1</v>
      </c>
      <c r="M420" s="76">
        <v>2018</v>
      </c>
      <c r="N420" s="76">
        <v>2020</v>
      </c>
      <c r="O420" s="76">
        <f t="shared" si="203"/>
        <v>1.416</v>
      </c>
      <c r="P420" s="76">
        <f t="shared" si="204"/>
        <v>0.172</v>
      </c>
      <c r="Q420" s="76">
        <f t="shared" si="205"/>
        <v>0.622</v>
      </c>
      <c r="R420" s="76">
        <f t="shared" si="206"/>
        <v>0.622</v>
      </c>
      <c r="S420" s="76"/>
      <c r="T420" s="76"/>
      <c r="U420" s="76">
        <f t="shared" si="207"/>
        <v>0.066</v>
      </c>
      <c r="V420" s="76">
        <f t="shared" si="208"/>
        <v>1.35</v>
      </c>
      <c r="W420" s="76"/>
      <c r="X420" s="583"/>
      <c r="Y420" s="76"/>
      <c r="Z420" s="76"/>
      <c r="AA420" s="76"/>
      <c r="AB420" s="76"/>
      <c r="AC420" s="76"/>
      <c r="AD420" s="136"/>
    </row>
    <row r="421" customHeight="1" spans="1:30">
      <c r="A421" s="76"/>
      <c r="B421" s="212" t="s">
        <v>1268</v>
      </c>
      <c r="C421" s="76"/>
      <c r="D421" s="76"/>
      <c r="E421" s="76"/>
      <c r="F421" s="76">
        <f t="shared" si="202"/>
        <v>3</v>
      </c>
      <c r="G421" s="486">
        <v>1</v>
      </c>
      <c r="H421" s="486">
        <v>1</v>
      </c>
      <c r="I421" s="486">
        <v>1</v>
      </c>
      <c r="J421" s="486">
        <v>1</v>
      </c>
      <c r="K421" s="486">
        <v>1</v>
      </c>
      <c r="L421" s="486">
        <v>1</v>
      </c>
      <c r="M421" s="76">
        <v>2018</v>
      </c>
      <c r="N421" s="76">
        <v>2020</v>
      </c>
      <c r="O421" s="76">
        <f t="shared" si="203"/>
        <v>1.416</v>
      </c>
      <c r="P421" s="76">
        <f t="shared" si="204"/>
        <v>0.172</v>
      </c>
      <c r="Q421" s="76">
        <f t="shared" si="205"/>
        <v>0.622</v>
      </c>
      <c r="R421" s="76">
        <f t="shared" si="206"/>
        <v>0.622</v>
      </c>
      <c r="S421" s="76"/>
      <c r="T421" s="76"/>
      <c r="U421" s="76">
        <f t="shared" si="207"/>
        <v>0.066</v>
      </c>
      <c r="V421" s="76">
        <f t="shared" si="208"/>
        <v>1.35</v>
      </c>
      <c r="W421" s="76"/>
      <c r="X421" s="583"/>
      <c r="Y421" s="76"/>
      <c r="Z421" s="76"/>
      <c r="AA421" s="76"/>
      <c r="AB421" s="76"/>
      <c r="AC421" s="76"/>
      <c r="AD421" s="136"/>
    </row>
    <row r="422" customHeight="1" spans="1:30">
      <c r="A422" s="76"/>
      <c r="B422" s="212" t="s">
        <v>1275</v>
      </c>
      <c r="C422" s="76"/>
      <c r="D422" s="76"/>
      <c r="E422" s="76"/>
      <c r="F422" s="76">
        <f t="shared" si="202"/>
        <v>3</v>
      </c>
      <c r="G422" s="486">
        <v>1</v>
      </c>
      <c r="H422" s="486">
        <v>1</v>
      </c>
      <c r="I422" s="486">
        <v>1</v>
      </c>
      <c r="J422" s="486">
        <v>1</v>
      </c>
      <c r="K422" s="486">
        <v>1</v>
      </c>
      <c r="L422" s="486">
        <v>1</v>
      </c>
      <c r="M422" s="76">
        <v>2018</v>
      </c>
      <c r="N422" s="76">
        <v>2020</v>
      </c>
      <c r="O422" s="76">
        <f t="shared" si="203"/>
        <v>1.416</v>
      </c>
      <c r="P422" s="76">
        <f t="shared" si="204"/>
        <v>0.172</v>
      </c>
      <c r="Q422" s="76">
        <f t="shared" si="205"/>
        <v>0.622</v>
      </c>
      <c r="R422" s="76">
        <f t="shared" si="206"/>
        <v>0.622</v>
      </c>
      <c r="S422" s="76"/>
      <c r="T422" s="76"/>
      <c r="U422" s="76">
        <f t="shared" si="207"/>
        <v>0.066</v>
      </c>
      <c r="V422" s="76">
        <f t="shared" si="208"/>
        <v>1.35</v>
      </c>
      <c r="W422" s="76"/>
      <c r="X422" s="583"/>
      <c r="Y422" s="76"/>
      <c r="Z422" s="76"/>
      <c r="AA422" s="76"/>
      <c r="AB422" s="76"/>
      <c r="AC422" s="76"/>
      <c r="AD422" s="136"/>
    </row>
    <row r="423" customHeight="1" spans="1:30">
      <c r="A423" s="76"/>
      <c r="B423" s="212" t="s">
        <v>1276</v>
      </c>
      <c r="C423" s="76"/>
      <c r="D423" s="76"/>
      <c r="E423" s="76"/>
      <c r="F423" s="76">
        <f t="shared" si="202"/>
        <v>3</v>
      </c>
      <c r="G423" s="486">
        <v>1</v>
      </c>
      <c r="H423" s="486">
        <v>1</v>
      </c>
      <c r="I423" s="486">
        <v>1</v>
      </c>
      <c r="J423" s="486">
        <v>1</v>
      </c>
      <c r="K423" s="486">
        <v>1</v>
      </c>
      <c r="L423" s="486">
        <v>1</v>
      </c>
      <c r="M423" s="76">
        <v>2018</v>
      </c>
      <c r="N423" s="76">
        <v>2020</v>
      </c>
      <c r="O423" s="76">
        <f t="shared" si="203"/>
        <v>1.416</v>
      </c>
      <c r="P423" s="76">
        <f t="shared" si="204"/>
        <v>0.172</v>
      </c>
      <c r="Q423" s="76">
        <f t="shared" si="205"/>
        <v>0.622</v>
      </c>
      <c r="R423" s="76">
        <f t="shared" si="206"/>
        <v>0.622</v>
      </c>
      <c r="S423" s="76"/>
      <c r="T423" s="76"/>
      <c r="U423" s="76">
        <f t="shared" si="207"/>
        <v>0.066</v>
      </c>
      <c r="V423" s="76">
        <f t="shared" si="208"/>
        <v>1.35</v>
      </c>
      <c r="W423" s="76"/>
      <c r="X423" s="583"/>
      <c r="Y423" s="76"/>
      <c r="Z423" s="76"/>
      <c r="AA423" s="76"/>
      <c r="AB423" s="76"/>
      <c r="AC423" s="76"/>
      <c r="AD423" s="136"/>
    </row>
    <row r="424" customHeight="1" spans="1:30">
      <c r="A424" s="76"/>
      <c r="B424" s="212" t="s">
        <v>1277</v>
      </c>
      <c r="C424" s="76"/>
      <c r="D424" s="76"/>
      <c r="E424" s="76"/>
      <c r="F424" s="76">
        <f t="shared" si="202"/>
        <v>3</v>
      </c>
      <c r="G424" s="486">
        <v>1</v>
      </c>
      <c r="H424" s="486">
        <v>1</v>
      </c>
      <c r="I424" s="486">
        <v>1</v>
      </c>
      <c r="J424" s="486">
        <v>1</v>
      </c>
      <c r="K424" s="486">
        <v>1</v>
      </c>
      <c r="L424" s="486">
        <v>1</v>
      </c>
      <c r="M424" s="76">
        <v>2018</v>
      </c>
      <c r="N424" s="76">
        <v>2020</v>
      </c>
      <c r="O424" s="76">
        <f t="shared" si="203"/>
        <v>1.416</v>
      </c>
      <c r="P424" s="76">
        <f t="shared" si="204"/>
        <v>0.172</v>
      </c>
      <c r="Q424" s="76">
        <f t="shared" si="205"/>
        <v>0.622</v>
      </c>
      <c r="R424" s="76">
        <f t="shared" si="206"/>
        <v>0.622</v>
      </c>
      <c r="S424" s="76"/>
      <c r="T424" s="76"/>
      <c r="U424" s="76">
        <f t="shared" si="207"/>
        <v>0.066</v>
      </c>
      <c r="V424" s="76">
        <f t="shared" si="208"/>
        <v>1.35</v>
      </c>
      <c r="W424" s="76"/>
      <c r="X424" s="583"/>
      <c r="Y424" s="76"/>
      <c r="Z424" s="76"/>
      <c r="AA424" s="76"/>
      <c r="AB424" s="76"/>
      <c r="AC424" s="76"/>
      <c r="AD424" s="136"/>
    </row>
    <row r="425" customHeight="1" spans="1:30">
      <c r="A425" s="76"/>
      <c r="B425" s="212" t="s">
        <v>1278</v>
      </c>
      <c r="C425" s="76"/>
      <c r="D425" s="76"/>
      <c r="E425" s="76"/>
      <c r="F425" s="76">
        <f t="shared" si="202"/>
        <v>3</v>
      </c>
      <c r="G425" s="486">
        <v>1</v>
      </c>
      <c r="H425" s="486">
        <v>1</v>
      </c>
      <c r="I425" s="486">
        <v>1</v>
      </c>
      <c r="J425" s="486">
        <v>1</v>
      </c>
      <c r="K425" s="486">
        <v>1</v>
      </c>
      <c r="L425" s="486">
        <v>1</v>
      </c>
      <c r="M425" s="76">
        <v>2018</v>
      </c>
      <c r="N425" s="76">
        <v>2020</v>
      </c>
      <c r="O425" s="76">
        <f t="shared" si="203"/>
        <v>1.416</v>
      </c>
      <c r="P425" s="76">
        <f t="shared" si="204"/>
        <v>0.172</v>
      </c>
      <c r="Q425" s="76">
        <f t="shared" si="205"/>
        <v>0.622</v>
      </c>
      <c r="R425" s="76">
        <f t="shared" si="206"/>
        <v>0.622</v>
      </c>
      <c r="S425" s="76"/>
      <c r="T425" s="76"/>
      <c r="U425" s="76">
        <f t="shared" si="207"/>
        <v>0.066</v>
      </c>
      <c r="V425" s="76">
        <f t="shared" si="208"/>
        <v>1.35</v>
      </c>
      <c r="W425" s="76"/>
      <c r="X425" s="583"/>
      <c r="Y425" s="76"/>
      <c r="Z425" s="76"/>
      <c r="AA425" s="76"/>
      <c r="AB425" s="76"/>
      <c r="AC425" s="76"/>
      <c r="AD425" s="136"/>
    </row>
    <row r="426" customHeight="1" spans="1:30">
      <c r="A426" s="76"/>
      <c r="B426" s="212" t="s">
        <v>1279</v>
      </c>
      <c r="C426" s="76"/>
      <c r="D426" s="76"/>
      <c r="E426" s="76"/>
      <c r="F426" s="76">
        <f t="shared" si="202"/>
        <v>3</v>
      </c>
      <c r="G426" s="486">
        <v>1</v>
      </c>
      <c r="H426" s="486">
        <v>1</v>
      </c>
      <c r="I426" s="486">
        <v>1</v>
      </c>
      <c r="J426" s="486">
        <v>1</v>
      </c>
      <c r="K426" s="486">
        <v>1</v>
      </c>
      <c r="L426" s="486">
        <v>1</v>
      </c>
      <c r="M426" s="76">
        <v>2018</v>
      </c>
      <c r="N426" s="76">
        <v>2020</v>
      </c>
      <c r="O426" s="76">
        <f t="shared" si="203"/>
        <v>1.416</v>
      </c>
      <c r="P426" s="76">
        <f t="shared" si="204"/>
        <v>0.172</v>
      </c>
      <c r="Q426" s="76">
        <f t="shared" si="205"/>
        <v>0.622</v>
      </c>
      <c r="R426" s="76">
        <f t="shared" si="206"/>
        <v>0.622</v>
      </c>
      <c r="S426" s="76"/>
      <c r="T426" s="76"/>
      <c r="U426" s="76">
        <f t="shared" si="207"/>
        <v>0.066</v>
      </c>
      <c r="V426" s="76">
        <f t="shared" si="208"/>
        <v>1.35</v>
      </c>
      <c r="W426" s="76"/>
      <c r="X426" s="583"/>
      <c r="Y426" s="76"/>
      <c r="Z426" s="76"/>
      <c r="AA426" s="76"/>
      <c r="AB426" s="76"/>
      <c r="AC426" s="76"/>
      <c r="AD426" s="136"/>
    </row>
    <row r="427" customHeight="1" spans="1:30">
      <c r="A427" s="76"/>
      <c r="B427" s="212" t="s">
        <v>1280</v>
      </c>
      <c r="C427" s="76"/>
      <c r="D427" s="76"/>
      <c r="E427" s="76"/>
      <c r="F427" s="76">
        <f t="shared" si="202"/>
        <v>3</v>
      </c>
      <c r="G427" s="486">
        <v>1</v>
      </c>
      <c r="H427" s="486">
        <v>1</v>
      </c>
      <c r="I427" s="486">
        <v>1</v>
      </c>
      <c r="J427" s="486">
        <v>1</v>
      </c>
      <c r="K427" s="486">
        <v>1</v>
      </c>
      <c r="L427" s="486">
        <v>1</v>
      </c>
      <c r="M427" s="76">
        <v>2018</v>
      </c>
      <c r="N427" s="76">
        <v>2020</v>
      </c>
      <c r="O427" s="76">
        <f t="shared" si="203"/>
        <v>1.416</v>
      </c>
      <c r="P427" s="76">
        <f t="shared" si="204"/>
        <v>0.172</v>
      </c>
      <c r="Q427" s="76">
        <f t="shared" si="205"/>
        <v>0.622</v>
      </c>
      <c r="R427" s="76">
        <f t="shared" si="206"/>
        <v>0.622</v>
      </c>
      <c r="S427" s="76"/>
      <c r="T427" s="76"/>
      <c r="U427" s="76">
        <f t="shared" si="207"/>
        <v>0.066</v>
      </c>
      <c r="V427" s="76">
        <f t="shared" si="208"/>
        <v>1.35</v>
      </c>
      <c r="W427" s="76"/>
      <c r="X427" s="583"/>
      <c r="Y427" s="76"/>
      <c r="Z427" s="76"/>
      <c r="AA427" s="76"/>
      <c r="AB427" s="76"/>
      <c r="AC427" s="76"/>
      <c r="AD427" s="136"/>
    </row>
    <row r="428" customHeight="1" spans="1:30">
      <c r="A428" s="76"/>
      <c r="B428" s="212" t="s">
        <v>1269</v>
      </c>
      <c r="C428" s="76"/>
      <c r="D428" s="76"/>
      <c r="E428" s="76"/>
      <c r="F428" s="76">
        <f t="shared" si="202"/>
        <v>3</v>
      </c>
      <c r="G428" s="486">
        <v>1</v>
      </c>
      <c r="H428" s="486">
        <v>1</v>
      </c>
      <c r="I428" s="486">
        <v>1</v>
      </c>
      <c r="J428" s="486">
        <v>1</v>
      </c>
      <c r="K428" s="486">
        <v>1</v>
      </c>
      <c r="L428" s="486">
        <v>1</v>
      </c>
      <c r="M428" s="76">
        <v>2018</v>
      </c>
      <c r="N428" s="76">
        <v>2020</v>
      </c>
      <c r="O428" s="76">
        <f t="shared" si="203"/>
        <v>1.416</v>
      </c>
      <c r="P428" s="76">
        <f t="shared" si="204"/>
        <v>0.172</v>
      </c>
      <c r="Q428" s="76">
        <f t="shared" si="205"/>
        <v>0.622</v>
      </c>
      <c r="R428" s="76">
        <f t="shared" si="206"/>
        <v>0.622</v>
      </c>
      <c r="S428" s="76"/>
      <c r="T428" s="76"/>
      <c r="U428" s="76">
        <f t="shared" si="207"/>
        <v>0.066</v>
      </c>
      <c r="V428" s="76">
        <f t="shared" si="208"/>
        <v>1.35</v>
      </c>
      <c r="W428" s="76"/>
      <c r="X428" s="583"/>
      <c r="Y428" s="76"/>
      <c r="Z428" s="76"/>
      <c r="AA428" s="76"/>
      <c r="AB428" s="76"/>
      <c r="AC428" s="76"/>
      <c r="AD428" s="136"/>
    </row>
    <row r="429" customHeight="1" spans="1:30">
      <c r="A429" s="76"/>
      <c r="B429" s="212" t="s">
        <v>1270</v>
      </c>
      <c r="C429" s="76"/>
      <c r="D429" s="76"/>
      <c r="E429" s="76"/>
      <c r="F429" s="76">
        <f t="shared" si="202"/>
        <v>3</v>
      </c>
      <c r="G429" s="486">
        <v>1</v>
      </c>
      <c r="H429" s="486">
        <v>1</v>
      </c>
      <c r="I429" s="486">
        <v>1</v>
      </c>
      <c r="J429" s="486">
        <v>1</v>
      </c>
      <c r="K429" s="486">
        <v>1</v>
      </c>
      <c r="L429" s="486">
        <v>1</v>
      </c>
      <c r="M429" s="76">
        <v>2018</v>
      </c>
      <c r="N429" s="76">
        <v>2020</v>
      </c>
      <c r="O429" s="76">
        <f t="shared" si="203"/>
        <v>1.416</v>
      </c>
      <c r="P429" s="76">
        <f t="shared" si="204"/>
        <v>0.172</v>
      </c>
      <c r="Q429" s="76">
        <f t="shared" si="205"/>
        <v>0.622</v>
      </c>
      <c r="R429" s="76">
        <f t="shared" si="206"/>
        <v>0.622</v>
      </c>
      <c r="S429" s="76"/>
      <c r="T429" s="76"/>
      <c r="U429" s="76">
        <f t="shared" si="207"/>
        <v>0.066</v>
      </c>
      <c r="V429" s="76">
        <f t="shared" si="208"/>
        <v>1.35</v>
      </c>
      <c r="W429" s="76"/>
      <c r="X429" s="583"/>
      <c r="Y429" s="76"/>
      <c r="Z429" s="76"/>
      <c r="AA429" s="76"/>
      <c r="AB429" s="76"/>
      <c r="AC429" s="76"/>
      <c r="AD429" s="136"/>
    </row>
    <row r="430" customHeight="1" spans="1:30">
      <c r="A430" s="76"/>
      <c r="B430" s="212" t="s">
        <v>1281</v>
      </c>
      <c r="C430" s="76"/>
      <c r="D430" s="76"/>
      <c r="E430" s="76"/>
      <c r="F430" s="76">
        <f t="shared" si="202"/>
        <v>3</v>
      </c>
      <c r="G430" s="486">
        <v>1</v>
      </c>
      <c r="H430" s="486">
        <v>1</v>
      </c>
      <c r="I430" s="486">
        <v>1</v>
      </c>
      <c r="J430" s="486">
        <v>1</v>
      </c>
      <c r="K430" s="486">
        <v>1</v>
      </c>
      <c r="L430" s="486">
        <v>1</v>
      </c>
      <c r="M430" s="76">
        <v>2018</v>
      </c>
      <c r="N430" s="76">
        <v>2020</v>
      </c>
      <c r="O430" s="76">
        <f t="shared" si="203"/>
        <v>1.416</v>
      </c>
      <c r="P430" s="76">
        <f t="shared" si="204"/>
        <v>0.172</v>
      </c>
      <c r="Q430" s="76">
        <f t="shared" si="205"/>
        <v>0.622</v>
      </c>
      <c r="R430" s="76">
        <f t="shared" si="206"/>
        <v>0.622</v>
      </c>
      <c r="S430" s="76"/>
      <c r="T430" s="76"/>
      <c r="U430" s="76">
        <f t="shared" si="207"/>
        <v>0.066</v>
      </c>
      <c r="V430" s="76">
        <f t="shared" si="208"/>
        <v>1.35</v>
      </c>
      <c r="W430" s="76"/>
      <c r="X430" s="583"/>
      <c r="Y430" s="76"/>
      <c r="Z430" s="76"/>
      <c r="AA430" s="76"/>
      <c r="AB430" s="76"/>
      <c r="AC430" s="76"/>
      <c r="AD430" s="136"/>
    </row>
    <row r="431" customHeight="1" spans="1:30">
      <c r="A431" s="76"/>
      <c r="B431" s="212" t="s">
        <v>1271</v>
      </c>
      <c r="C431" s="76"/>
      <c r="D431" s="76"/>
      <c r="E431" s="76"/>
      <c r="F431" s="76">
        <f t="shared" si="202"/>
        <v>3</v>
      </c>
      <c r="G431" s="486">
        <v>1</v>
      </c>
      <c r="H431" s="486">
        <v>1</v>
      </c>
      <c r="I431" s="486">
        <v>1</v>
      </c>
      <c r="J431" s="486">
        <v>1</v>
      </c>
      <c r="K431" s="486">
        <v>1</v>
      </c>
      <c r="L431" s="486">
        <v>1</v>
      </c>
      <c r="M431" s="76">
        <v>2018</v>
      </c>
      <c r="N431" s="76">
        <v>2020</v>
      </c>
      <c r="O431" s="76">
        <f t="shared" si="203"/>
        <v>1.416</v>
      </c>
      <c r="P431" s="76">
        <f t="shared" si="204"/>
        <v>0.172</v>
      </c>
      <c r="Q431" s="76">
        <f t="shared" si="205"/>
        <v>0.622</v>
      </c>
      <c r="R431" s="76">
        <f t="shared" si="206"/>
        <v>0.622</v>
      </c>
      <c r="S431" s="76"/>
      <c r="T431" s="76"/>
      <c r="U431" s="76">
        <f t="shared" si="207"/>
        <v>0.066</v>
      </c>
      <c r="V431" s="76">
        <f t="shared" si="208"/>
        <v>1.35</v>
      </c>
      <c r="W431" s="76"/>
      <c r="X431" s="583"/>
      <c r="Y431" s="76"/>
      <c r="Z431" s="76"/>
      <c r="AA431" s="76"/>
      <c r="AB431" s="76"/>
      <c r="AC431" s="76"/>
      <c r="AD431" s="136"/>
    </row>
    <row r="432" customHeight="1" spans="1:30">
      <c r="A432" s="76"/>
      <c r="B432" s="212" t="s">
        <v>1282</v>
      </c>
      <c r="C432" s="76"/>
      <c r="D432" s="76"/>
      <c r="E432" s="76"/>
      <c r="F432" s="76">
        <f t="shared" si="202"/>
        <v>3</v>
      </c>
      <c r="G432" s="486">
        <v>1</v>
      </c>
      <c r="H432" s="486">
        <v>1</v>
      </c>
      <c r="I432" s="486">
        <v>1</v>
      </c>
      <c r="J432" s="486">
        <v>1</v>
      </c>
      <c r="K432" s="486">
        <v>1</v>
      </c>
      <c r="L432" s="486">
        <v>1</v>
      </c>
      <c r="M432" s="76">
        <v>2018</v>
      </c>
      <c r="N432" s="76">
        <v>2020</v>
      </c>
      <c r="O432" s="76">
        <f t="shared" si="203"/>
        <v>1.416</v>
      </c>
      <c r="P432" s="76">
        <f t="shared" si="204"/>
        <v>0.172</v>
      </c>
      <c r="Q432" s="76">
        <f t="shared" si="205"/>
        <v>0.622</v>
      </c>
      <c r="R432" s="76">
        <f t="shared" si="206"/>
        <v>0.622</v>
      </c>
      <c r="S432" s="76"/>
      <c r="T432" s="76"/>
      <c r="U432" s="76">
        <f t="shared" si="207"/>
        <v>0.066</v>
      </c>
      <c r="V432" s="76">
        <f t="shared" si="208"/>
        <v>1.35</v>
      </c>
      <c r="W432" s="76"/>
      <c r="X432" s="583"/>
      <c r="Y432" s="76"/>
      <c r="Z432" s="76"/>
      <c r="AA432" s="76"/>
      <c r="AB432" s="76"/>
      <c r="AC432" s="76"/>
      <c r="AD432" s="136"/>
    </row>
    <row r="433" customHeight="1" spans="1:30">
      <c r="A433" s="76"/>
      <c r="B433" s="212" t="s">
        <v>1283</v>
      </c>
      <c r="C433" s="76"/>
      <c r="D433" s="76"/>
      <c r="E433" s="76"/>
      <c r="F433" s="76">
        <f t="shared" si="202"/>
        <v>3</v>
      </c>
      <c r="G433" s="486">
        <v>1</v>
      </c>
      <c r="H433" s="486">
        <v>1</v>
      </c>
      <c r="I433" s="486">
        <v>1</v>
      </c>
      <c r="J433" s="486">
        <v>1</v>
      </c>
      <c r="K433" s="486">
        <v>1</v>
      </c>
      <c r="L433" s="486">
        <v>1</v>
      </c>
      <c r="M433" s="76">
        <v>2018</v>
      </c>
      <c r="N433" s="76">
        <v>2020</v>
      </c>
      <c r="O433" s="76">
        <f t="shared" si="203"/>
        <v>1.416</v>
      </c>
      <c r="P433" s="76">
        <f t="shared" si="204"/>
        <v>0.172</v>
      </c>
      <c r="Q433" s="76">
        <f t="shared" si="205"/>
        <v>0.622</v>
      </c>
      <c r="R433" s="76">
        <f t="shared" si="206"/>
        <v>0.622</v>
      </c>
      <c r="S433" s="76"/>
      <c r="T433" s="76"/>
      <c r="U433" s="76">
        <f t="shared" si="207"/>
        <v>0.066</v>
      </c>
      <c r="V433" s="76">
        <f t="shared" si="208"/>
        <v>1.35</v>
      </c>
      <c r="W433" s="76"/>
      <c r="X433" s="583"/>
      <c r="Y433" s="76"/>
      <c r="Z433" s="76"/>
      <c r="AA433" s="76"/>
      <c r="AB433" s="76"/>
      <c r="AC433" s="76"/>
      <c r="AD433" s="136"/>
    </row>
    <row r="434" customHeight="1" spans="1:30">
      <c r="A434" s="76"/>
      <c r="B434" s="212" t="s">
        <v>1284</v>
      </c>
      <c r="C434" s="76"/>
      <c r="D434" s="76"/>
      <c r="E434" s="76"/>
      <c r="F434" s="76">
        <f t="shared" si="202"/>
        <v>3</v>
      </c>
      <c r="G434" s="486">
        <v>1</v>
      </c>
      <c r="H434" s="486">
        <v>1</v>
      </c>
      <c r="I434" s="486">
        <v>1</v>
      </c>
      <c r="J434" s="486">
        <v>1</v>
      </c>
      <c r="K434" s="486">
        <v>1</v>
      </c>
      <c r="L434" s="486">
        <v>1</v>
      </c>
      <c r="M434" s="76">
        <v>2018</v>
      </c>
      <c r="N434" s="76">
        <v>2020</v>
      </c>
      <c r="O434" s="76">
        <f t="shared" si="203"/>
        <v>1.416</v>
      </c>
      <c r="P434" s="76">
        <f t="shared" si="204"/>
        <v>0.172</v>
      </c>
      <c r="Q434" s="76">
        <f t="shared" si="205"/>
        <v>0.622</v>
      </c>
      <c r="R434" s="76">
        <f t="shared" si="206"/>
        <v>0.622</v>
      </c>
      <c r="S434" s="76"/>
      <c r="T434" s="76"/>
      <c r="U434" s="76">
        <f t="shared" si="207"/>
        <v>0.066</v>
      </c>
      <c r="V434" s="76">
        <f t="shared" si="208"/>
        <v>1.35</v>
      </c>
      <c r="W434" s="76"/>
      <c r="X434" s="583"/>
      <c r="Y434" s="76"/>
      <c r="Z434" s="76"/>
      <c r="AA434" s="76"/>
      <c r="AB434" s="76"/>
      <c r="AC434" s="76"/>
      <c r="AD434" s="136"/>
    </row>
    <row r="435" customHeight="1" spans="1:30">
      <c r="A435" s="76"/>
      <c r="B435" s="92" t="s">
        <v>1299</v>
      </c>
      <c r="C435" s="76" t="s">
        <v>320</v>
      </c>
      <c r="D435" s="76" t="s">
        <v>147</v>
      </c>
      <c r="E435" s="76"/>
      <c r="F435" s="76">
        <f t="shared" ref="F435:L435" si="209">SUM(F436:F452)</f>
        <v>51</v>
      </c>
      <c r="G435" s="76">
        <f t="shared" si="209"/>
        <v>17</v>
      </c>
      <c r="H435" s="76">
        <f t="shared" si="209"/>
        <v>17</v>
      </c>
      <c r="I435" s="76">
        <f t="shared" si="209"/>
        <v>17</v>
      </c>
      <c r="J435" s="76">
        <f t="shared" si="209"/>
        <v>17</v>
      </c>
      <c r="K435" s="76">
        <f t="shared" si="209"/>
        <v>17</v>
      </c>
      <c r="L435" s="76">
        <f t="shared" si="209"/>
        <v>17</v>
      </c>
      <c r="M435" s="76">
        <v>2018</v>
      </c>
      <c r="N435" s="76">
        <v>2020</v>
      </c>
      <c r="O435" s="76">
        <f t="shared" ref="O435:W435" si="210">SUM(O436:O452)</f>
        <v>24.072</v>
      </c>
      <c r="P435" s="76">
        <f t="shared" si="210"/>
        <v>2.924</v>
      </c>
      <c r="Q435" s="76">
        <f t="shared" si="210"/>
        <v>10.574</v>
      </c>
      <c r="R435" s="76">
        <f t="shared" si="210"/>
        <v>10.574</v>
      </c>
      <c r="S435" s="76">
        <f t="shared" si="210"/>
        <v>0</v>
      </c>
      <c r="T435" s="76">
        <f t="shared" si="210"/>
        <v>0</v>
      </c>
      <c r="U435" s="76">
        <f t="shared" si="210"/>
        <v>1.122</v>
      </c>
      <c r="V435" s="76">
        <f t="shared" si="210"/>
        <v>22.95</v>
      </c>
      <c r="W435" s="76">
        <f t="shared" si="210"/>
        <v>0</v>
      </c>
      <c r="X435" s="583"/>
      <c r="Y435" s="76"/>
      <c r="Z435" s="76"/>
      <c r="AA435" s="76" t="s">
        <v>1292</v>
      </c>
      <c r="AB435" s="76" t="s">
        <v>1293</v>
      </c>
      <c r="AC435" s="76" t="s">
        <v>1298</v>
      </c>
      <c r="AD435" s="136"/>
    </row>
    <row r="436" customHeight="1" spans="1:30">
      <c r="A436" s="76"/>
      <c r="B436" s="212" t="s">
        <v>1265</v>
      </c>
      <c r="C436" s="76"/>
      <c r="D436" s="76"/>
      <c r="E436" s="76"/>
      <c r="F436" s="76">
        <f t="shared" ref="F436:F452" si="211">SUM(G436:I436)</f>
        <v>3</v>
      </c>
      <c r="G436" s="486">
        <v>1</v>
      </c>
      <c r="H436" s="486">
        <v>1</v>
      </c>
      <c r="I436" s="486">
        <v>1</v>
      </c>
      <c r="J436" s="486">
        <v>1</v>
      </c>
      <c r="K436" s="486">
        <v>1</v>
      </c>
      <c r="L436" s="486">
        <v>1</v>
      </c>
      <c r="M436" s="76">
        <v>2018</v>
      </c>
      <c r="N436" s="76">
        <v>2020</v>
      </c>
      <c r="O436" s="76">
        <f t="shared" ref="O436:O452" si="212">SUM(P436:R436)</f>
        <v>1.416</v>
      </c>
      <c r="P436" s="76">
        <f t="shared" ref="P436:P452" si="213">0.172*J436</f>
        <v>0.172</v>
      </c>
      <c r="Q436" s="76">
        <f t="shared" ref="Q436:Q452" si="214">0.622*J436</f>
        <v>0.622</v>
      </c>
      <c r="R436" s="76">
        <f t="shared" ref="R436:R452" si="215">0.622*J436</f>
        <v>0.622</v>
      </c>
      <c r="S436" s="76"/>
      <c r="T436" s="76"/>
      <c r="U436" s="76">
        <f t="shared" ref="U436:U452" si="216">0.022*3*J436</f>
        <v>0.066</v>
      </c>
      <c r="V436" s="76">
        <f t="shared" ref="V436:V452" si="217">O436-U436</f>
        <v>1.35</v>
      </c>
      <c r="W436" s="76"/>
      <c r="X436" s="583"/>
      <c r="Y436" s="76"/>
      <c r="Z436" s="76"/>
      <c r="AA436" s="76"/>
      <c r="AB436" s="76"/>
      <c r="AC436" s="76"/>
      <c r="AD436" s="136"/>
    </row>
    <row r="437" customHeight="1" spans="1:30">
      <c r="A437" s="76"/>
      <c r="B437" s="212" t="s">
        <v>1266</v>
      </c>
      <c r="C437" s="76"/>
      <c r="D437" s="76"/>
      <c r="E437" s="76"/>
      <c r="F437" s="76">
        <f t="shared" si="211"/>
        <v>3</v>
      </c>
      <c r="G437" s="486">
        <v>1</v>
      </c>
      <c r="H437" s="486">
        <v>1</v>
      </c>
      <c r="I437" s="486">
        <v>1</v>
      </c>
      <c r="J437" s="486">
        <v>1</v>
      </c>
      <c r="K437" s="486">
        <v>1</v>
      </c>
      <c r="L437" s="486">
        <v>1</v>
      </c>
      <c r="M437" s="76">
        <v>2018</v>
      </c>
      <c r="N437" s="76">
        <v>2020</v>
      </c>
      <c r="O437" s="76">
        <f t="shared" si="212"/>
        <v>1.416</v>
      </c>
      <c r="P437" s="76">
        <f t="shared" si="213"/>
        <v>0.172</v>
      </c>
      <c r="Q437" s="76">
        <f t="shared" si="214"/>
        <v>0.622</v>
      </c>
      <c r="R437" s="76">
        <f t="shared" si="215"/>
        <v>0.622</v>
      </c>
      <c r="S437" s="76"/>
      <c r="T437" s="76"/>
      <c r="U437" s="76">
        <f t="shared" si="216"/>
        <v>0.066</v>
      </c>
      <c r="V437" s="76">
        <f t="shared" si="217"/>
        <v>1.35</v>
      </c>
      <c r="W437" s="76"/>
      <c r="X437" s="583"/>
      <c r="Y437" s="76"/>
      <c r="Z437" s="76"/>
      <c r="AA437" s="76"/>
      <c r="AB437" s="76"/>
      <c r="AC437" s="76"/>
      <c r="AD437" s="136"/>
    </row>
    <row r="438" customHeight="1" spans="1:30">
      <c r="A438" s="76"/>
      <c r="B438" s="212" t="s">
        <v>1267</v>
      </c>
      <c r="C438" s="76"/>
      <c r="D438" s="76"/>
      <c r="E438" s="76"/>
      <c r="F438" s="76">
        <f t="shared" si="211"/>
        <v>3</v>
      </c>
      <c r="G438" s="486">
        <v>1</v>
      </c>
      <c r="H438" s="486">
        <v>1</v>
      </c>
      <c r="I438" s="486">
        <v>1</v>
      </c>
      <c r="J438" s="486">
        <v>1</v>
      </c>
      <c r="K438" s="486">
        <v>1</v>
      </c>
      <c r="L438" s="486">
        <v>1</v>
      </c>
      <c r="M438" s="76">
        <v>2018</v>
      </c>
      <c r="N438" s="76">
        <v>2020</v>
      </c>
      <c r="O438" s="76">
        <f t="shared" si="212"/>
        <v>1.416</v>
      </c>
      <c r="P438" s="76">
        <f t="shared" si="213"/>
        <v>0.172</v>
      </c>
      <c r="Q438" s="76">
        <f t="shared" si="214"/>
        <v>0.622</v>
      </c>
      <c r="R438" s="76">
        <f t="shared" si="215"/>
        <v>0.622</v>
      </c>
      <c r="S438" s="76"/>
      <c r="T438" s="76"/>
      <c r="U438" s="76">
        <f t="shared" si="216"/>
        <v>0.066</v>
      </c>
      <c r="V438" s="76">
        <f t="shared" si="217"/>
        <v>1.35</v>
      </c>
      <c r="W438" s="76"/>
      <c r="X438" s="583"/>
      <c r="Y438" s="76"/>
      <c r="Z438" s="76"/>
      <c r="AA438" s="76"/>
      <c r="AB438" s="76"/>
      <c r="AC438" s="76"/>
      <c r="AD438" s="136"/>
    </row>
    <row r="439" customHeight="1" spans="1:30">
      <c r="A439" s="76"/>
      <c r="B439" s="212" t="s">
        <v>1268</v>
      </c>
      <c r="C439" s="76"/>
      <c r="D439" s="76"/>
      <c r="E439" s="76"/>
      <c r="F439" s="76">
        <f t="shared" si="211"/>
        <v>3</v>
      </c>
      <c r="G439" s="486">
        <v>1</v>
      </c>
      <c r="H439" s="486">
        <v>1</v>
      </c>
      <c r="I439" s="486">
        <v>1</v>
      </c>
      <c r="J439" s="486">
        <v>1</v>
      </c>
      <c r="K439" s="486">
        <v>1</v>
      </c>
      <c r="L439" s="486">
        <v>1</v>
      </c>
      <c r="M439" s="76">
        <v>2018</v>
      </c>
      <c r="N439" s="76">
        <v>2020</v>
      </c>
      <c r="O439" s="76">
        <f t="shared" si="212"/>
        <v>1.416</v>
      </c>
      <c r="P439" s="76">
        <f t="shared" si="213"/>
        <v>0.172</v>
      </c>
      <c r="Q439" s="76">
        <f t="shared" si="214"/>
        <v>0.622</v>
      </c>
      <c r="R439" s="76">
        <f t="shared" si="215"/>
        <v>0.622</v>
      </c>
      <c r="S439" s="76"/>
      <c r="T439" s="76"/>
      <c r="U439" s="76">
        <f t="shared" si="216"/>
        <v>0.066</v>
      </c>
      <c r="V439" s="76">
        <f t="shared" si="217"/>
        <v>1.35</v>
      </c>
      <c r="W439" s="76"/>
      <c r="X439" s="583"/>
      <c r="Y439" s="76"/>
      <c r="Z439" s="76"/>
      <c r="AA439" s="76"/>
      <c r="AB439" s="76"/>
      <c r="AC439" s="76"/>
      <c r="AD439" s="136"/>
    </row>
    <row r="440" customHeight="1" spans="1:30">
      <c r="A440" s="76"/>
      <c r="B440" s="212" t="s">
        <v>1275</v>
      </c>
      <c r="C440" s="76"/>
      <c r="D440" s="76"/>
      <c r="E440" s="76"/>
      <c r="F440" s="76">
        <f t="shared" si="211"/>
        <v>3</v>
      </c>
      <c r="G440" s="486">
        <v>1</v>
      </c>
      <c r="H440" s="486">
        <v>1</v>
      </c>
      <c r="I440" s="486">
        <v>1</v>
      </c>
      <c r="J440" s="486">
        <v>1</v>
      </c>
      <c r="K440" s="486">
        <v>1</v>
      </c>
      <c r="L440" s="486">
        <v>1</v>
      </c>
      <c r="M440" s="76">
        <v>2018</v>
      </c>
      <c r="N440" s="76">
        <v>2020</v>
      </c>
      <c r="O440" s="76">
        <f t="shared" si="212"/>
        <v>1.416</v>
      </c>
      <c r="P440" s="76">
        <f t="shared" si="213"/>
        <v>0.172</v>
      </c>
      <c r="Q440" s="76">
        <f t="shared" si="214"/>
        <v>0.622</v>
      </c>
      <c r="R440" s="76">
        <f t="shared" si="215"/>
        <v>0.622</v>
      </c>
      <c r="S440" s="76"/>
      <c r="T440" s="76"/>
      <c r="U440" s="76">
        <f t="shared" si="216"/>
        <v>0.066</v>
      </c>
      <c r="V440" s="76">
        <f t="shared" si="217"/>
        <v>1.35</v>
      </c>
      <c r="W440" s="76"/>
      <c r="X440" s="583"/>
      <c r="Y440" s="76"/>
      <c r="Z440" s="76"/>
      <c r="AA440" s="76"/>
      <c r="AB440" s="76"/>
      <c r="AC440" s="76"/>
      <c r="AD440" s="136"/>
    </row>
    <row r="441" customHeight="1" spans="1:30">
      <c r="A441" s="76"/>
      <c r="B441" s="212" t="s">
        <v>1276</v>
      </c>
      <c r="C441" s="76"/>
      <c r="D441" s="76"/>
      <c r="E441" s="76"/>
      <c r="F441" s="76">
        <f t="shared" si="211"/>
        <v>3</v>
      </c>
      <c r="G441" s="486">
        <v>1</v>
      </c>
      <c r="H441" s="486">
        <v>1</v>
      </c>
      <c r="I441" s="486">
        <v>1</v>
      </c>
      <c r="J441" s="486">
        <v>1</v>
      </c>
      <c r="K441" s="486">
        <v>1</v>
      </c>
      <c r="L441" s="486">
        <v>1</v>
      </c>
      <c r="M441" s="76">
        <v>2018</v>
      </c>
      <c r="N441" s="76">
        <v>2020</v>
      </c>
      <c r="O441" s="76">
        <f t="shared" si="212"/>
        <v>1.416</v>
      </c>
      <c r="P441" s="76">
        <f t="shared" si="213"/>
        <v>0.172</v>
      </c>
      <c r="Q441" s="76">
        <f t="shared" si="214"/>
        <v>0.622</v>
      </c>
      <c r="R441" s="76">
        <f t="shared" si="215"/>
        <v>0.622</v>
      </c>
      <c r="S441" s="76"/>
      <c r="T441" s="76"/>
      <c r="U441" s="76">
        <f t="shared" si="216"/>
        <v>0.066</v>
      </c>
      <c r="V441" s="76">
        <f t="shared" si="217"/>
        <v>1.35</v>
      </c>
      <c r="W441" s="76"/>
      <c r="X441" s="583"/>
      <c r="Y441" s="76"/>
      <c r="Z441" s="76"/>
      <c r="AA441" s="76"/>
      <c r="AB441" s="76"/>
      <c r="AC441" s="76"/>
      <c r="AD441" s="136"/>
    </row>
    <row r="442" customHeight="1" spans="1:30">
      <c r="A442" s="76"/>
      <c r="B442" s="212" t="s">
        <v>1277</v>
      </c>
      <c r="C442" s="76"/>
      <c r="D442" s="76"/>
      <c r="E442" s="76"/>
      <c r="F442" s="76">
        <f t="shared" si="211"/>
        <v>3</v>
      </c>
      <c r="G442" s="486">
        <v>1</v>
      </c>
      <c r="H442" s="486">
        <v>1</v>
      </c>
      <c r="I442" s="486">
        <v>1</v>
      </c>
      <c r="J442" s="486">
        <v>1</v>
      </c>
      <c r="K442" s="486">
        <v>1</v>
      </c>
      <c r="L442" s="486">
        <v>1</v>
      </c>
      <c r="M442" s="76">
        <v>2018</v>
      </c>
      <c r="N442" s="76">
        <v>2020</v>
      </c>
      <c r="O442" s="76">
        <f t="shared" si="212"/>
        <v>1.416</v>
      </c>
      <c r="P442" s="76">
        <f t="shared" si="213"/>
        <v>0.172</v>
      </c>
      <c r="Q442" s="76">
        <f t="shared" si="214"/>
        <v>0.622</v>
      </c>
      <c r="R442" s="76">
        <f t="shared" si="215"/>
        <v>0.622</v>
      </c>
      <c r="S442" s="76"/>
      <c r="T442" s="76"/>
      <c r="U442" s="76">
        <f t="shared" si="216"/>
        <v>0.066</v>
      </c>
      <c r="V442" s="76">
        <f t="shared" si="217"/>
        <v>1.35</v>
      </c>
      <c r="W442" s="76"/>
      <c r="X442" s="583"/>
      <c r="Y442" s="76"/>
      <c r="Z442" s="76"/>
      <c r="AA442" s="76"/>
      <c r="AB442" s="76"/>
      <c r="AC442" s="76"/>
      <c r="AD442" s="136"/>
    </row>
    <row r="443" customHeight="1" spans="1:30">
      <c r="A443" s="76"/>
      <c r="B443" s="212" t="s">
        <v>1278</v>
      </c>
      <c r="C443" s="76"/>
      <c r="D443" s="76"/>
      <c r="E443" s="76"/>
      <c r="F443" s="76">
        <f t="shared" si="211"/>
        <v>3</v>
      </c>
      <c r="G443" s="486">
        <v>1</v>
      </c>
      <c r="H443" s="486">
        <v>1</v>
      </c>
      <c r="I443" s="486">
        <v>1</v>
      </c>
      <c r="J443" s="486">
        <v>1</v>
      </c>
      <c r="K443" s="486">
        <v>1</v>
      </c>
      <c r="L443" s="486">
        <v>1</v>
      </c>
      <c r="M443" s="76">
        <v>2018</v>
      </c>
      <c r="N443" s="76">
        <v>2020</v>
      </c>
      <c r="O443" s="76">
        <f t="shared" si="212"/>
        <v>1.416</v>
      </c>
      <c r="P443" s="76">
        <f t="shared" si="213"/>
        <v>0.172</v>
      </c>
      <c r="Q443" s="76">
        <f t="shared" si="214"/>
        <v>0.622</v>
      </c>
      <c r="R443" s="76">
        <f t="shared" si="215"/>
        <v>0.622</v>
      </c>
      <c r="S443" s="76"/>
      <c r="T443" s="76"/>
      <c r="U443" s="76">
        <f t="shared" si="216"/>
        <v>0.066</v>
      </c>
      <c r="V443" s="76">
        <f t="shared" si="217"/>
        <v>1.35</v>
      </c>
      <c r="W443" s="76"/>
      <c r="X443" s="583"/>
      <c r="Y443" s="76"/>
      <c r="Z443" s="76"/>
      <c r="AA443" s="76"/>
      <c r="AB443" s="76"/>
      <c r="AC443" s="76"/>
      <c r="AD443" s="136"/>
    </row>
    <row r="444" customHeight="1" spans="1:30">
      <c r="A444" s="76"/>
      <c r="B444" s="212" t="s">
        <v>1279</v>
      </c>
      <c r="C444" s="76"/>
      <c r="D444" s="76"/>
      <c r="E444" s="76"/>
      <c r="F444" s="76">
        <f t="shared" si="211"/>
        <v>3</v>
      </c>
      <c r="G444" s="486">
        <v>1</v>
      </c>
      <c r="H444" s="486">
        <v>1</v>
      </c>
      <c r="I444" s="486">
        <v>1</v>
      </c>
      <c r="J444" s="486">
        <v>1</v>
      </c>
      <c r="K444" s="486">
        <v>1</v>
      </c>
      <c r="L444" s="486">
        <v>1</v>
      </c>
      <c r="M444" s="76">
        <v>2018</v>
      </c>
      <c r="N444" s="76">
        <v>2020</v>
      </c>
      <c r="O444" s="76">
        <f t="shared" si="212"/>
        <v>1.416</v>
      </c>
      <c r="P444" s="76">
        <f t="shared" si="213"/>
        <v>0.172</v>
      </c>
      <c r="Q444" s="76">
        <f t="shared" si="214"/>
        <v>0.622</v>
      </c>
      <c r="R444" s="76">
        <f t="shared" si="215"/>
        <v>0.622</v>
      </c>
      <c r="S444" s="76"/>
      <c r="T444" s="76"/>
      <c r="U444" s="76">
        <f t="shared" si="216"/>
        <v>0.066</v>
      </c>
      <c r="V444" s="76">
        <f t="shared" si="217"/>
        <v>1.35</v>
      </c>
      <c r="W444" s="76"/>
      <c r="X444" s="583"/>
      <c r="Y444" s="76"/>
      <c r="Z444" s="76"/>
      <c r="AA444" s="76"/>
      <c r="AB444" s="76"/>
      <c r="AC444" s="76"/>
      <c r="AD444" s="136"/>
    </row>
    <row r="445" customHeight="1" spans="1:30">
      <c r="A445" s="76"/>
      <c r="B445" s="212" t="s">
        <v>1280</v>
      </c>
      <c r="C445" s="76"/>
      <c r="D445" s="76"/>
      <c r="E445" s="76"/>
      <c r="F445" s="76">
        <f t="shared" si="211"/>
        <v>3</v>
      </c>
      <c r="G445" s="486">
        <v>1</v>
      </c>
      <c r="H445" s="486">
        <v>1</v>
      </c>
      <c r="I445" s="486">
        <v>1</v>
      </c>
      <c r="J445" s="486">
        <v>1</v>
      </c>
      <c r="K445" s="486">
        <v>1</v>
      </c>
      <c r="L445" s="486">
        <v>1</v>
      </c>
      <c r="M445" s="76">
        <v>2018</v>
      </c>
      <c r="N445" s="76">
        <v>2020</v>
      </c>
      <c r="O445" s="76">
        <f t="shared" si="212"/>
        <v>1.416</v>
      </c>
      <c r="P445" s="76">
        <f t="shared" si="213"/>
        <v>0.172</v>
      </c>
      <c r="Q445" s="76">
        <f t="shared" si="214"/>
        <v>0.622</v>
      </c>
      <c r="R445" s="76">
        <f t="shared" si="215"/>
        <v>0.622</v>
      </c>
      <c r="S445" s="76"/>
      <c r="T445" s="76"/>
      <c r="U445" s="76">
        <f t="shared" si="216"/>
        <v>0.066</v>
      </c>
      <c r="V445" s="76">
        <f t="shared" si="217"/>
        <v>1.35</v>
      </c>
      <c r="W445" s="76"/>
      <c r="X445" s="583"/>
      <c r="Y445" s="76"/>
      <c r="Z445" s="76"/>
      <c r="AA445" s="76"/>
      <c r="AB445" s="76"/>
      <c r="AC445" s="76"/>
      <c r="AD445" s="136"/>
    </row>
    <row r="446" customHeight="1" spans="1:30">
      <c r="A446" s="76"/>
      <c r="B446" s="212" t="s">
        <v>1269</v>
      </c>
      <c r="C446" s="76"/>
      <c r="D446" s="76"/>
      <c r="E446" s="76"/>
      <c r="F446" s="76">
        <f t="shared" si="211"/>
        <v>3</v>
      </c>
      <c r="G446" s="486">
        <v>1</v>
      </c>
      <c r="H446" s="486">
        <v>1</v>
      </c>
      <c r="I446" s="486">
        <v>1</v>
      </c>
      <c r="J446" s="486">
        <v>1</v>
      </c>
      <c r="K446" s="486">
        <v>1</v>
      </c>
      <c r="L446" s="486">
        <v>1</v>
      </c>
      <c r="M446" s="76">
        <v>2018</v>
      </c>
      <c r="N446" s="76">
        <v>2020</v>
      </c>
      <c r="O446" s="76">
        <f t="shared" si="212"/>
        <v>1.416</v>
      </c>
      <c r="P446" s="76">
        <f t="shared" si="213"/>
        <v>0.172</v>
      </c>
      <c r="Q446" s="76">
        <f t="shared" si="214"/>
        <v>0.622</v>
      </c>
      <c r="R446" s="76">
        <f t="shared" si="215"/>
        <v>0.622</v>
      </c>
      <c r="S446" s="76"/>
      <c r="T446" s="76"/>
      <c r="U446" s="76">
        <f t="shared" si="216"/>
        <v>0.066</v>
      </c>
      <c r="V446" s="76">
        <f t="shared" si="217"/>
        <v>1.35</v>
      </c>
      <c r="W446" s="76"/>
      <c r="X446" s="583"/>
      <c r="Y446" s="76"/>
      <c r="Z446" s="76"/>
      <c r="AA446" s="76"/>
      <c r="AB446" s="76"/>
      <c r="AC446" s="76"/>
      <c r="AD446" s="136"/>
    </row>
    <row r="447" customHeight="1" spans="1:30">
      <c r="A447" s="76"/>
      <c r="B447" s="212" t="s">
        <v>1270</v>
      </c>
      <c r="C447" s="76"/>
      <c r="D447" s="76"/>
      <c r="E447" s="76"/>
      <c r="F447" s="76">
        <f t="shared" si="211"/>
        <v>3</v>
      </c>
      <c r="G447" s="486">
        <v>1</v>
      </c>
      <c r="H447" s="486">
        <v>1</v>
      </c>
      <c r="I447" s="486">
        <v>1</v>
      </c>
      <c r="J447" s="486">
        <v>1</v>
      </c>
      <c r="K447" s="486">
        <v>1</v>
      </c>
      <c r="L447" s="486">
        <v>1</v>
      </c>
      <c r="M447" s="76">
        <v>2018</v>
      </c>
      <c r="N447" s="76">
        <v>2020</v>
      </c>
      <c r="O447" s="76">
        <f t="shared" si="212"/>
        <v>1.416</v>
      </c>
      <c r="P447" s="76">
        <f t="shared" si="213"/>
        <v>0.172</v>
      </c>
      <c r="Q447" s="76">
        <f t="shared" si="214"/>
        <v>0.622</v>
      </c>
      <c r="R447" s="76">
        <f t="shared" si="215"/>
        <v>0.622</v>
      </c>
      <c r="S447" s="76"/>
      <c r="T447" s="76"/>
      <c r="U447" s="76">
        <f t="shared" si="216"/>
        <v>0.066</v>
      </c>
      <c r="V447" s="76">
        <f t="shared" si="217"/>
        <v>1.35</v>
      </c>
      <c r="W447" s="76"/>
      <c r="X447" s="583"/>
      <c r="Y447" s="76"/>
      <c r="Z447" s="76"/>
      <c r="AA447" s="76"/>
      <c r="AB447" s="76"/>
      <c r="AC447" s="76"/>
      <c r="AD447" s="136"/>
    </row>
    <row r="448" customHeight="1" spans="1:30">
      <c r="A448" s="76"/>
      <c r="B448" s="212" t="s">
        <v>1281</v>
      </c>
      <c r="C448" s="76"/>
      <c r="D448" s="76"/>
      <c r="E448" s="76"/>
      <c r="F448" s="76">
        <f t="shared" si="211"/>
        <v>3</v>
      </c>
      <c r="G448" s="486">
        <v>1</v>
      </c>
      <c r="H448" s="486">
        <v>1</v>
      </c>
      <c r="I448" s="486">
        <v>1</v>
      </c>
      <c r="J448" s="486">
        <v>1</v>
      </c>
      <c r="K448" s="486">
        <v>1</v>
      </c>
      <c r="L448" s="486">
        <v>1</v>
      </c>
      <c r="M448" s="76">
        <v>2018</v>
      </c>
      <c r="N448" s="76">
        <v>2020</v>
      </c>
      <c r="O448" s="76">
        <f t="shared" si="212"/>
        <v>1.416</v>
      </c>
      <c r="P448" s="76">
        <f t="shared" si="213"/>
        <v>0.172</v>
      </c>
      <c r="Q448" s="76">
        <f t="shared" si="214"/>
        <v>0.622</v>
      </c>
      <c r="R448" s="76">
        <f t="shared" si="215"/>
        <v>0.622</v>
      </c>
      <c r="S448" s="76"/>
      <c r="T448" s="76"/>
      <c r="U448" s="76">
        <f t="shared" si="216"/>
        <v>0.066</v>
      </c>
      <c r="V448" s="76">
        <f t="shared" si="217"/>
        <v>1.35</v>
      </c>
      <c r="W448" s="76"/>
      <c r="X448" s="583"/>
      <c r="Y448" s="76"/>
      <c r="Z448" s="76"/>
      <c r="AA448" s="76"/>
      <c r="AB448" s="76"/>
      <c r="AC448" s="76"/>
      <c r="AD448" s="136"/>
    </row>
    <row r="449" customHeight="1" spans="1:30">
      <c r="A449" s="76"/>
      <c r="B449" s="212" t="s">
        <v>1271</v>
      </c>
      <c r="C449" s="76"/>
      <c r="D449" s="76"/>
      <c r="E449" s="76"/>
      <c r="F449" s="76">
        <f t="shared" si="211"/>
        <v>3</v>
      </c>
      <c r="G449" s="486">
        <v>1</v>
      </c>
      <c r="H449" s="486">
        <v>1</v>
      </c>
      <c r="I449" s="486">
        <v>1</v>
      </c>
      <c r="J449" s="486">
        <v>1</v>
      </c>
      <c r="K449" s="486">
        <v>1</v>
      </c>
      <c r="L449" s="486">
        <v>1</v>
      </c>
      <c r="M449" s="76">
        <v>2018</v>
      </c>
      <c r="N449" s="76">
        <v>2020</v>
      </c>
      <c r="O449" s="76">
        <f t="shared" si="212"/>
        <v>1.416</v>
      </c>
      <c r="P449" s="76">
        <f t="shared" si="213"/>
        <v>0.172</v>
      </c>
      <c r="Q449" s="76">
        <f t="shared" si="214"/>
        <v>0.622</v>
      </c>
      <c r="R449" s="76">
        <f t="shared" si="215"/>
        <v>0.622</v>
      </c>
      <c r="S449" s="76"/>
      <c r="T449" s="76"/>
      <c r="U449" s="76">
        <f t="shared" si="216"/>
        <v>0.066</v>
      </c>
      <c r="V449" s="76">
        <f t="shared" si="217"/>
        <v>1.35</v>
      </c>
      <c r="W449" s="76"/>
      <c r="X449" s="583"/>
      <c r="Y449" s="76"/>
      <c r="Z449" s="76"/>
      <c r="AA449" s="76"/>
      <c r="AB449" s="76"/>
      <c r="AC449" s="76"/>
      <c r="AD449" s="136"/>
    </row>
    <row r="450" customHeight="1" spans="1:30">
      <c r="A450" s="76"/>
      <c r="B450" s="212" t="s">
        <v>1282</v>
      </c>
      <c r="C450" s="76"/>
      <c r="D450" s="76"/>
      <c r="E450" s="76"/>
      <c r="F450" s="76">
        <f t="shared" si="211"/>
        <v>3</v>
      </c>
      <c r="G450" s="486">
        <v>1</v>
      </c>
      <c r="H450" s="486">
        <v>1</v>
      </c>
      <c r="I450" s="486">
        <v>1</v>
      </c>
      <c r="J450" s="486">
        <v>1</v>
      </c>
      <c r="K450" s="486">
        <v>1</v>
      </c>
      <c r="L450" s="486">
        <v>1</v>
      </c>
      <c r="M450" s="76">
        <v>2018</v>
      </c>
      <c r="N450" s="76">
        <v>2020</v>
      </c>
      <c r="O450" s="76">
        <f t="shared" si="212"/>
        <v>1.416</v>
      </c>
      <c r="P450" s="76">
        <f t="shared" si="213"/>
        <v>0.172</v>
      </c>
      <c r="Q450" s="76">
        <f t="shared" si="214"/>
        <v>0.622</v>
      </c>
      <c r="R450" s="76">
        <f t="shared" si="215"/>
        <v>0.622</v>
      </c>
      <c r="S450" s="76"/>
      <c r="T450" s="76"/>
      <c r="U450" s="76">
        <f t="shared" si="216"/>
        <v>0.066</v>
      </c>
      <c r="V450" s="76">
        <f t="shared" si="217"/>
        <v>1.35</v>
      </c>
      <c r="W450" s="76"/>
      <c r="X450" s="583"/>
      <c r="Y450" s="76"/>
      <c r="Z450" s="76"/>
      <c r="AA450" s="76"/>
      <c r="AB450" s="76"/>
      <c r="AC450" s="76"/>
      <c r="AD450" s="136"/>
    </row>
    <row r="451" customHeight="1" spans="1:30">
      <c r="A451" s="76"/>
      <c r="B451" s="212" t="s">
        <v>1283</v>
      </c>
      <c r="C451" s="76"/>
      <c r="D451" s="76"/>
      <c r="E451" s="76"/>
      <c r="F451" s="76">
        <f t="shared" si="211"/>
        <v>3</v>
      </c>
      <c r="G451" s="486">
        <v>1</v>
      </c>
      <c r="H451" s="486">
        <v>1</v>
      </c>
      <c r="I451" s="486">
        <v>1</v>
      </c>
      <c r="J451" s="486">
        <v>1</v>
      </c>
      <c r="K451" s="486">
        <v>1</v>
      </c>
      <c r="L451" s="486">
        <v>1</v>
      </c>
      <c r="M451" s="76">
        <v>2018</v>
      </c>
      <c r="N451" s="76">
        <v>2020</v>
      </c>
      <c r="O451" s="76">
        <f t="shared" si="212"/>
        <v>1.416</v>
      </c>
      <c r="P451" s="76">
        <f t="shared" si="213"/>
        <v>0.172</v>
      </c>
      <c r="Q451" s="76">
        <f t="shared" si="214"/>
        <v>0.622</v>
      </c>
      <c r="R451" s="76">
        <f t="shared" si="215"/>
        <v>0.622</v>
      </c>
      <c r="S451" s="76"/>
      <c r="T451" s="76"/>
      <c r="U451" s="76">
        <f t="shared" si="216"/>
        <v>0.066</v>
      </c>
      <c r="V451" s="76">
        <f t="shared" si="217"/>
        <v>1.35</v>
      </c>
      <c r="W451" s="76"/>
      <c r="X451" s="583"/>
      <c r="Y451" s="76"/>
      <c r="Z451" s="76"/>
      <c r="AA451" s="76"/>
      <c r="AB451" s="76"/>
      <c r="AC451" s="76"/>
      <c r="AD451" s="136"/>
    </row>
    <row r="452" customHeight="1" spans="1:30">
      <c r="A452" s="76"/>
      <c r="B452" s="212" t="s">
        <v>1284</v>
      </c>
      <c r="C452" s="76"/>
      <c r="D452" s="76"/>
      <c r="E452" s="76"/>
      <c r="F452" s="76">
        <f t="shared" si="211"/>
        <v>3</v>
      </c>
      <c r="G452" s="486">
        <v>1</v>
      </c>
      <c r="H452" s="486">
        <v>1</v>
      </c>
      <c r="I452" s="486">
        <v>1</v>
      </c>
      <c r="J452" s="486">
        <v>1</v>
      </c>
      <c r="K452" s="486">
        <v>1</v>
      </c>
      <c r="L452" s="486">
        <v>1</v>
      </c>
      <c r="M452" s="76">
        <v>2018</v>
      </c>
      <c r="N452" s="76">
        <v>2020</v>
      </c>
      <c r="O452" s="76">
        <f t="shared" si="212"/>
        <v>1.416</v>
      </c>
      <c r="P452" s="76">
        <f t="shared" si="213"/>
        <v>0.172</v>
      </c>
      <c r="Q452" s="76">
        <f t="shared" si="214"/>
        <v>0.622</v>
      </c>
      <c r="R452" s="76">
        <f t="shared" si="215"/>
        <v>0.622</v>
      </c>
      <c r="S452" s="76"/>
      <c r="T452" s="76"/>
      <c r="U452" s="76">
        <f t="shared" si="216"/>
        <v>0.066</v>
      </c>
      <c r="V452" s="76">
        <f t="shared" si="217"/>
        <v>1.35</v>
      </c>
      <c r="W452" s="76"/>
      <c r="X452" s="583"/>
      <c r="Y452" s="76"/>
      <c r="Z452" s="76"/>
      <c r="AA452" s="76"/>
      <c r="AB452" s="76"/>
      <c r="AC452" s="76"/>
      <c r="AD452" s="136"/>
    </row>
    <row r="453" customHeight="1" spans="1:30">
      <c r="A453" s="76"/>
      <c r="B453" s="92" t="s">
        <v>1300</v>
      </c>
      <c r="C453" s="76" t="s">
        <v>320</v>
      </c>
      <c r="D453" s="76" t="s">
        <v>147</v>
      </c>
      <c r="E453" s="76"/>
      <c r="F453" s="76">
        <f t="shared" ref="F453:L453" si="218">SUM(F454:F470)</f>
        <v>51</v>
      </c>
      <c r="G453" s="76">
        <f t="shared" si="218"/>
        <v>17</v>
      </c>
      <c r="H453" s="76">
        <f t="shared" si="218"/>
        <v>17</v>
      </c>
      <c r="I453" s="76">
        <f t="shared" si="218"/>
        <v>17</v>
      </c>
      <c r="J453" s="76">
        <f t="shared" si="218"/>
        <v>17</v>
      </c>
      <c r="K453" s="76">
        <f t="shared" si="218"/>
        <v>17</v>
      </c>
      <c r="L453" s="76">
        <f t="shared" si="218"/>
        <v>17</v>
      </c>
      <c r="M453" s="76">
        <v>2018</v>
      </c>
      <c r="N453" s="76">
        <v>2020</v>
      </c>
      <c r="O453" s="76">
        <f t="shared" ref="O453:W453" si="219">SUM(O454:O470)</f>
        <v>24.072</v>
      </c>
      <c r="P453" s="76">
        <f t="shared" si="219"/>
        <v>2.924</v>
      </c>
      <c r="Q453" s="76">
        <f t="shared" si="219"/>
        <v>10.574</v>
      </c>
      <c r="R453" s="76">
        <f t="shared" si="219"/>
        <v>10.574</v>
      </c>
      <c r="S453" s="76">
        <f t="shared" si="219"/>
        <v>0</v>
      </c>
      <c r="T453" s="76">
        <f t="shared" si="219"/>
        <v>0</v>
      </c>
      <c r="U453" s="76">
        <f t="shared" si="219"/>
        <v>1.122</v>
      </c>
      <c r="V453" s="76">
        <f t="shared" si="219"/>
        <v>22.95</v>
      </c>
      <c r="W453" s="76">
        <f t="shared" si="219"/>
        <v>0</v>
      </c>
      <c r="X453" s="583"/>
      <c r="Y453" s="76"/>
      <c r="Z453" s="76"/>
      <c r="AA453" s="76" t="s">
        <v>1292</v>
      </c>
      <c r="AB453" s="76" t="s">
        <v>1293</v>
      </c>
      <c r="AC453" s="76" t="s">
        <v>1298</v>
      </c>
      <c r="AD453" s="136"/>
    </row>
    <row r="454" customHeight="1" spans="1:30">
      <c r="A454" s="76"/>
      <c r="B454" s="212" t="s">
        <v>1265</v>
      </c>
      <c r="C454" s="76"/>
      <c r="D454" s="76"/>
      <c r="E454" s="76"/>
      <c r="F454" s="76">
        <f t="shared" ref="F454:F470" si="220">SUM(G454:I454)</f>
        <v>3</v>
      </c>
      <c r="G454" s="486">
        <v>1</v>
      </c>
      <c r="H454" s="486">
        <v>1</v>
      </c>
      <c r="I454" s="486">
        <v>1</v>
      </c>
      <c r="J454" s="486">
        <v>1</v>
      </c>
      <c r="K454" s="486">
        <v>1</v>
      </c>
      <c r="L454" s="486">
        <v>1</v>
      </c>
      <c r="M454" s="76">
        <v>2018</v>
      </c>
      <c r="N454" s="76">
        <v>2020</v>
      </c>
      <c r="O454" s="76">
        <f t="shared" ref="O454:O470" si="221">SUM(P454:R454)</f>
        <v>1.416</v>
      </c>
      <c r="P454" s="76">
        <f t="shared" ref="P454:P470" si="222">0.172*J454</f>
        <v>0.172</v>
      </c>
      <c r="Q454" s="76">
        <f t="shared" ref="Q454:Q470" si="223">0.622*J454</f>
        <v>0.622</v>
      </c>
      <c r="R454" s="76">
        <f t="shared" ref="R454:R470" si="224">0.622*J454</f>
        <v>0.622</v>
      </c>
      <c r="S454" s="76"/>
      <c r="T454" s="76"/>
      <c r="U454" s="76">
        <f t="shared" ref="U454:U470" si="225">0.022*3*J454</f>
        <v>0.066</v>
      </c>
      <c r="V454" s="76">
        <f t="shared" ref="V454:V470" si="226">O454-U454</f>
        <v>1.35</v>
      </c>
      <c r="W454" s="76"/>
      <c r="X454" s="583"/>
      <c r="Y454" s="76"/>
      <c r="Z454" s="76"/>
      <c r="AA454" s="76"/>
      <c r="AB454" s="76"/>
      <c r="AC454" s="76"/>
      <c r="AD454" s="136"/>
    </row>
    <row r="455" customHeight="1" spans="1:30">
      <c r="A455" s="76"/>
      <c r="B455" s="212" t="s">
        <v>1266</v>
      </c>
      <c r="C455" s="76"/>
      <c r="D455" s="76"/>
      <c r="E455" s="76"/>
      <c r="F455" s="76">
        <f t="shared" si="220"/>
        <v>3</v>
      </c>
      <c r="G455" s="486">
        <v>1</v>
      </c>
      <c r="H455" s="486">
        <v>1</v>
      </c>
      <c r="I455" s="486">
        <v>1</v>
      </c>
      <c r="J455" s="486">
        <v>1</v>
      </c>
      <c r="K455" s="486">
        <v>1</v>
      </c>
      <c r="L455" s="486">
        <v>1</v>
      </c>
      <c r="M455" s="76">
        <v>2018</v>
      </c>
      <c r="N455" s="76">
        <v>2020</v>
      </c>
      <c r="O455" s="76">
        <f t="shared" si="221"/>
        <v>1.416</v>
      </c>
      <c r="P455" s="76">
        <f t="shared" si="222"/>
        <v>0.172</v>
      </c>
      <c r="Q455" s="76">
        <f t="shared" si="223"/>
        <v>0.622</v>
      </c>
      <c r="R455" s="76">
        <f t="shared" si="224"/>
        <v>0.622</v>
      </c>
      <c r="S455" s="76"/>
      <c r="T455" s="76"/>
      <c r="U455" s="76">
        <f t="shared" si="225"/>
        <v>0.066</v>
      </c>
      <c r="V455" s="76">
        <f t="shared" si="226"/>
        <v>1.35</v>
      </c>
      <c r="W455" s="76"/>
      <c r="X455" s="583"/>
      <c r="Y455" s="76"/>
      <c r="Z455" s="76"/>
      <c r="AA455" s="76"/>
      <c r="AB455" s="76"/>
      <c r="AC455" s="76"/>
      <c r="AD455" s="136"/>
    </row>
    <row r="456" customHeight="1" spans="1:30">
      <c r="A456" s="76"/>
      <c r="B456" s="212" t="s">
        <v>1267</v>
      </c>
      <c r="C456" s="76"/>
      <c r="D456" s="76"/>
      <c r="E456" s="76"/>
      <c r="F456" s="76">
        <f t="shared" si="220"/>
        <v>3</v>
      </c>
      <c r="G456" s="486">
        <v>1</v>
      </c>
      <c r="H456" s="486">
        <v>1</v>
      </c>
      <c r="I456" s="486">
        <v>1</v>
      </c>
      <c r="J456" s="486">
        <v>1</v>
      </c>
      <c r="K456" s="486">
        <v>1</v>
      </c>
      <c r="L456" s="486">
        <v>1</v>
      </c>
      <c r="M456" s="76">
        <v>2018</v>
      </c>
      <c r="N456" s="76">
        <v>2020</v>
      </c>
      <c r="O456" s="76">
        <f t="shared" si="221"/>
        <v>1.416</v>
      </c>
      <c r="P456" s="76">
        <f t="shared" si="222"/>
        <v>0.172</v>
      </c>
      <c r="Q456" s="76">
        <f t="shared" si="223"/>
        <v>0.622</v>
      </c>
      <c r="R456" s="76">
        <f t="shared" si="224"/>
        <v>0.622</v>
      </c>
      <c r="S456" s="76"/>
      <c r="T456" s="76"/>
      <c r="U456" s="76">
        <f t="shared" si="225"/>
        <v>0.066</v>
      </c>
      <c r="V456" s="76">
        <f t="shared" si="226"/>
        <v>1.35</v>
      </c>
      <c r="W456" s="76"/>
      <c r="X456" s="583"/>
      <c r="Y456" s="76"/>
      <c r="Z456" s="76"/>
      <c r="AA456" s="76"/>
      <c r="AB456" s="76"/>
      <c r="AC456" s="76"/>
      <c r="AD456" s="136"/>
    </row>
    <row r="457" customHeight="1" spans="1:30">
      <c r="A457" s="76"/>
      <c r="B457" s="212" t="s">
        <v>1268</v>
      </c>
      <c r="C457" s="76"/>
      <c r="D457" s="76"/>
      <c r="E457" s="76"/>
      <c r="F457" s="76">
        <f t="shared" si="220"/>
        <v>3</v>
      </c>
      <c r="G457" s="486">
        <v>1</v>
      </c>
      <c r="H457" s="486">
        <v>1</v>
      </c>
      <c r="I457" s="486">
        <v>1</v>
      </c>
      <c r="J457" s="486">
        <v>1</v>
      </c>
      <c r="K457" s="486">
        <v>1</v>
      </c>
      <c r="L457" s="486">
        <v>1</v>
      </c>
      <c r="M457" s="76">
        <v>2018</v>
      </c>
      <c r="N457" s="76">
        <v>2020</v>
      </c>
      <c r="O457" s="76">
        <f t="shared" si="221"/>
        <v>1.416</v>
      </c>
      <c r="P457" s="76">
        <f t="shared" si="222"/>
        <v>0.172</v>
      </c>
      <c r="Q457" s="76">
        <f t="shared" si="223"/>
        <v>0.622</v>
      </c>
      <c r="R457" s="76">
        <f t="shared" si="224"/>
        <v>0.622</v>
      </c>
      <c r="S457" s="76"/>
      <c r="T457" s="76"/>
      <c r="U457" s="76">
        <f t="shared" si="225"/>
        <v>0.066</v>
      </c>
      <c r="V457" s="76">
        <f t="shared" si="226"/>
        <v>1.35</v>
      </c>
      <c r="W457" s="76"/>
      <c r="X457" s="583"/>
      <c r="Y457" s="76"/>
      <c r="Z457" s="76"/>
      <c r="AA457" s="76"/>
      <c r="AB457" s="76"/>
      <c r="AC457" s="76"/>
      <c r="AD457" s="136"/>
    </row>
    <row r="458" customHeight="1" spans="1:30">
      <c r="A458" s="76"/>
      <c r="B458" s="212" t="s">
        <v>1275</v>
      </c>
      <c r="C458" s="76"/>
      <c r="D458" s="76"/>
      <c r="E458" s="76"/>
      <c r="F458" s="76">
        <f t="shared" si="220"/>
        <v>3</v>
      </c>
      <c r="G458" s="486">
        <v>1</v>
      </c>
      <c r="H458" s="486">
        <v>1</v>
      </c>
      <c r="I458" s="486">
        <v>1</v>
      </c>
      <c r="J458" s="486">
        <v>1</v>
      </c>
      <c r="K458" s="486">
        <v>1</v>
      </c>
      <c r="L458" s="486">
        <v>1</v>
      </c>
      <c r="M458" s="76">
        <v>2018</v>
      </c>
      <c r="N458" s="76">
        <v>2020</v>
      </c>
      <c r="O458" s="76">
        <f t="shared" si="221"/>
        <v>1.416</v>
      </c>
      <c r="P458" s="76">
        <f t="shared" si="222"/>
        <v>0.172</v>
      </c>
      <c r="Q458" s="76">
        <f t="shared" si="223"/>
        <v>0.622</v>
      </c>
      <c r="R458" s="76">
        <f t="shared" si="224"/>
        <v>0.622</v>
      </c>
      <c r="S458" s="76"/>
      <c r="T458" s="76"/>
      <c r="U458" s="76">
        <f t="shared" si="225"/>
        <v>0.066</v>
      </c>
      <c r="V458" s="76">
        <f t="shared" si="226"/>
        <v>1.35</v>
      </c>
      <c r="W458" s="76"/>
      <c r="X458" s="583"/>
      <c r="Y458" s="76"/>
      <c r="Z458" s="76"/>
      <c r="AA458" s="76"/>
      <c r="AB458" s="76"/>
      <c r="AC458" s="76"/>
      <c r="AD458" s="136"/>
    </row>
    <row r="459" customHeight="1" spans="1:30">
      <c r="A459" s="76"/>
      <c r="B459" s="212" t="s">
        <v>1276</v>
      </c>
      <c r="C459" s="76"/>
      <c r="D459" s="76"/>
      <c r="E459" s="76"/>
      <c r="F459" s="76">
        <f t="shared" si="220"/>
        <v>3</v>
      </c>
      <c r="G459" s="486">
        <v>1</v>
      </c>
      <c r="H459" s="486">
        <v>1</v>
      </c>
      <c r="I459" s="486">
        <v>1</v>
      </c>
      <c r="J459" s="486">
        <v>1</v>
      </c>
      <c r="K459" s="486">
        <v>1</v>
      </c>
      <c r="L459" s="486">
        <v>1</v>
      </c>
      <c r="M459" s="76">
        <v>2018</v>
      </c>
      <c r="N459" s="76">
        <v>2020</v>
      </c>
      <c r="O459" s="76">
        <f t="shared" si="221"/>
        <v>1.416</v>
      </c>
      <c r="P459" s="76">
        <f t="shared" si="222"/>
        <v>0.172</v>
      </c>
      <c r="Q459" s="76">
        <f t="shared" si="223"/>
        <v>0.622</v>
      </c>
      <c r="R459" s="76">
        <f t="shared" si="224"/>
        <v>0.622</v>
      </c>
      <c r="S459" s="76"/>
      <c r="T459" s="76"/>
      <c r="U459" s="76">
        <f t="shared" si="225"/>
        <v>0.066</v>
      </c>
      <c r="V459" s="76">
        <f t="shared" si="226"/>
        <v>1.35</v>
      </c>
      <c r="W459" s="76"/>
      <c r="X459" s="583"/>
      <c r="Y459" s="76"/>
      <c r="Z459" s="76"/>
      <c r="AA459" s="76"/>
      <c r="AB459" s="76"/>
      <c r="AC459" s="76"/>
      <c r="AD459" s="136"/>
    </row>
    <row r="460" customHeight="1" spans="1:30">
      <c r="A460" s="76"/>
      <c r="B460" s="212" t="s">
        <v>1277</v>
      </c>
      <c r="C460" s="76"/>
      <c r="D460" s="76"/>
      <c r="E460" s="76"/>
      <c r="F460" s="76">
        <f t="shared" si="220"/>
        <v>3</v>
      </c>
      <c r="G460" s="486">
        <v>1</v>
      </c>
      <c r="H460" s="486">
        <v>1</v>
      </c>
      <c r="I460" s="486">
        <v>1</v>
      </c>
      <c r="J460" s="486">
        <v>1</v>
      </c>
      <c r="K460" s="486">
        <v>1</v>
      </c>
      <c r="L460" s="486">
        <v>1</v>
      </c>
      <c r="M460" s="76">
        <v>2018</v>
      </c>
      <c r="N460" s="76">
        <v>2020</v>
      </c>
      <c r="O460" s="76">
        <f t="shared" si="221"/>
        <v>1.416</v>
      </c>
      <c r="P460" s="76">
        <f t="shared" si="222"/>
        <v>0.172</v>
      </c>
      <c r="Q460" s="76">
        <f t="shared" si="223"/>
        <v>0.622</v>
      </c>
      <c r="R460" s="76">
        <f t="shared" si="224"/>
        <v>0.622</v>
      </c>
      <c r="S460" s="76"/>
      <c r="T460" s="76"/>
      <c r="U460" s="76">
        <f t="shared" si="225"/>
        <v>0.066</v>
      </c>
      <c r="V460" s="76">
        <f t="shared" si="226"/>
        <v>1.35</v>
      </c>
      <c r="W460" s="76"/>
      <c r="X460" s="583"/>
      <c r="Y460" s="76"/>
      <c r="Z460" s="76"/>
      <c r="AA460" s="76"/>
      <c r="AB460" s="76"/>
      <c r="AC460" s="76"/>
      <c r="AD460" s="136"/>
    </row>
    <row r="461" customHeight="1" spans="1:30">
      <c r="A461" s="76"/>
      <c r="B461" s="212" t="s">
        <v>1278</v>
      </c>
      <c r="C461" s="76"/>
      <c r="D461" s="76"/>
      <c r="E461" s="76"/>
      <c r="F461" s="76">
        <f t="shared" si="220"/>
        <v>3</v>
      </c>
      <c r="G461" s="486">
        <v>1</v>
      </c>
      <c r="H461" s="486">
        <v>1</v>
      </c>
      <c r="I461" s="486">
        <v>1</v>
      </c>
      <c r="J461" s="486">
        <v>1</v>
      </c>
      <c r="K461" s="486">
        <v>1</v>
      </c>
      <c r="L461" s="486">
        <v>1</v>
      </c>
      <c r="M461" s="76">
        <v>2018</v>
      </c>
      <c r="N461" s="76">
        <v>2020</v>
      </c>
      <c r="O461" s="76">
        <f t="shared" si="221"/>
        <v>1.416</v>
      </c>
      <c r="P461" s="76">
        <f t="shared" si="222"/>
        <v>0.172</v>
      </c>
      <c r="Q461" s="76">
        <f t="shared" si="223"/>
        <v>0.622</v>
      </c>
      <c r="R461" s="76">
        <f t="shared" si="224"/>
        <v>0.622</v>
      </c>
      <c r="S461" s="76"/>
      <c r="T461" s="76"/>
      <c r="U461" s="76">
        <f t="shared" si="225"/>
        <v>0.066</v>
      </c>
      <c r="V461" s="76">
        <f t="shared" si="226"/>
        <v>1.35</v>
      </c>
      <c r="W461" s="76"/>
      <c r="X461" s="583"/>
      <c r="Y461" s="76"/>
      <c r="Z461" s="76"/>
      <c r="AA461" s="76"/>
      <c r="AB461" s="76"/>
      <c r="AC461" s="76"/>
      <c r="AD461" s="136"/>
    </row>
    <row r="462" customHeight="1" spans="1:30">
      <c r="A462" s="76"/>
      <c r="B462" s="212" t="s">
        <v>1279</v>
      </c>
      <c r="C462" s="76"/>
      <c r="D462" s="76"/>
      <c r="E462" s="76"/>
      <c r="F462" s="76">
        <f t="shared" si="220"/>
        <v>3</v>
      </c>
      <c r="G462" s="486">
        <v>1</v>
      </c>
      <c r="H462" s="486">
        <v>1</v>
      </c>
      <c r="I462" s="486">
        <v>1</v>
      </c>
      <c r="J462" s="486">
        <v>1</v>
      </c>
      <c r="K462" s="486">
        <v>1</v>
      </c>
      <c r="L462" s="486">
        <v>1</v>
      </c>
      <c r="M462" s="76">
        <v>2018</v>
      </c>
      <c r="N462" s="76">
        <v>2020</v>
      </c>
      <c r="O462" s="76">
        <f t="shared" si="221"/>
        <v>1.416</v>
      </c>
      <c r="P462" s="76">
        <f t="shared" si="222"/>
        <v>0.172</v>
      </c>
      <c r="Q462" s="76">
        <f t="shared" si="223"/>
        <v>0.622</v>
      </c>
      <c r="R462" s="76">
        <f t="shared" si="224"/>
        <v>0.622</v>
      </c>
      <c r="S462" s="76"/>
      <c r="T462" s="76"/>
      <c r="U462" s="76">
        <f t="shared" si="225"/>
        <v>0.066</v>
      </c>
      <c r="V462" s="76">
        <f t="shared" si="226"/>
        <v>1.35</v>
      </c>
      <c r="W462" s="76"/>
      <c r="X462" s="583"/>
      <c r="Y462" s="76"/>
      <c r="Z462" s="76"/>
      <c r="AA462" s="76"/>
      <c r="AB462" s="76"/>
      <c r="AC462" s="76"/>
      <c r="AD462" s="136"/>
    </row>
    <row r="463" customHeight="1" spans="1:30">
      <c r="A463" s="76"/>
      <c r="B463" s="212" t="s">
        <v>1280</v>
      </c>
      <c r="C463" s="76"/>
      <c r="D463" s="76"/>
      <c r="E463" s="76"/>
      <c r="F463" s="76">
        <f t="shared" si="220"/>
        <v>3</v>
      </c>
      <c r="G463" s="486">
        <v>1</v>
      </c>
      <c r="H463" s="486">
        <v>1</v>
      </c>
      <c r="I463" s="486">
        <v>1</v>
      </c>
      <c r="J463" s="486">
        <v>1</v>
      </c>
      <c r="K463" s="486">
        <v>1</v>
      </c>
      <c r="L463" s="486">
        <v>1</v>
      </c>
      <c r="M463" s="76">
        <v>2018</v>
      </c>
      <c r="N463" s="76">
        <v>2020</v>
      </c>
      <c r="O463" s="76">
        <f t="shared" si="221"/>
        <v>1.416</v>
      </c>
      <c r="P463" s="76">
        <f t="shared" si="222"/>
        <v>0.172</v>
      </c>
      <c r="Q463" s="76">
        <f t="shared" si="223"/>
        <v>0.622</v>
      </c>
      <c r="R463" s="76">
        <f t="shared" si="224"/>
        <v>0.622</v>
      </c>
      <c r="S463" s="76"/>
      <c r="T463" s="76"/>
      <c r="U463" s="76">
        <f t="shared" si="225"/>
        <v>0.066</v>
      </c>
      <c r="V463" s="76">
        <f t="shared" si="226"/>
        <v>1.35</v>
      </c>
      <c r="W463" s="76"/>
      <c r="X463" s="583"/>
      <c r="Y463" s="76"/>
      <c r="Z463" s="76"/>
      <c r="AA463" s="76"/>
      <c r="AB463" s="76"/>
      <c r="AC463" s="76"/>
      <c r="AD463" s="136"/>
    </row>
    <row r="464" customHeight="1" spans="1:30">
      <c r="A464" s="76"/>
      <c r="B464" s="212" t="s">
        <v>1269</v>
      </c>
      <c r="C464" s="76"/>
      <c r="D464" s="76"/>
      <c r="E464" s="76"/>
      <c r="F464" s="76">
        <f t="shared" si="220"/>
        <v>3</v>
      </c>
      <c r="G464" s="486">
        <v>1</v>
      </c>
      <c r="H464" s="486">
        <v>1</v>
      </c>
      <c r="I464" s="486">
        <v>1</v>
      </c>
      <c r="J464" s="486">
        <v>1</v>
      </c>
      <c r="K464" s="486">
        <v>1</v>
      </c>
      <c r="L464" s="486">
        <v>1</v>
      </c>
      <c r="M464" s="76">
        <v>2018</v>
      </c>
      <c r="N464" s="76">
        <v>2020</v>
      </c>
      <c r="O464" s="76">
        <f t="shared" si="221"/>
        <v>1.416</v>
      </c>
      <c r="P464" s="76">
        <f t="shared" si="222"/>
        <v>0.172</v>
      </c>
      <c r="Q464" s="76">
        <f t="shared" si="223"/>
        <v>0.622</v>
      </c>
      <c r="R464" s="76">
        <f t="shared" si="224"/>
        <v>0.622</v>
      </c>
      <c r="S464" s="76"/>
      <c r="T464" s="76"/>
      <c r="U464" s="76">
        <f t="shared" si="225"/>
        <v>0.066</v>
      </c>
      <c r="V464" s="76">
        <f t="shared" si="226"/>
        <v>1.35</v>
      </c>
      <c r="W464" s="76"/>
      <c r="X464" s="583"/>
      <c r="Y464" s="76"/>
      <c r="Z464" s="76"/>
      <c r="AA464" s="76"/>
      <c r="AB464" s="76"/>
      <c r="AC464" s="76"/>
      <c r="AD464" s="136"/>
    </row>
    <row r="465" customHeight="1" spans="1:30">
      <c r="A465" s="76"/>
      <c r="B465" s="212" t="s">
        <v>1270</v>
      </c>
      <c r="C465" s="76"/>
      <c r="D465" s="76"/>
      <c r="E465" s="76"/>
      <c r="F465" s="76">
        <f t="shared" si="220"/>
        <v>3</v>
      </c>
      <c r="G465" s="486">
        <v>1</v>
      </c>
      <c r="H465" s="486">
        <v>1</v>
      </c>
      <c r="I465" s="486">
        <v>1</v>
      </c>
      <c r="J465" s="486">
        <v>1</v>
      </c>
      <c r="K465" s="486">
        <v>1</v>
      </c>
      <c r="L465" s="486">
        <v>1</v>
      </c>
      <c r="M465" s="76">
        <v>2018</v>
      </c>
      <c r="N465" s="76">
        <v>2020</v>
      </c>
      <c r="O465" s="76">
        <f t="shared" si="221"/>
        <v>1.416</v>
      </c>
      <c r="P465" s="76">
        <f t="shared" si="222"/>
        <v>0.172</v>
      </c>
      <c r="Q465" s="76">
        <f t="shared" si="223"/>
        <v>0.622</v>
      </c>
      <c r="R465" s="76">
        <f t="shared" si="224"/>
        <v>0.622</v>
      </c>
      <c r="S465" s="76"/>
      <c r="T465" s="76"/>
      <c r="U465" s="76">
        <f t="shared" si="225"/>
        <v>0.066</v>
      </c>
      <c r="V465" s="76">
        <f t="shared" si="226"/>
        <v>1.35</v>
      </c>
      <c r="W465" s="76"/>
      <c r="X465" s="583"/>
      <c r="Y465" s="76"/>
      <c r="Z465" s="76"/>
      <c r="AA465" s="76"/>
      <c r="AB465" s="76"/>
      <c r="AC465" s="76"/>
      <c r="AD465" s="136"/>
    </row>
    <row r="466" customHeight="1" spans="1:30">
      <c r="A466" s="76"/>
      <c r="B466" s="212" t="s">
        <v>1281</v>
      </c>
      <c r="C466" s="76"/>
      <c r="D466" s="76"/>
      <c r="E466" s="76"/>
      <c r="F466" s="76">
        <f t="shared" si="220"/>
        <v>3</v>
      </c>
      <c r="G466" s="486">
        <v>1</v>
      </c>
      <c r="H466" s="486">
        <v>1</v>
      </c>
      <c r="I466" s="486">
        <v>1</v>
      </c>
      <c r="J466" s="486">
        <v>1</v>
      </c>
      <c r="K466" s="486">
        <v>1</v>
      </c>
      <c r="L466" s="486">
        <v>1</v>
      </c>
      <c r="M466" s="76">
        <v>2018</v>
      </c>
      <c r="N466" s="76">
        <v>2020</v>
      </c>
      <c r="O466" s="76">
        <f t="shared" si="221"/>
        <v>1.416</v>
      </c>
      <c r="P466" s="76">
        <f t="shared" si="222"/>
        <v>0.172</v>
      </c>
      <c r="Q466" s="76">
        <f t="shared" si="223"/>
        <v>0.622</v>
      </c>
      <c r="R466" s="76">
        <f t="shared" si="224"/>
        <v>0.622</v>
      </c>
      <c r="S466" s="76"/>
      <c r="T466" s="76"/>
      <c r="U466" s="76">
        <f t="shared" si="225"/>
        <v>0.066</v>
      </c>
      <c r="V466" s="76">
        <f t="shared" si="226"/>
        <v>1.35</v>
      </c>
      <c r="W466" s="76"/>
      <c r="X466" s="583"/>
      <c r="Y466" s="76"/>
      <c r="Z466" s="76"/>
      <c r="AA466" s="76"/>
      <c r="AB466" s="76"/>
      <c r="AC466" s="76"/>
      <c r="AD466" s="136"/>
    </row>
    <row r="467" customHeight="1" spans="1:30">
      <c r="A467" s="76"/>
      <c r="B467" s="212" t="s">
        <v>1271</v>
      </c>
      <c r="C467" s="76"/>
      <c r="D467" s="76"/>
      <c r="E467" s="76"/>
      <c r="F467" s="76">
        <f t="shared" si="220"/>
        <v>3</v>
      </c>
      <c r="G467" s="486">
        <v>1</v>
      </c>
      <c r="H467" s="486">
        <v>1</v>
      </c>
      <c r="I467" s="486">
        <v>1</v>
      </c>
      <c r="J467" s="486">
        <v>1</v>
      </c>
      <c r="K467" s="486">
        <v>1</v>
      </c>
      <c r="L467" s="486">
        <v>1</v>
      </c>
      <c r="M467" s="76">
        <v>2018</v>
      </c>
      <c r="N467" s="76">
        <v>2020</v>
      </c>
      <c r="O467" s="76">
        <f t="shared" si="221"/>
        <v>1.416</v>
      </c>
      <c r="P467" s="76">
        <f t="shared" si="222"/>
        <v>0.172</v>
      </c>
      <c r="Q467" s="76">
        <f t="shared" si="223"/>
        <v>0.622</v>
      </c>
      <c r="R467" s="76">
        <f t="shared" si="224"/>
        <v>0.622</v>
      </c>
      <c r="S467" s="76"/>
      <c r="T467" s="76"/>
      <c r="U467" s="76">
        <f t="shared" si="225"/>
        <v>0.066</v>
      </c>
      <c r="V467" s="76">
        <f t="shared" si="226"/>
        <v>1.35</v>
      </c>
      <c r="W467" s="76"/>
      <c r="X467" s="583"/>
      <c r="Y467" s="76"/>
      <c r="Z467" s="76"/>
      <c r="AA467" s="76"/>
      <c r="AB467" s="76"/>
      <c r="AC467" s="76"/>
      <c r="AD467" s="136"/>
    </row>
    <row r="468" customHeight="1" spans="1:30">
      <c r="A468" s="76"/>
      <c r="B468" s="212" t="s">
        <v>1282</v>
      </c>
      <c r="C468" s="76"/>
      <c r="D468" s="76"/>
      <c r="E468" s="76"/>
      <c r="F468" s="76">
        <f t="shared" si="220"/>
        <v>3</v>
      </c>
      <c r="G468" s="486">
        <v>1</v>
      </c>
      <c r="H468" s="486">
        <v>1</v>
      </c>
      <c r="I468" s="486">
        <v>1</v>
      </c>
      <c r="J468" s="486">
        <v>1</v>
      </c>
      <c r="K468" s="486">
        <v>1</v>
      </c>
      <c r="L468" s="486">
        <v>1</v>
      </c>
      <c r="M468" s="76">
        <v>2018</v>
      </c>
      <c r="N468" s="76">
        <v>2020</v>
      </c>
      <c r="O468" s="76">
        <f t="shared" si="221"/>
        <v>1.416</v>
      </c>
      <c r="P468" s="76">
        <f t="shared" si="222"/>
        <v>0.172</v>
      </c>
      <c r="Q468" s="76">
        <f t="shared" si="223"/>
        <v>0.622</v>
      </c>
      <c r="R468" s="76">
        <f t="shared" si="224"/>
        <v>0.622</v>
      </c>
      <c r="S468" s="76"/>
      <c r="T468" s="76"/>
      <c r="U468" s="76">
        <f t="shared" si="225"/>
        <v>0.066</v>
      </c>
      <c r="V468" s="76">
        <f t="shared" si="226"/>
        <v>1.35</v>
      </c>
      <c r="W468" s="76"/>
      <c r="X468" s="583"/>
      <c r="Y468" s="76"/>
      <c r="Z468" s="76"/>
      <c r="AA468" s="76"/>
      <c r="AB468" s="76"/>
      <c r="AC468" s="76"/>
      <c r="AD468" s="136"/>
    </row>
    <row r="469" customHeight="1" spans="1:30">
      <c r="A469" s="76"/>
      <c r="B469" s="212" t="s">
        <v>1283</v>
      </c>
      <c r="C469" s="76"/>
      <c r="D469" s="76"/>
      <c r="E469" s="76"/>
      <c r="F469" s="76">
        <f t="shared" si="220"/>
        <v>3</v>
      </c>
      <c r="G469" s="486">
        <v>1</v>
      </c>
      <c r="H469" s="486">
        <v>1</v>
      </c>
      <c r="I469" s="486">
        <v>1</v>
      </c>
      <c r="J469" s="486">
        <v>1</v>
      </c>
      <c r="K469" s="486">
        <v>1</v>
      </c>
      <c r="L469" s="486">
        <v>1</v>
      </c>
      <c r="M469" s="76">
        <v>2018</v>
      </c>
      <c r="N469" s="76">
        <v>2020</v>
      </c>
      <c r="O469" s="76">
        <f t="shared" si="221"/>
        <v>1.416</v>
      </c>
      <c r="P469" s="76">
        <f t="shared" si="222"/>
        <v>0.172</v>
      </c>
      <c r="Q469" s="76">
        <f t="shared" si="223"/>
        <v>0.622</v>
      </c>
      <c r="R469" s="76">
        <f t="shared" si="224"/>
        <v>0.622</v>
      </c>
      <c r="S469" s="76"/>
      <c r="T469" s="76"/>
      <c r="U469" s="76">
        <f t="shared" si="225"/>
        <v>0.066</v>
      </c>
      <c r="V469" s="76">
        <f t="shared" si="226"/>
        <v>1.35</v>
      </c>
      <c r="W469" s="76"/>
      <c r="X469" s="583"/>
      <c r="Y469" s="76"/>
      <c r="Z469" s="76"/>
      <c r="AA469" s="76"/>
      <c r="AB469" s="76"/>
      <c r="AC469" s="76"/>
      <c r="AD469" s="136"/>
    </row>
    <row r="470" customHeight="1" spans="1:30">
      <c r="A470" s="76"/>
      <c r="B470" s="212" t="s">
        <v>1284</v>
      </c>
      <c r="C470" s="76"/>
      <c r="D470" s="76"/>
      <c r="E470" s="76"/>
      <c r="F470" s="76">
        <f t="shared" si="220"/>
        <v>3</v>
      </c>
      <c r="G470" s="486">
        <v>1</v>
      </c>
      <c r="H470" s="486">
        <v>1</v>
      </c>
      <c r="I470" s="486">
        <v>1</v>
      </c>
      <c r="J470" s="486">
        <v>1</v>
      </c>
      <c r="K470" s="486">
        <v>1</v>
      </c>
      <c r="L470" s="486">
        <v>1</v>
      </c>
      <c r="M470" s="76">
        <v>2018</v>
      </c>
      <c r="N470" s="76">
        <v>2020</v>
      </c>
      <c r="O470" s="76">
        <f t="shared" si="221"/>
        <v>1.416</v>
      </c>
      <c r="P470" s="76">
        <f t="shared" si="222"/>
        <v>0.172</v>
      </c>
      <c r="Q470" s="76">
        <f t="shared" si="223"/>
        <v>0.622</v>
      </c>
      <c r="R470" s="76">
        <f t="shared" si="224"/>
        <v>0.622</v>
      </c>
      <c r="S470" s="76"/>
      <c r="T470" s="76"/>
      <c r="U470" s="76">
        <f t="shared" si="225"/>
        <v>0.066</v>
      </c>
      <c r="V470" s="76">
        <f t="shared" si="226"/>
        <v>1.35</v>
      </c>
      <c r="W470" s="76"/>
      <c r="X470" s="583"/>
      <c r="Y470" s="76"/>
      <c r="Z470" s="76"/>
      <c r="AA470" s="76"/>
      <c r="AB470" s="76"/>
      <c r="AC470" s="76"/>
      <c r="AD470" s="136"/>
    </row>
    <row r="471" customHeight="1" spans="1:30">
      <c r="A471" s="76"/>
      <c r="B471" s="92" t="s">
        <v>1301</v>
      </c>
      <c r="C471" s="76" t="s">
        <v>320</v>
      </c>
      <c r="D471" s="76" t="s">
        <v>147</v>
      </c>
      <c r="E471" s="76"/>
      <c r="F471" s="76">
        <f t="shared" ref="F471:L471" si="227">SUM(F472:F488)</f>
        <v>66</v>
      </c>
      <c r="G471" s="76">
        <f t="shared" si="227"/>
        <v>22</v>
      </c>
      <c r="H471" s="76">
        <f t="shared" si="227"/>
        <v>22</v>
      </c>
      <c r="I471" s="76">
        <f t="shared" si="227"/>
        <v>22</v>
      </c>
      <c r="J471" s="76">
        <f t="shared" si="227"/>
        <v>22</v>
      </c>
      <c r="K471" s="76">
        <f t="shared" si="227"/>
        <v>22</v>
      </c>
      <c r="L471" s="76">
        <f t="shared" si="227"/>
        <v>22</v>
      </c>
      <c r="M471" s="76">
        <v>2018</v>
      </c>
      <c r="N471" s="76">
        <v>2020</v>
      </c>
      <c r="O471" s="76">
        <f t="shared" ref="O471:W471" si="228">SUM(O472:O488)</f>
        <v>31.152</v>
      </c>
      <c r="P471" s="76">
        <f t="shared" si="228"/>
        <v>3.784</v>
      </c>
      <c r="Q471" s="76">
        <f t="shared" si="228"/>
        <v>13.684</v>
      </c>
      <c r="R471" s="76">
        <f t="shared" si="228"/>
        <v>13.684</v>
      </c>
      <c r="S471" s="76">
        <f t="shared" si="228"/>
        <v>0</v>
      </c>
      <c r="T471" s="76">
        <f t="shared" si="228"/>
        <v>0</v>
      </c>
      <c r="U471" s="76">
        <f t="shared" si="228"/>
        <v>1.452</v>
      </c>
      <c r="V471" s="76">
        <f t="shared" si="228"/>
        <v>29.7</v>
      </c>
      <c r="W471" s="76">
        <f t="shared" si="228"/>
        <v>0</v>
      </c>
      <c r="X471" s="583"/>
      <c r="Y471" s="76"/>
      <c r="Z471" s="76"/>
      <c r="AA471" s="76" t="s">
        <v>1292</v>
      </c>
      <c r="AB471" s="76" t="s">
        <v>1293</v>
      </c>
      <c r="AC471" s="76" t="s">
        <v>1298</v>
      </c>
      <c r="AD471" s="136"/>
    </row>
    <row r="472" customHeight="1" spans="1:30">
      <c r="A472" s="76"/>
      <c r="B472" s="212" t="s">
        <v>1265</v>
      </c>
      <c r="C472" s="76"/>
      <c r="D472" s="76"/>
      <c r="E472" s="76"/>
      <c r="F472" s="76">
        <f t="shared" ref="F472:F488" si="229">SUM(G472:I472)</f>
        <v>6</v>
      </c>
      <c r="G472" s="486">
        <v>2</v>
      </c>
      <c r="H472" s="486">
        <v>2</v>
      </c>
      <c r="I472" s="486">
        <v>2</v>
      </c>
      <c r="J472" s="486">
        <v>2</v>
      </c>
      <c r="K472" s="486">
        <v>2</v>
      </c>
      <c r="L472" s="486">
        <v>2</v>
      </c>
      <c r="M472" s="76">
        <v>2018</v>
      </c>
      <c r="N472" s="76">
        <v>2020</v>
      </c>
      <c r="O472" s="76">
        <f t="shared" ref="O472:O488" si="230">SUM(P472:R472)</f>
        <v>2.832</v>
      </c>
      <c r="P472" s="76">
        <f t="shared" ref="P472:P488" si="231">0.172*J472</f>
        <v>0.344</v>
      </c>
      <c r="Q472" s="76">
        <f t="shared" ref="Q472:Q488" si="232">0.622*J472</f>
        <v>1.244</v>
      </c>
      <c r="R472" s="76">
        <f t="shared" ref="R472:R488" si="233">0.622*J472</f>
        <v>1.244</v>
      </c>
      <c r="S472" s="76"/>
      <c r="T472" s="76"/>
      <c r="U472" s="76">
        <f t="shared" ref="U472:U488" si="234">0.022*3*J472</f>
        <v>0.132</v>
      </c>
      <c r="V472" s="76">
        <f t="shared" ref="V472:V488" si="235">O472-U472</f>
        <v>2.7</v>
      </c>
      <c r="W472" s="76"/>
      <c r="X472" s="583"/>
      <c r="Y472" s="76"/>
      <c r="Z472" s="76"/>
      <c r="AA472" s="76"/>
      <c r="AB472" s="76"/>
      <c r="AC472" s="76"/>
      <c r="AD472" s="136"/>
    </row>
    <row r="473" customHeight="1" spans="1:30">
      <c r="A473" s="76"/>
      <c r="B473" s="212" t="s">
        <v>1266</v>
      </c>
      <c r="C473" s="76"/>
      <c r="D473" s="76"/>
      <c r="E473" s="76"/>
      <c r="F473" s="76">
        <f t="shared" si="229"/>
        <v>3</v>
      </c>
      <c r="G473" s="486">
        <v>1</v>
      </c>
      <c r="H473" s="486">
        <v>1</v>
      </c>
      <c r="I473" s="486">
        <v>1</v>
      </c>
      <c r="J473" s="486">
        <v>1</v>
      </c>
      <c r="K473" s="486">
        <v>1</v>
      </c>
      <c r="L473" s="486">
        <v>1</v>
      </c>
      <c r="M473" s="76">
        <v>2018</v>
      </c>
      <c r="N473" s="76">
        <v>2020</v>
      </c>
      <c r="O473" s="76">
        <f t="shared" si="230"/>
        <v>1.416</v>
      </c>
      <c r="P473" s="76">
        <f t="shared" si="231"/>
        <v>0.172</v>
      </c>
      <c r="Q473" s="76">
        <f t="shared" si="232"/>
        <v>0.622</v>
      </c>
      <c r="R473" s="76">
        <f t="shared" si="233"/>
        <v>0.622</v>
      </c>
      <c r="S473" s="76"/>
      <c r="T473" s="76"/>
      <c r="U473" s="76">
        <f t="shared" si="234"/>
        <v>0.066</v>
      </c>
      <c r="V473" s="76">
        <f t="shared" si="235"/>
        <v>1.35</v>
      </c>
      <c r="W473" s="76"/>
      <c r="X473" s="583"/>
      <c r="Y473" s="76"/>
      <c r="Z473" s="76"/>
      <c r="AA473" s="76"/>
      <c r="AB473" s="76"/>
      <c r="AC473" s="76"/>
      <c r="AD473" s="136"/>
    </row>
    <row r="474" customHeight="1" spans="1:30">
      <c r="A474" s="76"/>
      <c r="B474" s="212" t="s">
        <v>1267</v>
      </c>
      <c r="C474" s="76"/>
      <c r="D474" s="76"/>
      <c r="E474" s="76"/>
      <c r="F474" s="76">
        <f t="shared" si="229"/>
        <v>3</v>
      </c>
      <c r="G474" s="486">
        <v>1</v>
      </c>
      <c r="H474" s="486">
        <v>1</v>
      </c>
      <c r="I474" s="486">
        <v>1</v>
      </c>
      <c r="J474" s="486">
        <v>1</v>
      </c>
      <c r="K474" s="486">
        <v>1</v>
      </c>
      <c r="L474" s="486">
        <v>1</v>
      </c>
      <c r="M474" s="76">
        <v>2018</v>
      </c>
      <c r="N474" s="76">
        <v>2020</v>
      </c>
      <c r="O474" s="76">
        <f t="shared" si="230"/>
        <v>1.416</v>
      </c>
      <c r="P474" s="76">
        <f t="shared" si="231"/>
        <v>0.172</v>
      </c>
      <c r="Q474" s="76">
        <f t="shared" si="232"/>
        <v>0.622</v>
      </c>
      <c r="R474" s="76">
        <f t="shared" si="233"/>
        <v>0.622</v>
      </c>
      <c r="S474" s="76"/>
      <c r="T474" s="76"/>
      <c r="U474" s="76">
        <f t="shared" si="234"/>
        <v>0.066</v>
      </c>
      <c r="V474" s="76">
        <f t="shared" si="235"/>
        <v>1.35</v>
      </c>
      <c r="W474" s="76"/>
      <c r="X474" s="583"/>
      <c r="Y474" s="76"/>
      <c r="Z474" s="76"/>
      <c r="AA474" s="76"/>
      <c r="AB474" s="76"/>
      <c r="AC474" s="76"/>
      <c r="AD474" s="136"/>
    </row>
    <row r="475" customHeight="1" spans="1:30">
      <c r="A475" s="76"/>
      <c r="B475" s="212" t="s">
        <v>1268</v>
      </c>
      <c r="C475" s="76"/>
      <c r="D475" s="76"/>
      <c r="E475" s="76"/>
      <c r="F475" s="76">
        <f t="shared" si="229"/>
        <v>6</v>
      </c>
      <c r="G475" s="486">
        <v>2</v>
      </c>
      <c r="H475" s="486">
        <v>2</v>
      </c>
      <c r="I475" s="486">
        <v>2</v>
      </c>
      <c r="J475" s="486">
        <v>2</v>
      </c>
      <c r="K475" s="486">
        <v>2</v>
      </c>
      <c r="L475" s="486">
        <v>2</v>
      </c>
      <c r="M475" s="76">
        <v>2018</v>
      </c>
      <c r="N475" s="76">
        <v>2020</v>
      </c>
      <c r="O475" s="76">
        <f t="shared" si="230"/>
        <v>2.832</v>
      </c>
      <c r="P475" s="76">
        <f t="shared" si="231"/>
        <v>0.344</v>
      </c>
      <c r="Q475" s="76">
        <f t="shared" si="232"/>
        <v>1.244</v>
      </c>
      <c r="R475" s="76">
        <f t="shared" si="233"/>
        <v>1.244</v>
      </c>
      <c r="S475" s="76"/>
      <c r="T475" s="76"/>
      <c r="U475" s="76">
        <f t="shared" si="234"/>
        <v>0.132</v>
      </c>
      <c r="V475" s="76">
        <f t="shared" si="235"/>
        <v>2.7</v>
      </c>
      <c r="W475" s="76"/>
      <c r="X475" s="583"/>
      <c r="Y475" s="76"/>
      <c r="Z475" s="76"/>
      <c r="AA475" s="76"/>
      <c r="AB475" s="76"/>
      <c r="AC475" s="76"/>
      <c r="AD475" s="136"/>
    </row>
    <row r="476" customHeight="1" spans="1:30">
      <c r="A476" s="76"/>
      <c r="B476" s="212" t="s">
        <v>1275</v>
      </c>
      <c r="C476" s="76"/>
      <c r="D476" s="76"/>
      <c r="E476" s="76"/>
      <c r="F476" s="76">
        <f t="shared" si="229"/>
        <v>6</v>
      </c>
      <c r="G476" s="486">
        <v>2</v>
      </c>
      <c r="H476" s="486">
        <v>2</v>
      </c>
      <c r="I476" s="486">
        <v>2</v>
      </c>
      <c r="J476" s="486">
        <v>2</v>
      </c>
      <c r="K476" s="486">
        <v>2</v>
      </c>
      <c r="L476" s="486">
        <v>2</v>
      </c>
      <c r="M476" s="76">
        <v>2018</v>
      </c>
      <c r="N476" s="76">
        <v>2020</v>
      </c>
      <c r="O476" s="76">
        <f t="shared" si="230"/>
        <v>2.832</v>
      </c>
      <c r="P476" s="76">
        <f t="shared" si="231"/>
        <v>0.344</v>
      </c>
      <c r="Q476" s="76">
        <f t="shared" si="232"/>
        <v>1.244</v>
      </c>
      <c r="R476" s="76">
        <f t="shared" si="233"/>
        <v>1.244</v>
      </c>
      <c r="S476" s="76"/>
      <c r="T476" s="76"/>
      <c r="U476" s="76">
        <f t="shared" si="234"/>
        <v>0.132</v>
      </c>
      <c r="V476" s="76">
        <f t="shared" si="235"/>
        <v>2.7</v>
      </c>
      <c r="W476" s="76"/>
      <c r="X476" s="583"/>
      <c r="Y476" s="76"/>
      <c r="Z476" s="76"/>
      <c r="AA476" s="76"/>
      <c r="AB476" s="76"/>
      <c r="AC476" s="76"/>
      <c r="AD476" s="136"/>
    </row>
    <row r="477" customHeight="1" spans="1:30">
      <c r="A477" s="76"/>
      <c r="B477" s="212" t="s">
        <v>1276</v>
      </c>
      <c r="C477" s="76"/>
      <c r="D477" s="76"/>
      <c r="E477" s="76"/>
      <c r="F477" s="76">
        <f t="shared" si="229"/>
        <v>3</v>
      </c>
      <c r="G477" s="486">
        <v>1</v>
      </c>
      <c r="H477" s="486">
        <v>1</v>
      </c>
      <c r="I477" s="486">
        <v>1</v>
      </c>
      <c r="J477" s="486">
        <v>1</v>
      </c>
      <c r="K477" s="486">
        <v>1</v>
      </c>
      <c r="L477" s="486">
        <v>1</v>
      </c>
      <c r="M477" s="76">
        <v>2018</v>
      </c>
      <c r="N477" s="76">
        <v>2020</v>
      </c>
      <c r="O477" s="76">
        <f t="shared" si="230"/>
        <v>1.416</v>
      </c>
      <c r="P477" s="76">
        <f t="shared" si="231"/>
        <v>0.172</v>
      </c>
      <c r="Q477" s="76">
        <f t="shared" si="232"/>
        <v>0.622</v>
      </c>
      <c r="R477" s="76">
        <f t="shared" si="233"/>
        <v>0.622</v>
      </c>
      <c r="S477" s="76"/>
      <c r="T477" s="76"/>
      <c r="U477" s="76">
        <f t="shared" si="234"/>
        <v>0.066</v>
      </c>
      <c r="V477" s="76">
        <f t="shared" si="235"/>
        <v>1.35</v>
      </c>
      <c r="W477" s="76"/>
      <c r="X477" s="583"/>
      <c r="Y477" s="76"/>
      <c r="Z477" s="76"/>
      <c r="AA477" s="76"/>
      <c r="AB477" s="76"/>
      <c r="AC477" s="76"/>
      <c r="AD477" s="136"/>
    </row>
    <row r="478" customHeight="1" spans="1:30">
      <c r="A478" s="76"/>
      <c r="B478" s="212" t="s">
        <v>1277</v>
      </c>
      <c r="C478" s="76"/>
      <c r="D478" s="76"/>
      <c r="E478" s="76"/>
      <c r="F478" s="76">
        <f t="shared" si="229"/>
        <v>6</v>
      </c>
      <c r="G478" s="486">
        <v>2</v>
      </c>
      <c r="H478" s="486">
        <v>2</v>
      </c>
      <c r="I478" s="486">
        <v>2</v>
      </c>
      <c r="J478" s="486">
        <v>2</v>
      </c>
      <c r="K478" s="486">
        <v>2</v>
      </c>
      <c r="L478" s="486">
        <v>2</v>
      </c>
      <c r="M478" s="76">
        <v>2018</v>
      </c>
      <c r="N478" s="76">
        <v>2020</v>
      </c>
      <c r="O478" s="76">
        <f t="shared" si="230"/>
        <v>2.832</v>
      </c>
      <c r="P478" s="76">
        <f t="shared" si="231"/>
        <v>0.344</v>
      </c>
      <c r="Q478" s="76">
        <f t="shared" si="232"/>
        <v>1.244</v>
      </c>
      <c r="R478" s="76">
        <f t="shared" si="233"/>
        <v>1.244</v>
      </c>
      <c r="S478" s="76"/>
      <c r="T478" s="76"/>
      <c r="U478" s="76">
        <f t="shared" si="234"/>
        <v>0.132</v>
      </c>
      <c r="V478" s="76">
        <f t="shared" si="235"/>
        <v>2.7</v>
      </c>
      <c r="W478" s="76"/>
      <c r="X478" s="583"/>
      <c r="Y478" s="76"/>
      <c r="Z478" s="76"/>
      <c r="AA478" s="76"/>
      <c r="AB478" s="76"/>
      <c r="AC478" s="76"/>
      <c r="AD478" s="136"/>
    </row>
    <row r="479" customHeight="1" spans="1:30">
      <c r="A479" s="76"/>
      <c r="B479" s="212" t="s">
        <v>1278</v>
      </c>
      <c r="C479" s="76"/>
      <c r="D479" s="76"/>
      <c r="E479" s="76"/>
      <c r="F479" s="76">
        <f t="shared" si="229"/>
        <v>6</v>
      </c>
      <c r="G479" s="486">
        <v>2</v>
      </c>
      <c r="H479" s="486">
        <v>2</v>
      </c>
      <c r="I479" s="486">
        <v>2</v>
      </c>
      <c r="J479" s="486">
        <v>2</v>
      </c>
      <c r="K479" s="486">
        <v>2</v>
      </c>
      <c r="L479" s="486">
        <v>2</v>
      </c>
      <c r="M479" s="76">
        <v>2018</v>
      </c>
      <c r="N479" s="76">
        <v>2020</v>
      </c>
      <c r="O479" s="76">
        <f t="shared" si="230"/>
        <v>2.832</v>
      </c>
      <c r="P479" s="76">
        <f t="shared" si="231"/>
        <v>0.344</v>
      </c>
      <c r="Q479" s="76">
        <f t="shared" si="232"/>
        <v>1.244</v>
      </c>
      <c r="R479" s="76">
        <f t="shared" si="233"/>
        <v>1.244</v>
      </c>
      <c r="S479" s="76"/>
      <c r="T479" s="76"/>
      <c r="U479" s="76">
        <f t="shared" si="234"/>
        <v>0.132</v>
      </c>
      <c r="V479" s="76">
        <f t="shared" si="235"/>
        <v>2.7</v>
      </c>
      <c r="W479" s="76"/>
      <c r="X479" s="583"/>
      <c r="Y479" s="76"/>
      <c r="Z479" s="76"/>
      <c r="AA479" s="76"/>
      <c r="AB479" s="76"/>
      <c r="AC479" s="76"/>
      <c r="AD479" s="136"/>
    </row>
    <row r="480" customHeight="1" spans="1:30">
      <c r="A480" s="76"/>
      <c r="B480" s="212" t="s">
        <v>1279</v>
      </c>
      <c r="C480" s="76"/>
      <c r="D480" s="76"/>
      <c r="E480" s="76"/>
      <c r="F480" s="76">
        <f t="shared" si="229"/>
        <v>3</v>
      </c>
      <c r="G480" s="486">
        <v>1</v>
      </c>
      <c r="H480" s="486">
        <v>1</v>
      </c>
      <c r="I480" s="486">
        <v>1</v>
      </c>
      <c r="J480" s="486">
        <v>1</v>
      </c>
      <c r="K480" s="486">
        <v>1</v>
      </c>
      <c r="L480" s="486">
        <v>1</v>
      </c>
      <c r="M480" s="76">
        <v>2018</v>
      </c>
      <c r="N480" s="76">
        <v>2020</v>
      </c>
      <c r="O480" s="76">
        <f t="shared" si="230"/>
        <v>1.416</v>
      </c>
      <c r="P480" s="76">
        <f t="shared" si="231"/>
        <v>0.172</v>
      </c>
      <c r="Q480" s="76">
        <f t="shared" si="232"/>
        <v>0.622</v>
      </c>
      <c r="R480" s="76">
        <f t="shared" si="233"/>
        <v>0.622</v>
      </c>
      <c r="S480" s="76"/>
      <c r="T480" s="76"/>
      <c r="U480" s="76">
        <f t="shared" si="234"/>
        <v>0.066</v>
      </c>
      <c r="V480" s="76">
        <f t="shared" si="235"/>
        <v>1.35</v>
      </c>
      <c r="W480" s="76"/>
      <c r="X480" s="583"/>
      <c r="Y480" s="76"/>
      <c r="Z480" s="76"/>
      <c r="AA480" s="76"/>
      <c r="AB480" s="76"/>
      <c r="AC480" s="76"/>
      <c r="AD480" s="136"/>
    </row>
    <row r="481" customHeight="1" spans="1:30">
      <c r="A481" s="76"/>
      <c r="B481" s="212" t="s">
        <v>1280</v>
      </c>
      <c r="C481" s="76"/>
      <c r="D481" s="76"/>
      <c r="E481" s="76"/>
      <c r="F481" s="76">
        <f t="shared" si="229"/>
        <v>3</v>
      </c>
      <c r="G481" s="486">
        <v>1</v>
      </c>
      <c r="H481" s="486">
        <v>1</v>
      </c>
      <c r="I481" s="486">
        <v>1</v>
      </c>
      <c r="J481" s="486">
        <v>1</v>
      </c>
      <c r="K481" s="486">
        <v>1</v>
      </c>
      <c r="L481" s="486">
        <v>1</v>
      </c>
      <c r="M481" s="76">
        <v>2018</v>
      </c>
      <c r="N481" s="76">
        <v>2020</v>
      </c>
      <c r="O481" s="76">
        <f t="shared" si="230"/>
        <v>1.416</v>
      </c>
      <c r="P481" s="76">
        <f t="shared" si="231"/>
        <v>0.172</v>
      </c>
      <c r="Q481" s="76">
        <f t="shared" si="232"/>
        <v>0.622</v>
      </c>
      <c r="R481" s="76">
        <f t="shared" si="233"/>
        <v>0.622</v>
      </c>
      <c r="S481" s="76"/>
      <c r="T481" s="76"/>
      <c r="U481" s="76">
        <f t="shared" si="234"/>
        <v>0.066</v>
      </c>
      <c r="V481" s="76">
        <f t="shared" si="235"/>
        <v>1.35</v>
      </c>
      <c r="W481" s="76"/>
      <c r="X481" s="583"/>
      <c r="Y481" s="76"/>
      <c r="Z481" s="76"/>
      <c r="AA481" s="76"/>
      <c r="AB481" s="76"/>
      <c r="AC481" s="76"/>
      <c r="AD481" s="136"/>
    </row>
    <row r="482" customHeight="1" spans="1:30">
      <c r="A482" s="76"/>
      <c r="B482" s="212" t="s">
        <v>1269</v>
      </c>
      <c r="C482" s="76"/>
      <c r="D482" s="76"/>
      <c r="E482" s="76"/>
      <c r="F482" s="76">
        <f t="shared" si="229"/>
        <v>3</v>
      </c>
      <c r="G482" s="486">
        <v>1</v>
      </c>
      <c r="H482" s="486">
        <v>1</v>
      </c>
      <c r="I482" s="486">
        <v>1</v>
      </c>
      <c r="J482" s="486">
        <v>1</v>
      </c>
      <c r="K482" s="486">
        <v>1</v>
      </c>
      <c r="L482" s="486">
        <v>1</v>
      </c>
      <c r="M482" s="76">
        <v>2018</v>
      </c>
      <c r="N482" s="76">
        <v>2020</v>
      </c>
      <c r="O482" s="76">
        <f t="shared" si="230"/>
        <v>1.416</v>
      </c>
      <c r="P482" s="76">
        <f t="shared" si="231"/>
        <v>0.172</v>
      </c>
      <c r="Q482" s="76">
        <f t="shared" si="232"/>
        <v>0.622</v>
      </c>
      <c r="R482" s="76">
        <f t="shared" si="233"/>
        <v>0.622</v>
      </c>
      <c r="S482" s="76"/>
      <c r="T482" s="76"/>
      <c r="U482" s="76">
        <f t="shared" si="234"/>
        <v>0.066</v>
      </c>
      <c r="V482" s="76">
        <f t="shared" si="235"/>
        <v>1.35</v>
      </c>
      <c r="W482" s="76"/>
      <c r="X482" s="583"/>
      <c r="Y482" s="76"/>
      <c r="Z482" s="76"/>
      <c r="AA482" s="76"/>
      <c r="AB482" s="76"/>
      <c r="AC482" s="76"/>
      <c r="AD482" s="136"/>
    </row>
    <row r="483" customHeight="1" spans="1:30">
      <c r="A483" s="76"/>
      <c r="B483" s="212" t="s">
        <v>1270</v>
      </c>
      <c r="C483" s="76"/>
      <c r="D483" s="76"/>
      <c r="E483" s="76"/>
      <c r="F483" s="76">
        <f t="shared" si="229"/>
        <v>3</v>
      </c>
      <c r="G483" s="486">
        <v>1</v>
      </c>
      <c r="H483" s="486">
        <v>1</v>
      </c>
      <c r="I483" s="486">
        <v>1</v>
      </c>
      <c r="J483" s="486">
        <v>1</v>
      </c>
      <c r="K483" s="486">
        <v>1</v>
      </c>
      <c r="L483" s="486">
        <v>1</v>
      </c>
      <c r="M483" s="76">
        <v>2018</v>
      </c>
      <c r="N483" s="76">
        <v>2020</v>
      </c>
      <c r="O483" s="76">
        <f t="shared" si="230"/>
        <v>1.416</v>
      </c>
      <c r="P483" s="76">
        <f t="shared" si="231"/>
        <v>0.172</v>
      </c>
      <c r="Q483" s="76">
        <f t="shared" si="232"/>
        <v>0.622</v>
      </c>
      <c r="R483" s="76">
        <f t="shared" si="233"/>
        <v>0.622</v>
      </c>
      <c r="S483" s="76"/>
      <c r="T483" s="76"/>
      <c r="U483" s="76">
        <f t="shared" si="234"/>
        <v>0.066</v>
      </c>
      <c r="V483" s="76">
        <f t="shared" si="235"/>
        <v>1.35</v>
      </c>
      <c r="W483" s="76"/>
      <c r="X483" s="583"/>
      <c r="Y483" s="76"/>
      <c r="Z483" s="76"/>
      <c r="AA483" s="76"/>
      <c r="AB483" s="76"/>
      <c r="AC483" s="76"/>
      <c r="AD483" s="136"/>
    </row>
    <row r="484" customHeight="1" spans="1:30">
      <c r="A484" s="76"/>
      <c r="B484" s="212" t="s">
        <v>1281</v>
      </c>
      <c r="C484" s="76"/>
      <c r="D484" s="76"/>
      <c r="E484" s="76"/>
      <c r="F484" s="76">
        <f t="shared" si="229"/>
        <v>3</v>
      </c>
      <c r="G484" s="486">
        <v>1</v>
      </c>
      <c r="H484" s="486">
        <v>1</v>
      </c>
      <c r="I484" s="486">
        <v>1</v>
      </c>
      <c r="J484" s="486">
        <v>1</v>
      </c>
      <c r="K484" s="486">
        <v>1</v>
      </c>
      <c r="L484" s="486">
        <v>1</v>
      </c>
      <c r="M484" s="76">
        <v>2018</v>
      </c>
      <c r="N484" s="76">
        <v>2020</v>
      </c>
      <c r="O484" s="76">
        <f t="shared" si="230"/>
        <v>1.416</v>
      </c>
      <c r="P484" s="76">
        <f t="shared" si="231"/>
        <v>0.172</v>
      </c>
      <c r="Q484" s="76">
        <f t="shared" si="232"/>
        <v>0.622</v>
      </c>
      <c r="R484" s="76">
        <f t="shared" si="233"/>
        <v>0.622</v>
      </c>
      <c r="S484" s="76"/>
      <c r="T484" s="76"/>
      <c r="U484" s="76">
        <f t="shared" si="234"/>
        <v>0.066</v>
      </c>
      <c r="V484" s="76">
        <f t="shared" si="235"/>
        <v>1.35</v>
      </c>
      <c r="W484" s="76"/>
      <c r="X484" s="583"/>
      <c r="Y484" s="76"/>
      <c r="Z484" s="76"/>
      <c r="AA484" s="76"/>
      <c r="AB484" s="76"/>
      <c r="AC484" s="76"/>
      <c r="AD484" s="136"/>
    </row>
    <row r="485" customHeight="1" spans="1:30">
      <c r="A485" s="76"/>
      <c r="B485" s="212" t="s">
        <v>1271</v>
      </c>
      <c r="C485" s="76"/>
      <c r="D485" s="76"/>
      <c r="E485" s="76"/>
      <c r="F485" s="76">
        <f t="shared" si="229"/>
        <v>3</v>
      </c>
      <c r="G485" s="486">
        <v>1</v>
      </c>
      <c r="H485" s="486">
        <v>1</v>
      </c>
      <c r="I485" s="486">
        <v>1</v>
      </c>
      <c r="J485" s="486">
        <v>1</v>
      </c>
      <c r="K485" s="486">
        <v>1</v>
      </c>
      <c r="L485" s="486">
        <v>1</v>
      </c>
      <c r="M485" s="76">
        <v>2018</v>
      </c>
      <c r="N485" s="76">
        <v>2020</v>
      </c>
      <c r="O485" s="76">
        <f t="shared" si="230"/>
        <v>1.416</v>
      </c>
      <c r="P485" s="76">
        <f t="shared" si="231"/>
        <v>0.172</v>
      </c>
      <c r="Q485" s="76">
        <f t="shared" si="232"/>
        <v>0.622</v>
      </c>
      <c r="R485" s="76">
        <f t="shared" si="233"/>
        <v>0.622</v>
      </c>
      <c r="S485" s="76"/>
      <c r="T485" s="76"/>
      <c r="U485" s="76">
        <f t="shared" si="234"/>
        <v>0.066</v>
      </c>
      <c r="V485" s="76">
        <f t="shared" si="235"/>
        <v>1.35</v>
      </c>
      <c r="W485" s="76"/>
      <c r="X485" s="583"/>
      <c r="Y485" s="76"/>
      <c r="Z485" s="76"/>
      <c r="AA485" s="76"/>
      <c r="AB485" s="76"/>
      <c r="AC485" s="76"/>
      <c r="AD485" s="136"/>
    </row>
    <row r="486" customHeight="1" spans="1:30">
      <c r="A486" s="76"/>
      <c r="B486" s="212" t="s">
        <v>1282</v>
      </c>
      <c r="C486" s="76"/>
      <c r="D486" s="76"/>
      <c r="E486" s="76"/>
      <c r="F486" s="76">
        <f t="shared" si="229"/>
        <v>3</v>
      </c>
      <c r="G486" s="486">
        <v>1</v>
      </c>
      <c r="H486" s="486">
        <v>1</v>
      </c>
      <c r="I486" s="486">
        <v>1</v>
      </c>
      <c r="J486" s="486">
        <v>1</v>
      </c>
      <c r="K486" s="486">
        <v>1</v>
      </c>
      <c r="L486" s="486">
        <v>1</v>
      </c>
      <c r="M486" s="76">
        <v>2018</v>
      </c>
      <c r="N486" s="76">
        <v>2020</v>
      </c>
      <c r="O486" s="76">
        <f t="shared" si="230"/>
        <v>1.416</v>
      </c>
      <c r="P486" s="76">
        <f t="shared" si="231"/>
        <v>0.172</v>
      </c>
      <c r="Q486" s="76">
        <f t="shared" si="232"/>
        <v>0.622</v>
      </c>
      <c r="R486" s="76">
        <f t="shared" si="233"/>
        <v>0.622</v>
      </c>
      <c r="S486" s="76"/>
      <c r="T486" s="76"/>
      <c r="U486" s="76">
        <f t="shared" si="234"/>
        <v>0.066</v>
      </c>
      <c r="V486" s="76">
        <f t="shared" si="235"/>
        <v>1.35</v>
      </c>
      <c r="W486" s="76"/>
      <c r="X486" s="583"/>
      <c r="Y486" s="76"/>
      <c r="Z486" s="76"/>
      <c r="AA486" s="76"/>
      <c r="AB486" s="76"/>
      <c r="AC486" s="76"/>
      <c r="AD486" s="136"/>
    </row>
    <row r="487" customHeight="1" spans="1:30">
      <c r="A487" s="76"/>
      <c r="B487" s="212" t="s">
        <v>1283</v>
      </c>
      <c r="C487" s="76"/>
      <c r="D487" s="76"/>
      <c r="E487" s="76"/>
      <c r="F487" s="76">
        <f t="shared" si="229"/>
        <v>3</v>
      </c>
      <c r="G487" s="486">
        <v>1</v>
      </c>
      <c r="H487" s="486">
        <v>1</v>
      </c>
      <c r="I487" s="486">
        <v>1</v>
      </c>
      <c r="J487" s="486">
        <v>1</v>
      </c>
      <c r="K487" s="486">
        <v>1</v>
      </c>
      <c r="L487" s="486">
        <v>1</v>
      </c>
      <c r="M487" s="76">
        <v>2018</v>
      </c>
      <c r="N487" s="76">
        <v>2020</v>
      </c>
      <c r="O487" s="76">
        <f t="shared" si="230"/>
        <v>1.416</v>
      </c>
      <c r="P487" s="76">
        <f t="shared" si="231"/>
        <v>0.172</v>
      </c>
      <c r="Q487" s="76">
        <f t="shared" si="232"/>
        <v>0.622</v>
      </c>
      <c r="R487" s="76">
        <f t="shared" si="233"/>
        <v>0.622</v>
      </c>
      <c r="S487" s="76"/>
      <c r="T487" s="76"/>
      <c r="U487" s="76">
        <f t="shared" si="234"/>
        <v>0.066</v>
      </c>
      <c r="V487" s="76">
        <f t="shared" si="235"/>
        <v>1.35</v>
      </c>
      <c r="W487" s="76"/>
      <c r="X487" s="583"/>
      <c r="Y487" s="76"/>
      <c r="Z487" s="76"/>
      <c r="AA487" s="76"/>
      <c r="AB487" s="76"/>
      <c r="AC487" s="76"/>
      <c r="AD487" s="136"/>
    </row>
    <row r="488" customHeight="1" spans="1:30">
      <c r="A488" s="76"/>
      <c r="B488" s="212" t="s">
        <v>1284</v>
      </c>
      <c r="C488" s="76"/>
      <c r="D488" s="76"/>
      <c r="E488" s="76"/>
      <c r="F488" s="76">
        <f t="shared" si="229"/>
        <v>3</v>
      </c>
      <c r="G488" s="486">
        <v>1</v>
      </c>
      <c r="H488" s="486">
        <v>1</v>
      </c>
      <c r="I488" s="486">
        <v>1</v>
      </c>
      <c r="J488" s="486">
        <v>1</v>
      </c>
      <c r="K488" s="486">
        <v>1</v>
      </c>
      <c r="L488" s="486">
        <v>1</v>
      </c>
      <c r="M488" s="76">
        <v>2018</v>
      </c>
      <c r="N488" s="76">
        <v>2020</v>
      </c>
      <c r="O488" s="76">
        <f t="shared" si="230"/>
        <v>1.416</v>
      </c>
      <c r="P488" s="76">
        <f t="shared" si="231"/>
        <v>0.172</v>
      </c>
      <c r="Q488" s="76">
        <f t="shared" si="232"/>
        <v>0.622</v>
      </c>
      <c r="R488" s="76">
        <f t="shared" si="233"/>
        <v>0.622</v>
      </c>
      <c r="S488" s="76"/>
      <c r="T488" s="76"/>
      <c r="U488" s="76">
        <f t="shared" si="234"/>
        <v>0.066</v>
      </c>
      <c r="V488" s="76">
        <f t="shared" si="235"/>
        <v>1.35</v>
      </c>
      <c r="W488" s="76"/>
      <c r="X488" s="583"/>
      <c r="Y488" s="76"/>
      <c r="Z488" s="76"/>
      <c r="AA488" s="76"/>
      <c r="AB488" s="76"/>
      <c r="AC488" s="76"/>
      <c r="AD488" s="136"/>
    </row>
    <row r="489" customHeight="1" spans="1:30">
      <c r="A489" s="76">
        <v>34</v>
      </c>
      <c r="B489" s="92" t="s">
        <v>857</v>
      </c>
      <c r="C489" s="76" t="s">
        <v>320</v>
      </c>
      <c r="D489" s="76" t="s">
        <v>320</v>
      </c>
      <c r="E489" s="76"/>
      <c r="F489" s="76"/>
      <c r="G489" s="76"/>
      <c r="H489" s="76"/>
      <c r="I489" s="76"/>
      <c r="J489" s="76"/>
      <c r="K489" s="76">
        <v>6687</v>
      </c>
      <c r="L489" s="76">
        <v>26421</v>
      </c>
      <c r="M489" s="76">
        <f>SUM(M495+M513+M531)</f>
        <v>6054</v>
      </c>
      <c r="N489" s="76">
        <f>SUM(N495+N513+N531)</f>
        <v>6059</v>
      </c>
      <c r="O489" s="76">
        <f t="shared" ref="O489:W489" si="236">SUM(O495+O513+O531)</f>
        <v>7288.202862</v>
      </c>
      <c r="P489" s="76">
        <f t="shared" si="236"/>
        <v>1858.859</v>
      </c>
      <c r="Q489" s="76">
        <f t="shared" si="236"/>
        <v>5364.380954</v>
      </c>
      <c r="R489" s="76">
        <f t="shared" si="236"/>
        <v>64.962908</v>
      </c>
      <c r="S489" s="76">
        <f t="shared" si="236"/>
        <v>0</v>
      </c>
      <c r="T489" s="76">
        <f t="shared" si="236"/>
        <v>7288.202862</v>
      </c>
      <c r="U489" s="76">
        <f t="shared" si="236"/>
        <v>0</v>
      </c>
      <c r="V489" s="76">
        <f t="shared" si="236"/>
        <v>0</v>
      </c>
      <c r="W489" s="76">
        <f t="shared" si="236"/>
        <v>0</v>
      </c>
      <c r="X489" s="583"/>
      <c r="Y489" s="76"/>
      <c r="Z489" s="76"/>
      <c r="AA489" s="76" t="s">
        <v>1302</v>
      </c>
      <c r="AB489" s="76" t="s">
        <v>1303</v>
      </c>
      <c r="AC489" s="76" t="s">
        <v>320</v>
      </c>
      <c r="AD489" s="136"/>
    </row>
    <row r="490" customHeight="1" spans="1:30">
      <c r="A490" s="76">
        <v>35</v>
      </c>
      <c r="B490" s="92" t="s">
        <v>42</v>
      </c>
      <c r="C490" s="76"/>
      <c r="D490" s="76"/>
      <c r="E490" s="76"/>
      <c r="F490" s="76"/>
      <c r="G490" s="76"/>
      <c r="H490" s="76"/>
      <c r="I490" s="76"/>
      <c r="J490" s="76"/>
      <c r="K490" s="76"/>
      <c r="L490" s="76"/>
      <c r="M490" s="76"/>
      <c r="N490" s="76"/>
      <c r="O490" s="76">
        <f t="shared" ref="O490:O494" si="237">SUM(P490:R490)</f>
        <v>0</v>
      </c>
      <c r="P490" s="76">
        <f t="shared" ref="P490:W490" si="238">SUM(P491,P492)</f>
        <v>0</v>
      </c>
      <c r="Q490" s="76">
        <f t="shared" si="238"/>
        <v>0</v>
      </c>
      <c r="R490" s="76">
        <f t="shared" si="238"/>
        <v>0</v>
      </c>
      <c r="S490" s="76">
        <f t="shared" si="238"/>
        <v>0</v>
      </c>
      <c r="T490" s="76">
        <f t="shared" si="238"/>
        <v>0</v>
      </c>
      <c r="U490" s="76">
        <f t="shared" si="238"/>
        <v>0</v>
      </c>
      <c r="V490" s="76">
        <f t="shared" si="238"/>
        <v>0</v>
      </c>
      <c r="W490" s="76">
        <f t="shared" si="238"/>
        <v>0</v>
      </c>
      <c r="X490" s="583"/>
      <c r="Y490" s="76"/>
      <c r="Z490" s="76"/>
      <c r="AA490" s="76" t="s">
        <v>1302</v>
      </c>
      <c r="AB490" s="76" t="s">
        <v>1303</v>
      </c>
      <c r="AC490" s="76" t="s">
        <v>43</v>
      </c>
      <c r="AD490" s="136"/>
    </row>
    <row r="491" customHeight="1" spans="1:30">
      <c r="A491" s="76">
        <v>36</v>
      </c>
      <c r="B491" s="92" t="s">
        <v>1114</v>
      </c>
      <c r="C491" s="76" t="s">
        <v>52</v>
      </c>
      <c r="D491" s="76" t="s">
        <v>45</v>
      </c>
      <c r="E491" s="76"/>
      <c r="F491" s="76"/>
      <c r="G491" s="76"/>
      <c r="H491" s="76"/>
      <c r="I491" s="76"/>
      <c r="J491" s="76"/>
      <c r="K491" s="76"/>
      <c r="L491" s="76"/>
      <c r="M491" s="76"/>
      <c r="N491" s="76"/>
      <c r="O491" s="76">
        <f t="shared" si="237"/>
        <v>0</v>
      </c>
      <c r="P491" s="76"/>
      <c r="Q491" s="76"/>
      <c r="R491" s="76"/>
      <c r="S491" s="76"/>
      <c r="T491" s="76"/>
      <c r="U491" s="76"/>
      <c r="V491" s="76"/>
      <c r="W491" s="76"/>
      <c r="X491" s="583" t="s">
        <v>1038</v>
      </c>
      <c r="Y491" s="76"/>
      <c r="Z491" s="76"/>
      <c r="AA491" s="76" t="s">
        <v>1302</v>
      </c>
      <c r="AB491" s="76" t="s">
        <v>1303</v>
      </c>
      <c r="AC491" s="76" t="s">
        <v>43</v>
      </c>
      <c r="AD491" s="136"/>
    </row>
    <row r="492" customHeight="1" spans="1:30">
      <c r="A492" s="76">
        <v>37</v>
      </c>
      <c r="B492" s="92" t="s">
        <v>1123</v>
      </c>
      <c r="C492" s="76" t="s">
        <v>1124</v>
      </c>
      <c r="D492" s="76" t="s">
        <v>45</v>
      </c>
      <c r="E492" s="76"/>
      <c r="F492" s="76"/>
      <c r="G492" s="76"/>
      <c r="H492" s="76"/>
      <c r="I492" s="76"/>
      <c r="J492" s="76"/>
      <c r="K492" s="76"/>
      <c r="L492" s="76"/>
      <c r="M492" s="76"/>
      <c r="N492" s="76"/>
      <c r="O492" s="76">
        <f t="shared" si="237"/>
        <v>0</v>
      </c>
      <c r="P492" s="76"/>
      <c r="Q492" s="76"/>
      <c r="R492" s="76"/>
      <c r="S492" s="76"/>
      <c r="T492" s="76"/>
      <c r="U492" s="76"/>
      <c r="V492" s="76"/>
      <c r="W492" s="76"/>
      <c r="X492" s="583" t="s">
        <v>1038</v>
      </c>
      <c r="Y492" s="76"/>
      <c r="Z492" s="76"/>
      <c r="AA492" s="76" t="s">
        <v>1302</v>
      </c>
      <c r="AB492" s="76" t="s">
        <v>1303</v>
      </c>
      <c r="AC492" s="76" t="s">
        <v>43</v>
      </c>
      <c r="AD492" s="136"/>
    </row>
    <row r="493" customHeight="1" spans="1:30">
      <c r="A493" s="76">
        <v>38</v>
      </c>
      <c r="B493" s="92" t="s">
        <v>130</v>
      </c>
      <c r="C493" s="92"/>
      <c r="D493" s="76"/>
      <c r="E493" s="76"/>
      <c r="F493" s="76"/>
      <c r="G493" s="76"/>
      <c r="H493" s="76"/>
      <c r="I493" s="76"/>
      <c r="J493" s="76"/>
      <c r="K493" s="76"/>
      <c r="L493" s="76"/>
      <c r="M493" s="76"/>
      <c r="N493" s="76"/>
      <c r="O493" s="76">
        <f t="shared" si="237"/>
        <v>0</v>
      </c>
      <c r="P493" s="585"/>
      <c r="Q493" s="585"/>
      <c r="R493" s="585"/>
      <c r="S493" s="585"/>
      <c r="T493" s="585"/>
      <c r="U493" s="76"/>
      <c r="V493" s="76"/>
      <c r="W493" s="76"/>
      <c r="X493" s="583"/>
      <c r="Y493" s="76"/>
      <c r="Z493" s="76"/>
      <c r="AA493" s="76" t="s">
        <v>1302</v>
      </c>
      <c r="AB493" s="76" t="s">
        <v>1303</v>
      </c>
      <c r="AC493" s="76" t="s">
        <v>43</v>
      </c>
      <c r="AD493" s="136"/>
    </row>
    <row r="494" customHeight="1" spans="1:30">
      <c r="A494" s="76">
        <v>39</v>
      </c>
      <c r="B494" s="92" t="s">
        <v>146</v>
      </c>
      <c r="C494" s="76"/>
      <c r="D494" s="76"/>
      <c r="E494" s="76"/>
      <c r="F494" s="76"/>
      <c r="G494" s="76"/>
      <c r="H494" s="76"/>
      <c r="I494" s="76"/>
      <c r="J494" s="76"/>
      <c r="K494" s="76"/>
      <c r="L494" s="76"/>
      <c r="M494" s="76"/>
      <c r="N494" s="76"/>
      <c r="O494" s="76">
        <f t="shared" si="237"/>
        <v>0</v>
      </c>
      <c r="P494" s="76"/>
      <c r="Q494" s="76"/>
      <c r="R494" s="76"/>
      <c r="S494" s="76"/>
      <c r="T494" s="76"/>
      <c r="U494" s="76"/>
      <c r="V494" s="76"/>
      <c r="W494" s="76"/>
      <c r="X494" s="583" t="s">
        <v>1038</v>
      </c>
      <c r="Y494" s="76"/>
      <c r="Z494" s="76"/>
      <c r="AA494" s="76" t="s">
        <v>1302</v>
      </c>
      <c r="AB494" s="76" t="s">
        <v>1303</v>
      </c>
      <c r="AC494" s="76" t="s">
        <v>43</v>
      </c>
      <c r="AD494" s="136"/>
    </row>
    <row r="495" customHeight="1" spans="1:30">
      <c r="A495" s="76">
        <v>42</v>
      </c>
      <c r="B495" s="95" t="s">
        <v>893</v>
      </c>
      <c r="C495" s="76" t="s">
        <v>52</v>
      </c>
      <c r="D495" s="76" t="s">
        <v>384</v>
      </c>
      <c r="E495" s="76"/>
      <c r="F495" s="76">
        <f t="shared" ref="F495:L495" si="239">SUM(F496:F512)</f>
        <v>2723</v>
      </c>
      <c r="G495" s="76">
        <f t="shared" si="239"/>
        <v>1865</v>
      </c>
      <c r="H495" s="76">
        <f t="shared" si="239"/>
        <v>858</v>
      </c>
      <c r="I495" s="76">
        <f t="shared" si="239"/>
        <v>0</v>
      </c>
      <c r="J495" s="76">
        <f t="shared" si="239"/>
        <v>2723</v>
      </c>
      <c r="K495" s="76">
        <f t="shared" si="239"/>
        <v>2723</v>
      </c>
      <c r="L495" s="76">
        <f t="shared" si="239"/>
        <v>10806</v>
      </c>
      <c r="M495" s="76">
        <v>2018</v>
      </c>
      <c r="N495" s="76">
        <v>2020</v>
      </c>
      <c r="O495" s="76">
        <f t="shared" ref="O495:V495" si="240">SUM(O496:O512)</f>
        <v>885.3</v>
      </c>
      <c r="P495" s="76">
        <f t="shared" si="240"/>
        <v>570</v>
      </c>
      <c r="Q495" s="76">
        <f t="shared" si="240"/>
        <v>315.3</v>
      </c>
      <c r="R495" s="76">
        <f t="shared" si="240"/>
        <v>0</v>
      </c>
      <c r="S495" s="76">
        <f t="shared" si="240"/>
        <v>0</v>
      </c>
      <c r="T495" s="76">
        <f t="shared" si="240"/>
        <v>885.3</v>
      </c>
      <c r="U495" s="76">
        <f t="shared" si="240"/>
        <v>0</v>
      </c>
      <c r="V495" s="76">
        <f t="shared" si="240"/>
        <v>0</v>
      </c>
      <c r="W495" s="76"/>
      <c r="X495" s="583" t="s">
        <v>1038</v>
      </c>
      <c r="Y495" s="76"/>
      <c r="Z495" s="76"/>
      <c r="AA495" s="76" t="s">
        <v>1302</v>
      </c>
      <c r="AB495" s="76" t="s">
        <v>1303</v>
      </c>
      <c r="AC495" s="76" t="s">
        <v>43</v>
      </c>
      <c r="AD495" s="136" t="s">
        <v>1304</v>
      </c>
    </row>
    <row r="496" customHeight="1" spans="1:30">
      <c r="A496" s="76"/>
      <c r="B496" s="212" t="s">
        <v>1265</v>
      </c>
      <c r="C496" s="76" t="s">
        <v>52</v>
      </c>
      <c r="D496" s="76" t="s">
        <v>384</v>
      </c>
      <c r="E496" s="76"/>
      <c r="F496" s="584">
        <f t="shared" ref="F496:F512" si="241">SUM(G496:I496)</f>
        <v>54</v>
      </c>
      <c r="G496" s="584">
        <v>54</v>
      </c>
      <c r="H496" s="584"/>
      <c r="I496" s="76"/>
      <c r="J496" s="584">
        <v>54</v>
      </c>
      <c r="K496" s="584">
        <v>54</v>
      </c>
      <c r="L496" s="584">
        <v>183</v>
      </c>
      <c r="M496" s="76">
        <v>2018</v>
      </c>
      <c r="N496" s="76">
        <v>2020</v>
      </c>
      <c r="O496" s="76">
        <f t="shared" ref="O496:O512" si="242">SUM(P496:R496)</f>
        <v>17.4</v>
      </c>
      <c r="P496" s="76">
        <v>17.4</v>
      </c>
      <c r="Q496" s="76">
        <f t="shared" ref="Q496:Q509" si="243">0.3*H496</f>
        <v>0</v>
      </c>
      <c r="R496" s="76"/>
      <c r="S496" s="76"/>
      <c r="T496" s="76">
        <f t="shared" ref="T496:T530" si="244">O496</f>
        <v>17.4</v>
      </c>
      <c r="U496" s="76"/>
      <c r="V496" s="76"/>
      <c r="W496" s="76"/>
      <c r="X496" s="583"/>
      <c r="Y496" s="76"/>
      <c r="Z496" s="76"/>
      <c r="AA496" s="76"/>
      <c r="AB496" s="76"/>
      <c r="AC496" s="76"/>
      <c r="AD496" s="136"/>
    </row>
    <row r="497" customHeight="1" spans="1:30">
      <c r="A497" s="76"/>
      <c r="B497" s="212" t="s">
        <v>1266</v>
      </c>
      <c r="C497" s="76" t="s">
        <v>52</v>
      </c>
      <c r="D497" s="76" t="s">
        <v>384</v>
      </c>
      <c r="E497" s="76"/>
      <c r="F497" s="584">
        <f t="shared" si="241"/>
        <v>153</v>
      </c>
      <c r="G497" s="584">
        <v>153</v>
      </c>
      <c r="H497" s="584"/>
      <c r="I497" s="76"/>
      <c r="J497" s="584">
        <v>153</v>
      </c>
      <c r="K497" s="584">
        <v>153</v>
      </c>
      <c r="L497" s="584">
        <v>594</v>
      </c>
      <c r="M497" s="76">
        <v>2018</v>
      </c>
      <c r="N497" s="76">
        <v>2020</v>
      </c>
      <c r="O497" s="76">
        <f t="shared" si="242"/>
        <v>49.2</v>
      </c>
      <c r="P497" s="76">
        <v>49.2</v>
      </c>
      <c r="Q497" s="76">
        <f t="shared" si="243"/>
        <v>0</v>
      </c>
      <c r="R497" s="76"/>
      <c r="S497" s="76"/>
      <c r="T497" s="76">
        <f t="shared" si="244"/>
        <v>49.2</v>
      </c>
      <c r="U497" s="76"/>
      <c r="V497" s="76"/>
      <c r="W497" s="76"/>
      <c r="X497" s="583"/>
      <c r="Y497" s="76"/>
      <c r="Z497" s="76"/>
      <c r="AA497" s="76"/>
      <c r="AB497" s="76"/>
      <c r="AC497" s="76"/>
      <c r="AD497" s="136"/>
    </row>
    <row r="498" customHeight="1" spans="1:30">
      <c r="A498" s="76"/>
      <c r="B498" s="212" t="s">
        <v>1267</v>
      </c>
      <c r="C498" s="76" t="s">
        <v>52</v>
      </c>
      <c r="D498" s="76" t="s">
        <v>384</v>
      </c>
      <c r="E498" s="76"/>
      <c r="F498" s="584">
        <v>126</v>
      </c>
      <c r="G498" s="584"/>
      <c r="H498" s="584">
        <v>126</v>
      </c>
      <c r="I498" s="76"/>
      <c r="J498" s="584">
        <v>126</v>
      </c>
      <c r="K498" s="584">
        <v>126</v>
      </c>
      <c r="L498" s="584">
        <v>503</v>
      </c>
      <c r="M498" s="76">
        <v>2019</v>
      </c>
      <c r="N498" s="76">
        <v>2020</v>
      </c>
      <c r="O498" s="76">
        <f t="shared" si="242"/>
        <v>37.8</v>
      </c>
      <c r="P498" s="76">
        <f>G498*0.3</f>
        <v>0</v>
      </c>
      <c r="Q498" s="76">
        <f t="shared" si="243"/>
        <v>37.8</v>
      </c>
      <c r="R498" s="76"/>
      <c r="S498" s="76"/>
      <c r="T498" s="76">
        <f t="shared" si="244"/>
        <v>37.8</v>
      </c>
      <c r="U498" s="76"/>
      <c r="V498" s="76"/>
      <c r="W498" s="76"/>
      <c r="X498" s="583"/>
      <c r="Y498" s="76"/>
      <c r="Z498" s="76"/>
      <c r="AA498" s="76"/>
      <c r="AB498" s="76"/>
      <c r="AC498" s="76"/>
      <c r="AD498" s="136"/>
    </row>
    <row r="499" customHeight="1" spans="1:30">
      <c r="A499" s="76"/>
      <c r="B499" s="212" t="s">
        <v>1268</v>
      </c>
      <c r="C499" s="76" t="s">
        <v>52</v>
      </c>
      <c r="D499" s="76" t="s">
        <v>384</v>
      </c>
      <c r="E499" s="76"/>
      <c r="F499" s="584">
        <f t="shared" si="241"/>
        <v>183</v>
      </c>
      <c r="G499" s="584">
        <v>183</v>
      </c>
      <c r="H499" s="584"/>
      <c r="I499" s="76"/>
      <c r="J499" s="584">
        <v>183</v>
      </c>
      <c r="K499" s="584">
        <v>183</v>
      </c>
      <c r="L499" s="584">
        <v>671</v>
      </c>
      <c r="M499" s="76">
        <v>2018</v>
      </c>
      <c r="N499" s="76">
        <v>2020</v>
      </c>
      <c r="O499" s="76">
        <f t="shared" si="242"/>
        <v>55.2</v>
      </c>
      <c r="P499" s="76">
        <v>55.2</v>
      </c>
      <c r="Q499" s="76">
        <f t="shared" si="243"/>
        <v>0</v>
      </c>
      <c r="R499" s="76"/>
      <c r="S499" s="76"/>
      <c r="T499" s="76">
        <f t="shared" si="244"/>
        <v>55.2</v>
      </c>
      <c r="U499" s="76"/>
      <c r="V499" s="76"/>
      <c r="W499" s="76"/>
      <c r="X499" s="583"/>
      <c r="Y499" s="76"/>
      <c r="Z499" s="76"/>
      <c r="AA499" s="76"/>
      <c r="AB499" s="76"/>
      <c r="AC499" s="76"/>
      <c r="AD499" s="136"/>
    </row>
    <row r="500" customHeight="1" spans="1:30">
      <c r="A500" s="76"/>
      <c r="B500" s="212" t="s">
        <v>1275</v>
      </c>
      <c r="C500" s="76" t="s">
        <v>52</v>
      </c>
      <c r="D500" s="76" t="s">
        <v>384</v>
      </c>
      <c r="E500" s="76"/>
      <c r="F500" s="584">
        <f t="shared" si="241"/>
        <v>268</v>
      </c>
      <c r="G500" s="584">
        <v>268</v>
      </c>
      <c r="H500" s="584"/>
      <c r="I500" s="76"/>
      <c r="J500" s="584">
        <v>268</v>
      </c>
      <c r="K500" s="584">
        <v>268</v>
      </c>
      <c r="L500" s="584">
        <v>987</v>
      </c>
      <c r="M500" s="76">
        <v>2018</v>
      </c>
      <c r="N500" s="76">
        <v>2020</v>
      </c>
      <c r="O500" s="76">
        <f t="shared" si="242"/>
        <v>80.7</v>
      </c>
      <c r="P500" s="76">
        <v>80.7</v>
      </c>
      <c r="Q500" s="76">
        <f t="shared" si="243"/>
        <v>0</v>
      </c>
      <c r="R500" s="76"/>
      <c r="S500" s="76"/>
      <c r="T500" s="76">
        <f t="shared" si="244"/>
        <v>80.7</v>
      </c>
      <c r="U500" s="76"/>
      <c r="V500" s="76"/>
      <c r="W500" s="76"/>
      <c r="X500" s="583"/>
      <c r="Y500" s="76"/>
      <c r="Z500" s="76"/>
      <c r="AA500" s="76"/>
      <c r="AB500" s="76"/>
      <c r="AC500" s="76"/>
      <c r="AD500" s="136"/>
    </row>
    <row r="501" customHeight="1" spans="1:30">
      <c r="A501" s="76"/>
      <c r="B501" s="212" t="s">
        <v>1276</v>
      </c>
      <c r="C501" s="76" t="s">
        <v>52</v>
      </c>
      <c r="D501" s="76" t="s">
        <v>384</v>
      </c>
      <c r="E501" s="76"/>
      <c r="F501" s="584">
        <f t="shared" si="241"/>
        <v>201</v>
      </c>
      <c r="G501" s="584">
        <v>201</v>
      </c>
      <c r="H501" s="584"/>
      <c r="I501" s="76"/>
      <c r="J501" s="584">
        <v>201</v>
      </c>
      <c r="K501" s="584">
        <v>201</v>
      </c>
      <c r="L501" s="584">
        <v>736</v>
      </c>
      <c r="M501" s="76">
        <v>2018</v>
      </c>
      <c r="N501" s="76">
        <v>2020</v>
      </c>
      <c r="O501" s="76">
        <f t="shared" si="242"/>
        <v>62.7</v>
      </c>
      <c r="P501" s="76">
        <v>62.7</v>
      </c>
      <c r="Q501" s="76">
        <f t="shared" si="243"/>
        <v>0</v>
      </c>
      <c r="R501" s="76"/>
      <c r="S501" s="76"/>
      <c r="T501" s="76">
        <f t="shared" si="244"/>
        <v>62.7</v>
      </c>
      <c r="U501" s="76"/>
      <c r="V501" s="76"/>
      <c r="W501" s="76"/>
      <c r="X501" s="583"/>
      <c r="Y501" s="76"/>
      <c r="Z501" s="76"/>
      <c r="AA501" s="76"/>
      <c r="AB501" s="76"/>
      <c r="AC501" s="76"/>
      <c r="AD501" s="136"/>
    </row>
    <row r="502" customHeight="1" spans="1:30">
      <c r="A502" s="76"/>
      <c r="B502" s="212" t="s">
        <v>1277</v>
      </c>
      <c r="C502" s="76" t="s">
        <v>52</v>
      </c>
      <c r="D502" s="76" t="s">
        <v>384</v>
      </c>
      <c r="E502" s="76"/>
      <c r="F502" s="584">
        <f t="shared" si="241"/>
        <v>369</v>
      </c>
      <c r="G502" s="584">
        <v>369</v>
      </c>
      <c r="H502" s="584"/>
      <c r="I502" s="76"/>
      <c r="J502" s="584">
        <v>369</v>
      </c>
      <c r="K502" s="584">
        <v>369</v>
      </c>
      <c r="L502" s="584">
        <v>1605</v>
      </c>
      <c r="M502" s="76">
        <v>2018</v>
      </c>
      <c r="N502" s="76">
        <v>2020</v>
      </c>
      <c r="O502" s="76">
        <f t="shared" si="242"/>
        <v>111.9</v>
      </c>
      <c r="P502" s="76">
        <v>111.9</v>
      </c>
      <c r="Q502" s="76">
        <f t="shared" si="243"/>
        <v>0</v>
      </c>
      <c r="R502" s="76"/>
      <c r="S502" s="76"/>
      <c r="T502" s="76">
        <f t="shared" si="244"/>
        <v>111.9</v>
      </c>
      <c r="U502" s="76"/>
      <c r="V502" s="76"/>
      <c r="W502" s="76"/>
      <c r="X502" s="583"/>
      <c r="Y502" s="76"/>
      <c r="Z502" s="76"/>
      <c r="AA502" s="76"/>
      <c r="AB502" s="76"/>
      <c r="AC502" s="76"/>
      <c r="AD502" s="136"/>
    </row>
    <row r="503" customHeight="1" spans="1:30">
      <c r="A503" s="76"/>
      <c r="B503" s="212" t="s">
        <v>1278</v>
      </c>
      <c r="C503" s="76" t="s">
        <v>52</v>
      </c>
      <c r="D503" s="76" t="s">
        <v>384</v>
      </c>
      <c r="E503" s="76"/>
      <c r="F503" s="584">
        <f t="shared" si="241"/>
        <v>267</v>
      </c>
      <c r="G503" s="584">
        <v>267</v>
      </c>
      <c r="H503" s="584"/>
      <c r="I503" s="76"/>
      <c r="J503" s="584">
        <v>267</v>
      </c>
      <c r="K503" s="584">
        <v>267</v>
      </c>
      <c r="L503" s="584">
        <v>1050</v>
      </c>
      <c r="M503" s="76">
        <v>2018</v>
      </c>
      <c r="N503" s="76">
        <v>2020</v>
      </c>
      <c r="O503" s="76">
        <f t="shared" si="242"/>
        <v>81.3</v>
      </c>
      <c r="P503" s="76">
        <v>81.3</v>
      </c>
      <c r="Q503" s="76">
        <f t="shared" si="243"/>
        <v>0</v>
      </c>
      <c r="R503" s="76"/>
      <c r="S503" s="76"/>
      <c r="T503" s="76">
        <f t="shared" si="244"/>
        <v>81.3</v>
      </c>
      <c r="U503" s="76"/>
      <c r="V503" s="76"/>
      <c r="W503" s="76"/>
      <c r="X503" s="583"/>
      <c r="Y503" s="76"/>
      <c r="Z503" s="76"/>
      <c r="AA503" s="76"/>
      <c r="AB503" s="76"/>
      <c r="AC503" s="76"/>
      <c r="AD503" s="136"/>
    </row>
    <row r="504" customHeight="1" spans="1:30">
      <c r="A504" s="76"/>
      <c r="B504" s="212" t="s">
        <v>1279</v>
      </c>
      <c r="C504" s="76" t="s">
        <v>52</v>
      </c>
      <c r="D504" s="76" t="s">
        <v>384</v>
      </c>
      <c r="E504" s="76"/>
      <c r="F504" s="584">
        <f t="shared" si="241"/>
        <v>174</v>
      </c>
      <c r="G504" s="584"/>
      <c r="H504" s="584">
        <v>174</v>
      </c>
      <c r="I504" s="76"/>
      <c r="J504" s="584">
        <v>174</v>
      </c>
      <c r="K504" s="584">
        <v>174</v>
      </c>
      <c r="L504" s="584">
        <v>656</v>
      </c>
      <c r="M504" s="76">
        <v>2019</v>
      </c>
      <c r="N504" s="76">
        <v>2020</v>
      </c>
      <c r="O504" s="76">
        <f t="shared" si="242"/>
        <v>52.2</v>
      </c>
      <c r="P504" s="76">
        <f t="shared" ref="P504:P507" si="245">G504*0.3</f>
        <v>0</v>
      </c>
      <c r="Q504" s="76">
        <f t="shared" si="243"/>
        <v>52.2</v>
      </c>
      <c r="R504" s="76"/>
      <c r="S504" s="76"/>
      <c r="T504" s="76">
        <f t="shared" si="244"/>
        <v>52.2</v>
      </c>
      <c r="U504" s="76"/>
      <c r="V504" s="76"/>
      <c r="W504" s="76"/>
      <c r="X504" s="583"/>
      <c r="Y504" s="76"/>
      <c r="Z504" s="76"/>
      <c r="AA504" s="76"/>
      <c r="AB504" s="76"/>
      <c r="AC504" s="76"/>
      <c r="AD504" s="136"/>
    </row>
    <row r="505" customHeight="1" spans="1:30">
      <c r="A505" s="76"/>
      <c r="B505" s="212" t="s">
        <v>1280</v>
      </c>
      <c r="C505" s="76" t="s">
        <v>52</v>
      </c>
      <c r="D505" s="76" t="s">
        <v>384</v>
      </c>
      <c r="E505" s="76"/>
      <c r="F505" s="584">
        <f t="shared" si="241"/>
        <v>90</v>
      </c>
      <c r="G505" s="584">
        <v>90</v>
      </c>
      <c r="H505" s="584"/>
      <c r="I505" s="76"/>
      <c r="J505" s="584">
        <v>90</v>
      </c>
      <c r="K505" s="584">
        <v>90</v>
      </c>
      <c r="L505" s="584">
        <v>343</v>
      </c>
      <c r="M505" s="76">
        <v>2018</v>
      </c>
      <c r="N505" s="76">
        <v>2020</v>
      </c>
      <c r="O505" s="76">
        <f t="shared" si="242"/>
        <v>27.3</v>
      </c>
      <c r="P505" s="76">
        <v>27.3</v>
      </c>
      <c r="Q505" s="76">
        <f t="shared" si="243"/>
        <v>0</v>
      </c>
      <c r="R505" s="76"/>
      <c r="S505" s="76"/>
      <c r="T505" s="76">
        <f t="shared" si="244"/>
        <v>27.3</v>
      </c>
      <c r="U505" s="76"/>
      <c r="V505" s="76"/>
      <c r="W505" s="76"/>
      <c r="X505" s="583"/>
      <c r="Y505" s="76"/>
      <c r="Z505" s="76"/>
      <c r="AA505" s="76"/>
      <c r="AB505" s="76"/>
      <c r="AC505" s="76"/>
      <c r="AD505" s="136"/>
    </row>
    <row r="506" customHeight="1" spans="1:30">
      <c r="A506" s="76"/>
      <c r="B506" s="212" t="s">
        <v>1269</v>
      </c>
      <c r="C506" s="76" t="s">
        <v>52</v>
      </c>
      <c r="D506" s="76" t="s">
        <v>384</v>
      </c>
      <c r="E506" s="76"/>
      <c r="F506" s="584">
        <f t="shared" si="241"/>
        <v>188</v>
      </c>
      <c r="G506" s="584"/>
      <c r="H506" s="584">
        <v>188</v>
      </c>
      <c r="I506" s="76"/>
      <c r="J506" s="584">
        <v>188</v>
      </c>
      <c r="K506" s="584">
        <v>188</v>
      </c>
      <c r="L506" s="584">
        <v>765</v>
      </c>
      <c r="M506" s="76">
        <v>2019</v>
      </c>
      <c r="N506" s="76">
        <v>2020</v>
      </c>
      <c r="O506" s="76">
        <f t="shared" si="242"/>
        <v>56.4</v>
      </c>
      <c r="P506" s="76">
        <f t="shared" si="245"/>
        <v>0</v>
      </c>
      <c r="Q506" s="76">
        <f t="shared" si="243"/>
        <v>56.4</v>
      </c>
      <c r="R506" s="76"/>
      <c r="S506" s="76"/>
      <c r="T506" s="76">
        <f t="shared" si="244"/>
        <v>56.4</v>
      </c>
      <c r="U506" s="76"/>
      <c r="V506" s="76"/>
      <c r="W506" s="76"/>
      <c r="X506" s="583"/>
      <c r="Y506" s="76"/>
      <c r="Z506" s="76"/>
      <c r="AA506" s="76"/>
      <c r="AB506" s="76"/>
      <c r="AC506" s="76"/>
      <c r="AD506" s="136"/>
    </row>
    <row r="507" customHeight="1" spans="1:30">
      <c r="A507" s="76"/>
      <c r="B507" s="212" t="s">
        <v>1270</v>
      </c>
      <c r="C507" s="76" t="s">
        <v>52</v>
      </c>
      <c r="D507" s="76" t="s">
        <v>384</v>
      </c>
      <c r="E507" s="76"/>
      <c r="F507" s="584">
        <f t="shared" si="241"/>
        <v>209</v>
      </c>
      <c r="G507" s="584"/>
      <c r="H507" s="584">
        <v>209</v>
      </c>
      <c r="I507" s="76"/>
      <c r="J507" s="584">
        <v>209</v>
      </c>
      <c r="K507" s="584">
        <v>209</v>
      </c>
      <c r="L507" s="584">
        <v>901</v>
      </c>
      <c r="M507" s="76">
        <v>2019</v>
      </c>
      <c r="N507" s="76">
        <v>2020</v>
      </c>
      <c r="O507" s="76">
        <f t="shared" si="242"/>
        <v>62.7</v>
      </c>
      <c r="P507" s="76">
        <f t="shared" si="245"/>
        <v>0</v>
      </c>
      <c r="Q507" s="76">
        <f t="shared" si="243"/>
        <v>62.7</v>
      </c>
      <c r="R507" s="76"/>
      <c r="S507" s="76"/>
      <c r="T507" s="76">
        <f t="shared" si="244"/>
        <v>62.7</v>
      </c>
      <c r="U507" s="76"/>
      <c r="V507" s="76"/>
      <c r="W507" s="76"/>
      <c r="X507" s="583"/>
      <c r="Y507" s="76"/>
      <c r="Z507" s="76"/>
      <c r="AA507" s="76"/>
      <c r="AB507" s="76"/>
      <c r="AC507" s="76"/>
      <c r="AD507" s="136"/>
    </row>
    <row r="508" customHeight="1" spans="1:30">
      <c r="A508" s="76"/>
      <c r="B508" s="212" t="s">
        <v>1281</v>
      </c>
      <c r="C508" s="76" t="s">
        <v>52</v>
      </c>
      <c r="D508" s="76" t="s">
        <v>384</v>
      </c>
      <c r="E508" s="76"/>
      <c r="F508" s="584">
        <f t="shared" si="241"/>
        <v>230</v>
      </c>
      <c r="G508" s="584">
        <v>230</v>
      </c>
      <c r="H508" s="584"/>
      <c r="I508" s="76"/>
      <c r="J508" s="584">
        <v>230</v>
      </c>
      <c r="K508" s="584">
        <v>230</v>
      </c>
      <c r="L508" s="584">
        <v>993</v>
      </c>
      <c r="M508" s="76">
        <v>2018</v>
      </c>
      <c r="N508" s="76">
        <v>2020</v>
      </c>
      <c r="O508" s="76">
        <f t="shared" si="242"/>
        <v>69.3</v>
      </c>
      <c r="P508" s="76">
        <v>69.3</v>
      </c>
      <c r="Q508" s="76">
        <f t="shared" si="243"/>
        <v>0</v>
      </c>
      <c r="R508" s="76"/>
      <c r="S508" s="76"/>
      <c r="T508" s="76">
        <f t="shared" si="244"/>
        <v>69.3</v>
      </c>
      <c r="U508" s="76"/>
      <c r="V508" s="76"/>
      <c r="W508" s="76"/>
      <c r="X508" s="583"/>
      <c r="Y508" s="76"/>
      <c r="Z508" s="76"/>
      <c r="AA508" s="76"/>
      <c r="AB508" s="76"/>
      <c r="AC508" s="76"/>
      <c r="AD508" s="136"/>
    </row>
    <row r="509" customHeight="1" spans="1:30">
      <c r="A509" s="76"/>
      <c r="B509" s="212" t="s">
        <v>1271</v>
      </c>
      <c r="C509" s="76" t="s">
        <v>52</v>
      </c>
      <c r="D509" s="76" t="s">
        <v>384</v>
      </c>
      <c r="E509" s="76"/>
      <c r="F509" s="584">
        <f t="shared" si="241"/>
        <v>15</v>
      </c>
      <c r="G509" s="584"/>
      <c r="H509" s="584">
        <v>15</v>
      </c>
      <c r="I509" s="76"/>
      <c r="J509" s="584">
        <v>15</v>
      </c>
      <c r="K509" s="584">
        <v>15</v>
      </c>
      <c r="L509" s="584">
        <v>33</v>
      </c>
      <c r="M509" s="76">
        <v>2019</v>
      </c>
      <c r="N509" s="76">
        <v>2020</v>
      </c>
      <c r="O509" s="76">
        <f t="shared" si="242"/>
        <v>4.5</v>
      </c>
      <c r="P509" s="76">
        <f t="shared" ref="P509:P512" si="246">G509*0.3</f>
        <v>0</v>
      </c>
      <c r="Q509" s="76">
        <f t="shared" si="243"/>
        <v>4.5</v>
      </c>
      <c r="R509" s="76"/>
      <c r="S509" s="76"/>
      <c r="T509" s="76">
        <f t="shared" si="244"/>
        <v>4.5</v>
      </c>
      <c r="U509" s="76"/>
      <c r="V509" s="76"/>
      <c r="W509" s="76"/>
      <c r="X509" s="583"/>
      <c r="Y509" s="76"/>
      <c r="Z509" s="76"/>
      <c r="AA509" s="76"/>
      <c r="AB509" s="76"/>
      <c r="AC509" s="76"/>
      <c r="AD509" s="136"/>
    </row>
    <row r="510" customHeight="1" spans="1:30">
      <c r="A510" s="76"/>
      <c r="B510" s="212" t="s">
        <v>1282</v>
      </c>
      <c r="C510" s="76" t="s">
        <v>52</v>
      </c>
      <c r="D510" s="76" t="s">
        <v>384</v>
      </c>
      <c r="E510" s="76"/>
      <c r="F510" s="584">
        <f t="shared" si="241"/>
        <v>124</v>
      </c>
      <c r="G510" s="584"/>
      <c r="H510" s="584">
        <v>124</v>
      </c>
      <c r="I510" s="76"/>
      <c r="J510" s="584">
        <v>124</v>
      </c>
      <c r="K510" s="584">
        <v>124</v>
      </c>
      <c r="L510" s="584">
        <v>550</v>
      </c>
      <c r="M510" s="76">
        <v>2019</v>
      </c>
      <c r="N510" s="76">
        <v>2020</v>
      </c>
      <c r="O510" s="76">
        <f t="shared" si="242"/>
        <v>95.1</v>
      </c>
      <c r="P510" s="76">
        <f t="shared" si="246"/>
        <v>0</v>
      </c>
      <c r="Q510" s="76">
        <v>95.1</v>
      </c>
      <c r="R510" s="76"/>
      <c r="S510" s="76"/>
      <c r="T510" s="76">
        <f t="shared" si="244"/>
        <v>95.1</v>
      </c>
      <c r="U510" s="76"/>
      <c r="V510" s="76"/>
      <c r="W510" s="76"/>
      <c r="X510" s="583"/>
      <c r="Y510" s="76"/>
      <c r="Z510" s="76"/>
      <c r="AA510" s="76"/>
      <c r="AB510" s="76"/>
      <c r="AC510" s="76"/>
      <c r="AD510" s="136"/>
    </row>
    <row r="511" customHeight="1" spans="1:30">
      <c r="A511" s="76"/>
      <c r="B511" s="212" t="s">
        <v>1283</v>
      </c>
      <c r="C511" s="76" t="s">
        <v>52</v>
      </c>
      <c r="D511" s="76" t="s">
        <v>384</v>
      </c>
      <c r="E511" s="76"/>
      <c r="F511" s="584">
        <f t="shared" si="241"/>
        <v>22</v>
      </c>
      <c r="G511" s="584"/>
      <c r="H511" s="584">
        <v>22</v>
      </c>
      <c r="I511" s="76"/>
      <c r="J511" s="584">
        <v>22</v>
      </c>
      <c r="K511" s="584">
        <v>22</v>
      </c>
      <c r="L511" s="584">
        <v>57</v>
      </c>
      <c r="M511" s="76">
        <v>2019</v>
      </c>
      <c r="N511" s="76">
        <v>2020</v>
      </c>
      <c r="O511" s="76">
        <f t="shared" si="242"/>
        <v>6.6</v>
      </c>
      <c r="P511" s="76">
        <f t="shared" si="246"/>
        <v>0</v>
      </c>
      <c r="Q511" s="76">
        <f>0.3*H511</f>
        <v>6.6</v>
      </c>
      <c r="R511" s="76"/>
      <c r="S511" s="76"/>
      <c r="T511" s="76">
        <f t="shared" si="244"/>
        <v>6.6</v>
      </c>
      <c r="U511" s="76"/>
      <c r="V511" s="76"/>
      <c r="W511" s="76"/>
      <c r="X511" s="583"/>
      <c r="Y511" s="76"/>
      <c r="Z511" s="76"/>
      <c r="AA511" s="76"/>
      <c r="AB511" s="76"/>
      <c r="AC511" s="76"/>
      <c r="AD511" s="136"/>
    </row>
    <row r="512" customHeight="1" spans="1:30">
      <c r="A512" s="76"/>
      <c r="B512" s="212" t="s">
        <v>1284</v>
      </c>
      <c r="C512" s="76" t="s">
        <v>52</v>
      </c>
      <c r="D512" s="76" t="s">
        <v>384</v>
      </c>
      <c r="E512" s="76"/>
      <c r="F512" s="584">
        <f t="shared" si="241"/>
        <v>50</v>
      </c>
      <c r="G512" s="584">
        <v>50</v>
      </c>
      <c r="H512" s="584"/>
      <c r="I512" s="76"/>
      <c r="J512" s="584">
        <v>50</v>
      </c>
      <c r="K512" s="584">
        <v>50</v>
      </c>
      <c r="L512" s="584">
        <v>179</v>
      </c>
      <c r="M512" s="76">
        <v>2018</v>
      </c>
      <c r="N512" s="76">
        <v>2020</v>
      </c>
      <c r="O512" s="76">
        <f t="shared" si="242"/>
        <v>15</v>
      </c>
      <c r="P512" s="76">
        <f t="shared" si="246"/>
        <v>15</v>
      </c>
      <c r="Q512" s="76">
        <f>0.3*H512</f>
        <v>0</v>
      </c>
      <c r="R512" s="76"/>
      <c r="S512" s="76"/>
      <c r="T512" s="76">
        <f t="shared" si="244"/>
        <v>15</v>
      </c>
      <c r="U512" s="76"/>
      <c r="V512" s="76"/>
      <c r="W512" s="76"/>
      <c r="X512" s="583"/>
      <c r="Y512" s="76"/>
      <c r="Z512" s="76"/>
      <c r="AA512" s="76"/>
      <c r="AB512" s="76"/>
      <c r="AC512" s="76"/>
      <c r="AD512" s="136"/>
    </row>
    <row r="513" customHeight="1" spans="1:30">
      <c r="A513" s="76">
        <v>43</v>
      </c>
      <c r="B513" s="95" t="s">
        <v>158</v>
      </c>
      <c r="C513" s="76" t="s">
        <v>52</v>
      </c>
      <c r="D513" s="76" t="s">
        <v>159</v>
      </c>
      <c r="E513" s="76"/>
      <c r="F513" s="586">
        <v>1984.0428</v>
      </c>
      <c r="G513" s="586">
        <v>987.75</v>
      </c>
      <c r="H513" s="587">
        <v>498.1464</v>
      </c>
      <c r="I513" s="587">
        <v>498.1464</v>
      </c>
      <c r="J513" s="586">
        <v>1984.0428</v>
      </c>
      <c r="K513" s="587">
        <v>746</v>
      </c>
      <c r="L513" s="587">
        <v>2611</v>
      </c>
      <c r="M513" s="76">
        <v>2018</v>
      </c>
      <c r="N513" s="76">
        <v>2020</v>
      </c>
      <c r="O513" s="586">
        <v>123.902862</v>
      </c>
      <c r="P513" s="586">
        <v>17.639</v>
      </c>
      <c r="Q513" s="587">
        <v>41.300954</v>
      </c>
      <c r="R513" s="587">
        <v>64.962908</v>
      </c>
      <c r="S513" s="76">
        <f t="shared" ref="S513:W513" si="247">SUM(S514:S530)</f>
        <v>0</v>
      </c>
      <c r="T513" s="76">
        <f t="shared" si="244"/>
        <v>123.902862</v>
      </c>
      <c r="U513" s="76">
        <f t="shared" si="247"/>
        <v>0</v>
      </c>
      <c r="V513" s="76">
        <f t="shared" si="247"/>
        <v>0</v>
      </c>
      <c r="W513" s="76">
        <f t="shared" si="247"/>
        <v>0</v>
      </c>
      <c r="X513" s="583" t="s">
        <v>1038</v>
      </c>
      <c r="Y513" s="76"/>
      <c r="Z513" s="76"/>
      <c r="AA513" s="76" t="s">
        <v>1302</v>
      </c>
      <c r="AB513" s="76" t="s">
        <v>1305</v>
      </c>
      <c r="AC513" s="76" t="s">
        <v>160</v>
      </c>
      <c r="AD513" s="136"/>
    </row>
    <row r="514" customHeight="1" spans="1:30">
      <c r="A514" s="76"/>
      <c r="B514" s="212" t="s">
        <v>1265</v>
      </c>
      <c r="C514" s="76" t="s">
        <v>52</v>
      </c>
      <c r="D514" s="76" t="s">
        <v>159</v>
      </c>
      <c r="E514" s="76"/>
      <c r="F514" s="588">
        <v>177.2924</v>
      </c>
      <c r="G514" s="588">
        <v>63.05</v>
      </c>
      <c r="H514" s="589">
        <v>57.1212</v>
      </c>
      <c r="I514" s="589">
        <v>57.1212</v>
      </c>
      <c r="J514" s="588">
        <v>177.2924</v>
      </c>
      <c r="K514" s="589">
        <v>89.5606</v>
      </c>
      <c r="L514" s="589">
        <v>313.4621</v>
      </c>
      <c r="M514" s="76">
        <v>2018</v>
      </c>
      <c r="N514" s="76">
        <v>2020</v>
      </c>
      <c r="O514" s="588">
        <v>9.039771</v>
      </c>
      <c r="P514" s="588">
        <v>0.3</v>
      </c>
      <c r="Q514" s="589">
        <v>3.013257</v>
      </c>
      <c r="R514" s="589">
        <v>5.726514</v>
      </c>
      <c r="S514" s="150"/>
      <c r="T514" s="76">
        <f t="shared" si="244"/>
        <v>9.039771</v>
      </c>
      <c r="U514" s="76"/>
      <c r="V514" s="76"/>
      <c r="W514" s="76"/>
      <c r="X514" s="583"/>
      <c r="Y514" s="76"/>
      <c r="Z514" s="76"/>
      <c r="AA514" s="76"/>
      <c r="AB514" s="76"/>
      <c r="AC514" s="76"/>
      <c r="AD514" s="136"/>
    </row>
    <row r="515" customHeight="1" spans="1:30">
      <c r="A515" s="76"/>
      <c r="B515" s="212" t="s">
        <v>1266</v>
      </c>
      <c r="C515" s="76" t="s">
        <v>52</v>
      </c>
      <c r="D515" s="76" t="s">
        <v>159</v>
      </c>
      <c r="E515" s="76"/>
      <c r="F515" s="588">
        <v>133.9688</v>
      </c>
      <c r="G515" s="588">
        <v>86.6</v>
      </c>
      <c r="H515" s="589">
        <v>23.6844</v>
      </c>
      <c r="I515" s="589">
        <v>23.6844</v>
      </c>
      <c r="J515" s="588">
        <v>133.9688</v>
      </c>
      <c r="K515" s="589">
        <v>49.8422</v>
      </c>
      <c r="L515" s="589">
        <v>174.4477</v>
      </c>
      <c r="M515" s="76">
        <v>2018</v>
      </c>
      <c r="N515" s="76">
        <v>2020</v>
      </c>
      <c r="O515" s="588">
        <v>9.375027</v>
      </c>
      <c r="P515" s="588">
        <v>2</v>
      </c>
      <c r="Q515" s="589">
        <v>3.125009</v>
      </c>
      <c r="R515" s="589">
        <v>4.250018</v>
      </c>
      <c r="S515" s="150"/>
      <c r="T515" s="76">
        <f t="shared" si="244"/>
        <v>9.375027</v>
      </c>
      <c r="U515" s="76"/>
      <c r="V515" s="76"/>
      <c r="W515" s="76"/>
      <c r="X515" s="583"/>
      <c r="Y515" s="76"/>
      <c r="Z515" s="76"/>
      <c r="AA515" s="76"/>
      <c r="AB515" s="76"/>
      <c r="AC515" s="76"/>
      <c r="AD515" s="136"/>
    </row>
    <row r="516" customHeight="1" spans="1:30">
      <c r="A516" s="76"/>
      <c r="B516" s="212" t="s">
        <v>1267</v>
      </c>
      <c r="C516" s="76" t="s">
        <v>52</v>
      </c>
      <c r="D516" s="76" t="s">
        <v>159</v>
      </c>
      <c r="E516" s="76"/>
      <c r="F516" s="588">
        <v>125.7888</v>
      </c>
      <c r="G516" s="588">
        <v>55.2</v>
      </c>
      <c r="H516" s="589">
        <v>35.2944</v>
      </c>
      <c r="I516" s="589">
        <v>35.2944</v>
      </c>
      <c r="J516" s="588">
        <v>125.7888</v>
      </c>
      <c r="K516" s="589">
        <v>58.6472</v>
      </c>
      <c r="L516" s="589">
        <v>205.2652</v>
      </c>
      <c r="M516" s="76">
        <v>2018</v>
      </c>
      <c r="N516" s="76">
        <v>2020</v>
      </c>
      <c r="O516" s="588">
        <v>6.736452</v>
      </c>
      <c r="P516" s="588">
        <v>0.569</v>
      </c>
      <c r="Q516" s="589">
        <v>2.245484</v>
      </c>
      <c r="R516" s="589">
        <v>3.921968</v>
      </c>
      <c r="S516" s="150"/>
      <c r="T516" s="76">
        <f t="shared" si="244"/>
        <v>6.736452</v>
      </c>
      <c r="U516" s="76"/>
      <c r="V516" s="76"/>
      <c r="W516" s="76"/>
      <c r="X516" s="583"/>
      <c r="Y516" s="76"/>
      <c r="Z516" s="76"/>
      <c r="AA516" s="76"/>
      <c r="AB516" s="76"/>
      <c r="AC516" s="76"/>
      <c r="AD516" s="136"/>
    </row>
    <row r="517" customHeight="1" spans="1:30">
      <c r="A517" s="76"/>
      <c r="B517" s="212" t="s">
        <v>1268</v>
      </c>
      <c r="C517" s="76" t="s">
        <v>52</v>
      </c>
      <c r="D517" s="76" t="s">
        <v>159</v>
      </c>
      <c r="E517" s="76"/>
      <c r="F517" s="588">
        <v>175.7064</v>
      </c>
      <c r="G517" s="588">
        <v>111</v>
      </c>
      <c r="H517" s="589">
        <v>32.3532</v>
      </c>
      <c r="I517" s="589">
        <v>32.3532</v>
      </c>
      <c r="J517" s="588">
        <v>175.7064</v>
      </c>
      <c r="K517" s="589">
        <v>41.1766</v>
      </c>
      <c r="L517" s="589">
        <v>144.1181</v>
      </c>
      <c r="M517" s="76">
        <v>2018</v>
      </c>
      <c r="N517" s="76">
        <v>2020</v>
      </c>
      <c r="O517" s="588">
        <v>9.650331</v>
      </c>
      <c r="P517" s="588">
        <v>1.68</v>
      </c>
      <c r="Q517" s="589">
        <v>3.216777</v>
      </c>
      <c r="R517" s="589">
        <v>4.753554</v>
      </c>
      <c r="S517" s="150"/>
      <c r="T517" s="76">
        <f t="shared" si="244"/>
        <v>9.650331</v>
      </c>
      <c r="U517" s="76"/>
      <c r="V517" s="76"/>
      <c r="W517" s="76"/>
      <c r="X517" s="583"/>
      <c r="Y517" s="76"/>
      <c r="Z517" s="76"/>
      <c r="AA517" s="76"/>
      <c r="AB517" s="76"/>
      <c r="AC517" s="76"/>
      <c r="AD517" s="136"/>
    </row>
    <row r="518" customHeight="1" spans="1:30">
      <c r="A518" s="76"/>
      <c r="B518" s="212" t="s">
        <v>1275</v>
      </c>
      <c r="C518" s="76" t="s">
        <v>52</v>
      </c>
      <c r="D518" s="76" t="s">
        <v>159</v>
      </c>
      <c r="E518" s="76"/>
      <c r="F518" s="588">
        <v>105.4704</v>
      </c>
      <c r="G518" s="588">
        <v>12.9</v>
      </c>
      <c r="H518" s="589">
        <v>46.2852</v>
      </c>
      <c r="I518" s="589">
        <v>46.2852</v>
      </c>
      <c r="J518" s="588">
        <v>105.4704</v>
      </c>
      <c r="K518" s="589">
        <v>38.1426</v>
      </c>
      <c r="L518" s="589">
        <v>133.4991</v>
      </c>
      <c r="M518" s="76">
        <v>2018</v>
      </c>
      <c r="N518" s="76">
        <v>2020</v>
      </c>
      <c r="O518" s="588">
        <v>6.715641</v>
      </c>
      <c r="P518" s="588">
        <v>0.04</v>
      </c>
      <c r="Q518" s="589">
        <v>2.238547</v>
      </c>
      <c r="R518" s="589">
        <v>4.437094</v>
      </c>
      <c r="S518" s="143"/>
      <c r="T518" s="76">
        <f t="shared" si="244"/>
        <v>6.715641</v>
      </c>
      <c r="U518" s="76"/>
      <c r="V518" s="76"/>
      <c r="W518" s="76"/>
      <c r="X518" s="583"/>
      <c r="Y518" s="76"/>
      <c r="Z518" s="76"/>
      <c r="AA518" s="76"/>
      <c r="AB518" s="76"/>
      <c r="AC518" s="76"/>
      <c r="AD518" s="136"/>
    </row>
    <row r="519" customHeight="1" spans="1:30">
      <c r="A519" s="76"/>
      <c r="B519" s="212" t="s">
        <v>1276</v>
      </c>
      <c r="C519" s="76" t="s">
        <v>52</v>
      </c>
      <c r="D519" s="76" t="s">
        <v>159</v>
      </c>
      <c r="E519" s="76"/>
      <c r="F519" s="588">
        <v>56.3384</v>
      </c>
      <c r="G519" s="588">
        <v>16.4</v>
      </c>
      <c r="H519" s="589">
        <v>19.9692</v>
      </c>
      <c r="I519" s="589">
        <v>19.9692</v>
      </c>
      <c r="J519" s="588">
        <v>56.3384</v>
      </c>
      <c r="K519" s="589">
        <v>38.9846</v>
      </c>
      <c r="L519" s="589">
        <v>136.4461</v>
      </c>
      <c r="M519" s="76">
        <v>2018</v>
      </c>
      <c r="N519" s="76">
        <v>2020</v>
      </c>
      <c r="O519" s="588">
        <v>10.765611</v>
      </c>
      <c r="P519" s="588">
        <v>2.64</v>
      </c>
      <c r="Q519" s="589">
        <v>3.588537</v>
      </c>
      <c r="R519" s="589">
        <v>4.537074</v>
      </c>
      <c r="S519" s="150"/>
      <c r="T519" s="76">
        <f t="shared" si="244"/>
        <v>10.765611</v>
      </c>
      <c r="U519" s="76"/>
      <c r="V519" s="76"/>
      <c r="W519" s="76"/>
      <c r="X519" s="583"/>
      <c r="Y519" s="76"/>
      <c r="Z519" s="76"/>
      <c r="AA519" s="76"/>
      <c r="AB519" s="76"/>
      <c r="AC519" s="76"/>
      <c r="AD519" s="136"/>
    </row>
    <row r="520" customHeight="1" spans="1:30">
      <c r="A520" s="76"/>
      <c r="B520" s="212" t="s">
        <v>1277</v>
      </c>
      <c r="C520" s="76" t="s">
        <v>52</v>
      </c>
      <c r="D520" s="76" t="s">
        <v>159</v>
      </c>
      <c r="E520" s="76"/>
      <c r="F520" s="588">
        <v>118.9096</v>
      </c>
      <c r="G520" s="588">
        <v>79.9</v>
      </c>
      <c r="H520" s="589">
        <v>19.5048</v>
      </c>
      <c r="I520" s="589">
        <v>19.5048</v>
      </c>
      <c r="J520" s="588">
        <v>118.9096</v>
      </c>
      <c r="K520" s="589">
        <v>33.7524</v>
      </c>
      <c r="L520" s="589">
        <v>118.1334</v>
      </c>
      <c r="M520" s="76">
        <v>2018</v>
      </c>
      <c r="N520" s="76">
        <v>2020</v>
      </c>
      <c r="O520" s="588">
        <v>7.534434</v>
      </c>
      <c r="P520" s="588">
        <v>1.585</v>
      </c>
      <c r="Q520" s="589">
        <v>2.511478</v>
      </c>
      <c r="R520" s="589">
        <v>3.437956</v>
      </c>
      <c r="S520" s="150"/>
      <c r="T520" s="76">
        <f t="shared" si="244"/>
        <v>7.534434</v>
      </c>
      <c r="U520" s="76"/>
      <c r="V520" s="76"/>
      <c r="W520" s="76"/>
      <c r="X520" s="583"/>
      <c r="Y520" s="76"/>
      <c r="Z520" s="76"/>
      <c r="AA520" s="76"/>
      <c r="AB520" s="76"/>
      <c r="AC520" s="76"/>
      <c r="AD520" s="136"/>
    </row>
    <row r="521" customHeight="1" spans="1:30">
      <c r="A521" s="76"/>
      <c r="B521" s="212" t="s">
        <v>1278</v>
      </c>
      <c r="C521" s="76" t="s">
        <v>52</v>
      </c>
      <c r="D521" s="76" t="s">
        <v>159</v>
      </c>
      <c r="E521" s="76"/>
      <c r="F521" s="588">
        <v>151.2728</v>
      </c>
      <c r="G521" s="588">
        <v>68.3</v>
      </c>
      <c r="H521" s="589">
        <v>41.4864</v>
      </c>
      <c r="I521" s="589">
        <v>41.4864</v>
      </c>
      <c r="J521" s="588">
        <v>151.2728</v>
      </c>
      <c r="K521" s="589">
        <v>57.7432</v>
      </c>
      <c r="L521" s="589">
        <v>202.1012</v>
      </c>
      <c r="M521" s="76">
        <v>2018</v>
      </c>
      <c r="N521" s="76">
        <v>2020</v>
      </c>
      <c r="O521" s="588">
        <v>9.181812</v>
      </c>
      <c r="P521" s="588">
        <v>1.09</v>
      </c>
      <c r="Q521" s="589">
        <v>3.060604</v>
      </c>
      <c r="R521" s="589">
        <v>5.031208</v>
      </c>
      <c r="S521" s="150"/>
      <c r="T521" s="76">
        <f t="shared" si="244"/>
        <v>9.181812</v>
      </c>
      <c r="U521" s="76"/>
      <c r="V521" s="76"/>
      <c r="W521" s="76"/>
      <c r="X521" s="583"/>
      <c r="Y521" s="76"/>
      <c r="Z521" s="76"/>
      <c r="AA521" s="76"/>
      <c r="AB521" s="76"/>
      <c r="AC521" s="76"/>
      <c r="AD521" s="136"/>
    </row>
    <row r="522" customHeight="1" spans="1:30">
      <c r="A522" s="76"/>
      <c r="B522" s="212" t="s">
        <v>1279</v>
      </c>
      <c r="C522" s="76" t="s">
        <v>52</v>
      </c>
      <c r="D522" s="76" t="s">
        <v>159</v>
      </c>
      <c r="E522" s="76"/>
      <c r="F522" s="588">
        <v>68.264</v>
      </c>
      <c r="G522" s="588">
        <v>40.4</v>
      </c>
      <c r="H522" s="589">
        <v>13.932</v>
      </c>
      <c r="I522" s="589">
        <v>13.932</v>
      </c>
      <c r="J522" s="588">
        <v>68.264</v>
      </c>
      <c r="K522" s="589">
        <v>26.966</v>
      </c>
      <c r="L522" s="589">
        <v>94.381</v>
      </c>
      <c r="M522" s="76">
        <v>2018</v>
      </c>
      <c r="N522" s="76">
        <v>2020</v>
      </c>
      <c r="O522" s="588">
        <v>3.69531</v>
      </c>
      <c r="P522" s="588">
        <v>0.57</v>
      </c>
      <c r="Q522" s="589">
        <v>1.23177</v>
      </c>
      <c r="R522" s="589">
        <v>1.89354</v>
      </c>
      <c r="S522" s="150"/>
      <c r="T522" s="76">
        <f t="shared" si="244"/>
        <v>3.69531</v>
      </c>
      <c r="U522" s="76"/>
      <c r="V522" s="76"/>
      <c r="W522" s="76"/>
      <c r="X522" s="583"/>
      <c r="Y522" s="76"/>
      <c r="Z522" s="76"/>
      <c r="AA522" s="76"/>
      <c r="AB522" s="76"/>
      <c r="AC522" s="76"/>
      <c r="AD522" s="136"/>
    </row>
    <row r="523" customHeight="1" spans="1:30">
      <c r="A523" s="76"/>
      <c r="B523" s="212" t="s">
        <v>1280</v>
      </c>
      <c r="C523" s="76" t="s">
        <v>52</v>
      </c>
      <c r="D523" s="76" t="s">
        <v>159</v>
      </c>
      <c r="E523" s="76"/>
      <c r="F523" s="588">
        <v>153.0548</v>
      </c>
      <c r="G523" s="588">
        <v>94.85</v>
      </c>
      <c r="H523" s="589">
        <v>29.1024</v>
      </c>
      <c r="I523" s="589">
        <v>29.1024</v>
      </c>
      <c r="J523" s="588">
        <v>153.0548</v>
      </c>
      <c r="K523" s="589">
        <v>60.5512</v>
      </c>
      <c r="L523" s="589">
        <v>211.9292</v>
      </c>
      <c r="M523" s="76">
        <v>2018</v>
      </c>
      <c r="N523" s="76">
        <v>2020</v>
      </c>
      <c r="O523" s="588">
        <v>8.617092</v>
      </c>
      <c r="P523" s="588">
        <v>1.49</v>
      </c>
      <c r="Q523" s="589">
        <v>2.872364</v>
      </c>
      <c r="R523" s="589">
        <v>4.254728</v>
      </c>
      <c r="S523" s="150"/>
      <c r="T523" s="76">
        <f t="shared" si="244"/>
        <v>8.617092</v>
      </c>
      <c r="U523" s="76"/>
      <c r="V523" s="76"/>
      <c r="W523" s="76"/>
      <c r="X523" s="583"/>
      <c r="Y523" s="76"/>
      <c r="Z523" s="76"/>
      <c r="AA523" s="76"/>
      <c r="AB523" s="76"/>
      <c r="AC523" s="76"/>
      <c r="AD523" s="136"/>
    </row>
    <row r="524" customHeight="1" spans="1:30">
      <c r="A524" s="76"/>
      <c r="B524" s="212" t="s">
        <v>1269</v>
      </c>
      <c r="C524" s="76" t="s">
        <v>52</v>
      </c>
      <c r="D524" s="76" t="s">
        <v>159</v>
      </c>
      <c r="E524" s="76"/>
      <c r="F524" s="588">
        <v>104.208</v>
      </c>
      <c r="G524" s="588">
        <v>33</v>
      </c>
      <c r="H524" s="589">
        <v>35.604</v>
      </c>
      <c r="I524" s="589">
        <v>35.604</v>
      </c>
      <c r="J524" s="588">
        <v>104.208</v>
      </c>
      <c r="K524" s="589">
        <v>34.802</v>
      </c>
      <c r="L524" s="589">
        <v>121.807</v>
      </c>
      <c r="M524" s="76">
        <v>2018</v>
      </c>
      <c r="N524" s="76">
        <v>2020</v>
      </c>
      <c r="O524" s="588">
        <v>5.70357</v>
      </c>
      <c r="P524" s="588">
        <v>0.21</v>
      </c>
      <c r="Q524" s="589">
        <v>1.90119</v>
      </c>
      <c r="R524" s="589">
        <v>3.59238</v>
      </c>
      <c r="S524" s="150"/>
      <c r="T524" s="76">
        <f t="shared" si="244"/>
        <v>5.70357</v>
      </c>
      <c r="U524" s="76"/>
      <c r="V524" s="76"/>
      <c r="W524" s="76"/>
      <c r="X524" s="583"/>
      <c r="Y524" s="76"/>
      <c r="Z524" s="76"/>
      <c r="AA524" s="76"/>
      <c r="AB524" s="76"/>
      <c r="AC524" s="76"/>
      <c r="AD524" s="136"/>
    </row>
    <row r="525" customHeight="1" spans="1:30">
      <c r="A525" s="76"/>
      <c r="B525" s="212" t="s">
        <v>1270</v>
      </c>
      <c r="C525" s="76" t="s">
        <v>52</v>
      </c>
      <c r="D525" s="76" t="s">
        <v>159</v>
      </c>
      <c r="E525" s="76"/>
      <c r="F525" s="588">
        <v>122.7068</v>
      </c>
      <c r="G525" s="588">
        <v>66.05</v>
      </c>
      <c r="H525" s="589">
        <v>28.3284</v>
      </c>
      <c r="I525" s="589">
        <v>28.3284</v>
      </c>
      <c r="J525" s="588">
        <v>122.7068</v>
      </c>
      <c r="K525" s="589">
        <v>55.1642</v>
      </c>
      <c r="L525" s="589">
        <v>193.0747</v>
      </c>
      <c r="M525" s="76">
        <v>2018</v>
      </c>
      <c r="N525" s="76">
        <v>2020</v>
      </c>
      <c r="O525" s="588">
        <v>7.186797</v>
      </c>
      <c r="P525" s="588">
        <v>1.05</v>
      </c>
      <c r="Q525" s="589">
        <v>2.395599</v>
      </c>
      <c r="R525" s="589">
        <v>3.741198</v>
      </c>
      <c r="S525" s="76"/>
      <c r="T525" s="76">
        <f t="shared" si="244"/>
        <v>7.186797</v>
      </c>
      <c r="U525" s="76"/>
      <c r="V525" s="76"/>
      <c r="W525" s="76"/>
      <c r="X525" s="583"/>
      <c r="Y525" s="76"/>
      <c r="Z525" s="76"/>
      <c r="AA525" s="76"/>
      <c r="AB525" s="76"/>
      <c r="AC525" s="76"/>
      <c r="AD525" s="136"/>
    </row>
    <row r="526" customHeight="1" spans="1:30">
      <c r="A526" s="76"/>
      <c r="B526" s="212" t="s">
        <v>1281</v>
      </c>
      <c r="C526" s="76" t="s">
        <v>52</v>
      </c>
      <c r="D526" s="76" t="s">
        <v>159</v>
      </c>
      <c r="E526" s="76"/>
      <c r="F526" s="588">
        <v>113.8296</v>
      </c>
      <c r="G526" s="588">
        <v>51.6</v>
      </c>
      <c r="H526" s="589">
        <v>31.1148</v>
      </c>
      <c r="I526" s="589">
        <v>31.1148</v>
      </c>
      <c r="J526" s="588">
        <v>113.8296</v>
      </c>
      <c r="K526" s="589">
        <v>32.5574</v>
      </c>
      <c r="L526" s="589">
        <v>113.9509</v>
      </c>
      <c r="M526" s="76">
        <v>2018</v>
      </c>
      <c r="N526" s="76">
        <v>2020</v>
      </c>
      <c r="O526" s="588">
        <v>7.283859</v>
      </c>
      <c r="P526" s="588">
        <v>0.95</v>
      </c>
      <c r="Q526" s="589">
        <v>2.427953</v>
      </c>
      <c r="R526" s="589">
        <v>3.905906</v>
      </c>
      <c r="S526" s="76"/>
      <c r="T526" s="76">
        <f t="shared" si="244"/>
        <v>7.283859</v>
      </c>
      <c r="U526" s="76"/>
      <c r="V526" s="76"/>
      <c r="W526" s="76"/>
      <c r="X526" s="583"/>
      <c r="Y526" s="76"/>
      <c r="Z526" s="76"/>
      <c r="AA526" s="76"/>
      <c r="AB526" s="76"/>
      <c r="AC526" s="76"/>
      <c r="AD526" s="136"/>
    </row>
    <row r="527" customHeight="1" spans="1:30">
      <c r="A527" s="76"/>
      <c r="B527" s="212" t="s">
        <v>1271</v>
      </c>
      <c r="C527" s="76" t="s">
        <v>52</v>
      </c>
      <c r="D527" s="76" t="s">
        <v>159</v>
      </c>
      <c r="E527" s="76"/>
      <c r="F527" s="588">
        <v>56.7184</v>
      </c>
      <c r="G527" s="588">
        <v>40</v>
      </c>
      <c r="H527" s="589">
        <v>8.3592</v>
      </c>
      <c r="I527" s="589">
        <v>8.3592</v>
      </c>
      <c r="J527" s="588">
        <v>56.7184</v>
      </c>
      <c r="K527" s="589">
        <v>15.1796</v>
      </c>
      <c r="L527" s="589">
        <v>53.1286</v>
      </c>
      <c r="M527" s="76">
        <v>2018</v>
      </c>
      <c r="N527" s="76">
        <v>2020</v>
      </c>
      <c r="O527" s="588">
        <v>4.131186</v>
      </c>
      <c r="P527" s="588">
        <v>0.98</v>
      </c>
      <c r="Q527" s="589">
        <v>1.377062</v>
      </c>
      <c r="R527" s="589">
        <v>1.774124</v>
      </c>
      <c r="S527" s="76"/>
      <c r="T527" s="76">
        <f t="shared" si="244"/>
        <v>4.131186</v>
      </c>
      <c r="U527" s="76"/>
      <c r="V527" s="76"/>
      <c r="W527" s="76"/>
      <c r="X527" s="583"/>
      <c r="Y527" s="76"/>
      <c r="Z527" s="76"/>
      <c r="AA527" s="76"/>
      <c r="AB527" s="76"/>
      <c r="AC527" s="76"/>
      <c r="AD527" s="136"/>
    </row>
    <row r="528" customHeight="1" spans="1:30">
      <c r="A528" s="76"/>
      <c r="B528" s="212" t="s">
        <v>1282</v>
      </c>
      <c r="C528" s="76" t="s">
        <v>52</v>
      </c>
      <c r="D528" s="76" t="s">
        <v>159</v>
      </c>
      <c r="E528" s="76"/>
      <c r="F528" s="588">
        <v>106.8632</v>
      </c>
      <c r="G528" s="588">
        <v>24.2</v>
      </c>
      <c r="H528" s="589">
        <v>41.3316</v>
      </c>
      <c r="I528" s="589">
        <v>41.3316</v>
      </c>
      <c r="J528" s="588">
        <v>106.8632</v>
      </c>
      <c r="K528" s="589">
        <v>35.6658</v>
      </c>
      <c r="L528" s="589">
        <v>124.8303</v>
      </c>
      <c r="M528" s="76">
        <v>2018</v>
      </c>
      <c r="N528" s="76">
        <v>2020</v>
      </c>
      <c r="O528" s="588">
        <v>7.044753</v>
      </c>
      <c r="P528" s="588">
        <v>0.385</v>
      </c>
      <c r="Q528" s="589">
        <v>2.348251</v>
      </c>
      <c r="R528" s="589">
        <v>4.311502</v>
      </c>
      <c r="S528" s="76"/>
      <c r="T528" s="76">
        <f t="shared" si="244"/>
        <v>7.044753</v>
      </c>
      <c r="U528" s="76"/>
      <c r="V528" s="76"/>
      <c r="W528" s="76"/>
      <c r="X528" s="583"/>
      <c r="Y528" s="76"/>
      <c r="Z528" s="76"/>
      <c r="AA528" s="76"/>
      <c r="AB528" s="76"/>
      <c r="AC528" s="76"/>
      <c r="AD528" s="136"/>
    </row>
    <row r="529" customHeight="1" spans="1:30">
      <c r="A529" s="76"/>
      <c r="B529" s="212" t="s">
        <v>1283</v>
      </c>
      <c r="C529" s="76" t="s">
        <v>52</v>
      </c>
      <c r="D529" s="76" t="s">
        <v>159</v>
      </c>
      <c r="E529" s="76"/>
      <c r="F529" s="588">
        <v>158.8704</v>
      </c>
      <c r="G529" s="588">
        <v>105</v>
      </c>
      <c r="H529" s="589">
        <v>26.9352</v>
      </c>
      <c r="I529" s="589">
        <v>26.9352</v>
      </c>
      <c r="J529" s="588">
        <v>158.8704</v>
      </c>
      <c r="K529" s="589">
        <v>59.4676</v>
      </c>
      <c r="L529" s="589">
        <v>208.1366</v>
      </c>
      <c r="M529" s="76">
        <v>2018</v>
      </c>
      <c r="N529" s="76">
        <v>2020</v>
      </c>
      <c r="O529" s="588">
        <v>9.568266</v>
      </c>
      <c r="P529" s="588">
        <v>1.91</v>
      </c>
      <c r="Q529" s="589">
        <v>3.189422</v>
      </c>
      <c r="R529" s="589">
        <v>4.468844</v>
      </c>
      <c r="S529" s="76"/>
      <c r="T529" s="76">
        <f t="shared" si="244"/>
        <v>9.568266</v>
      </c>
      <c r="U529" s="76"/>
      <c r="V529" s="76"/>
      <c r="W529" s="76"/>
      <c r="X529" s="583"/>
      <c r="Y529" s="76"/>
      <c r="Z529" s="76"/>
      <c r="AA529" s="76"/>
      <c r="AB529" s="76"/>
      <c r="AC529" s="76"/>
      <c r="AD529" s="136"/>
    </row>
    <row r="530" customHeight="1" spans="1:30">
      <c r="A530" s="76"/>
      <c r="B530" s="212" t="s">
        <v>1284</v>
      </c>
      <c r="C530" s="76" t="s">
        <v>52</v>
      </c>
      <c r="D530" s="76" t="s">
        <v>159</v>
      </c>
      <c r="E530" s="76"/>
      <c r="F530" s="588">
        <v>54.78</v>
      </c>
      <c r="G530" s="588">
        <v>39.3</v>
      </c>
      <c r="H530" s="589">
        <v>7.74</v>
      </c>
      <c r="I530" s="589">
        <v>7.74</v>
      </c>
      <c r="J530" s="588">
        <v>54.78</v>
      </c>
      <c r="K530" s="589">
        <v>17.87</v>
      </c>
      <c r="L530" s="589">
        <v>62.545</v>
      </c>
      <c r="M530" s="76">
        <v>2018</v>
      </c>
      <c r="N530" s="76">
        <v>2020</v>
      </c>
      <c r="O530" s="588">
        <v>1.67295</v>
      </c>
      <c r="P530" s="588">
        <v>0.19</v>
      </c>
      <c r="Q530" s="589">
        <v>0.55765</v>
      </c>
      <c r="R530" s="589">
        <v>0.9253</v>
      </c>
      <c r="S530" s="76"/>
      <c r="T530" s="76">
        <f t="shared" si="244"/>
        <v>1.67295</v>
      </c>
      <c r="U530" s="76"/>
      <c r="V530" s="76"/>
      <c r="W530" s="76"/>
      <c r="X530" s="583"/>
      <c r="Y530" s="76"/>
      <c r="Z530" s="76"/>
      <c r="AA530" s="76"/>
      <c r="AB530" s="76"/>
      <c r="AC530" s="76"/>
      <c r="AD530" s="136"/>
    </row>
    <row r="531" customHeight="1" spans="1:30">
      <c r="A531" s="76"/>
      <c r="B531" s="95" t="s">
        <v>897</v>
      </c>
      <c r="C531" s="76"/>
      <c r="D531" s="76"/>
      <c r="E531" s="76"/>
      <c r="F531" s="76">
        <f t="shared" ref="F531:W531" si="248">F532</f>
        <v>704265.5</v>
      </c>
      <c r="G531" s="76">
        <f t="shared" si="248"/>
        <v>203487.5</v>
      </c>
      <c r="H531" s="76">
        <f t="shared" si="248"/>
        <v>500778</v>
      </c>
      <c r="I531" s="76">
        <f t="shared" si="248"/>
        <v>0</v>
      </c>
      <c r="J531" s="76">
        <f t="shared" si="248"/>
        <v>704265.5</v>
      </c>
      <c r="K531" s="76">
        <f t="shared" si="248"/>
        <v>3218</v>
      </c>
      <c r="L531" s="76">
        <f t="shared" si="248"/>
        <v>13004</v>
      </c>
      <c r="M531" s="76">
        <f t="shared" si="248"/>
        <v>2018</v>
      </c>
      <c r="N531" s="76">
        <f t="shared" si="248"/>
        <v>2019</v>
      </c>
      <c r="O531" s="76">
        <f t="shared" si="248"/>
        <v>6279</v>
      </c>
      <c r="P531" s="76">
        <f t="shared" si="248"/>
        <v>1271.22</v>
      </c>
      <c r="Q531" s="76">
        <f t="shared" si="248"/>
        <v>5007.78</v>
      </c>
      <c r="R531" s="76">
        <f t="shared" si="248"/>
        <v>0</v>
      </c>
      <c r="S531" s="76">
        <f t="shared" si="248"/>
        <v>0</v>
      </c>
      <c r="T531" s="76">
        <f t="shared" si="248"/>
        <v>6279</v>
      </c>
      <c r="U531" s="76">
        <f t="shared" si="248"/>
        <v>0</v>
      </c>
      <c r="V531" s="76">
        <f t="shared" si="248"/>
        <v>0</v>
      </c>
      <c r="W531" s="76">
        <f t="shared" si="248"/>
        <v>0</v>
      </c>
      <c r="X531" s="583"/>
      <c r="Y531" s="76"/>
      <c r="Z531" s="76"/>
      <c r="AA531" s="76"/>
      <c r="AB531" s="76"/>
      <c r="AC531" s="76"/>
      <c r="AD531" s="136"/>
    </row>
    <row r="532" customHeight="1" spans="1:30">
      <c r="A532" s="76">
        <v>63</v>
      </c>
      <c r="B532" s="95" t="s">
        <v>898</v>
      </c>
      <c r="C532" s="76" t="s">
        <v>1124</v>
      </c>
      <c r="D532" s="76" t="s">
        <v>560</v>
      </c>
      <c r="E532" s="76"/>
      <c r="F532" s="76">
        <f>SUM(F533:F549)</f>
        <v>704265.5</v>
      </c>
      <c r="G532" s="76">
        <f t="shared" ref="G532:L532" si="249">SUM(G533:G549)</f>
        <v>203487.5</v>
      </c>
      <c r="H532" s="76">
        <f t="shared" si="249"/>
        <v>500778</v>
      </c>
      <c r="I532" s="76">
        <f t="shared" si="249"/>
        <v>0</v>
      </c>
      <c r="J532" s="76">
        <f t="shared" si="249"/>
        <v>704265.5</v>
      </c>
      <c r="K532" s="76">
        <f t="shared" si="249"/>
        <v>3218</v>
      </c>
      <c r="L532" s="76">
        <f t="shared" si="249"/>
        <v>13004</v>
      </c>
      <c r="M532" s="76">
        <v>2018</v>
      </c>
      <c r="N532" s="76">
        <v>2019</v>
      </c>
      <c r="O532" s="76">
        <f t="shared" ref="O532:W532" si="250">SUM(O533:O549)</f>
        <v>6279</v>
      </c>
      <c r="P532" s="76">
        <f t="shared" si="250"/>
        <v>1271.22</v>
      </c>
      <c r="Q532" s="76">
        <f t="shared" si="250"/>
        <v>5007.78</v>
      </c>
      <c r="R532" s="76">
        <f t="shared" si="250"/>
        <v>0</v>
      </c>
      <c r="S532" s="76">
        <f t="shared" si="250"/>
        <v>0</v>
      </c>
      <c r="T532" s="76">
        <f t="shared" si="250"/>
        <v>6279</v>
      </c>
      <c r="U532" s="76">
        <f t="shared" si="250"/>
        <v>0</v>
      </c>
      <c r="V532" s="76">
        <f t="shared" si="250"/>
        <v>0</v>
      </c>
      <c r="W532" s="76">
        <f t="shared" si="250"/>
        <v>0</v>
      </c>
      <c r="X532" s="583"/>
      <c r="Y532" s="76"/>
      <c r="Z532" s="76"/>
      <c r="AA532" s="76" t="s">
        <v>1273</v>
      </c>
      <c r="AB532" s="76" t="s">
        <v>1306</v>
      </c>
      <c r="AC532" s="76" t="s">
        <v>1153</v>
      </c>
      <c r="AD532" s="136"/>
    </row>
    <row r="533" customHeight="1" spans="1:30">
      <c r="A533" s="76"/>
      <c r="B533" s="212" t="s">
        <v>1265</v>
      </c>
      <c r="C533" s="76" t="s">
        <v>52</v>
      </c>
      <c r="D533" s="76" t="s">
        <v>560</v>
      </c>
      <c r="E533" s="76"/>
      <c r="F533" s="590">
        <f>SUM(G533:I533)</f>
        <v>7997.5</v>
      </c>
      <c r="G533" s="151">
        <v>7997.5</v>
      </c>
      <c r="H533" s="151">
        <f t="shared" ref="H533:H549" si="251">Q533/0.01</f>
        <v>0</v>
      </c>
      <c r="I533" s="76"/>
      <c r="J533" s="590">
        <f>F533</f>
        <v>7997.5</v>
      </c>
      <c r="K533" s="584">
        <v>54</v>
      </c>
      <c r="L533" s="584">
        <v>183</v>
      </c>
      <c r="M533" s="76">
        <v>2018</v>
      </c>
      <c r="N533" s="76">
        <v>2018</v>
      </c>
      <c r="O533" s="76">
        <v>54</v>
      </c>
      <c r="P533" s="76">
        <v>54</v>
      </c>
      <c r="Q533" s="590">
        <v>0</v>
      </c>
      <c r="R533" s="76"/>
      <c r="S533" s="150"/>
      <c r="T533" s="145">
        <f t="shared" ref="T533:T549" si="252">O533</f>
        <v>54</v>
      </c>
      <c r="U533" s="76"/>
      <c r="V533" s="76"/>
      <c r="W533" s="76"/>
      <c r="X533" s="583"/>
      <c r="Y533" s="76"/>
      <c r="Z533" s="76"/>
      <c r="AA533" s="76"/>
      <c r="AB533" s="76"/>
      <c r="AC533" s="76"/>
      <c r="AD533" s="136"/>
    </row>
    <row r="534" customHeight="1" spans="1:30">
      <c r="A534" s="76"/>
      <c r="B534" s="212" t="s">
        <v>1266</v>
      </c>
      <c r="C534" s="76" t="s">
        <v>52</v>
      </c>
      <c r="D534" s="76" t="s">
        <v>560</v>
      </c>
      <c r="E534" s="76"/>
      <c r="F534" s="590">
        <f>SUM(G534:I534)</f>
        <v>20900</v>
      </c>
      <c r="G534" s="151">
        <v>15200</v>
      </c>
      <c r="H534" s="151">
        <f t="shared" si="251"/>
        <v>5700</v>
      </c>
      <c r="I534" s="76"/>
      <c r="J534" s="590">
        <f t="shared" ref="J534:J549" si="253">F534</f>
        <v>20900</v>
      </c>
      <c r="K534" s="584">
        <v>153</v>
      </c>
      <c r="L534" s="584">
        <v>594</v>
      </c>
      <c r="M534" s="76">
        <v>2018</v>
      </c>
      <c r="N534" s="76">
        <v>2019</v>
      </c>
      <c r="O534" s="76">
        <v>153</v>
      </c>
      <c r="P534" s="76">
        <v>96</v>
      </c>
      <c r="Q534" s="590">
        <v>57</v>
      </c>
      <c r="R534" s="76"/>
      <c r="S534" s="150"/>
      <c r="T534" s="145">
        <f t="shared" si="252"/>
        <v>153</v>
      </c>
      <c r="U534" s="76"/>
      <c r="V534" s="76"/>
      <c r="W534" s="76"/>
      <c r="X534" s="583"/>
      <c r="Y534" s="76"/>
      <c r="Z534" s="76"/>
      <c r="AA534" s="76"/>
      <c r="AB534" s="76"/>
      <c r="AC534" s="76"/>
      <c r="AD534" s="136"/>
    </row>
    <row r="535" customHeight="1" spans="1:30">
      <c r="A535" s="76"/>
      <c r="B535" s="212" t="s">
        <v>1267</v>
      </c>
      <c r="C535" s="76" t="s">
        <v>52</v>
      </c>
      <c r="D535" s="76" t="s">
        <v>560</v>
      </c>
      <c r="E535" s="76"/>
      <c r="F535" s="590">
        <f t="shared" ref="F535:F549" si="254">SUM(G535:I535)</f>
        <v>36900</v>
      </c>
      <c r="G535" s="151">
        <f>P535/0.015</f>
        <v>0</v>
      </c>
      <c r="H535" s="151">
        <f t="shared" si="251"/>
        <v>36900</v>
      </c>
      <c r="I535" s="76"/>
      <c r="J535" s="590">
        <f t="shared" si="253"/>
        <v>36900</v>
      </c>
      <c r="K535" s="584">
        <v>126</v>
      </c>
      <c r="L535" s="584">
        <v>503</v>
      </c>
      <c r="M535" s="76">
        <v>2018</v>
      </c>
      <c r="N535" s="76">
        <v>2019</v>
      </c>
      <c r="O535" s="76">
        <v>369</v>
      </c>
      <c r="P535" s="76"/>
      <c r="Q535" s="590">
        <v>369</v>
      </c>
      <c r="R535" s="76"/>
      <c r="S535" s="150"/>
      <c r="T535" s="145">
        <f t="shared" si="252"/>
        <v>369</v>
      </c>
      <c r="U535" s="76"/>
      <c r="V535" s="76"/>
      <c r="W535" s="76"/>
      <c r="X535" s="583"/>
      <c r="Y535" s="76"/>
      <c r="Z535" s="76"/>
      <c r="AA535" s="76"/>
      <c r="AB535" s="76"/>
      <c r="AC535" s="76"/>
      <c r="AD535" s="136"/>
    </row>
    <row r="536" customHeight="1" spans="1:30">
      <c r="A536" s="76"/>
      <c r="B536" s="212" t="s">
        <v>1268</v>
      </c>
      <c r="C536" s="76" t="s">
        <v>52</v>
      </c>
      <c r="D536" s="76" t="s">
        <v>560</v>
      </c>
      <c r="E536" s="76"/>
      <c r="F536" s="590">
        <f t="shared" si="254"/>
        <v>46950</v>
      </c>
      <c r="G536" s="151">
        <v>25000</v>
      </c>
      <c r="H536" s="151">
        <f t="shared" si="251"/>
        <v>21950</v>
      </c>
      <c r="I536" s="76"/>
      <c r="J536" s="590">
        <f t="shared" si="253"/>
        <v>46950</v>
      </c>
      <c r="K536" s="584">
        <v>183</v>
      </c>
      <c r="L536" s="584">
        <v>671</v>
      </c>
      <c r="M536" s="76">
        <v>2018</v>
      </c>
      <c r="N536" s="76">
        <v>2019</v>
      </c>
      <c r="O536" s="76">
        <v>373.5</v>
      </c>
      <c r="P536" s="76">
        <v>154</v>
      </c>
      <c r="Q536" s="590">
        <v>219.5</v>
      </c>
      <c r="R536" s="76"/>
      <c r="S536" s="150"/>
      <c r="T536" s="145">
        <f t="shared" si="252"/>
        <v>373.5</v>
      </c>
      <c r="U536" s="76"/>
      <c r="V536" s="76"/>
      <c r="W536" s="76"/>
      <c r="X536" s="583"/>
      <c r="Y536" s="76"/>
      <c r="Z536" s="76"/>
      <c r="AA536" s="76"/>
      <c r="AB536" s="76"/>
      <c r="AC536" s="76"/>
      <c r="AD536" s="136"/>
    </row>
    <row r="537" customHeight="1" spans="1:30">
      <c r="A537" s="76"/>
      <c r="B537" s="212" t="s">
        <v>1275</v>
      </c>
      <c r="C537" s="76" t="s">
        <v>52</v>
      </c>
      <c r="D537" s="76" t="s">
        <v>560</v>
      </c>
      <c r="E537" s="76"/>
      <c r="F537" s="590">
        <f t="shared" si="254"/>
        <v>64725</v>
      </c>
      <c r="G537" s="151">
        <v>22275</v>
      </c>
      <c r="H537" s="151">
        <f t="shared" si="251"/>
        <v>42450</v>
      </c>
      <c r="I537" s="76"/>
      <c r="J537" s="590">
        <f t="shared" si="253"/>
        <v>64725</v>
      </c>
      <c r="K537" s="584">
        <v>268</v>
      </c>
      <c r="L537" s="584">
        <v>987</v>
      </c>
      <c r="M537" s="76">
        <v>2018</v>
      </c>
      <c r="N537" s="76">
        <v>2019</v>
      </c>
      <c r="O537" s="76">
        <v>562.5</v>
      </c>
      <c r="P537" s="76">
        <v>138</v>
      </c>
      <c r="Q537" s="590">
        <v>424.5</v>
      </c>
      <c r="R537" s="76"/>
      <c r="S537" s="143"/>
      <c r="T537" s="145">
        <f t="shared" si="252"/>
        <v>562.5</v>
      </c>
      <c r="U537" s="76"/>
      <c r="V537" s="76"/>
      <c r="W537" s="76"/>
      <c r="X537" s="583"/>
      <c r="Y537" s="76"/>
      <c r="Z537" s="76"/>
      <c r="AA537" s="76"/>
      <c r="AB537" s="76"/>
      <c r="AC537" s="76"/>
      <c r="AD537" s="136"/>
    </row>
    <row r="538" customHeight="1" spans="1:30">
      <c r="A538" s="76"/>
      <c r="B538" s="212" t="s">
        <v>1276</v>
      </c>
      <c r="C538" s="76" t="s">
        <v>52</v>
      </c>
      <c r="D538" s="76" t="s">
        <v>560</v>
      </c>
      <c r="E538" s="76"/>
      <c r="F538" s="590">
        <f t="shared" si="254"/>
        <v>36251</v>
      </c>
      <c r="G538" s="151">
        <v>16301</v>
      </c>
      <c r="H538" s="151">
        <f t="shared" si="251"/>
        <v>19950</v>
      </c>
      <c r="I538" s="76"/>
      <c r="J538" s="590">
        <f t="shared" si="253"/>
        <v>36251</v>
      </c>
      <c r="K538" s="584">
        <v>201</v>
      </c>
      <c r="L538" s="584">
        <v>736</v>
      </c>
      <c r="M538" s="76">
        <v>2018</v>
      </c>
      <c r="N538" s="76">
        <v>2019</v>
      </c>
      <c r="O538" s="76">
        <v>301.5</v>
      </c>
      <c r="P538" s="76">
        <v>102</v>
      </c>
      <c r="Q538" s="590">
        <v>199.5</v>
      </c>
      <c r="R538" s="76"/>
      <c r="S538" s="150"/>
      <c r="T538" s="145">
        <f t="shared" si="252"/>
        <v>301.5</v>
      </c>
      <c r="U538" s="76"/>
      <c r="V538" s="76"/>
      <c r="W538" s="76"/>
      <c r="X538" s="583"/>
      <c r="Y538" s="76"/>
      <c r="Z538" s="76"/>
      <c r="AA538" s="76"/>
      <c r="AB538" s="76"/>
      <c r="AC538" s="76"/>
      <c r="AD538" s="136"/>
    </row>
    <row r="539" customHeight="1" spans="1:30">
      <c r="A539" s="76"/>
      <c r="B539" s="212" t="s">
        <v>1277</v>
      </c>
      <c r="C539" s="76" t="s">
        <v>52</v>
      </c>
      <c r="D539" s="76" t="s">
        <v>560</v>
      </c>
      <c r="E539" s="76"/>
      <c r="F539" s="590">
        <f t="shared" si="254"/>
        <v>50900</v>
      </c>
      <c r="G539" s="151">
        <v>37600</v>
      </c>
      <c r="H539" s="151">
        <f t="shared" si="251"/>
        <v>13300</v>
      </c>
      <c r="I539" s="76"/>
      <c r="J539" s="590">
        <f t="shared" si="253"/>
        <v>50900</v>
      </c>
      <c r="K539" s="584">
        <v>369</v>
      </c>
      <c r="L539" s="584">
        <v>1605</v>
      </c>
      <c r="M539" s="76">
        <v>2018</v>
      </c>
      <c r="N539" s="76">
        <v>2019</v>
      </c>
      <c r="O539" s="76">
        <v>363</v>
      </c>
      <c r="P539" s="76">
        <v>230</v>
      </c>
      <c r="Q539" s="590">
        <v>133</v>
      </c>
      <c r="R539" s="76"/>
      <c r="S539" s="150"/>
      <c r="T539" s="145">
        <f t="shared" si="252"/>
        <v>363</v>
      </c>
      <c r="U539" s="76"/>
      <c r="V539" s="76"/>
      <c r="W539" s="76"/>
      <c r="X539" s="583"/>
      <c r="Y539" s="76"/>
      <c r="Z539" s="76"/>
      <c r="AA539" s="76"/>
      <c r="AB539" s="76"/>
      <c r="AC539" s="76"/>
      <c r="AD539" s="136"/>
    </row>
    <row r="540" customHeight="1" spans="1:30">
      <c r="A540" s="76"/>
      <c r="B540" s="212" t="s">
        <v>1278</v>
      </c>
      <c r="C540" s="76" t="s">
        <v>52</v>
      </c>
      <c r="D540" s="76" t="s">
        <v>560</v>
      </c>
      <c r="E540" s="76"/>
      <c r="F540" s="590">
        <f t="shared" si="254"/>
        <v>31400</v>
      </c>
      <c r="G540" s="151">
        <v>4250</v>
      </c>
      <c r="H540" s="151">
        <f t="shared" si="251"/>
        <v>27150</v>
      </c>
      <c r="I540" s="76"/>
      <c r="J540" s="590">
        <f t="shared" si="253"/>
        <v>31400</v>
      </c>
      <c r="K540" s="584">
        <v>267</v>
      </c>
      <c r="L540" s="584">
        <v>1050</v>
      </c>
      <c r="M540" s="76">
        <v>2018</v>
      </c>
      <c r="N540" s="76">
        <v>2019</v>
      </c>
      <c r="O540" s="76">
        <v>301.5</v>
      </c>
      <c r="P540" s="76">
        <v>30</v>
      </c>
      <c r="Q540" s="590">
        <v>271.5</v>
      </c>
      <c r="R540" s="76"/>
      <c r="S540" s="150"/>
      <c r="T540" s="145">
        <f t="shared" si="252"/>
        <v>301.5</v>
      </c>
      <c r="U540" s="76"/>
      <c r="V540" s="76"/>
      <c r="W540" s="76"/>
      <c r="X540" s="583"/>
      <c r="Y540" s="76"/>
      <c r="Z540" s="76"/>
      <c r="AA540" s="76"/>
      <c r="AB540" s="76"/>
      <c r="AC540" s="76"/>
      <c r="AD540" s="136"/>
    </row>
    <row r="541" customHeight="1" spans="1:30">
      <c r="A541" s="76"/>
      <c r="B541" s="212" t="s">
        <v>1279</v>
      </c>
      <c r="C541" s="76" t="s">
        <v>52</v>
      </c>
      <c r="D541" s="76" t="s">
        <v>560</v>
      </c>
      <c r="E541" s="76"/>
      <c r="F541" s="590">
        <f t="shared" si="254"/>
        <v>48900</v>
      </c>
      <c r="G541" s="151">
        <f t="shared" ref="G541:G544" si="255">P541/0.015</f>
        <v>0</v>
      </c>
      <c r="H541" s="151">
        <f t="shared" si="251"/>
        <v>48900</v>
      </c>
      <c r="I541" s="76"/>
      <c r="J541" s="590">
        <f t="shared" si="253"/>
        <v>48900</v>
      </c>
      <c r="K541" s="584">
        <v>174</v>
      </c>
      <c r="L541" s="584">
        <v>656</v>
      </c>
      <c r="M541" s="76">
        <v>2018</v>
      </c>
      <c r="N541" s="76">
        <v>2019</v>
      </c>
      <c r="O541" s="76">
        <v>489</v>
      </c>
      <c r="P541" s="76"/>
      <c r="Q541" s="590">
        <v>489</v>
      </c>
      <c r="R541" s="76"/>
      <c r="S541" s="150"/>
      <c r="T541" s="145">
        <f t="shared" si="252"/>
        <v>489</v>
      </c>
      <c r="U541" s="76"/>
      <c r="V541" s="76"/>
      <c r="W541" s="76"/>
      <c r="X541" s="583"/>
      <c r="Y541" s="76"/>
      <c r="Z541" s="76"/>
      <c r="AA541" s="76"/>
      <c r="AB541" s="76"/>
      <c r="AC541" s="76"/>
      <c r="AD541" s="136"/>
    </row>
    <row r="542" customHeight="1" spans="1:30">
      <c r="A542" s="76"/>
      <c r="B542" s="212" t="s">
        <v>1280</v>
      </c>
      <c r="C542" s="76" t="s">
        <v>52</v>
      </c>
      <c r="D542" s="76" t="s">
        <v>560</v>
      </c>
      <c r="E542" s="76"/>
      <c r="F542" s="590">
        <f t="shared" si="254"/>
        <v>21654</v>
      </c>
      <c r="G542" s="151">
        <v>14204</v>
      </c>
      <c r="H542" s="151">
        <f t="shared" si="251"/>
        <v>7450</v>
      </c>
      <c r="I542" s="76"/>
      <c r="J542" s="590">
        <f t="shared" si="253"/>
        <v>21654</v>
      </c>
      <c r="K542" s="584">
        <v>90</v>
      </c>
      <c r="L542" s="584">
        <v>343</v>
      </c>
      <c r="M542" s="76">
        <v>2018</v>
      </c>
      <c r="N542" s="76">
        <v>2019</v>
      </c>
      <c r="O542" s="76">
        <v>166.5</v>
      </c>
      <c r="P542" s="76">
        <v>92</v>
      </c>
      <c r="Q542" s="590">
        <v>74.5</v>
      </c>
      <c r="R542" s="76"/>
      <c r="S542" s="150"/>
      <c r="T542" s="145">
        <f t="shared" si="252"/>
        <v>166.5</v>
      </c>
      <c r="U542" s="76"/>
      <c r="V542" s="76"/>
      <c r="W542" s="76"/>
      <c r="X542" s="583"/>
      <c r="Y542" s="76"/>
      <c r="Z542" s="76"/>
      <c r="AA542" s="76"/>
      <c r="AB542" s="76"/>
      <c r="AC542" s="76"/>
      <c r="AD542" s="136"/>
    </row>
    <row r="543" customHeight="1" spans="1:30">
      <c r="A543" s="76"/>
      <c r="B543" s="212" t="s">
        <v>1269</v>
      </c>
      <c r="C543" s="76" t="s">
        <v>52</v>
      </c>
      <c r="D543" s="76" t="s">
        <v>560</v>
      </c>
      <c r="E543" s="76"/>
      <c r="F543" s="590">
        <f t="shared" si="254"/>
        <v>44250</v>
      </c>
      <c r="G543" s="151">
        <f t="shared" si="255"/>
        <v>0</v>
      </c>
      <c r="H543" s="151">
        <f t="shared" si="251"/>
        <v>44250</v>
      </c>
      <c r="I543" s="76"/>
      <c r="J543" s="590">
        <f t="shared" si="253"/>
        <v>44250</v>
      </c>
      <c r="K543" s="584">
        <v>188</v>
      </c>
      <c r="L543" s="584">
        <v>765</v>
      </c>
      <c r="M543" s="76">
        <v>2018</v>
      </c>
      <c r="N543" s="76">
        <v>2019</v>
      </c>
      <c r="O543" s="76">
        <v>442.5</v>
      </c>
      <c r="P543" s="76"/>
      <c r="Q543" s="590">
        <v>442.5</v>
      </c>
      <c r="R543" s="76"/>
      <c r="S543" s="150"/>
      <c r="T543" s="145">
        <f t="shared" si="252"/>
        <v>442.5</v>
      </c>
      <c r="U543" s="76"/>
      <c r="V543" s="76"/>
      <c r="W543" s="76"/>
      <c r="X543" s="583"/>
      <c r="Y543" s="76"/>
      <c r="Z543" s="76"/>
      <c r="AA543" s="76"/>
      <c r="AB543" s="76"/>
      <c r="AC543" s="76"/>
      <c r="AD543" s="136"/>
    </row>
    <row r="544" customHeight="1" spans="1:30">
      <c r="A544" s="76"/>
      <c r="B544" s="212" t="s">
        <v>1270</v>
      </c>
      <c r="C544" s="76" t="s">
        <v>52</v>
      </c>
      <c r="D544" s="76" t="s">
        <v>560</v>
      </c>
      <c r="E544" s="76"/>
      <c r="F544" s="590">
        <f t="shared" si="254"/>
        <v>59400</v>
      </c>
      <c r="G544" s="151">
        <f t="shared" si="255"/>
        <v>0</v>
      </c>
      <c r="H544" s="151">
        <f t="shared" si="251"/>
        <v>59400</v>
      </c>
      <c r="I544" s="76"/>
      <c r="J544" s="590">
        <f t="shared" si="253"/>
        <v>59400</v>
      </c>
      <c r="K544" s="584">
        <v>209</v>
      </c>
      <c r="L544" s="584">
        <v>901</v>
      </c>
      <c r="M544" s="76">
        <v>2018</v>
      </c>
      <c r="N544" s="76">
        <v>2019</v>
      </c>
      <c r="O544" s="76">
        <v>594</v>
      </c>
      <c r="P544" s="76"/>
      <c r="Q544" s="590">
        <v>594</v>
      </c>
      <c r="R544" s="76"/>
      <c r="S544" s="76"/>
      <c r="T544" s="145">
        <f t="shared" si="252"/>
        <v>594</v>
      </c>
      <c r="U544" s="76"/>
      <c r="V544" s="76"/>
      <c r="W544" s="76"/>
      <c r="X544" s="583"/>
      <c r="Y544" s="76"/>
      <c r="Z544" s="76"/>
      <c r="AA544" s="76"/>
      <c r="AB544" s="76"/>
      <c r="AC544" s="76"/>
      <c r="AD544" s="136"/>
    </row>
    <row r="545" customHeight="1" spans="1:30">
      <c r="A545" s="76"/>
      <c r="B545" s="212" t="s">
        <v>1281</v>
      </c>
      <c r="C545" s="76" t="s">
        <v>52</v>
      </c>
      <c r="D545" s="76" t="s">
        <v>560</v>
      </c>
      <c r="E545" s="76"/>
      <c r="F545" s="590">
        <f t="shared" si="254"/>
        <v>19050</v>
      </c>
      <c r="G545" s="151">
        <v>14800</v>
      </c>
      <c r="H545" s="151">
        <f t="shared" si="251"/>
        <v>4250</v>
      </c>
      <c r="I545" s="76"/>
      <c r="J545" s="590">
        <f t="shared" si="253"/>
        <v>19050</v>
      </c>
      <c r="K545" s="584">
        <v>230</v>
      </c>
      <c r="L545" s="584">
        <v>993</v>
      </c>
      <c r="M545" s="76">
        <v>2018</v>
      </c>
      <c r="N545" s="76">
        <v>2019</v>
      </c>
      <c r="O545" s="76">
        <v>136.5</v>
      </c>
      <c r="P545" s="76">
        <v>94</v>
      </c>
      <c r="Q545" s="590">
        <v>42.5</v>
      </c>
      <c r="R545" s="76"/>
      <c r="S545" s="76"/>
      <c r="T545" s="145">
        <f t="shared" si="252"/>
        <v>136.5</v>
      </c>
      <c r="U545" s="76"/>
      <c r="V545" s="76"/>
      <c r="W545" s="76"/>
      <c r="X545" s="583"/>
      <c r="Y545" s="76"/>
      <c r="Z545" s="76"/>
      <c r="AA545" s="76"/>
      <c r="AB545" s="76"/>
      <c r="AC545" s="76"/>
      <c r="AD545" s="136"/>
    </row>
    <row r="546" customHeight="1" spans="1:30">
      <c r="A546" s="76"/>
      <c r="B546" s="212" t="s">
        <v>1271</v>
      </c>
      <c r="C546" s="76" t="s">
        <v>52</v>
      </c>
      <c r="D546" s="76" t="s">
        <v>560</v>
      </c>
      <c r="E546" s="76"/>
      <c r="F546" s="590">
        <f t="shared" si="254"/>
        <v>59700</v>
      </c>
      <c r="G546" s="151">
        <f t="shared" ref="G546:G548" si="256">P546/0.015</f>
        <v>0</v>
      </c>
      <c r="H546" s="151">
        <f t="shared" si="251"/>
        <v>59700</v>
      </c>
      <c r="I546" s="76"/>
      <c r="J546" s="590">
        <f t="shared" si="253"/>
        <v>59700</v>
      </c>
      <c r="K546" s="584">
        <v>228</v>
      </c>
      <c r="L546" s="584">
        <v>938</v>
      </c>
      <c r="M546" s="76">
        <v>2018</v>
      </c>
      <c r="N546" s="76">
        <v>2019</v>
      </c>
      <c r="O546" s="76">
        <v>597</v>
      </c>
      <c r="P546" s="76"/>
      <c r="Q546" s="590">
        <v>597</v>
      </c>
      <c r="R546" s="76"/>
      <c r="S546" s="76"/>
      <c r="T546" s="145">
        <f t="shared" si="252"/>
        <v>597</v>
      </c>
      <c r="U546" s="76"/>
      <c r="V546" s="76"/>
      <c r="W546" s="76"/>
      <c r="X546" s="583"/>
      <c r="Y546" s="76"/>
      <c r="Z546" s="76"/>
      <c r="AA546" s="76"/>
      <c r="AB546" s="76"/>
      <c r="AC546" s="76"/>
      <c r="AD546" s="136"/>
    </row>
    <row r="547" customHeight="1" spans="1:30">
      <c r="A547" s="76"/>
      <c r="B547" s="212" t="s">
        <v>1282</v>
      </c>
      <c r="C547" s="76" t="s">
        <v>52</v>
      </c>
      <c r="D547" s="76" t="s">
        <v>560</v>
      </c>
      <c r="E547" s="76"/>
      <c r="F547" s="590">
        <f t="shared" si="254"/>
        <v>59778</v>
      </c>
      <c r="G547" s="151">
        <f t="shared" si="256"/>
        <v>0</v>
      </c>
      <c r="H547" s="151">
        <f t="shared" si="251"/>
        <v>59778</v>
      </c>
      <c r="I547" s="76"/>
      <c r="J547" s="590">
        <f t="shared" si="253"/>
        <v>59778</v>
      </c>
      <c r="K547" s="584">
        <v>299</v>
      </c>
      <c r="L547" s="584">
        <v>1316</v>
      </c>
      <c r="M547" s="76">
        <v>2018</v>
      </c>
      <c r="N547" s="76">
        <v>2019</v>
      </c>
      <c r="O547" s="76">
        <v>597.78</v>
      </c>
      <c r="P547" s="76"/>
      <c r="Q547" s="590">
        <v>597.78</v>
      </c>
      <c r="R547" s="76"/>
      <c r="S547" s="76"/>
      <c r="T547" s="145">
        <f t="shared" si="252"/>
        <v>597.78</v>
      </c>
      <c r="U547" s="76"/>
      <c r="V547" s="76"/>
      <c r="W547" s="76"/>
      <c r="X547" s="583"/>
      <c r="Y547" s="76"/>
      <c r="Z547" s="76"/>
      <c r="AA547" s="76"/>
      <c r="AB547" s="76"/>
      <c r="AC547" s="76"/>
      <c r="AD547" s="136"/>
    </row>
    <row r="548" customHeight="1" spans="1:30">
      <c r="A548" s="76"/>
      <c r="B548" s="212" t="s">
        <v>1283</v>
      </c>
      <c r="C548" s="76" t="s">
        <v>52</v>
      </c>
      <c r="D548" s="76" t="s">
        <v>560</v>
      </c>
      <c r="E548" s="76"/>
      <c r="F548" s="590">
        <f t="shared" si="254"/>
        <v>49650</v>
      </c>
      <c r="G548" s="151">
        <f t="shared" si="256"/>
        <v>0</v>
      </c>
      <c r="H548" s="151">
        <f t="shared" si="251"/>
        <v>49650</v>
      </c>
      <c r="I548" s="76"/>
      <c r="J548" s="590">
        <f t="shared" si="253"/>
        <v>49650</v>
      </c>
      <c r="K548" s="584">
        <v>129</v>
      </c>
      <c r="L548" s="584">
        <v>584</v>
      </c>
      <c r="M548" s="76">
        <v>2018</v>
      </c>
      <c r="N548" s="76">
        <v>2019</v>
      </c>
      <c r="O548" s="76">
        <v>496.5</v>
      </c>
      <c r="P548" s="76"/>
      <c r="Q548" s="590">
        <v>496.5</v>
      </c>
      <c r="R548" s="76"/>
      <c r="S548" s="76"/>
      <c r="T548" s="145">
        <f t="shared" si="252"/>
        <v>496.5</v>
      </c>
      <c r="U548" s="76"/>
      <c r="V548" s="76"/>
      <c r="W548" s="76"/>
      <c r="X548" s="583"/>
      <c r="Y548" s="76"/>
      <c r="Z548" s="76"/>
      <c r="AA548" s="76"/>
      <c r="AB548" s="76"/>
      <c r="AC548" s="76"/>
      <c r="AD548" s="136"/>
    </row>
    <row r="549" customHeight="1" spans="1:30">
      <c r="A549" s="76"/>
      <c r="B549" s="212" t="s">
        <v>1284</v>
      </c>
      <c r="C549" s="76" t="s">
        <v>52</v>
      </c>
      <c r="D549" s="76" t="s">
        <v>560</v>
      </c>
      <c r="E549" s="76"/>
      <c r="F549" s="590">
        <f t="shared" si="254"/>
        <v>45860</v>
      </c>
      <c r="G549" s="151">
        <v>45860</v>
      </c>
      <c r="H549" s="151">
        <f t="shared" si="251"/>
        <v>0</v>
      </c>
      <c r="I549" s="76"/>
      <c r="J549" s="590">
        <f t="shared" si="253"/>
        <v>45860</v>
      </c>
      <c r="K549" s="584">
        <v>50</v>
      </c>
      <c r="L549" s="584">
        <v>179</v>
      </c>
      <c r="M549" s="76">
        <v>2018</v>
      </c>
      <c r="N549" s="76">
        <v>2018</v>
      </c>
      <c r="O549" s="76">
        <v>281.22</v>
      </c>
      <c r="P549" s="76">
        <v>281.22</v>
      </c>
      <c r="Q549" s="590">
        <v>0</v>
      </c>
      <c r="R549" s="76"/>
      <c r="S549" s="76"/>
      <c r="T549" s="145">
        <f t="shared" si="252"/>
        <v>281.22</v>
      </c>
      <c r="U549" s="76"/>
      <c r="V549" s="76"/>
      <c r="W549" s="76"/>
      <c r="X549" s="583"/>
      <c r="Y549" s="76"/>
      <c r="Z549" s="76"/>
      <c r="AA549" s="76"/>
      <c r="AB549" s="76"/>
      <c r="AC549" s="76"/>
      <c r="AD549" s="136"/>
    </row>
    <row r="550" customHeight="1" spans="1:30">
      <c r="A550" s="76">
        <v>44</v>
      </c>
      <c r="B550" s="92" t="s">
        <v>916</v>
      </c>
      <c r="C550" s="76" t="s">
        <v>320</v>
      </c>
      <c r="D550" s="76" t="s">
        <v>320</v>
      </c>
      <c r="E550" s="76"/>
      <c r="F550" s="76"/>
      <c r="G550" s="591"/>
      <c r="H550" s="76"/>
      <c r="I550" s="76"/>
      <c r="J550" s="76"/>
      <c r="K550" s="76"/>
      <c r="L550" s="76"/>
      <c r="M550" s="76"/>
      <c r="N550" s="76"/>
      <c r="O550" s="76">
        <f t="shared" ref="O550:W550" si="257">SUM(O551+O569+O575+O593+O594)</f>
        <v>3998</v>
      </c>
      <c r="P550" s="76">
        <f t="shared" si="257"/>
        <v>1926</v>
      </c>
      <c r="Q550" s="76">
        <f t="shared" si="257"/>
        <v>1196</v>
      </c>
      <c r="R550" s="76">
        <f t="shared" si="257"/>
        <v>876</v>
      </c>
      <c r="S550" s="76">
        <f t="shared" si="257"/>
        <v>3998</v>
      </c>
      <c r="T550" s="76">
        <f t="shared" si="257"/>
        <v>0</v>
      </c>
      <c r="U550" s="76">
        <f t="shared" si="257"/>
        <v>0</v>
      </c>
      <c r="V550" s="76">
        <f t="shared" si="257"/>
        <v>0</v>
      </c>
      <c r="W550" s="76">
        <f t="shared" si="257"/>
        <v>0</v>
      </c>
      <c r="X550" s="583"/>
      <c r="Y550" s="76"/>
      <c r="Z550" s="76"/>
      <c r="AA550" s="76" t="s">
        <v>1285</v>
      </c>
      <c r="AB550" s="76" t="s">
        <v>1307</v>
      </c>
      <c r="AC550" s="76" t="s">
        <v>320</v>
      </c>
      <c r="AD550" s="136"/>
    </row>
    <row r="551" customHeight="1" spans="1:30">
      <c r="A551" s="76">
        <v>45</v>
      </c>
      <c r="B551" s="92" t="s">
        <v>413</v>
      </c>
      <c r="C551" s="76" t="s">
        <v>320</v>
      </c>
      <c r="D551" s="76" t="s">
        <v>45</v>
      </c>
      <c r="E551" s="76"/>
      <c r="F551" s="76">
        <f t="shared" ref="F551:L551" si="258">SUM(F552:F568)</f>
        <v>22000</v>
      </c>
      <c r="G551" s="76">
        <f t="shared" si="258"/>
        <v>10000</v>
      </c>
      <c r="H551" s="76">
        <f t="shared" si="258"/>
        <v>7000</v>
      </c>
      <c r="I551" s="76">
        <f t="shared" si="258"/>
        <v>5000</v>
      </c>
      <c r="J551" s="76">
        <f t="shared" si="258"/>
        <v>22000</v>
      </c>
      <c r="K551" s="76">
        <f t="shared" si="258"/>
        <v>3218</v>
      </c>
      <c r="L551" s="76">
        <f t="shared" si="258"/>
        <v>13004</v>
      </c>
      <c r="M551" s="76">
        <v>2018</v>
      </c>
      <c r="N551" s="76">
        <v>2020</v>
      </c>
      <c r="O551" s="76">
        <f t="shared" ref="O551:R551" si="259">SUM(O552:O568)</f>
        <v>3520</v>
      </c>
      <c r="P551" s="76">
        <f t="shared" si="259"/>
        <v>1600</v>
      </c>
      <c r="Q551" s="76">
        <f t="shared" si="259"/>
        <v>1120</v>
      </c>
      <c r="R551" s="76">
        <f t="shared" si="259"/>
        <v>800</v>
      </c>
      <c r="S551" s="76">
        <f t="shared" ref="S551:S568" si="260">O551</f>
        <v>3520</v>
      </c>
      <c r="T551" s="76">
        <f t="shared" ref="T551:W551" si="261">SUM(T552:T568)</f>
        <v>0</v>
      </c>
      <c r="U551" s="76">
        <f t="shared" si="261"/>
        <v>0</v>
      </c>
      <c r="V551" s="76">
        <f t="shared" si="261"/>
        <v>0</v>
      </c>
      <c r="W551" s="76">
        <f t="shared" si="261"/>
        <v>0</v>
      </c>
      <c r="X551" s="583"/>
      <c r="Y551" s="76"/>
      <c r="Z551" s="76" t="s">
        <v>1038</v>
      </c>
      <c r="AA551" s="76" t="s">
        <v>1285</v>
      </c>
      <c r="AB551" s="76" t="s">
        <v>1307</v>
      </c>
      <c r="AC551" s="76" t="s">
        <v>417</v>
      </c>
      <c r="AD551" s="136"/>
    </row>
    <row r="552" customHeight="1" spans="1:30">
      <c r="A552" s="76"/>
      <c r="B552" s="212" t="s">
        <v>1265</v>
      </c>
      <c r="C552" s="76" t="s">
        <v>320</v>
      </c>
      <c r="D552" s="76" t="s">
        <v>45</v>
      </c>
      <c r="E552" s="76"/>
      <c r="F552" s="76">
        <f t="shared" ref="F552:F568" si="262">SUM(G552:I552)</f>
        <v>744</v>
      </c>
      <c r="G552" s="76">
        <v>744</v>
      </c>
      <c r="H552" s="76"/>
      <c r="I552" s="76"/>
      <c r="J552" s="76">
        <f t="shared" ref="J552:J568" si="263">F552</f>
        <v>744</v>
      </c>
      <c r="K552" s="584">
        <v>54</v>
      </c>
      <c r="L552" s="584">
        <v>183</v>
      </c>
      <c r="M552" s="76">
        <v>2018</v>
      </c>
      <c r="N552" s="76">
        <v>2018</v>
      </c>
      <c r="O552" s="76">
        <f t="shared" ref="O552:O568" si="264">SUM(P552:R552)</f>
        <v>119.04</v>
      </c>
      <c r="P552" s="76">
        <f t="shared" ref="P552:P568" si="265">G552*0.16</f>
        <v>119.04</v>
      </c>
      <c r="Q552" s="76">
        <f t="shared" ref="Q552:Q568" si="266">0.16*H552</f>
        <v>0</v>
      </c>
      <c r="R552" s="76">
        <f t="shared" ref="R552:R568" si="267">0.16*I552</f>
        <v>0</v>
      </c>
      <c r="S552" s="76">
        <f t="shared" si="260"/>
        <v>119.04</v>
      </c>
      <c r="T552" s="76"/>
      <c r="U552" s="76"/>
      <c r="V552" s="76"/>
      <c r="W552" s="76"/>
      <c r="X552" s="583"/>
      <c r="Y552" s="76"/>
      <c r="Z552" s="76"/>
      <c r="AA552" s="76"/>
      <c r="AB552" s="76"/>
      <c r="AC552" s="76"/>
      <c r="AD552" s="136"/>
    </row>
    <row r="553" customHeight="1" spans="1:30">
      <c r="A553" s="76"/>
      <c r="B553" s="212" t="s">
        <v>1266</v>
      </c>
      <c r="C553" s="76" t="s">
        <v>320</v>
      </c>
      <c r="D553" s="76" t="s">
        <v>45</v>
      </c>
      <c r="E553" s="76"/>
      <c r="F553" s="76">
        <f t="shared" si="262"/>
        <v>647</v>
      </c>
      <c r="G553" s="76">
        <v>647</v>
      </c>
      <c r="H553" s="76"/>
      <c r="I553" s="76"/>
      <c r="J553" s="76">
        <f t="shared" si="263"/>
        <v>647</v>
      </c>
      <c r="K553" s="584">
        <v>153</v>
      </c>
      <c r="L553" s="584">
        <v>594</v>
      </c>
      <c r="M553" s="76">
        <v>2018</v>
      </c>
      <c r="N553" s="76">
        <v>2018</v>
      </c>
      <c r="O553" s="76">
        <f t="shared" si="264"/>
        <v>103.52</v>
      </c>
      <c r="P553" s="76">
        <f t="shared" si="265"/>
        <v>103.52</v>
      </c>
      <c r="Q553" s="76">
        <f t="shared" si="266"/>
        <v>0</v>
      </c>
      <c r="R553" s="76">
        <f t="shared" si="267"/>
        <v>0</v>
      </c>
      <c r="S553" s="76">
        <f t="shared" si="260"/>
        <v>103.52</v>
      </c>
      <c r="T553" s="76"/>
      <c r="U553" s="76"/>
      <c r="V553" s="76"/>
      <c r="W553" s="76"/>
      <c r="X553" s="583"/>
      <c r="Y553" s="76"/>
      <c r="Z553" s="76"/>
      <c r="AA553" s="76"/>
      <c r="AB553" s="76"/>
      <c r="AC553" s="76"/>
      <c r="AD553" s="136"/>
    </row>
    <row r="554" customHeight="1" spans="1:30">
      <c r="A554" s="76"/>
      <c r="B554" s="212" t="s">
        <v>1267</v>
      </c>
      <c r="C554" s="76" t="s">
        <v>320</v>
      </c>
      <c r="D554" s="76" t="s">
        <v>45</v>
      </c>
      <c r="E554" s="76"/>
      <c r="F554" s="76">
        <f t="shared" si="262"/>
        <v>1050</v>
      </c>
      <c r="G554" s="76">
        <v>50</v>
      </c>
      <c r="H554" s="76">
        <v>1000</v>
      </c>
      <c r="I554" s="76"/>
      <c r="J554" s="76">
        <f t="shared" si="263"/>
        <v>1050</v>
      </c>
      <c r="K554" s="584">
        <v>126</v>
      </c>
      <c r="L554" s="584">
        <v>503</v>
      </c>
      <c r="M554" s="76">
        <v>2018</v>
      </c>
      <c r="N554" s="76">
        <v>2019</v>
      </c>
      <c r="O554" s="76">
        <f t="shared" si="264"/>
        <v>168</v>
      </c>
      <c r="P554" s="76">
        <f t="shared" si="265"/>
        <v>8</v>
      </c>
      <c r="Q554" s="76">
        <f t="shared" si="266"/>
        <v>160</v>
      </c>
      <c r="R554" s="76">
        <f t="shared" si="267"/>
        <v>0</v>
      </c>
      <c r="S554" s="76">
        <f t="shared" si="260"/>
        <v>168</v>
      </c>
      <c r="T554" s="76"/>
      <c r="U554" s="76"/>
      <c r="V554" s="76"/>
      <c r="W554" s="76"/>
      <c r="X554" s="583"/>
      <c r="Y554" s="76"/>
      <c r="Z554" s="76"/>
      <c r="AA554" s="76"/>
      <c r="AB554" s="76"/>
      <c r="AC554" s="76"/>
      <c r="AD554" s="136"/>
    </row>
    <row r="555" customHeight="1" spans="1:30">
      <c r="A555" s="76"/>
      <c r="B555" s="212" t="s">
        <v>1268</v>
      </c>
      <c r="C555" s="76" t="s">
        <v>320</v>
      </c>
      <c r="D555" s="76" t="s">
        <v>45</v>
      </c>
      <c r="E555" s="76"/>
      <c r="F555" s="76">
        <f t="shared" si="262"/>
        <v>560</v>
      </c>
      <c r="G555" s="76">
        <v>560</v>
      </c>
      <c r="H555" s="76"/>
      <c r="I555" s="76"/>
      <c r="J555" s="76">
        <f t="shared" si="263"/>
        <v>560</v>
      </c>
      <c r="K555" s="584">
        <v>183</v>
      </c>
      <c r="L555" s="584">
        <v>671</v>
      </c>
      <c r="M555" s="76">
        <v>2018</v>
      </c>
      <c r="N555" s="76">
        <v>2018</v>
      </c>
      <c r="O555" s="76">
        <f t="shared" si="264"/>
        <v>89.6</v>
      </c>
      <c r="P555" s="76">
        <f t="shared" si="265"/>
        <v>89.6</v>
      </c>
      <c r="Q555" s="76">
        <f t="shared" si="266"/>
        <v>0</v>
      </c>
      <c r="R555" s="76">
        <f t="shared" si="267"/>
        <v>0</v>
      </c>
      <c r="S555" s="76">
        <f t="shared" si="260"/>
        <v>89.6</v>
      </c>
      <c r="T555" s="76"/>
      <c r="U555" s="76"/>
      <c r="V555" s="76"/>
      <c r="W555" s="76"/>
      <c r="X555" s="583"/>
      <c r="Y555" s="76"/>
      <c r="Z555" s="76"/>
      <c r="AA555" s="76"/>
      <c r="AB555" s="76"/>
      <c r="AC555" s="76"/>
      <c r="AD555" s="136"/>
    </row>
    <row r="556" customHeight="1" spans="1:30">
      <c r="A556" s="76"/>
      <c r="B556" s="212" t="s">
        <v>1275</v>
      </c>
      <c r="C556" s="76" t="s">
        <v>320</v>
      </c>
      <c r="D556" s="76" t="s">
        <v>45</v>
      </c>
      <c r="E556" s="76"/>
      <c r="F556" s="76">
        <f t="shared" si="262"/>
        <v>115</v>
      </c>
      <c r="G556" s="76">
        <v>115</v>
      </c>
      <c r="H556" s="76"/>
      <c r="I556" s="76"/>
      <c r="J556" s="76">
        <f t="shared" si="263"/>
        <v>115</v>
      </c>
      <c r="K556" s="584">
        <v>268</v>
      </c>
      <c r="L556" s="584">
        <v>987</v>
      </c>
      <c r="M556" s="76">
        <v>2018</v>
      </c>
      <c r="N556" s="76">
        <v>2018</v>
      </c>
      <c r="O556" s="76">
        <f t="shared" si="264"/>
        <v>18.4</v>
      </c>
      <c r="P556" s="76">
        <f t="shared" si="265"/>
        <v>18.4</v>
      </c>
      <c r="Q556" s="76">
        <f t="shared" si="266"/>
        <v>0</v>
      </c>
      <c r="R556" s="76">
        <f t="shared" si="267"/>
        <v>0</v>
      </c>
      <c r="S556" s="76">
        <f t="shared" si="260"/>
        <v>18.4</v>
      </c>
      <c r="T556" s="76"/>
      <c r="U556" s="76"/>
      <c r="V556" s="76"/>
      <c r="W556" s="76"/>
      <c r="X556" s="583"/>
      <c r="Y556" s="76"/>
      <c r="Z556" s="76"/>
      <c r="AA556" s="76"/>
      <c r="AB556" s="76"/>
      <c r="AC556" s="76"/>
      <c r="AD556" s="136"/>
    </row>
    <row r="557" customHeight="1" spans="1:30">
      <c r="A557" s="76"/>
      <c r="B557" s="212" t="s">
        <v>1276</v>
      </c>
      <c r="C557" s="76" t="s">
        <v>320</v>
      </c>
      <c r="D557" s="76" t="s">
        <v>45</v>
      </c>
      <c r="E557" s="76"/>
      <c r="F557" s="76">
        <f t="shared" si="262"/>
        <v>1580</v>
      </c>
      <c r="G557" s="76">
        <v>1580</v>
      </c>
      <c r="H557" s="76"/>
      <c r="I557" s="76"/>
      <c r="J557" s="76">
        <f t="shared" si="263"/>
        <v>1580</v>
      </c>
      <c r="K557" s="584">
        <v>201</v>
      </c>
      <c r="L557" s="584">
        <v>736</v>
      </c>
      <c r="M557" s="76">
        <v>2018</v>
      </c>
      <c r="N557" s="76">
        <v>2018</v>
      </c>
      <c r="O557" s="76">
        <f t="shared" si="264"/>
        <v>252.8</v>
      </c>
      <c r="P557" s="76">
        <f t="shared" si="265"/>
        <v>252.8</v>
      </c>
      <c r="Q557" s="76">
        <f t="shared" si="266"/>
        <v>0</v>
      </c>
      <c r="R557" s="76">
        <f t="shared" si="267"/>
        <v>0</v>
      </c>
      <c r="S557" s="76">
        <f t="shared" si="260"/>
        <v>252.8</v>
      </c>
      <c r="T557" s="76"/>
      <c r="U557" s="76"/>
      <c r="V557" s="76"/>
      <c r="W557" s="76"/>
      <c r="X557" s="583"/>
      <c r="Y557" s="76"/>
      <c r="Z557" s="76"/>
      <c r="AA557" s="76"/>
      <c r="AB557" s="76"/>
      <c r="AC557" s="76"/>
      <c r="AD557" s="136"/>
    </row>
    <row r="558" customHeight="1" spans="1:30">
      <c r="A558" s="76"/>
      <c r="B558" s="212" t="s">
        <v>1277</v>
      </c>
      <c r="C558" s="76" t="s">
        <v>320</v>
      </c>
      <c r="D558" s="76" t="s">
        <v>45</v>
      </c>
      <c r="E558" s="76"/>
      <c r="F558" s="76">
        <f t="shared" si="262"/>
        <v>1693</v>
      </c>
      <c r="G558" s="76">
        <v>1693</v>
      </c>
      <c r="H558" s="76"/>
      <c r="I558" s="76"/>
      <c r="J558" s="76">
        <f t="shared" si="263"/>
        <v>1693</v>
      </c>
      <c r="K558" s="584">
        <v>369</v>
      </c>
      <c r="L558" s="584">
        <v>1605</v>
      </c>
      <c r="M558" s="76">
        <v>2018</v>
      </c>
      <c r="N558" s="76">
        <v>2018</v>
      </c>
      <c r="O558" s="76">
        <f t="shared" si="264"/>
        <v>270.88</v>
      </c>
      <c r="P558" s="76">
        <f t="shared" si="265"/>
        <v>270.88</v>
      </c>
      <c r="Q558" s="76">
        <f t="shared" si="266"/>
        <v>0</v>
      </c>
      <c r="R558" s="76">
        <f t="shared" si="267"/>
        <v>0</v>
      </c>
      <c r="S558" s="76">
        <f t="shared" si="260"/>
        <v>270.88</v>
      </c>
      <c r="T558" s="76"/>
      <c r="U558" s="76"/>
      <c r="V558" s="76"/>
      <c r="W558" s="76"/>
      <c r="X558" s="583"/>
      <c r="Y558" s="76"/>
      <c r="Z558" s="76"/>
      <c r="AA558" s="76"/>
      <c r="AB558" s="76"/>
      <c r="AC558" s="76"/>
      <c r="AD558" s="136" t="s">
        <v>1308</v>
      </c>
    </row>
    <row r="559" customHeight="1" spans="1:30">
      <c r="A559" s="76"/>
      <c r="B559" s="212" t="s">
        <v>1278</v>
      </c>
      <c r="C559" s="76" t="s">
        <v>320</v>
      </c>
      <c r="D559" s="76" t="s">
        <v>45</v>
      </c>
      <c r="E559" s="76"/>
      <c r="F559" s="76">
        <f t="shared" si="262"/>
        <v>0</v>
      </c>
      <c r="G559" s="76">
        <v>0</v>
      </c>
      <c r="H559" s="76"/>
      <c r="I559" s="76"/>
      <c r="J559" s="76">
        <f t="shared" si="263"/>
        <v>0</v>
      </c>
      <c r="K559" s="584">
        <v>267</v>
      </c>
      <c r="L559" s="584">
        <v>1050</v>
      </c>
      <c r="M559" s="76">
        <v>2018</v>
      </c>
      <c r="N559" s="76">
        <v>2018</v>
      </c>
      <c r="O559" s="76">
        <f t="shared" si="264"/>
        <v>0</v>
      </c>
      <c r="P559" s="76">
        <f t="shared" si="265"/>
        <v>0</v>
      </c>
      <c r="Q559" s="76">
        <f t="shared" si="266"/>
        <v>0</v>
      </c>
      <c r="R559" s="76">
        <f t="shared" si="267"/>
        <v>0</v>
      </c>
      <c r="S559" s="76">
        <f t="shared" si="260"/>
        <v>0</v>
      </c>
      <c r="T559" s="76"/>
      <c r="U559" s="76"/>
      <c r="V559" s="76"/>
      <c r="W559" s="76"/>
      <c r="X559" s="583"/>
      <c r="Y559" s="76"/>
      <c r="Z559" s="76"/>
      <c r="AA559" s="76"/>
      <c r="AB559" s="76"/>
      <c r="AC559" s="76"/>
      <c r="AD559" s="136"/>
    </row>
    <row r="560" customHeight="1" spans="1:30">
      <c r="A560" s="76"/>
      <c r="B560" s="212" t="s">
        <v>1279</v>
      </c>
      <c r="C560" s="76" t="s">
        <v>320</v>
      </c>
      <c r="D560" s="76" t="s">
        <v>45</v>
      </c>
      <c r="E560" s="76"/>
      <c r="F560" s="76">
        <f t="shared" si="262"/>
        <v>1000</v>
      </c>
      <c r="G560" s="76">
        <v>0</v>
      </c>
      <c r="H560" s="76"/>
      <c r="I560" s="76">
        <v>1000</v>
      </c>
      <c r="J560" s="76">
        <f t="shared" si="263"/>
        <v>1000</v>
      </c>
      <c r="K560" s="584">
        <v>174</v>
      </c>
      <c r="L560" s="584">
        <v>656</v>
      </c>
      <c r="M560" s="76">
        <v>2018</v>
      </c>
      <c r="N560" s="76">
        <v>2018</v>
      </c>
      <c r="O560" s="76">
        <f t="shared" si="264"/>
        <v>160</v>
      </c>
      <c r="P560" s="76">
        <f t="shared" si="265"/>
        <v>0</v>
      </c>
      <c r="Q560" s="76">
        <f t="shared" si="266"/>
        <v>0</v>
      </c>
      <c r="R560" s="76">
        <f t="shared" si="267"/>
        <v>160</v>
      </c>
      <c r="S560" s="76">
        <f t="shared" si="260"/>
        <v>160</v>
      </c>
      <c r="T560" s="76"/>
      <c r="U560" s="76"/>
      <c r="V560" s="76"/>
      <c r="W560" s="76"/>
      <c r="X560" s="583"/>
      <c r="Y560" s="76"/>
      <c r="Z560" s="76"/>
      <c r="AA560" s="76"/>
      <c r="AB560" s="76"/>
      <c r="AC560" s="76"/>
      <c r="AD560" s="136"/>
    </row>
    <row r="561" customHeight="1" spans="1:30">
      <c r="A561" s="76"/>
      <c r="B561" s="212" t="s">
        <v>1280</v>
      </c>
      <c r="C561" s="76" t="s">
        <v>320</v>
      </c>
      <c r="D561" s="76" t="s">
        <v>45</v>
      </c>
      <c r="E561" s="76"/>
      <c r="F561" s="76">
        <f t="shared" si="262"/>
        <v>3370</v>
      </c>
      <c r="G561" s="76">
        <v>1370</v>
      </c>
      <c r="H561" s="76">
        <v>2000</v>
      </c>
      <c r="I561" s="76"/>
      <c r="J561" s="76">
        <f t="shared" si="263"/>
        <v>3370</v>
      </c>
      <c r="K561" s="584">
        <v>90</v>
      </c>
      <c r="L561" s="584">
        <v>343</v>
      </c>
      <c r="M561" s="76">
        <v>2018</v>
      </c>
      <c r="N561" s="76">
        <v>2019</v>
      </c>
      <c r="O561" s="76">
        <f t="shared" si="264"/>
        <v>539.2</v>
      </c>
      <c r="P561" s="76">
        <f t="shared" si="265"/>
        <v>219.2</v>
      </c>
      <c r="Q561" s="76">
        <f t="shared" si="266"/>
        <v>320</v>
      </c>
      <c r="R561" s="76">
        <f t="shared" si="267"/>
        <v>0</v>
      </c>
      <c r="S561" s="76">
        <f t="shared" si="260"/>
        <v>539.2</v>
      </c>
      <c r="T561" s="76"/>
      <c r="U561" s="76"/>
      <c r="V561" s="76"/>
      <c r="W561" s="76"/>
      <c r="X561" s="583"/>
      <c r="Y561" s="76"/>
      <c r="Z561" s="76"/>
      <c r="AA561" s="76"/>
      <c r="AB561" s="76"/>
      <c r="AC561" s="76"/>
      <c r="AD561" s="136"/>
    </row>
    <row r="562" customHeight="1" spans="1:30">
      <c r="A562" s="76"/>
      <c r="B562" s="212" t="s">
        <v>1269</v>
      </c>
      <c r="C562" s="76" t="s">
        <v>320</v>
      </c>
      <c r="D562" s="76" t="s">
        <v>45</v>
      </c>
      <c r="E562" s="76"/>
      <c r="F562" s="76">
        <f t="shared" si="262"/>
        <v>398</v>
      </c>
      <c r="G562" s="76">
        <v>398</v>
      </c>
      <c r="H562" s="76"/>
      <c r="I562" s="76"/>
      <c r="J562" s="76">
        <f t="shared" si="263"/>
        <v>398</v>
      </c>
      <c r="K562" s="584">
        <v>188</v>
      </c>
      <c r="L562" s="584">
        <v>765</v>
      </c>
      <c r="M562" s="76">
        <v>2018</v>
      </c>
      <c r="N562" s="76">
        <v>2018</v>
      </c>
      <c r="O562" s="76">
        <f t="shared" si="264"/>
        <v>63.68</v>
      </c>
      <c r="P562" s="76">
        <f t="shared" si="265"/>
        <v>63.68</v>
      </c>
      <c r="Q562" s="76">
        <f t="shared" si="266"/>
        <v>0</v>
      </c>
      <c r="R562" s="76">
        <f t="shared" si="267"/>
        <v>0</v>
      </c>
      <c r="S562" s="76">
        <f t="shared" si="260"/>
        <v>63.68</v>
      </c>
      <c r="T562" s="76"/>
      <c r="U562" s="76"/>
      <c r="V562" s="76"/>
      <c r="W562" s="76"/>
      <c r="X562" s="583"/>
      <c r="Y562" s="76"/>
      <c r="Z562" s="76"/>
      <c r="AA562" s="76"/>
      <c r="AB562" s="76"/>
      <c r="AC562" s="76"/>
      <c r="AD562" s="136" t="s">
        <v>1308</v>
      </c>
    </row>
    <row r="563" customHeight="1" spans="1:30">
      <c r="A563" s="76"/>
      <c r="B563" s="212" t="s">
        <v>1270</v>
      </c>
      <c r="C563" s="76" t="s">
        <v>320</v>
      </c>
      <c r="D563" s="76" t="s">
        <v>45</v>
      </c>
      <c r="E563" s="76"/>
      <c r="F563" s="76">
        <f t="shared" si="262"/>
        <v>2210</v>
      </c>
      <c r="G563" s="76">
        <v>1210</v>
      </c>
      <c r="H563" s="76">
        <v>1000</v>
      </c>
      <c r="I563" s="76"/>
      <c r="J563" s="76">
        <f t="shared" si="263"/>
        <v>2210</v>
      </c>
      <c r="K563" s="584">
        <v>209</v>
      </c>
      <c r="L563" s="584">
        <v>901</v>
      </c>
      <c r="M563" s="76">
        <v>2018</v>
      </c>
      <c r="N563" s="76">
        <v>2019</v>
      </c>
      <c r="O563" s="76">
        <f t="shared" si="264"/>
        <v>353.6</v>
      </c>
      <c r="P563" s="76">
        <f t="shared" si="265"/>
        <v>193.6</v>
      </c>
      <c r="Q563" s="76">
        <f t="shared" si="266"/>
        <v>160</v>
      </c>
      <c r="R563" s="76">
        <f t="shared" si="267"/>
        <v>0</v>
      </c>
      <c r="S563" s="76">
        <f t="shared" si="260"/>
        <v>353.6</v>
      </c>
      <c r="T563" s="76"/>
      <c r="U563" s="76"/>
      <c r="V563" s="76"/>
      <c r="W563" s="76"/>
      <c r="X563" s="583"/>
      <c r="Y563" s="76"/>
      <c r="Z563" s="76"/>
      <c r="AA563" s="76"/>
      <c r="AB563" s="76"/>
      <c r="AC563" s="76"/>
      <c r="AD563" s="136" t="s">
        <v>1308</v>
      </c>
    </row>
    <row r="564" customHeight="1" spans="1:30">
      <c r="A564" s="76"/>
      <c r="B564" s="212" t="s">
        <v>1281</v>
      </c>
      <c r="C564" s="76" t="s">
        <v>320</v>
      </c>
      <c r="D564" s="76" t="s">
        <v>45</v>
      </c>
      <c r="E564" s="76"/>
      <c r="F564" s="76">
        <f t="shared" si="262"/>
        <v>3000</v>
      </c>
      <c r="G564" s="76">
        <v>0</v>
      </c>
      <c r="H564" s="76">
        <v>3000</v>
      </c>
      <c r="I564" s="76"/>
      <c r="J564" s="76">
        <f t="shared" si="263"/>
        <v>3000</v>
      </c>
      <c r="K564" s="584">
        <v>230</v>
      </c>
      <c r="L564" s="584">
        <v>993</v>
      </c>
      <c r="M564" s="76">
        <v>2018</v>
      </c>
      <c r="N564" s="76">
        <v>2019</v>
      </c>
      <c r="O564" s="76">
        <f t="shared" si="264"/>
        <v>480</v>
      </c>
      <c r="P564" s="76">
        <f t="shared" si="265"/>
        <v>0</v>
      </c>
      <c r="Q564" s="76">
        <f t="shared" si="266"/>
        <v>480</v>
      </c>
      <c r="R564" s="76">
        <f t="shared" si="267"/>
        <v>0</v>
      </c>
      <c r="S564" s="76">
        <f t="shared" si="260"/>
        <v>480</v>
      </c>
      <c r="T564" s="76"/>
      <c r="U564" s="76"/>
      <c r="V564" s="76"/>
      <c r="W564" s="76"/>
      <c r="X564" s="583"/>
      <c r="Y564" s="76"/>
      <c r="Z564" s="76"/>
      <c r="AA564" s="76"/>
      <c r="AB564" s="76"/>
      <c r="AC564" s="76"/>
      <c r="AD564" s="136" t="s">
        <v>1308</v>
      </c>
    </row>
    <row r="565" customHeight="1" spans="1:30">
      <c r="A565" s="76"/>
      <c r="B565" s="212" t="s">
        <v>1271</v>
      </c>
      <c r="C565" s="76" t="s">
        <v>320</v>
      </c>
      <c r="D565" s="76" t="s">
        <v>45</v>
      </c>
      <c r="E565" s="76"/>
      <c r="F565" s="76">
        <f t="shared" si="262"/>
        <v>3010</v>
      </c>
      <c r="G565" s="76">
        <v>1010</v>
      </c>
      <c r="H565" s="76"/>
      <c r="I565" s="76">
        <v>2000</v>
      </c>
      <c r="J565" s="76">
        <f t="shared" si="263"/>
        <v>3010</v>
      </c>
      <c r="K565" s="584">
        <v>228</v>
      </c>
      <c r="L565" s="584">
        <v>938</v>
      </c>
      <c r="M565" s="76">
        <v>2018</v>
      </c>
      <c r="N565" s="76">
        <v>2020</v>
      </c>
      <c r="O565" s="76">
        <f t="shared" si="264"/>
        <v>481.6</v>
      </c>
      <c r="P565" s="76">
        <f t="shared" si="265"/>
        <v>161.6</v>
      </c>
      <c r="Q565" s="76">
        <f t="shared" si="266"/>
        <v>0</v>
      </c>
      <c r="R565" s="76">
        <f t="shared" si="267"/>
        <v>320</v>
      </c>
      <c r="S565" s="76">
        <f t="shared" si="260"/>
        <v>481.6</v>
      </c>
      <c r="T565" s="76"/>
      <c r="U565" s="76"/>
      <c r="V565" s="76"/>
      <c r="W565" s="76"/>
      <c r="X565" s="583"/>
      <c r="Y565" s="76"/>
      <c r="Z565" s="76"/>
      <c r="AA565" s="76"/>
      <c r="AB565" s="76"/>
      <c r="AC565" s="76"/>
      <c r="AD565" s="136"/>
    </row>
    <row r="566" customHeight="1" spans="1:30">
      <c r="A566" s="76"/>
      <c r="B566" s="212" t="s">
        <v>1282</v>
      </c>
      <c r="C566" s="76" t="s">
        <v>320</v>
      </c>
      <c r="D566" s="76" t="s">
        <v>45</v>
      </c>
      <c r="E566" s="76"/>
      <c r="F566" s="76">
        <f t="shared" si="262"/>
        <v>2000</v>
      </c>
      <c r="G566" s="76">
        <v>0</v>
      </c>
      <c r="H566" s="76"/>
      <c r="I566" s="76">
        <v>2000</v>
      </c>
      <c r="J566" s="76">
        <f t="shared" si="263"/>
        <v>2000</v>
      </c>
      <c r="K566" s="584">
        <v>299</v>
      </c>
      <c r="L566" s="584">
        <v>1316</v>
      </c>
      <c r="M566" s="76">
        <v>2018</v>
      </c>
      <c r="N566" s="76">
        <v>2020</v>
      </c>
      <c r="O566" s="76">
        <f t="shared" si="264"/>
        <v>320</v>
      </c>
      <c r="P566" s="76">
        <f t="shared" si="265"/>
        <v>0</v>
      </c>
      <c r="Q566" s="76">
        <f t="shared" si="266"/>
        <v>0</v>
      </c>
      <c r="R566" s="76">
        <f t="shared" si="267"/>
        <v>320</v>
      </c>
      <c r="S566" s="76">
        <f t="shared" si="260"/>
        <v>320</v>
      </c>
      <c r="T566" s="76"/>
      <c r="U566" s="76"/>
      <c r="V566" s="76"/>
      <c r="W566" s="76"/>
      <c r="X566" s="583"/>
      <c r="Y566" s="76"/>
      <c r="Z566" s="76"/>
      <c r="AA566" s="76"/>
      <c r="AB566" s="76"/>
      <c r="AC566" s="76"/>
      <c r="AD566" s="136"/>
    </row>
    <row r="567" customHeight="1" spans="1:30">
      <c r="A567" s="76"/>
      <c r="B567" s="212" t="s">
        <v>1283</v>
      </c>
      <c r="C567" s="76" t="s">
        <v>320</v>
      </c>
      <c r="D567" s="76" t="s">
        <v>45</v>
      </c>
      <c r="E567" s="76"/>
      <c r="F567" s="76">
        <f t="shared" si="262"/>
        <v>583</v>
      </c>
      <c r="G567" s="76">
        <v>583</v>
      </c>
      <c r="H567" s="76"/>
      <c r="I567" s="76"/>
      <c r="J567" s="76">
        <f t="shared" si="263"/>
        <v>583</v>
      </c>
      <c r="K567" s="584">
        <v>129</v>
      </c>
      <c r="L567" s="584">
        <v>584</v>
      </c>
      <c r="M567" s="76">
        <v>2018</v>
      </c>
      <c r="N567" s="76">
        <v>2018</v>
      </c>
      <c r="O567" s="76">
        <f t="shared" si="264"/>
        <v>93.28</v>
      </c>
      <c r="P567" s="76">
        <f t="shared" si="265"/>
        <v>93.28</v>
      </c>
      <c r="Q567" s="76">
        <f t="shared" si="266"/>
        <v>0</v>
      </c>
      <c r="R567" s="76">
        <f t="shared" si="267"/>
        <v>0</v>
      </c>
      <c r="S567" s="76">
        <f t="shared" si="260"/>
        <v>93.28</v>
      </c>
      <c r="T567" s="76"/>
      <c r="U567" s="76"/>
      <c r="V567" s="76"/>
      <c r="W567" s="76"/>
      <c r="X567" s="583"/>
      <c r="Y567" s="76"/>
      <c r="Z567" s="76"/>
      <c r="AA567" s="76"/>
      <c r="AB567" s="76"/>
      <c r="AC567" s="76"/>
      <c r="AD567" s="136"/>
    </row>
    <row r="568" customHeight="1" spans="1:30">
      <c r="A568" s="76"/>
      <c r="B568" s="212" t="s">
        <v>1284</v>
      </c>
      <c r="C568" s="76" t="s">
        <v>320</v>
      </c>
      <c r="D568" s="76" t="s">
        <v>45</v>
      </c>
      <c r="E568" s="76"/>
      <c r="F568" s="76">
        <f t="shared" si="262"/>
        <v>40</v>
      </c>
      <c r="G568" s="76">
        <v>40</v>
      </c>
      <c r="H568" s="76"/>
      <c r="I568" s="76"/>
      <c r="J568" s="76">
        <f t="shared" si="263"/>
        <v>40</v>
      </c>
      <c r="K568" s="584">
        <v>50</v>
      </c>
      <c r="L568" s="584">
        <v>179</v>
      </c>
      <c r="M568" s="76">
        <v>2018</v>
      </c>
      <c r="N568" s="76">
        <v>2018</v>
      </c>
      <c r="O568" s="76">
        <f t="shared" si="264"/>
        <v>6.4</v>
      </c>
      <c r="P568" s="76">
        <f t="shared" si="265"/>
        <v>6.4</v>
      </c>
      <c r="Q568" s="76">
        <f t="shared" si="266"/>
        <v>0</v>
      </c>
      <c r="R568" s="76">
        <f t="shared" si="267"/>
        <v>0</v>
      </c>
      <c r="S568" s="76">
        <f t="shared" si="260"/>
        <v>6.4</v>
      </c>
      <c r="T568" s="76"/>
      <c r="U568" s="76"/>
      <c r="V568" s="76"/>
      <c r="W568" s="76"/>
      <c r="X568" s="583"/>
      <c r="Y568" s="76"/>
      <c r="Z568" s="76"/>
      <c r="AA568" s="76"/>
      <c r="AB568" s="76"/>
      <c r="AC568" s="76"/>
      <c r="AD568" s="136" t="s">
        <v>1308</v>
      </c>
    </row>
    <row r="569" customHeight="1" spans="1:30">
      <c r="A569" s="76">
        <v>46</v>
      </c>
      <c r="B569" s="92" t="s">
        <v>919</v>
      </c>
      <c r="C569" s="76" t="s">
        <v>320</v>
      </c>
      <c r="D569" s="76" t="s">
        <v>45</v>
      </c>
      <c r="E569" s="76"/>
      <c r="F569" s="76">
        <f t="shared" ref="F569:L569" si="268">SUM(F570:F574)</f>
        <v>2500</v>
      </c>
      <c r="G569" s="76">
        <f t="shared" si="268"/>
        <v>2500</v>
      </c>
      <c r="H569" s="76">
        <f t="shared" si="268"/>
        <v>0</v>
      </c>
      <c r="I569" s="76">
        <f t="shared" si="268"/>
        <v>0</v>
      </c>
      <c r="J569" s="76">
        <f t="shared" si="268"/>
        <v>0</v>
      </c>
      <c r="K569" s="76">
        <f t="shared" si="268"/>
        <v>113</v>
      </c>
      <c r="L569" s="76">
        <f t="shared" si="268"/>
        <v>499</v>
      </c>
      <c r="M569" s="76">
        <v>2018</v>
      </c>
      <c r="N569" s="76">
        <v>2018</v>
      </c>
      <c r="O569" s="76">
        <f t="shared" ref="O569:W569" si="269">SUM(O570:O574)</f>
        <v>250</v>
      </c>
      <c r="P569" s="76">
        <f t="shared" si="269"/>
        <v>250</v>
      </c>
      <c r="Q569" s="76">
        <f t="shared" si="269"/>
        <v>0</v>
      </c>
      <c r="R569" s="76">
        <f t="shared" si="269"/>
        <v>0</v>
      </c>
      <c r="S569" s="76">
        <f t="shared" si="269"/>
        <v>250</v>
      </c>
      <c r="T569" s="76">
        <f t="shared" si="269"/>
        <v>0</v>
      </c>
      <c r="U569" s="76">
        <f t="shared" si="269"/>
        <v>0</v>
      </c>
      <c r="V569" s="76">
        <f t="shared" si="269"/>
        <v>0</v>
      </c>
      <c r="W569" s="76">
        <f t="shared" si="269"/>
        <v>0</v>
      </c>
      <c r="X569" s="583"/>
      <c r="Y569" s="76"/>
      <c r="Z569" s="76" t="s">
        <v>1038</v>
      </c>
      <c r="AA569" s="76" t="s">
        <v>1285</v>
      </c>
      <c r="AB569" s="76" t="s">
        <v>1307</v>
      </c>
      <c r="AC569" s="76" t="s">
        <v>435</v>
      </c>
      <c r="AD569" s="136"/>
    </row>
    <row r="570" customHeight="1" spans="1:30">
      <c r="A570" s="76"/>
      <c r="B570" s="212" t="s">
        <v>1309</v>
      </c>
      <c r="C570" s="76" t="s">
        <v>320</v>
      </c>
      <c r="D570" s="76" t="s">
        <v>45</v>
      </c>
      <c r="E570" s="76"/>
      <c r="F570" s="76">
        <f t="shared" ref="F570:F574" si="270">SUM(G570:I570)</f>
        <v>1200</v>
      </c>
      <c r="G570" s="76">
        <v>1200</v>
      </c>
      <c r="H570" s="76"/>
      <c r="I570" s="76"/>
      <c r="J570" s="76"/>
      <c r="K570" s="76">
        <v>11</v>
      </c>
      <c r="L570" s="76">
        <v>46</v>
      </c>
      <c r="M570" s="76">
        <v>2018</v>
      </c>
      <c r="N570" s="76">
        <v>2018</v>
      </c>
      <c r="O570" s="76">
        <f t="shared" ref="O570:O574" si="271">SUM(P570:R570)</f>
        <v>120</v>
      </c>
      <c r="P570" s="76">
        <f t="shared" ref="P570:P574" si="272">0.1*G570</f>
        <v>120</v>
      </c>
      <c r="Q570" s="76"/>
      <c r="R570" s="76"/>
      <c r="S570" s="76">
        <f t="shared" ref="S570:S574" si="273">O570</f>
        <v>120</v>
      </c>
      <c r="T570" s="76"/>
      <c r="U570" s="76"/>
      <c r="V570" s="76"/>
      <c r="W570" s="76"/>
      <c r="X570" s="583"/>
      <c r="Y570" s="76"/>
      <c r="Z570" s="76"/>
      <c r="AA570" s="76"/>
      <c r="AB570" s="76"/>
      <c r="AC570" s="76"/>
      <c r="AD570" s="136"/>
    </row>
    <row r="571" customHeight="1" spans="1:30">
      <c r="A571" s="76"/>
      <c r="B571" s="212" t="s">
        <v>1310</v>
      </c>
      <c r="C571" s="76" t="s">
        <v>320</v>
      </c>
      <c r="D571" s="76" t="s">
        <v>45</v>
      </c>
      <c r="E571" s="76"/>
      <c r="F571" s="76">
        <f t="shared" si="270"/>
        <v>500</v>
      </c>
      <c r="G571" s="76">
        <v>500</v>
      </c>
      <c r="H571" s="76"/>
      <c r="I571" s="76"/>
      <c r="J571" s="76"/>
      <c r="K571" s="76">
        <v>14</v>
      </c>
      <c r="L571" s="76">
        <v>47</v>
      </c>
      <c r="M571" s="76">
        <v>2018</v>
      </c>
      <c r="N571" s="76">
        <v>2018</v>
      </c>
      <c r="O571" s="76">
        <f t="shared" si="271"/>
        <v>50</v>
      </c>
      <c r="P571" s="76">
        <f t="shared" si="272"/>
        <v>50</v>
      </c>
      <c r="Q571" s="76"/>
      <c r="R571" s="76"/>
      <c r="S571" s="76">
        <f t="shared" si="273"/>
        <v>50</v>
      </c>
      <c r="T571" s="76"/>
      <c r="U571" s="76"/>
      <c r="V571" s="76"/>
      <c r="W571" s="76"/>
      <c r="X571" s="583"/>
      <c r="Y571" s="76"/>
      <c r="Z571" s="76"/>
      <c r="AA571" s="76"/>
      <c r="AB571" s="76"/>
      <c r="AC571" s="76"/>
      <c r="AD571" s="136"/>
    </row>
    <row r="572" customHeight="1" spans="1:30">
      <c r="A572" s="76"/>
      <c r="B572" s="212" t="s">
        <v>1311</v>
      </c>
      <c r="C572" s="76" t="s">
        <v>320</v>
      </c>
      <c r="D572" s="76" t="s">
        <v>45</v>
      </c>
      <c r="E572" s="76"/>
      <c r="F572" s="76">
        <f t="shared" si="270"/>
        <v>400</v>
      </c>
      <c r="G572" s="76">
        <v>400</v>
      </c>
      <c r="H572" s="76"/>
      <c r="I572" s="76"/>
      <c r="J572" s="76"/>
      <c r="K572" s="76">
        <v>1</v>
      </c>
      <c r="L572" s="76">
        <v>1</v>
      </c>
      <c r="M572" s="76">
        <v>2018</v>
      </c>
      <c r="N572" s="76">
        <v>2018</v>
      </c>
      <c r="O572" s="76">
        <f t="shared" si="271"/>
        <v>40</v>
      </c>
      <c r="P572" s="76">
        <f t="shared" si="272"/>
        <v>40</v>
      </c>
      <c r="Q572" s="76"/>
      <c r="R572" s="76"/>
      <c r="S572" s="76">
        <f t="shared" si="273"/>
        <v>40</v>
      </c>
      <c r="T572" s="76"/>
      <c r="U572" s="76"/>
      <c r="V572" s="76"/>
      <c r="W572" s="76"/>
      <c r="X572" s="583"/>
      <c r="Y572" s="76"/>
      <c r="Z572" s="76"/>
      <c r="AA572" s="76"/>
      <c r="AB572" s="76"/>
      <c r="AC572" s="76"/>
      <c r="AD572" s="136"/>
    </row>
    <row r="573" customHeight="1" spans="1:30">
      <c r="A573" s="76"/>
      <c r="B573" s="212" t="s">
        <v>1312</v>
      </c>
      <c r="C573" s="76" t="s">
        <v>320</v>
      </c>
      <c r="D573" s="76" t="s">
        <v>45</v>
      </c>
      <c r="E573" s="76"/>
      <c r="F573" s="76">
        <f t="shared" si="270"/>
        <v>300</v>
      </c>
      <c r="G573" s="76">
        <v>300</v>
      </c>
      <c r="H573" s="76"/>
      <c r="I573" s="76"/>
      <c r="J573" s="76"/>
      <c r="K573" s="76">
        <v>39</v>
      </c>
      <c r="L573" s="76">
        <v>171</v>
      </c>
      <c r="M573" s="76">
        <v>2018</v>
      </c>
      <c r="N573" s="76">
        <v>2018</v>
      </c>
      <c r="O573" s="76">
        <f t="shared" si="271"/>
        <v>30</v>
      </c>
      <c r="P573" s="76">
        <f t="shared" si="272"/>
        <v>30</v>
      </c>
      <c r="Q573" s="76"/>
      <c r="R573" s="76"/>
      <c r="S573" s="76">
        <f t="shared" si="273"/>
        <v>30</v>
      </c>
      <c r="T573" s="76"/>
      <c r="U573" s="76"/>
      <c r="V573" s="76"/>
      <c r="W573" s="76"/>
      <c r="X573" s="583"/>
      <c r="Y573" s="76"/>
      <c r="Z573" s="76"/>
      <c r="AA573" s="76"/>
      <c r="AB573" s="76"/>
      <c r="AC573" s="76"/>
      <c r="AD573" s="136"/>
    </row>
    <row r="574" customHeight="1" spans="1:30">
      <c r="A574" s="76"/>
      <c r="B574" s="212" t="s">
        <v>1313</v>
      </c>
      <c r="C574" s="76" t="s">
        <v>320</v>
      </c>
      <c r="D574" s="76" t="s">
        <v>45</v>
      </c>
      <c r="E574" s="76"/>
      <c r="F574" s="76">
        <f t="shared" si="270"/>
        <v>100</v>
      </c>
      <c r="G574" s="76">
        <v>100</v>
      </c>
      <c r="H574" s="76"/>
      <c r="I574" s="76"/>
      <c r="J574" s="76"/>
      <c r="K574" s="76">
        <v>48</v>
      </c>
      <c r="L574" s="76">
        <v>234</v>
      </c>
      <c r="M574" s="76">
        <v>2018</v>
      </c>
      <c r="N574" s="76">
        <v>2018</v>
      </c>
      <c r="O574" s="76">
        <f t="shared" si="271"/>
        <v>10</v>
      </c>
      <c r="P574" s="76">
        <f t="shared" si="272"/>
        <v>10</v>
      </c>
      <c r="Q574" s="76"/>
      <c r="R574" s="76"/>
      <c r="S574" s="76">
        <f t="shared" si="273"/>
        <v>10</v>
      </c>
      <c r="T574" s="76"/>
      <c r="U574" s="76"/>
      <c r="V574" s="76"/>
      <c r="W574" s="76"/>
      <c r="X574" s="583"/>
      <c r="Y574" s="76"/>
      <c r="Z574" s="76"/>
      <c r="AA574" s="76"/>
      <c r="AB574" s="76"/>
      <c r="AC574" s="76"/>
      <c r="AD574" s="136"/>
    </row>
    <row r="575" customHeight="1" spans="1:30">
      <c r="A575" s="76">
        <v>47</v>
      </c>
      <c r="B575" s="95" t="s">
        <v>423</v>
      </c>
      <c r="C575" s="76" t="s">
        <v>320</v>
      </c>
      <c r="D575" s="76" t="s">
        <v>147</v>
      </c>
      <c r="E575" s="76"/>
      <c r="F575" s="76">
        <f t="shared" ref="F575:L575" si="274">SUM(F576:F592)</f>
        <v>285</v>
      </c>
      <c r="G575" s="76">
        <f t="shared" si="274"/>
        <v>95</v>
      </c>
      <c r="H575" s="76">
        <f t="shared" si="274"/>
        <v>95</v>
      </c>
      <c r="I575" s="76">
        <f t="shared" si="274"/>
        <v>95</v>
      </c>
      <c r="J575" s="76">
        <f t="shared" si="274"/>
        <v>95</v>
      </c>
      <c r="K575" s="76">
        <f t="shared" si="274"/>
        <v>95</v>
      </c>
      <c r="L575" s="76">
        <f t="shared" si="274"/>
        <v>95</v>
      </c>
      <c r="M575" s="76">
        <v>2018</v>
      </c>
      <c r="N575" s="76">
        <v>2020</v>
      </c>
      <c r="O575" s="76">
        <f t="shared" ref="O575:W575" si="275">SUM(O576:O592)</f>
        <v>228</v>
      </c>
      <c r="P575" s="76">
        <f t="shared" si="275"/>
        <v>76</v>
      </c>
      <c r="Q575" s="76">
        <f t="shared" si="275"/>
        <v>76</v>
      </c>
      <c r="R575" s="76">
        <f t="shared" si="275"/>
        <v>76</v>
      </c>
      <c r="S575" s="76">
        <f t="shared" si="275"/>
        <v>228</v>
      </c>
      <c r="T575" s="76">
        <f t="shared" si="275"/>
        <v>0</v>
      </c>
      <c r="U575" s="76">
        <f t="shared" si="275"/>
        <v>0</v>
      </c>
      <c r="V575" s="76">
        <f t="shared" si="275"/>
        <v>0</v>
      </c>
      <c r="W575" s="76">
        <f t="shared" si="275"/>
        <v>0</v>
      </c>
      <c r="X575" s="583" t="s">
        <v>1038</v>
      </c>
      <c r="Y575" s="76"/>
      <c r="Z575" s="76"/>
      <c r="AA575" s="76" t="s">
        <v>1285</v>
      </c>
      <c r="AB575" s="76" t="s">
        <v>1307</v>
      </c>
      <c r="AC575" s="76" t="s">
        <v>417</v>
      </c>
      <c r="AD575" s="136"/>
    </row>
    <row r="576" customHeight="1" spans="1:30">
      <c r="A576" s="76"/>
      <c r="B576" s="212" t="s">
        <v>1265</v>
      </c>
      <c r="C576" s="76" t="s">
        <v>320</v>
      </c>
      <c r="D576" s="76" t="s">
        <v>147</v>
      </c>
      <c r="E576" s="76"/>
      <c r="F576" s="76">
        <f t="shared" ref="F576:F592" si="276">SUM(G576:I576)</f>
        <v>15</v>
      </c>
      <c r="G576" s="592">
        <v>5</v>
      </c>
      <c r="H576" s="592">
        <v>5</v>
      </c>
      <c r="I576" s="592">
        <v>5</v>
      </c>
      <c r="J576" s="592">
        <v>5</v>
      </c>
      <c r="K576" s="592">
        <v>5</v>
      </c>
      <c r="L576" s="592">
        <v>5</v>
      </c>
      <c r="M576" s="76">
        <v>2018</v>
      </c>
      <c r="N576" s="76">
        <v>2020</v>
      </c>
      <c r="O576" s="76">
        <f t="shared" ref="O576:O594" si="277">SUM(P576:R576)</f>
        <v>12</v>
      </c>
      <c r="P576" s="76">
        <f t="shared" ref="P576:P592" si="278">K576*0.8</f>
        <v>4</v>
      </c>
      <c r="Q576" s="76">
        <f t="shared" ref="Q576:Q592" si="279">K576*0.8</f>
        <v>4</v>
      </c>
      <c r="R576" s="76">
        <f t="shared" ref="R576:R592" si="280">0.8*J576</f>
        <v>4</v>
      </c>
      <c r="S576" s="76">
        <f t="shared" ref="S576:S592" si="281">O576</f>
        <v>12</v>
      </c>
      <c r="T576" s="76"/>
      <c r="U576" s="76"/>
      <c r="V576" s="76"/>
      <c r="W576" s="76"/>
      <c r="X576" s="583"/>
      <c r="Y576" s="76"/>
      <c r="Z576" s="76"/>
      <c r="AA576" s="76"/>
      <c r="AB576" s="76"/>
      <c r="AC576" s="76"/>
      <c r="AD576" s="136"/>
    </row>
    <row r="577" customHeight="1" spans="1:30">
      <c r="A577" s="76"/>
      <c r="B577" s="212" t="s">
        <v>1266</v>
      </c>
      <c r="C577" s="76" t="s">
        <v>320</v>
      </c>
      <c r="D577" s="76" t="s">
        <v>147</v>
      </c>
      <c r="E577" s="76"/>
      <c r="F577" s="76">
        <f t="shared" si="276"/>
        <v>15</v>
      </c>
      <c r="G577" s="592">
        <v>5</v>
      </c>
      <c r="H577" s="592">
        <v>5</v>
      </c>
      <c r="I577" s="592">
        <v>5</v>
      </c>
      <c r="J577" s="592">
        <v>5</v>
      </c>
      <c r="K577" s="592">
        <v>5</v>
      </c>
      <c r="L577" s="592">
        <v>5</v>
      </c>
      <c r="M577" s="76">
        <v>2018</v>
      </c>
      <c r="N577" s="76">
        <v>2020</v>
      </c>
      <c r="O577" s="76">
        <f t="shared" si="277"/>
        <v>12</v>
      </c>
      <c r="P577" s="76">
        <f t="shared" si="278"/>
        <v>4</v>
      </c>
      <c r="Q577" s="76">
        <f t="shared" si="279"/>
        <v>4</v>
      </c>
      <c r="R577" s="76">
        <f t="shared" si="280"/>
        <v>4</v>
      </c>
      <c r="S577" s="76">
        <f t="shared" si="281"/>
        <v>12</v>
      </c>
      <c r="T577" s="76"/>
      <c r="U577" s="76"/>
      <c r="V577" s="76"/>
      <c r="W577" s="76"/>
      <c r="X577" s="583"/>
      <c r="Y577" s="76"/>
      <c r="Z577" s="76"/>
      <c r="AA577" s="76"/>
      <c r="AB577" s="76"/>
      <c r="AC577" s="76"/>
      <c r="AD577" s="136"/>
    </row>
    <row r="578" customHeight="1" spans="1:30">
      <c r="A578" s="76"/>
      <c r="B578" s="212" t="s">
        <v>1267</v>
      </c>
      <c r="C578" s="76" t="s">
        <v>320</v>
      </c>
      <c r="D578" s="76" t="s">
        <v>147</v>
      </c>
      <c r="E578" s="76"/>
      <c r="F578" s="76">
        <f t="shared" si="276"/>
        <v>15</v>
      </c>
      <c r="G578" s="592">
        <v>5</v>
      </c>
      <c r="H578" s="592">
        <v>5</v>
      </c>
      <c r="I578" s="592">
        <v>5</v>
      </c>
      <c r="J578" s="592">
        <v>5</v>
      </c>
      <c r="K578" s="592">
        <v>5</v>
      </c>
      <c r="L578" s="592">
        <v>5</v>
      </c>
      <c r="M578" s="76">
        <v>2018</v>
      </c>
      <c r="N578" s="76">
        <v>2020</v>
      </c>
      <c r="O578" s="76">
        <f t="shared" si="277"/>
        <v>12</v>
      </c>
      <c r="P578" s="76">
        <f t="shared" si="278"/>
        <v>4</v>
      </c>
      <c r="Q578" s="76">
        <f t="shared" si="279"/>
        <v>4</v>
      </c>
      <c r="R578" s="76">
        <f t="shared" si="280"/>
        <v>4</v>
      </c>
      <c r="S578" s="76">
        <f t="shared" si="281"/>
        <v>12</v>
      </c>
      <c r="T578" s="76"/>
      <c r="U578" s="76"/>
      <c r="V578" s="76"/>
      <c r="W578" s="76"/>
      <c r="X578" s="583"/>
      <c r="Y578" s="76"/>
      <c r="Z578" s="76"/>
      <c r="AA578" s="76"/>
      <c r="AB578" s="76"/>
      <c r="AC578" s="76"/>
      <c r="AD578" s="136"/>
    </row>
    <row r="579" customHeight="1" spans="1:30">
      <c r="A579" s="76"/>
      <c r="B579" s="212" t="s">
        <v>1268</v>
      </c>
      <c r="C579" s="76" t="s">
        <v>320</v>
      </c>
      <c r="D579" s="76" t="s">
        <v>147</v>
      </c>
      <c r="E579" s="76"/>
      <c r="F579" s="76">
        <f t="shared" si="276"/>
        <v>18</v>
      </c>
      <c r="G579" s="592">
        <v>6</v>
      </c>
      <c r="H579" s="592">
        <v>6</v>
      </c>
      <c r="I579" s="592">
        <v>6</v>
      </c>
      <c r="J579" s="592">
        <v>6</v>
      </c>
      <c r="K579" s="592">
        <v>6</v>
      </c>
      <c r="L579" s="592">
        <v>6</v>
      </c>
      <c r="M579" s="76">
        <v>2018</v>
      </c>
      <c r="N579" s="76">
        <v>2020</v>
      </c>
      <c r="O579" s="76">
        <f t="shared" si="277"/>
        <v>14.4</v>
      </c>
      <c r="P579" s="76">
        <f t="shared" si="278"/>
        <v>4.8</v>
      </c>
      <c r="Q579" s="76">
        <f t="shared" si="279"/>
        <v>4.8</v>
      </c>
      <c r="R579" s="76">
        <f t="shared" si="280"/>
        <v>4.8</v>
      </c>
      <c r="S579" s="76">
        <f t="shared" si="281"/>
        <v>14.4</v>
      </c>
      <c r="T579" s="76"/>
      <c r="U579" s="76"/>
      <c r="V579" s="76"/>
      <c r="W579" s="76"/>
      <c r="X579" s="583"/>
      <c r="Y579" s="76"/>
      <c r="Z579" s="76"/>
      <c r="AA579" s="76"/>
      <c r="AB579" s="76"/>
      <c r="AC579" s="76"/>
      <c r="AD579" s="136"/>
    </row>
    <row r="580" customHeight="1" spans="1:30">
      <c r="A580" s="76"/>
      <c r="B580" s="212" t="s">
        <v>1275</v>
      </c>
      <c r="C580" s="76" t="s">
        <v>320</v>
      </c>
      <c r="D580" s="76" t="s">
        <v>147</v>
      </c>
      <c r="E580" s="76"/>
      <c r="F580" s="76">
        <f t="shared" si="276"/>
        <v>18</v>
      </c>
      <c r="G580" s="592">
        <v>6</v>
      </c>
      <c r="H580" s="592">
        <v>6</v>
      </c>
      <c r="I580" s="592">
        <v>6</v>
      </c>
      <c r="J580" s="592">
        <v>6</v>
      </c>
      <c r="K580" s="592">
        <v>6</v>
      </c>
      <c r="L580" s="592">
        <v>6</v>
      </c>
      <c r="M580" s="76">
        <v>2018</v>
      </c>
      <c r="N580" s="76">
        <v>2020</v>
      </c>
      <c r="O580" s="76">
        <f t="shared" si="277"/>
        <v>14.4</v>
      </c>
      <c r="P580" s="76">
        <f t="shared" si="278"/>
        <v>4.8</v>
      </c>
      <c r="Q580" s="76">
        <f t="shared" si="279"/>
        <v>4.8</v>
      </c>
      <c r="R580" s="76">
        <f t="shared" si="280"/>
        <v>4.8</v>
      </c>
      <c r="S580" s="76">
        <f t="shared" si="281"/>
        <v>14.4</v>
      </c>
      <c r="T580" s="76"/>
      <c r="U580" s="76"/>
      <c r="V580" s="76"/>
      <c r="W580" s="76"/>
      <c r="X580" s="583"/>
      <c r="Y580" s="76"/>
      <c r="Z580" s="76"/>
      <c r="AA580" s="76"/>
      <c r="AB580" s="76"/>
      <c r="AC580" s="76"/>
      <c r="AD580" s="136"/>
    </row>
    <row r="581" customHeight="1" spans="1:30">
      <c r="A581" s="76"/>
      <c r="B581" s="212" t="s">
        <v>1276</v>
      </c>
      <c r="C581" s="76" t="s">
        <v>320</v>
      </c>
      <c r="D581" s="76" t="s">
        <v>147</v>
      </c>
      <c r="E581" s="76"/>
      <c r="F581" s="76">
        <f t="shared" si="276"/>
        <v>15</v>
      </c>
      <c r="G581" s="592">
        <v>5</v>
      </c>
      <c r="H581" s="592">
        <v>5</v>
      </c>
      <c r="I581" s="592">
        <v>5</v>
      </c>
      <c r="J581" s="592">
        <v>5</v>
      </c>
      <c r="K581" s="592">
        <v>5</v>
      </c>
      <c r="L581" s="592">
        <v>5</v>
      </c>
      <c r="M581" s="76">
        <v>2018</v>
      </c>
      <c r="N581" s="76">
        <v>2020</v>
      </c>
      <c r="O581" s="76">
        <f t="shared" si="277"/>
        <v>12</v>
      </c>
      <c r="P581" s="76">
        <f t="shared" si="278"/>
        <v>4</v>
      </c>
      <c r="Q581" s="76">
        <f t="shared" si="279"/>
        <v>4</v>
      </c>
      <c r="R581" s="76">
        <f t="shared" si="280"/>
        <v>4</v>
      </c>
      <c r="S581" s="76">
        <f t="shared" si="281"/>
        <v>12</v>
      </c>
      <c r="T581" s="76"/>
      <c r="U581" s="76"/>
      <c r="V581" s="76"/>
      <c r="W581" s="76"/>
      <c r="X581" s="583"/>
      <c r="Y581" s="76"/>
      <c r="Z581" s="76"/>
      <c r="AA581" s="76"/>
      <c r="AB581" s="76"/>
      <c r="AC581" s="76"/>
      <c r="AD581" s="136"/>
    </row>
    <row r="582" customHeight="1" spans="1:30">
      <c r="A582" s="76"/>
      <c r="B582" s="212" t="s">
        <v>1277</v>
      </c>
      <c r="C582" s="76" t="s">
        <v>320</v>
      </c>
      <c r="D582" s="76" t="s">
        <v>147</v>
      </c>
      <c r="E582" s="76"/>
      <c r="F582" s="76">
        <f t="shared" si="276"/>
        <v>24</v>
      </c>
      <c r="G582" s="592">
        <v>8</v>
      </c>
      <c r="H582" s="592">
        <v>8</v>
      </c>
      <c r="I582" s="592">
        <v>8</v>
      </c>
      <c r="J582" s="592">
        <v>8</v>
      </c>
      <c r="K582" s="592">
        <v>8</v>
      </c>
      <c r="L582" s="592">
        <v>8</v>
      </c>
      <c r="M582" s="76">
        <v>2018</v>
      </c>
      <c r="N582" s="76">
        <v>2020</v>
      </c>
      <c r="O582" s="76">
        <f t="shared" si="277"/>
        <v>19.2</v>
      </c>
      <c r="P582" s="76">
        <f t="shared" si="278"/>
        <v>6.4</v>
      </c>
      <c r="Q582" s="76">
        <f t="shared" si="279"/>
        <v>6.4</v>
      </c>
      <c r="R582" s="76">
        <f t="shared" si="280"/>
        <v>6.4</v>
      </c>
      <c r="S582" s="76">
        <f t="shared" si="281"/>
        <v>19.2</v>
      </c>
      <c r="T582" s="76"/>
      <c r="U582" s="76"/>
      <c r="V582" s="76"/>
      <c r="W582" s="76"/>
      <c r="X582" s="583"/>
      <c r="Y582" s="76"/>
      <c r="Z582" s="76"/>
      <c r="AA582" s="76"/>
      <c r="AB582" s="76"/>
      <c r="AC582" s="76"/>
      <c r="AD582" s="136"/>
    </row>
    <row r="583" customHeight="1" spans="1:30">
      <c r="A583" s="76"/>
      <c r="B583" s="212" t="s">
        <v>1278</v>
      </c>
      <c r="C583" s="76" t="s">
        <v>320</v>
      </c>
      <c r="D583" s="76" t="s">
        <v>147</v>
      </c>
      <c r="E583" s="76"/>
      <c r="F583" s="76">
        <f t="shared" si="276"/>
        <v>15</v>
      </c>
      <c r="G583" s="592">
        <v>5</v>
      </c>
      <c r="H583" s="592">
        <v>5</v>
      </c>
      <c r="I583" s="592">
        <v>5</v>
      </c>
      <c r="J583" s="592">
        <v>5</v>
      </c>
      <c r="K583" s="592">
        <v>5</v>
      </c>
      <c r="L583" s="592">
        <v>5</v>
      </c>
      <c r="M583" s="76">
        <v>2018</v>
      </c>
      <c r="N583" s="76">
        <v>2020</v>
      </c>
      <c r="O583" s="76">
        <f t="shared" si="277"/>
        <v>12</v>
      </c>
      <c r="P583" s="76">
        <f t="shared" si="278"/>
        <v>4</v>
      </c>
      <c r="Q583" s="76">
        <f t="shared" si="279"/>
        <v>4</v>
      </c>
      <c r="R583" s="76">
        <f t="shared" si="280"/>
        <v>4</v>
      </c>
      <c r="S583" s="76">
        <f t="shared" si="281"/>
        <v>12</v>
      </c>
      <c r="T583" s="76"/>
      <c r="U583" s="76"/>
      <c r="V583" s="76"/>
      <c r="W583" s="76"/>
      <c r="X583" s="583"/>
      <c r="Y583" s="76"/>
      <c r="Z583" s="76"/>
      <c r="AA583" s="76"/>
      <c r="AB583" s="76"/>
      <c r="AC583" s="76"/>
      <c r="AD583" s="136"/>
    </row>
    <row r="584" customHeight="1" spans="1:30">
      <c r="A584" s="76"/>
      <c r="B584" s="212" t="s">
        <v>1279</v>
      </c>
      <c r="C584" s="76" t="s">
        <v>320</v>
      </c>
      <c r="D584" s="76" t="s">
        <v>147</v>
      </c>
      <c r="E584" s="76"/>
      <c r="F584" s="76">
        <f t="shared" si="276"/>
        <v>15</v>
      </c>
      <c r="G584" s="593">
        <v>5</v>
      </c>
      <c r="H584" s="593">
        <v>5</v>
      </c>
      <c r="I584" s="593">
        <v>5</v>
      </c>
      <c r="J584" s="593">
        <v>5</v>
      </c>
      <c r="K584" s="593">
        <v>5</v>
      </c>
      <c r="L584" s="593">
        <v>5</v>
      </c>
      <c r="M584" s="76">
        <v>2018</v>
      </c>
      <c r="N584" s="76">
        <v>2020</v>
      </c>
      <c r="O584" s="76">
        <f t="shared" si="277"/>
        <v>12</v>
      </c>
      <c r="P584" s="76">
        <f t="shared" si="278"/>
        <v>4</v>
      </c>
      <c r="Q584" s="76">
        <f t="shared" si="279"/>
        <v>4</v>
      </c>
      <c r="R584" s="76">
        <f t="shared" si="280"/>
        <v>4</v>
      </c>
      <c r="S584" s="76">
        <f t="shared" si="281"/>
        <v>12</v>
      </c>
      <c r="T584" s="76"/>
      <c r="U584" s="76"/>
      <c r="V584" s="76"/>
      <c r="W584" s="76"/>
      <c r="X584" s="583"/>
      <c r="Y584" s="76"/>
      <c r="Z584" s="76"/>
      <c r="AA584" s="76"/>
      <c r="AB584" s="76"/>
      <c r="AC584" s="76"/>
      <c r="AD584" s="136"/>
    </row>
    <row r="585" customHeight="1" spans="1:30">
      <c r="A585" s="76"/>
      <c r="B585" s="212" t="s">
        <v>1280</v>
      </c>
      <c r="C585" s="76" t="s">
        <v>320</v>
      </c>
      <c r="D585" s="76" t="s">
        <v>147</v>
      </c>
      <c r="E585" s="76"/>
      <c r="F585" s="76">
        <f t="shared" si="276"/>
        <v>9</v>
      </c>
      <c r="G585" s="592">
        <v>3</v>
      </c>
      <c r="H585" s="592">
        <v>3</v>
      </c>
      <c r="I585" s="592">
        <v>3</v>
      </c>
      <c r="J585" s="592">
        <v>3</v>
      </c>
      <c r="K585" s="592">
        <v>3</v>
      </c>
      <c r="L585" s="592">
        <v>3</v>
      </c>
      <c r="M585" s="76">
        <v>2018</v>
      </c>
      <c r="N585" s="76">
        <v>2020</v>
      </c>
      <c r="O585" s="76">
        <f t="shared" si="277"/>
        <v>7.2</v>
      </c>
      <c r="P585" s="76">
        <f t="shared" si="278"/>
        <v>2.4</v>
      </c>
      <c r="Q585" s="76">
        <f t="shared" si="279"/>
        <v>2.4</v>
      </c>
      <c r="R585" s="76">
        <f t="shared" si="280"/>
        <v>2.4</v>
      </c>
      <c r="S585" s="76">
        <f t="shared" si="281"/>
        <v>7.2</v>
      </c>
      <c r="T585" s="76"/>
      <c r="U585" s="76"/>
      <c r="V585" s="76"/>
      <c r="W585" s="76"/>
      <c r="X585" s="583"/>
      <c r="Y585" s="76"/>
      <c r="Z585" s="76"/>
      <c r="AA585" s="76"/>
      <c r="AB585" s="76"/>
      <c r="AC585" s="76"/>
      <c r="AD585" s="136"/>
    </row>
    <row r="586" customHeight="1" spans="1:30">
      <c r="A586" s="76"/>
      <c r="B586" s="212" t="s">
        <v>1269</v>
      </c>
      <c r="C586" s="76" t="s">
        <v>320</v>
      </c>
      <c r="D586" s="76" t="s">
        <v>147</v>
      </c>
      <c r="E586" s="76"/>
      <c r="F586" s="76">
        <f t="shared" si="276"/>
        <v>21</v>
      </c>
      <c r="G586" s="590">
        <v>7</v>
      </c>
      <c r="H586" s="590">
        <v>7</v>
      </c>
      <c r="I586" s="590">
        <v>7</v>
      </c>
      <c r="J586" s="590">
        <v>7</v>
      </c>
      <c r="K586" s="590">
        <v>7</v>
      </c>
      <c r="L586" s="590">
        <v>7</v>
      </c>
      <c r="M586" s="76">
        <v>2018</v>
      </c>
      <c r="N586" s="76">
        <v>2020</v>
      </c>
      <c r="O586" s="76">
        <f t="shared" si="277"/>
        <v>16.8</v>
      </c>
      <c r="P586" s="76">
        <f t="shared" si="278"/>
        <v>5.6</v>
      </c>
      <c r="Q586" s="76">
        <f t="shared" si="279"/>
        <v>5.6</v>
      </c>
      <c r="R586" s="76">
        <f t="shared" si="280"/>
        <v>5.6</v>
      </c>
      <c r="S586" s="76">
        <f t="shared" si="281"/>
        <v>16.8</v>
      </c>
      <c r="T586" s="76"/>
      <c r="U586" s="76"/>
      <c r="V586" s="76"/>
      <c r="W586" s="76"/>
      <c r="X586" s="583"/>
      <c r="Y586" s="76"/>
      <c r="Z586" s="76"/>
      <c r="AA586" s="76"/>
      <c r="AB586" s="76"/>
      <c r="AC586" s="76"/>
      <c r="AD586" s="136"/>
    </row>
    <row r="587" customHeight="1" spans="1:30">
      <c r="A587" s="76"/>
      <c r="B587" s="212" t="s">
        <v>1270</v>
      </c>
      <c r="C587" s="76" t="s">
        <v>320</v>
      </c>
      <c r="D587" s="76" t="s">
        <v>147</v>
      </c>
      <c r="E587" s="76"/>
      <c r="F587" s="76">
        <f t="shared" si="276"/>
        <v>18</v>
      </c>
      <c r="G587" s="592">
        <v>6</v>
      </c>
      <c r="H587" s="592">
        <v>6</v>
      </c>
      <c r="I587" s="592">
        <v>6</v>
      </c>
      <c r="J587" s="592">
        <v>6</v>
      </c>
      <c r="K587" s="592">
        <v>6</v>
      </c>
      <c r="L587" s="592">
        <v>6</v>
      </c>
      <c r="M587" s="76">
        <v>2018</v>
      </c>
      <c r="N587" s="76">
        <v>2020</v>
      </c>
      <c r="O587" s="76">
        <f t="shared" si="277"/>
        <v>14.4</v>
      </c>
      <c r="P587" s="76">
        <f t="shared" si="278"/>
        <v>4.8</v>
      </c>
      <c r="Q587" s="76">
        <f t="shared" si="279"/>
        <v>4.8</v>
      </c>
      <c r="R587" s="76">
        <f t="shared" si="280"/>
        <v>4.8</v>
      </c>
      <c r="S587" s="76">
        <f t="shared" si="281"/>
        <v>14.4</v>
      </c>
      <c r="T587" s="76"/>
      <c r="U587" s="76"/>
      <c r="V587" s="76"/>
      <c r="W587" s="76"/>
      <c r="X587" s="583"/>
      <c r="Y587" s="76"/>
      <c r="Z587" s="76"/>
      <c r="AA587" s="76"/>
      <c r="AB587" s="76"/>
      <c r="AC587" s="76"/>
      <c r="AD587" s="136"/>
    </row>
    <row r="588" customHeight="1" spans="1:30">
      <c r="A588" s="76"/>
      <c r="B588" s="212" t="s">
        <v>1281</v>
      </c>
      <c r="C588" s="76" t="s">
        <v>320</v>
      </c>
      <c r="D588" s="76" t="s">
        <v>147</v>
      </c>
      <c r="E588" s="76"/>
      <c r="F588" s="76">
        <f t="shared" si="276"/>
        <v>15</v>
      </c>
      <c r="G588" s="592">
        <v>5</v>
      </c>
      <c r="H588" s="592">
        <v>5</v>
      </c>
      <c r="I588" s="592">
        <v>5</v>
      </c>
      <c r="J588" s="592">
        <v>5</v>
      </c>
      <c r="K588" s="592">
        <v>5</v>
      </c>
      <c r="L588" s="592">
        <v>5</v>
      </c>
      <c r="M588" s="76">
        <v>2018</v>
      </c>
      <c r="N588" s="76">
        <v>2020</v>
      </c>
      <c r="O588" s="76">
        <f t="shared" si="277"/>
        <v>12</v>
      </c>
      <c r="P588" s="76">
        <f t="shared" si="278"/>
        <v>4</v>
      </c>
      <c r="Q588" s="76">
        <f t="shared" si="279"/>
        <v>4</v>
      </c>
      <c r="R588" s="76">
        <f t="shared" si="280"/>
        <v>4</v>
      </c>
      <c r="S588" s="76">
        <f t="shared" si="281"/>
        <v>12</v>
      </c>
      <c r="T588" s="76"/>
      <c r="U588" s="76"/>
      <c r="V588" s="76"/>
      <c r="W588" s="76"/>
      <c r="X588" s="583"/>
      <c r="Y588" s="76"/>
      <c r="Z588" s="76"/>
      <c r="AA588" s="76"/>
      <c r="AB588" s="76"/>
      <c r="AC588" s="76"/>
      <c r="AD588" s="136"/>
    </row>
    <row r="589" customHeight="1" spans="1:30">
      <c r="A589" s="76"/>
      <c r="B589" s="212" t="s">
        <v>1271</v>
      </c>
      <c r="C589" s="76" t="s">
        <v>320</v>
      </c>
      <c r="D589" s="76" t="s">
        <v>147</v>
      </c>
      <c r="E589" s="76"/>
      <c r="F589" s="76">
        <f t="shared" si="276"/>
        <v>18</v>
      </c>
      <c r="G589" s="592">
        <v>6</v>
      </c>
      <c r="H589" s="592">
        <v>6</v>
      </c>
      <c r="I589" s="592">
        <v>6</v>
      </c>
      <c r="J589" s="592">
        <v>6</v>
      </c>
      <c r="K589" s="592">
        <v>6</v>
      </c>
      <c r="L589" s="592">
        <v>6</v>
      </c>
      <c r="M589" s="76">
        <v>2018</v>
      </c>
      <c r="N589" s="76">
        <v>2020</v>
      </c>
      <c r="O589" s="76">
        <f t="shared" si="277"/>
        <v>14.4</v>
      </c>
      <c r="P589" s="76">
        <f t="shared" si="278"/>
        <v>4.8</v>
      </c>
      <c r="Q589" s="76">
        <f t="shared" si="279"/>
        <v>4.8</v>
      </c>
      <c r="R589" s="76">
        <f t="shared" si="280"/>
        <v>4.8</v>
      </c>
      <c r="S589" s="76">
        <f t="shared" si="281"/>
        <v>14.4</v>
      </c>
      <c r="T589" s="76"/>
      <c r="U589" s="76"/>
      <c r="V589" s="76"/>
      <c r="W589" s="76"/>
      <c r="X589" s="583"/>
      <c r="Y589" s="76"/>
      <c r="Z589" s="76"/>
      <c r="AA589" s="76"/>
      <c r="AB589" s="76"/>
      <c r="AC589" s="76"/>
      <c r="AD589" s="136"/>
    </row>
    <row r="590" customHeight="1" spans="1:30">
      <c r="A590" s="76"/>
      <c r="B590" s="212" t="s">
        <v>1282</v>
      </c>
      <c r="C590" s="76" t="s">
        <v>320</v>
      </c>
      <c r="D590" s="76" t="s">
        <v>147</v>
      </c>
      <c r="E590" s="76"/>
      <c r="F590" s="76">
        <f t="shared" si="276"/>
        <v>24</v>
      </c>
      <c r="G590" s="592">
        <v>8</v>
      </c>
      <c r="H590" s="592">
        <v>8</v>
      </c>
      <c r="I590" s="592">
        <v>8</v>
      </c>
      <c r="J590" s="592">
        <v>8</v>
      </c>
      <c r="K590" s="592">
        <v>8</v>
      </c>
      <c r="L590" s="592">
        <v>8</v>
      </c>
      <c r="M590" s="76">
        <v>2018</v>
      </c>
      <c r="N590" s="76">
        <v>2020</v>
      </c>
      <c r="O590" s="76">
        <f t="shared" si="277"/>
        <v>19.2</v>
      </c>
      <c r="P590" s="76">
        <f t="shared" si="278"/>
        <v>6.4</v>
      </c>
      <c r="Q590" s="76">
        <f t="shared" si="279"/>
        <v>6.4</v>
      </c>
      <c r="R590" s="76">
        <f t="shared" si="280"/>
        <v>6.4</v>
      </c>
      <c r="S590" s="76">
        <f t="shared" si="281"/>
        <v>19.2</v>
      </c>
      <c r="T590" s="76"/>
      <c r="U590" s="76"/>
      <c r="V590" s="76"/>
      <c r="W590" s="76"/>
      <c r="X590" s="583"/>
      <c r="Y590" s="76"/>
      <c r="Z590" s="76"/>
      <c r="AA590" s="76"/>
      <c r="AB590" s="76"/>
      <c r="AC590" s="76"/>
      <c r="AD590" s="136"/>
    </row>
    <row r="591" customHeight="1" spans="1:30">
      <c r="A591" s="76"/>
      <c r="B591" s="212" t="s">
        <v>1283</v>
      </c>
      <c r="C591" s="76" t="s">
        <v>320</v>
      </c>
      <c r="D591" s="76" t="s">
        <v>147</v>
      </c>
      <c r="E591" s="76"/>
      <c r="F591" s="76">
        <f t="shared" si="276"/>
        <v>18</v>
      </c>
      <c r="G591" s="592">
        <v>6</v>
      </c>
      <c r="H591" s="592">
        <v>6</v>
      </c>
      <c r="I591" s="592">
        <v>6</v>
      </c>
      <c r="J591" s="592">
        <v>6</v>
      </c>
      <c r="K591" s="592">
        <v>6</v>
      </c>
      <c r="L591" s="592">
        <v>6</v>
      </c>
      <c r="M591" s="76">
        <v>2018</v>
      </c>
      <c r="N591" s="76">
        <v>2020</v>
      </c>
      <c r="O591" s="76">
        <f t="shared" si="277"/>
        <v>14.4</v>
      </c>
      <c r="P591" s="76">
        <f t="shared" si="278"/>
        <v>4.8</v>
      </c>
      <c r="Q591" s="76">
        <f t="shared" si="279"/>
        <v>4.8</v>
      </c>
      <c r="R591" s="76">
        <f t="shared" si="280"/>
        <v>4.8</v>
      </c>
      <c r="S591" s="76">
        <f t="shared" si="281"/>
        <v>14.4</v>
      </c>
      <c r="T591" s="76"/>
      <c r="U591" s="76"/>
      <c r="V591" s="76"/>
      <c r="W591" s="76"/>
      <c r="X591" s="583"/>
      <c r="Y591" s="76"/>
      <c r="Z591" s="76"/>
      <c r="AA591" s="76"/>
      <c r="AB591" s="76"/>
      <c r="AC591" s="76"/>
      <c r="AD591" s="136"/>
    </row>
    <row r="592" customHeight="1" spans="1:30">
      <c r="A592" s="76"/>
      <c r="B592" s="212" t="s">
        <v>1284</v>
      </c>
      <c r="C592" s="76" t="s">
        <v>320</v>
      </c>
      <c r="D592" s="76" t="s">
        <v>147</v>
      </c>
      <c r="E592" s="76"/>
      <c r="F592" s="76">
        <f t="shared" si="276"/>
        <v>12</v>
      </c>
      <c r="G592" s="592">
        <v>4</v>
      </c>
      <c r="H592" s="592">
        <v>4</v>
      </c>
      <c r="I592" s="592">
        <v>4</v>
      </c>
      <c r="J592" s="592">
        <v>4</v>
      </c>
      <c r="K592" s="592">
        <v>4</v>
      </c>
      <c r="L592" s="592">
        <v>4</v>
      </c>
      <c r="M592" s="76">
        <v>2018</v>
      </c>
      <c r="N592" s="76">
        <v>2020</v>
      </c>
      <c r="O592" s="76">
        <f t="shared" si="277"/>
        <v>9.6</v>
      </c>
      <c r="P592" s="76">
        <f t="shared" si="278"/>
        <v>3.2</v>
      </c>
      <c r="Q592" s="76">
        <f t="shared" si="279"/>
        <v>3.2</v>
      </c>
      <c r="R592" s="76">
        <f t="shared" si="280"/>
        <v>3.2</v>
      </c>
      <c r="S592" s="76">
        <f t="shared" si="281"/>
        <v>9.6</v>
      </c>
      <c r="T592" s="76"/>
      <c r="U592" s="76"/>
      <c r="V592" s="76"/>
      <c r="W592" s="76"/>
      <c r="X592" s="583"/>
      <c r="Y592" s="76"/>
      <c r="Z592" s="76"/>
      <c r="AA592" s="76"/>
      <c r="AB592" s="76"/>
      <c r="AC592" s="76"/>
      <c r="AD592" s="136"/>
    </row>
    <row r="593" customHeight="1" spans="1:30">
      <c r="A593" s="76">
        <v>48</v>
      </c>
      <c r="B593" s="95" t="s">
        <v>434</v>
      </c>
      <c r="C593" s="76" t="s">
        <v>320</v>
      </c>
      <c r="D593" s="76" t="s">
        <v>147</v>
      </c>
      <c r="E593" s="76"/>
      <c r="F593" s="76"/>
      <c r="G593" s="76"/>
      <c r="H593" s="76"/>
      <c r="I593" s="76"/>
      <c r="J593" s="76"/>
      <c r="K593" s="76"/>
      <c r="L593" s="76"/>
      <c r="M593" s="76"/>
      <c r="N593" s="76"/>
      <c r="O593" s="76">
        <f t="shared" si="277"/>
        <v>0</v>
      </c>
      <c r="P593" s="76"/>
      <c r="Q593" s="76"/>
      <c r="R593" s="76"/>
      <c r="S593" s="76"/>
      <c r="T593" s="76"/>
      <c r="U593" s="76"/>
      <c r="V593" s="76"/>
      <c r="W593" s="76"/>
      <c r="X593" s="583"/>
      <c r="Y593" s="76"/>
      <c r="Z593" s="76"/>
      <c r="AA593" s="76" t="s">
        <v>1285</v>
      </c>
      <c r="AB593" s="76" t="s">
        <v>1307</v>
      </c>
      <c r="AC593" s="76" t="s">
        <v>435</v>
      </c>
      <c r="AD593" s="136"/>
    </row>
    <row r="594" customHeight="1" spans="1:30">
      <c r="A594" s="76">
        <v>49</v>
      </c>
      <c r="B594" s="92" t="s">
        <v>436</v>
      </c>
      <c r="C594" s="76" t="s">
        <v>52</v>
      </c>
      <c r="D594" s="76" t="s">
        <v>150</v>
      </c>
      <c r="E594" s="76"/>
      <c r="F594" s="76"/>
      <c r="G594" s="76"/>
      <c r="H594" s="76"/>
      <c r="I594" s="76"/>
      <c r="J594" s="76"/>
      <c r="K594" s="76"/>
      <c r="L594" s="76"/>
      <c r="M594" s="76"/>
      <c r="N594" s="76"/>
      <c r="O594" s="76">
        <f t="shared" si="277"/>
        <v>0</v>
      </c>
      <c r="P594" s="76"/>
      <c r="Q594" s="76"/>
      <c r="R594" s="76"/>
      <c r="S594" s="76"/>
      <c r="T594" s="76"/>
      <c r="U594" s="76"/>
      <c r="V594" s="76"/>
      <c r="W594" s="76"/>
      <c r="X594" s="583"/>
      <c r="Y594" s="76"/>
      <c r="Z594" s="76"/>
      <c r="AA594" s="76" t="s">
        <v>1285</v>
      </c>
      <c r="AB594" s="76" t="s">
        <v>1307</v>
      </c>
      <c r="AC594" s="76" t="s">
        <v>417</v>
      </c>
      <c r="AD594" s="136"/>
    </row>
    <row r="595" s="570" customFormat="1" customHeight="1" spans="1:30">
      <c r="A595" s="76">
        <v>50</v>
      </c>
      <c r="B595" s="92" t="s">
        <v>924</v>
      </c>
      <c r="C595" s="76" t="s">
        <v>320</v>
      </c>
      <c r="D595" s="76" t="s">
        <v>320</v>
      </c>
      <c r="E595" s="76"/>
      <c r="F595" s="76">
        <f t="shared" ref="F595:L595" si="282">SUM(F596+F614+F646)</f>
        <v>2634</v>
      </c>
      <c r="G595" s="76">
        <f t="shared" si="282"/>
        <v>878</v>
      </c>
      <c r="H595" s="76">
        <f t="shared" si="282"/>
        <v>878</v>
      </c>
      <c r="I595" s="76">
        <f t="shared" si="282"/>
        <v>878</v>
      </c>
      <c r="J595" s="76">
        <f t="shared" si="282"/>
        <v>878</v>
      </c>
      <c r="K595" s="76">
        <f t="shared" si="282"/>
        <v>159</v>
      </c>
      <c r="L595" s="76">
        <f t="shared" si="282"/>
        <v>327</v>
      </c>
      <c r="M595" s="76">
        <v>2018</v>
      </c>
      <c r="N595" s="76">
        <v>2020</v>
      </c>
      <c r="O595" s="76">
        <f t="shared" ref="O595:W595" si="283">SUM(O596+O614+O646)</f>
        <v>847.3968</v>
      </c>
      <c r="P595" s="76">
        <f t="shared" si="283"/>
        <v>282.4656</v>
      </c>
      <c r="Q595" s="76">
        <f t="shared" si="283"/>
        <v>282.4656</v>
      </c>
      <c r="R595" s="76">
        <f t="shared" si="283"/>
        <v>282.4656</v>
      </c>
      <c r="S595" s="76">
        <f t="shared" si="283"/>
        <v>847.3968</v>
      </c>
      <c r="T595" s="76">
        <f t="shared" si="283"/>
        <v>0</v>
      </c>
      <c r="U595" s="76">
        <f t="shared" si="283"/>
        <v>0</v>
      </c>
      <c r="V595" s="76">
        <f t="shared" si="283"/>
        <v>0</v>
      </c>
      <c r="W595" s="76">
        <f t="shared" si="283"/>
        <v>0</v>
      </c>
      <c r="X595" s="583"/>
      <c r="Y595" s="76"/>
      <c r="Z595" s="76"/>
      <c r="AA595" s="76" t="s">
        <v>1285</v>
      </c>
      <c r="AB595" s="76" t="s">
        <v>1314</v>
      </c>
      <c r="AC595" s="76" t="s">
        <v>320</v>
      </c>
      <c r="AD595" s="136"/>
    </row>
    <row r="596" s="570" customFormat="1" customHeight="1" spans="1:30">
      <c r="A596" s="76">
        <v>51</v>
      </c>
      <c r="B596" s="92" t="s">
        <v>443</v>
      </c>
      <c r="C596" s="76" t="s">
        <v>320</v>
      </c>
      <c r="D596" s="76" t="s">
        <v>384</v>
      </c>
      <c r="E596" s="76"/>
      <c r="F596" s="76">
        <f t="shared" ref="F596:L596" si="284">SUM(F597:F613)</f>
        <v>432</v>
      </c>
      <c r="G596" s="76">
        <f t="shared" si="284"/>
        <v>144</v>
      </c>
      <c r="H596" s="76">
        <f t="shared" si="284"/>
        <v>144</v>
      </c>
      <c r="I596" s="76">
        <f t="shared" si="284"/>
        <v>144</v>
      </c>
      <c r="J596" s="76">
        <f t="shared" si="284"/>
        <v>144</v>
      </c>
      <c r="K596" s="76">
        <f t="shared" si="284"/>
        <v>144</v>
      </c>
      <c r="L596" s="76">
        <f t="shared" si="284"/>
        <v>312</v>
      </c>
      <c r="M596" s="76">
        <v>2018</v>
      </c>
      <c r="N596" s="76">
        <v>2020</v>
      </c>
      <c r="O596" s="76">
        <f t="shared" ref="O596:W596" si="285">SUM(O597:O613)</f>
        <v>27.8928</v>
      </c>
      <c r="P596" s="76">
        <f t="shared" si="285"/>
        <v>9.2976</v>
      </c>
      <c r="Q596" s="76">
        <f t="shared" si="285"/>
        <v>9.2976</v>
      </c>
      <c r="R596" s="76">
        <f t="shared" si="285"/>
        <v>9.2976</v>
      </c>
      <c r="S596" s="76">
        <f t="shared" si="285"/>
        <v>27.8928</v>
      </c>
      <c r="T596" s="76">
        <f t="shared" si="285"/>
        <v>0</v>
      </c>
      <c r="U596" s="76">
        <f t="shared" si="285"/>
        <v>0</v>
      </c>
      <c r="V596" s="76">
        <f t="shared" si="285"/>
        <v>0</v>
      </c>
      <c r="W596" s="76">
        <f t="shared" si="285"/>
        <v>0</v>
      </c>
      <c r="X596" s="583" t="s">
        <v>1038</v>
      </c>
      <c r="Y596" s="76"/>
      <c r="Z596" s="76"/>
      <c r="AA596" s="76" t="s">
        <v>1285</v>
      </c>
      <c r="AB596" s="76" t="s">
        <v>1314</v>
      </c>
      <c r="AC596" s="76" t="s">
        <v>338</v>
      </c>
      <c r="AD596" s="136"/>
    </row>
    <row r="597" s="570" customFormat="1" customHeight="1" spans="1:30">
      <c r="A597" s="76"/>
      <c r="B597" s="212" t="s">
        <v>1265</v>
      </c>
      <c r="C597" s="76" t="s">
        <v>320</v>
      </c>
      <c r="D597" s="76" t="s">
        <v>384</v>
      </c>
      <c r="E597" s="76"/>
      <c r="F597" s="76">
        <f t="shared" ref="F597:F613" si="286">SUM(G597:I597)</f>
        <v>15</v>
      </c>
      <c r="G597" s="76">
        <v>5</v>
      </c>
      <c r="H597" s="76">
        <v>5</v>
      </c>
      <c r="I597" s="76">
        <v>5</v>
      </c>
      <c r="J597" s="76">
        <v>5</v>
      </c>
      <c r="K597" s="76">
        <v>5</v>
      </c>
      <c r="L597" s="76">
        <v>8</v>
      </c>
      <c r="M597" s="76">
        <v>2018</v>
      </c>
      <c r="N597" s="76">
        <v>2020</v>
      </c>
      <c r="O597" s="76">
        <f t="shared" ref="O597:O613" si="287">SUM(P597:R597)</f>
        <v>0.7152</v>
      </c>
      <c r="P597" s="76">
        <f t="shared" ref="P597:P612" si="288">0.0298*L597</f>
        <v>0.2384</v>
      </c>
      <c r="Q597" s="76">
        <f t="shared" ref="Q597:Q612" si="289">0.0298*L597</f>
        <v>0.2384</v>
      </c>
      <c r="R597" s="76">
        <f t="shared" ref="R597:R612" si="290">0.0298*L597</f>
        <v>0.2384</v>
      </c>
      <c r="S597" s="76">
        <f t="shared" ref="S597:S613" si="291">O597</f>
        <v>0.7152</v>
      </c>
      <c r="T597" s="76"/>
      <c r="U597" s="76"/>
      <c r="V597" s="76"/>
      <c r="W597" s="76"/>
      <c r="X597" s="583"/>
      <c r="Y597" s="76"/>
      <c r="Z597" s="76"/>
      <c r="AA597" s="76"/>
      <c r="AB597" s="76"/>
      <c r="AC597" s="76"/>
      <c r="AD597" s="136"/>
    </row>
    <row r="598" s="570" customFormat="1" customHeight="1" spans="1:30">
      <c r="A598" s="76"/>
      <c r="B598" s="212" t="s">
        <v>1266</v>
      </c>
      <c r="C598" s="76" t="s">
        <v>320</v>
      </c>
      <c r="D598" s="76" t="s">
        <v>384</v>
      </c>
      <c r="E598" s="76"/>
      <c r="F598" s="76">
        <f t="shared" si="286"/>
        <v>9</v>
      </c>
      <c r="G598" s="76">
        <v>3</v>
      </c>
      <c r="H598" s="76">
        <v>3</v>
      </c>
      <c r="I598" s="76">
        <v>3</v>
      </c>
      <c r="J598" s="76">
        <v>3</v>
      </c>
      <c r="K598" s="76">
        <v>3</v>
      </c>
      <c r="L598" s="76">
        <v>7</v>
      </c>
      <c r="M598" s="76">
        <v>2018</v>
      </c>
      <c r="N598" s="76">
        <v>2020</v>
      </c>
      <c r="O598" s="76">
        <f t="shared" si="287"/>
        <v>0.6258</v>
      </c>
      <c r="P598" s="76">
        <f t="shared" si="288"/>
        <v>0.2086</v>
      </c>
      <c r="Q598" s="76">
        <f t="shared" si="289"/>
        <v>0.2086</v>
      </c>
      <c r="R598" s="76">
        <f t="shared" si="290"/>
        <v>0.2086</v>
      </c>
      <c r="S598" s="76">
        <f t="shared" si="291"/>
        <v>0.6258</v>
      </c>
      <c r="T598" s="76"/>
      <c r="U598" s="76"/>
      <c r="V598" s="76"/>
      <c r="W598" s="76"/>
      <c r="X598" s="583"/>
      <c r="Y598" s="76"/>
      <c r="Z598" s="76"/>
      <c r="AA598" s="76"/>
      <c r="AB598" s="76"/>
      <c r="AC598" s="76"/>
      <c r="AD598" s="136"/>
    </row>
    <row r="599" s="570" customFormat="1" customHeight="1" spans="1:30">
      <c r="A599" s="76"/>
      <c r="B599" s="212" t="s">
        <v>1267</v>
      </c>
      <c r="C599" s="76" t="s">
        <v>320</v>
      </c>
      <c r="D599" s="76" t="s">
        <v>384</v>
      </c>
      <c r="E599" s="76"/>
      <c r="F599" s="76">
        <f t="shared" si="286"/>
        <v>3</v>
      </c>
      <c r="G599" s="76">
        <v>1</v>
      </c>
      <c r="H599" s="76">
        <v>1</v>
      </c>
      <c r="I599" s="76">
        <v>1</v>
      </c>
      <c r="J599" s="76">
        <v>1</v>
      </c>
      <c r="K599" s="76">
        <v>1</v>
      </c>
      <c r="L599" s="76">
        <v>2</v>
      </c>
      <c r="M599" s="76">
        <v>2018</v>
      </c>
      <c r="N599" s="76">
        <v>2020</v>
      </c>
      <c r="O599" s="76">
        <f t="shared" si="287"/>
        <v>0.1788</v>
      </c>
      <c r="P599" s="76">
        <f t="shared" si="288"/>
        <v>0.0596</v>
      </c>
      <c r="Q599" s="76">
        <f t="shared" si="289"/>
        <v>0.0596</v>
      </c>
      <c r="R599" s="76">
        <f t="shared" si="290"/>
        <v>0.0596</v>
      </c>
      <c r="S599" s="76">
        <f t="shared" si="291"/>
        <v>0.1788</v>
      </c>
      <c r="T599" s="76"/>
      <c r="U599" s="76"/>
      <c r="V599" s="76"/>
      <c r="W599" s="76"/>
      <c r="X599" s="583"/>
      <c r="Y599" s="76"/>
      <c r="Z599" s="76"/>
      <c r="AA599" s="76"/>
      <c r="AB599" s="76"/>
      <c r="AC599" s="76"/>
      <c r="AD599" s="136"/>
    </row>
    <row r="600" s="570" customFormat="1" customHeight="1" spans="1:30">
      <c r="A600" s="76"/>
      <c r="B600" s="212" t="s">
        <v>1268</v>
      </c>
      <c r="C600" s="76" t="s">
        <v>320</v>
      </c>
      <c r="D600" s="76" t="s">
        <v>384</v>
      </c>
      <c r="E600" s="76"/>
      <c r="F600" s="76">
        <f t="shared" si="286"/>
        <v>51</v>
      </c>
      <c r="G600" s="76">
        <v>17</v>
      </c>
      <c r="H600" s="76">
        <v>17</v>
      </c>
      <c r="I600" s="76">
        <v>17</v>
      </c>
      <c r="J600" s="76">
        <v>17</v>
      </c>
      <c r="K600" s="76">
        <v>17</v>
      </c>
      <c r="L600" s="76">
        <v>37</v>
      </c>
      <c r="M600" s="76">
        <v>2018</v>
      </c>
      <c r="N600" s="76">
        <v>2020</v>
      </c>
      <c r="O600" s="76">
        <f t="shared" si="287"/>
        <v>3.3078</v>
      </c>
      <c r="P600" s="76">
        <f t="shared" si="288"/>
        <v>1.1026</v>
      </c>
      <c r="Q600" s="76">
        <f t="shared" si="289"/>
        <v>1.1026</v>
      </c>
      <c r="R600" s="76">
        <f t="shared" si="290"/>
        <v>1.1026</v>
      </c>
      <c r="S600" s="76">
        <f t="shared" si="291"/>
        <v>3.3078</v>
      </c>
      <c r="T600" s="76"/>
      <c r="U600" s="76"/>
      <c r="V600" s="76"/>
      <c r="W600" s="76"/>
      <c r="X600" s="583"/>
      <c r="Y600" s="76"/>
      <c r="Z600" s="76"/>
      <c r="AA600" s="76"/>
      <c r="AB600" s="76"/>
      <c r="AC600" s="76"/>
      <c r="AD600" s="136"/>
    </row>
    <row r="601" s="570" customFormat="1" customHeight="1" spans="1:30">
      <c r="A601" s="76"/>
      <c r="B601" s="212" t="s">
        <v>1275</v>
      </c>
      <c r="C601" s="76" t="s">
        <v>320</v>
      </c>
      <c r="D601" s="76" t="s">
        <v>384</v>
      </c>
      <c r="E601" s="76"/>
      <c r="F601" s="76">
        <f t="shared" si="286"/>
        <v>33</v>
      </c>
      <c r="G601" s="76">
        <v>11</v>
      </c>
      <c r="H601" s="76">
        <v>11</v>
      </c>
      <c r="I601" s="76">
        <v>11</v>
      </c>
      <c r="J601" s="76">
        <v>11</v>
      </c>
      <c r="K601" s="76">
        <v>11</v>
      </c>
      <c r="L601" s="76">
        <v>20</v>
      </c>
      <c r="M601" s="76">
        <v>2018</v>
      </c>
      <c r="N601" s="76">
        <v>2020</v>
      </c>
      <c r="O601" s="76">
        <f t="shared" si="287"/>
        <v>1.788</v>
      </c>
      <c r="P601" s="76">
        <f t="shared" si="288"/>
        <v>0.596</v>
      </c>
      <c r="Q601" s="76">
        <f t="shared" si="289"/>
        <v>0.596</v>
      </c>
      <c r="R601" s="76">
        <f t="shared" si="290"/>
        <v>0.596</v>
      </c>
      <c r="S601" s="76">
        <f t="shared" si="291"/>
        <v>1.788</v>
      </c>
      <c r="T601" s="76"/>
      <c r="U601" s="76"/>
      <c r="V601" s="76"/>
      <c r="W601" s="76"/>
      <c r="X601" s="583"/>
      <c r="Y601" s="76"/>
      <c r="Z601" s="76"/>
      <c r="AA601" s="76"/>
      <c r="AB601" s="76"/>
      <c r="AC601" s="76"/>
      <c r="AD601" s="136"/>
    </row>
    <row r="602" s="570" customFormat="1" customHeight="1" spans="1:30">
      <c r="A602" s="76"/>
      <c r="B602" s="212" t="s">
        <v>1276</v>
      </c>
      <c r="C602" s="76" t="s">
        <v>320</v>
      </c>
      <c r="D602" s="76" t="s">
        <v>384</v>
      </c>
      <c r="E602" s="76"/>
      <c r="F602" s="76">
        <f t="shared" si="286"/>
        <v>63</v>
      </c>
      <c r="G602" s="76">
        <v>21</v>
      </c>
      <c r="H602" s="76">
        <v>21</v>
      </c>
      <c r="I602" s="76">
        <v>21</v>
      </c>
      <c r="J602" s="76">
        <v>21</v>
      </c>
      <c r="K602" s="76">
        <v>21</v>
      </c>
      <c r="L602" s="76">
        <v>43</v>
      </c>
      <c r="M602" s="76">
        <v>2018</v>
      </c>
      <c r="N602" s="76">
        <v>2020</v>
      </c>
      <c r="O602" s="76">
        <f t="shared" si="287"/>
        <v>3.8442</v>
      </c>
      <c r="P602" s="76">
        <f t="shared" si="288"/>
        <v>1.2814</v>
      </c>
      <c r="Q602" s="76">
        <f t="shared" si="289"/>
        <v>1.2814</v>
      </c>
      <c r="R602" s="76">
        <f t="shared" si="290"/>
        <v>1.2814</v>
      </c>
      <c r="S602" s="76">
        <f t="shared" si="291"/>
        <v>3.8442</v>
      </c>
      <c r="T602" s="76"/>
      <c r="U602" s="76"/>
      <c r="V602" s="76"/>
      <c r="W602" s="76"/>
      <c r="X602" s="583"/>
      <c r="Y602" s="76"/>
      <c r="Z602" s="76"/>
      <c r="AA602" s="76"/>
      <c r="AB602" s="76"/>
      <c r="AC602" s="76"/>
      <c r="AD602" s="136"/>
    </row>
    <row r="603" s="570" customFormat="1" customHeight="1" spans="1:30">
      <c r="A603" s="76"/>
      <c r="B603" s="212" t="s">
        <v>1277</v>
      </c>
      <c r="C603" s="76" t="s">
        <v>320</v>
      </c>
      <c r="D603" s="76" t="s">
        <v>384</v>
      </c>
      <c r="E603" s="76"/>
      <c r="F603" s="76">
        <f t="shared" si="286"/>
        <v>60</v>
      </c>
      <c r="G603" s="76">
        <v>20</v>
      </c>
      <c r="H603" s="76">
        <v>20</v>
      </c>
      <c r="I603" s="76">
        <v>20</v>
      </c>
      <c r="J603" s="76">
        <v>20</v>
      </c>
      <c r="K603" s="76">
        <v>20</v>
      </c>
      <c r="L603" s="76">
        <v>44</v>
      </c>
      <c r="M603" s="76">
        <v>2018</v>
      </c>
      <c r="N603" s="76">
        <v>2020</v>
      </c>
      <c r="O603" s="76">
        <f t="shared" si="287"/>
        <v>3.9336</v>
      </c>
      <c r="P603" s="76">
        <f t="shared" si="288"/>
        <v>1.3112</v>
      </c>
      <c r="Q603" s="76">
        <f t="shared" si="289"/>
        <v>1.3112</v>
      </c>
      <c r="R603" s="76">
        <f t="shared" si="290"/>
        <v>1.3112</v>
      </c>
      <c r="S603" s="76">
        <f t="shared" si="291"/>
        <v>3.9336</v>
      </c>
      <c r="T603" s="76"/>
      <c r="U603" s="76"/>
      <c r="V603" s="76"/>
      <c r="W603" s="76"/>
      <c r="X603" s="583"/>
      <c r="Y603" s="76"/>
      <c r="Z603" s="76"/>
      <c r="AA603" s="76"/>
      <c r="AB603" s="76"/>
      <c r="AC603" s="76"/>
      <c r="AD603" s="136"/>
    </row>
    <row r="604" s="570" customFormat="1" customHeight="1" spans="1:30">
      <c r="A604" s="76"/>
      <c r="B604" s="212" t="s">
        <v>1278</v>
      </c>
      <c r="C604" s="76" t="s">
        <v>320</v>
      </c>
      <c r="D604" s="76" t="s">
        <v>384</v>
      </c>
      <c r="E604" s="76"/>
      <c r="F604" s="76">
        <f t="shared" si="286"/>
        <v>51</v>
      </c>
      <c r="G604" s="76">
        <v>17</v>
      </c>
      <c r="H604" s="76">
        <v>17</v>
      </c>
      <c r="I604" s="76">
        <v>17</v>
      </c>
      <c r="J604" s="76">
        <v>17</v>
      </c>
      <c r="K604" s="76">
        <v>17</v>
      </c>
      <c r="L604" s="76">
        <v>31</v>
      </c>
      <c r="M604" s="76">
        <v>2018</v>
      </c>
      <c r="N604" s="76">
        <v>2020</v>
      </c>
      <c r="O604" s="76">
        <f t="shared" si="287"/>
        <v>2.7714</v>
      </c>
      <c r="P604" s="76">
        <f t="shared" si="288"/>
        <v>0.9238</v>
      </c>
      <c r="Q604" s="76">
        <f t="shared" si="289"/>
        <v>0.9238</v>
      </c>
      <c r="R604" s="76">
        <f t="shared" si="290"/>
        <v>0.9238</v>
      </c>
      <c r="S604" s="76">
        <f t="shared" si="291"/>
        <v>2.7714</v>
      </c>
      <c r="T604" s="76"/>
      <c r="U604" s="76"/>
      <c r="V604" s="76"/>
      <c r="W604" s="76"/>
      <c r="X604" s="583"/>
      <c r="Y604" s="76"/>
      <c r="Z604" s="76"/>
      <c r="AA604" s="76"/>
      <c r="AB604" s="76"/>
      <c r="AC604" s="76"/>
      <c r="AD604" s="136"/>
    </row>
    <row r="605" s="570" customFormat="1" customHeight="1" spans="1:30">
      <c r="A605" s="76"/>
      <c r="B605" s="212" t="s">
        <v>1279</v>
      </c>
      <c r="C605" s="76" t="s">
        <v>320</v>
      </c>
      <c r="D605" s="76" t="s">
        <v>384</v>
      </c>
      <c r="E605" s="76"/>
      <c r="F605" s="76">
        <f t="shared" si="286"/>
        <v>24</v>
      </c>
      <c r="G605" s="76">
        <v>8</v>
      </c>
      <c r="H605" s="76">
        <v>8</v>
      </c>
      <c r="I605" s="76">
        <v>8</v>
      </c>
      <c r="J605" s="76">
        <v>8</v>
      </c>
      <c r="K605" s="76">
        <v>8</v>
      </c>
      <c r="L605" s="76">
        <v>20</v>
      </c>
      <c r="M605" s="76">
        <v>2018</v>
      </c>
      <c r="N605" s="76">
        <v>2020</v>
      </c>
      <c r="O605" s="76">
        <f t="shared" si="287"/>
        <v>1.788</v>
      </c>
      <c r="P605" s="76">
        <f t="shared" si="288"/>
        <v>0.596</v>
      </c>
      <c r="Q605" s="76">
        <f t="shared" si="289"/>
        <v>0.596</v>
      </c>
      <c r="R605" s="76">
        <f t="shared" si="290"/>
        <v>0.596</v>
      </c>
      <c r="S605" s="76">
        <f t="shared" si="291"/>
        <v>1.788</v>
      </c>
      <c r="T605" s="76"/>
      <c r="U605" s="76"/>
      <c r="V605" s="76"/>
      <c r="W605" s="76"/>
      <c r="X605" s="583"/>
      <c r="Y605" s="76"/>
      <c r="Z605" s="76"/>
      <c r="AA605" s="76"/>
      <c r="AB605" s="76"/>
      <c r="AC605" s="76"/>
      <c r="AD605" s="136"/>
    </row>
    <row r="606" s="570" customFormat="1" customHeight="1" spans="1:30">
      <c r="A606" s="76"/>
      <c r="B606" s="212" t="s">
        <v>1280</v>
      </c>
      <c r="C606" s="76" t="s">
        <v>320</v>
      </c>
      <c r="D606" s="76" t="s">
        <v>384</v>
      </c>
      <c r="E606" s="76"/>
      <c r="F606" s="76">
        <f t="shared" si="286"/>
        <v>3</v>
      </c>
      <c r="G606" s="76">
        <v>1</v>
      </c>
      <c r="H606" s="76">
        <v>1</v>
      </c>
      <c r="I606" s="76">
        <v>1</v>
      </c>
      <c r="J606" s="76">
        <v>1</v>
      </c>
      <c r="K606" s="76">
        <v>1</v>
      </c>
      <c r="L606" s="76">
        <v>2</v>
      </c>
      <c r="M606" s="76">
        <v>2018</v>
      </c>
      <c r="N606" s="76">
        <v>2020</v>
      </c>
      <c r="O606" s="76">
        <f t="shared" si="287"/>
        <v>0.1788</v>
      </c>
      <c r="P606" s="76">
        <f t="shared" si="288"/>
        <v>0.0596</v>
      </c>
      <c r="Q606" s="76">
        <f t="shared" si="289"/>
        <v>0.0596</v>
      </c>
      <c r="R606" s="76">
        <f t="shared" si="290"/>
        <v>0.0596</v>
      </c>
      <c r="S606" s="76">
        <f t="shared" si="291"/>
        <v>0.1788</v>
      </c>
      <c r="T606" s="76"/>
      <c r="U606" s="76"/>
      <c r="V606" s="76"/>
      <c r="W606" s="76"/>
      <c r="X606" s="583"/>
      <c r="Y606" s="76"/>
      <c r="Z606" s="76"/>
      <c r="AA606" s="76"/>
      <c r="AB606" s="76"/>
      <c r="AC606" s="76"/>
      <c r="AD606" s="136"/>
    </row>
    <row r="607" s="570" customFormat="1" customHeight="1" spans="1:30">
      <c r="A607" s="76"/>
      <c r="B607" s="212" t="s">
        <v>1269</v>
      </c>
      <c r="C607" s="76" t="s">
        <v>320</v>
      </c>
      <c r="D607" s="76" t="s">
        <v>384</v>
      </c>
      <c r="E607" s="76"/>
      <c r="F607" s="76">
        <f t="shared" si="286"/>
        <v>21</v>
      </c>
      <c r="G607" s="76">
        <v>7</v>
      </c>
      <c r="H607" s="76">
        <v>7</v>
      </c>
      <c r="I607" s="76">
        <v>7</v>
      </c>
      <c r="J607" s="76">
        <v>7</v>
      </c>
      <c r="K607" s="76">
        <v>7</v>
      </c>
      <c r="L607" s="76">
        <v>20</v>
      </c>
      <c r="M607" s="76">
        <v>2018</v>
      </c>
      <c r="N607" s="76">
        <v>2020</v>
      </c>
      <c r="O607" s="76">
        <f t="shared" si="287"/>
        <v>1.788</v>
      </c>
      <c r="P607" s="76">
        <f t="shared" si="288"/>
        <v>0.596</v>
      </c>
      <c r="Q607" s="76">
        <f t="shared" si="289"/>
        <v>0.596</v>
      </c>
      <c r="R607" s="76">
        <f t="shared" si="290"/>
        <v>0.596</v>
      </c>
      <c r="S607" s="76">
        <f t="shared" si="291"/>
        <v>1.788</v>
      </c>
      <c r="T607" s="76"/>
      <c r="U607" s="76"/>
      <c r="V607" s="76"/>
      <c r="W607" s="76"/>
      <c r="X607" s="583"/>
      <c r="Y607" s="76"/>
      <c r="Z607" s="76"/>
      <c r="AA607" s="76"/>
      <c r="AB607" s="76"/>
      <c r="AC607" s="76"/>
      <c r="AD607" s="136"/>
    </row>
    <row r="608" s="570" customFormat="1" customHeight="1" spans="1:30">
      <c r="A608" s="76"/>
      <c r="B608" s="212" t="s">
        <v>1270</v>
      </c>
      <c r="C608" s="76" t="s">
        <v>320</v>
      </c>
      <c r="D608" s="76" t="s">
        <v>384</v>
      </c>
      <c r="E608" s="76"/>
      <c r="F608" s="76">
        <f t="shared" si="286"/>
        <v>18</v>
      </c>
      <c r="G608" s="76">
        <v>6</v>
      </c>
      <c r="H608" s="76">
        <v>6</v>
      </c>
      <c r="I608" s="76">
        <v>6</v>
      </c>
      <c r="J608" s="76">
        <v>6</v>
      </c>
      <c r="K608" s="76">
        <v>6</v>
      </c>
      <c r="L608" s="76">
        <v>15</v>
      </c>
      <c r="M608" s="76">
        <v>2018</v>
      </c>
      <c r="N608" s="76">
        <v>2020</v>
      </c>
      <c r="O608" s="76">
        <f t="shared" si="287"/>
        <v>1.341</v>
      </c>
      <c r="P608" s="76">
        <f t="shared" si="288"/>
        <v>0.447</v>
      </c>
      <c r="Q608" s="76">
        <f t="shared" si="289"/>
        <v>0.447</v>
      </c>
      <c r="R608" s="76">
        <f t="shared" si="290"/>
        <v>0.447</v>
      </c>
      <c r="S608" s="76">
        <f t="shared" si="291"/>
        <v>1.341</v>
      </c>
      <c r="T608" s="76"/>
      <c r="U608" s="76"/>
      <c r="V608" s="76"/>
      <c r="W608" s="76"/>
      <c r="X608" s="583"/>
      <c r="Y608" s="76"/>
      <c r="Z608" s="76"/>
      <c r="AA608" s="76"/>
      <c r="AB608" s="76"/>
      <c r="AC608" s="76"/>
      <c r="AD608" s="136"/>
    </row>
    <row r="609" s="570" customFormat="1" customHeight="1" spans="1:30">
      <c r="A609" s="76"/>
      <c r="B609" s="212" t="s">
        <v>1281</v>
      </c>
      <c r="C609" s="76" t="s">
        <v>320</v>
      </c>
      <c r="D609" s="76" t="s">
        <v>384</v>
      </c>
      <c r="E609" s="76"/>
      <c r="F609" s="76">
        <f t="shared" si="286"/>
        <v>30</v>
      </c>
      <c r="G609" s="76">
        <v>10</v>
      </c>
      <c r="H609" s="76">
        <v>10</v>
      </c>
      <c r="I609" s="76">
        <v>10</v>
      </c>
      <c r="J609" s="76">
        <v>10</v>
      </c>
      <c r="K609" s="76">
        <v>10</v>
      </c>
      <c r="L609" s="76">
        <v>26</v>
      </c>
      <c r="M609" s="76">
        <v>2018</v>
      </c>
      <c r="N609" s="76">
        <v>2020</v>
      </c>
      <c r="O609" s="76">
        <f t="shared" si="287"/>
        <v>2.3244</v>
      </c>
      <c r="P609" s="76">
        <f t="shared" si="288"/>
        <v>0.7748</v>
      </c>
      <c r="Q609" s="76">
        <f t="shared" si="289"/>
        <v>0.7748</v>
      </c>
      <c r="R609" s="76">
        <f t="shared" si="290"/>
        <v>0.7748</v>
      </c>
      <c r="S609" s="76">
        <f t="shared" si="291"/>
        <v>2.3244</v>
      </c>
      <c r="T609" s="76"/>
      <c r="U609" s="76"/>
      <c r="V609" s="76"/>
      <c r="W609" s="76"/>
      <c r="X609" s="583"/>
      <c r="Y609" s="76"/>
      <c r="Z609" s="76"/>
      <c r="AA609" s="76"/>
      <c r="AB609" s="76"/>
      <c r="AC609" s="76"/>
      <c r="AD609" s="136"/>
    </row>
    <row r="610" s="570" customFormat="1" customHeight="1" spans="1:30">
      <c r="A610" s="76"/>
      <c r="B610" s="212" t="s">
        <v>1271</v>
      </c>
      <c r="C610" s="76" t="s">
        <v>320</v>
      </c>
      <c r="D610" s="76" t="s">
        <v>384</v>
      </c>
      <c r="E610" s="76"/>
      <c r="F610" s="76">
        <f t="shared" si="286"/>
        <v>27</v>
      </c>
      <c r="G610" s="76">
        <v>9</v>
      </c>
      <c r="H610" s="76">
        <v>9</v>
      </c>
      <c r="I610" s="76">
        <v>9</v>
      </c>
      <c r="J610" s="76">
        <v>9</v>
      </c>
      <c r="K610" s="76">
        <v>9</v>
      </c>
      <c r="L610" s="76">
        <v>21</v>
      </c>
      <c r="M610" s="76">
        <v>2018</v>
      </c>
      <c r="N610" s="76">
        <v>2020</v>
      </c>
      <c r="O610" s="76">
        <f t="shared" si="287"/>
        <v>1.8774</v>
      </c>
      <c r="P610" s="76">
        <f t="shared" si="288"/>
        <v>0.6258</v>
      </c>
      <c r="Q610" s="76">
        <f t="shared" si="289"/>
        <v>0.6258</v>
      </c>
      <c r="R610" s="76">
        <f t="shared" si="290"/>
        <v>0.6258</v>
      </c>
      <c r="S610" s="76">
        <f t="shared" si="291"/>
        <v>1.8774</v>
      </c>
      <c r="T610" s="76"/>
      <c r="U610" s="76"/>
      <c r="V610" s="76"/>
      <c r="W610" s="76"/>
      <c r="X610" s="583"/>
      <c r="Y610" s="76"/>
      <c r="Z610" s="76"/>
      <c r="AA610" s="76"/>
      <c r="AB610" s="76"/>
      <c r="AC610" s="76"/>
      <c r="AD610" s="136"/>
    </row>
    <row r="611" s="570" customFormat="1" customHeight="1" spans="1:30">
      <c r="A611" s="76"/>
      <c r="B611" s="212" t="s">
        <v>1282</v>
      </c>
      <c r="C611" s="76" t="s">
        <v>320</v>
      </c>
      <c r="D611" s="76" t="s">
        <v>384</v>
      </c>
      <c r="E611" s="76"/>
      <c r="F611" s="76">
        <f t="shared" si="286"/>
        <v>21</v>
      </c>
      <c r="G611" s="76">
        <v>7</v>
      </c>
      <c r="H611" s="76">
        <v>7</v>
      </c>
      <c r="I611" s="76">
        <v>7</v>
      </c>
      <c r="J611" s="76">
        <v>7</v>
      </c>
      <c r="K611" s="76">
        <v>7</v>
      </c>
      <c r="L611" s="76">
        <v>15</v>
      </c>
      <c r="M611" s="76">
        <v>2018</v>
      </c>
      <c r="N611" s="76">
        <v>2020</v>
      </c>
      <c r="O611" s="76">
        <f t="shared" si="287"/>
        <v>1.341</v>
      </c>
      <c r="P611" s="76">
        <f t="shared" si="288"/>
        <v>0.447</v>
      </c>
      <c r="Q611" s="76">
        <f t="shared" si="289"/>
        <v>0.447</v>
      </c>
      <c r="R611" s="76">
        <f t="shared" si="290"/>
        <v>0.447</v>
      </c>
      <c r="S611" s="76">
        <f t="shared" si="291"/>
        <v>1.341</v>
      </c>
      <c r="T611" s="76"/>
      <c r="U611" s="76"/>
      <c r="V611" s="76"/>
      <c r="W611" s="76"/>
      <c r="X611" s="583"/>
      <c r="Y611" s="76"/>
      <c r="Z611" s="76"/>
      <c r="AA611" s="76"/>
      <c r="AB611" s="76"/>
      <c r="AC611" s="76"/>
      <c r="AD611" s="136"/>
    </row>
    <row r="612" s="570" customFormat="1" customHeight="1" spans="1:30">
      <c r="A612" s="76"/>
      <c r="B612" s="212" t="s">
        <v>1283</v>
      </c>
      <c r="C612" s="76" t="s">
        <v>320</v>
      </c>
      <c r="D612" s="76" t="s">
        <v>384</v>
      </c>
      <c r="E612" s="76"/>
      <c r="F612" s="76">
        <f t="shared" si="286"/>
        <v>3</v>
      </c>
      <c r="G612" s="76">
        <v>1</v>
      </c>
      <c r="H612" s="76">
        <v>1</v>
      </c>
      <c r="I612" s="76">
        <v>1</v>
      </c>
      <c r="J612" s="76">
        <v>1</v>
      </c>
      <c r="K612" s="76">
        <v>1</v>
      </c>
      <c r="L612" s="76">
        <v>1</v>
      </c>
      <c r="M612" s="76">
        <v>2018</v>
      </c>
      <c r="N612" s="76">
        <v>2020</v>
      </c>
      <c r="O612" s="76">
        <f t="shared" si="287"/>
        <v>0.0894</v>
      </c>
      <c r="P612" s="76">
        <f t="shared" si="288"/>
        <v>0.0298</v>
      </c>
      <c r="Q612" s="76">
        <f t="shared" si="289"/>
        <v>0.0298</v>
      </c>
      <c r="R612" s="76">
        <f t="shared" si="290"/>
        <v>0.0298</v>
      </c>
      <c r="S612" s="76">
        <f t="shared" si="291"/>
        <v>0.0894</v>
      </c>
      <c r="T612" s="76"/>
      <c r="U612" s="76"/>
      <c r="V612" s="76"/>
      <c r="W612" s="76"/>
      <c r="X612" s="583"/>
      <c r="Y612" s="76"/>
      <c r="Z612" s="76"/>
      <c r="AA612" s="76"/>
      <c r="AB612" s="76"/>
      <c r="AC612" s="76"/>
      <c r="AD612" s="136"/>
    </row>
    <row r="613" s="570" customFormat="1" customHeight="1" spans="1:30">
      <c r="A613" s="76"/>
      <c r="B613" s="212" t="s">
        <v>1284</v>
      </c>
      <c r="C613" s="76" t="s">
        <v>320</v>
      </c>
      <c r="D613" s="76" t="s">
        <v>384</v>
      </c>
      <c r="E613" s="76"/>
      <c r="F613" s="76">
        <f t="shared" si="286"/>
        <v>0</v>
      </c>
      <c r="G613" s="76">
        <v>0</v>
      </c>
      <c r="H613" s="76">
        <v>0</v>
      </c>
      <c r="I613" s="76">
        <v>0</v>
      </c>
      <c r="J613" s="76">
        <v>0</v>
      </c>
      <c r="K613" s="76">
        <v>0</v>
      </c>
      <c r="L613" s="76">
        <v>0</v>
      </c>
      <c r="M613" s="76">
        <v>2018</v>
      </c>
      <c r="N613" s="76">
        <v>2020</v>
      </c>
      <c r="O613" s="76">
        <f t="shared" si="287"/>
        <v>0</v>
      </c>
      <c r="P613" s="76">
        <f>0.0203*12*J613</f>
        <v>0</v>
      </c>
      <c r="Q613" s="76">
        <f>0.0203*12*J613</f>
        <v>0</v>
      </c>
      <c r="R613" s="76">
        <f>0.0203*12*J613</f>
        <v>0</v>
      </c>
      <c r="S613" s="76">
        <f t="shared" si="291"/>
        <v>0</v>
      </c>
      <c r="T613" s="76"/>
      <c r="U613" s="76"/>
      <c r="V613" s="76"/>
      <c r="W613" s="76"/>
      <c r="X613" s="583"/>
      <c r="Y613" s="76"/>
      <c r="Z613" s="76"/>
      <c r="AA613" s="76"/>
      <c r="AB613" s="76"/>
      <c r="AC613" s="76"/>
      <c r="AD613" s="136"/>
    </row>
    <row r="614" s="570" customFormat="1" customHeight="1" spans="1:30">
      <c r="A614" s="76">
        <v>52</v>
      </c>
      <c r="B614" s="92" t="s">
        <v>446</v>
      </c>
      <c r="C614" s="76" t="s">
        <v>320</v>
      </c>
      <c r="D614" s="76" t="s">
        <v>147</v>
      </c>
      <c r="E614" s="76"/>
      <c r="F614" s="76">
        <f t="shared" ref="F614:L614" si="292">SUM(F615+F634)</f>
        <v>1257</v>
      </c>
      <c r="G614" s="76">
        <f t="shared" si="292"/>
        <v>419</v>
      </c>
      <c r="H614" s="76">
        <f t="shared" si="292"/>
        <v>419</v>
      </c>
      <c r="I614" s="76">
        <f t="shared" si="292"/>
        <v>419</v>
      </c>
      <c r="J614" s="76">
        <f t="shared" si="292"/>
        <v>419</v>
      </c>
      <c r="K614" s="76">
        <f t="shared" si="292"/>
        <v>1</v>
      </c>
      <c r="L614" s="76">
        <f t="shared" si="292"/>
        <v>1</v>
      </c>
      <c r="M614" s="76">
        <v>2018</v>
      </c>
      <c r="N614" s="76">
        <v>2020</v>
      </c>
      <c r="O614" s="76">
        <f t="shared" ref="O614:W614" si="293">SUM(O615+O634)</f>
        <v>691.524</v>
      </c>
      <c r="P614" s="76">
        <f t="shared" si="293"/>
        <v>230.508</v>
      </c>
      <c r="Q614" s="76">
        <f t="shared" si="293"/>
        <v>230.508</v>
      </c>
      <c r="R614" s="76">
        <f t="shared" si="293"/>
        <v>230.508</v>
      </c>
      <c r="S614" s="76">
        <f t="shared" si="293"/>
        <v>691.524</v>
      </c>
      <c r="T614" s="76">
        <f t="shared" si="293"/>
        <v>0</v>
      </c>
      <c r="U614" s="76">
        <f t="shared" si="293"/>
        <v>0</v>
      </c>
      <c r="V614" s="76">
        <f t="shared" si="293"/>
        <v>0</v>
      </c>
      <c r="W614" s="76">
        <f t="shared" si="293"/>
        <v>0</v>
      </c>
      <c r="X614" s="583"/>
      <c r="Y614" s="76"/>
      <c r="Z614" s="76"/>
      <c r="AA614" s="76" t="s">
        <v>1285</v>
      </c>
      <c r="AB614" s="76" t="s">
        <v>1314</v>
      </c>
      <c r="AC614" s="76" t="s">
        <v>320</v>
      </c>
      <c r="AD614" s="136"/>
    </row>
    <row r="615" s="570" customFormat="1" customHeight="1" spans="1:30">
      <c r="A615" s="76">
        <v>53</v>
      </c>
      <c r="B615" s="92" t="s">
        <v>447</v>
      </c>
      <c r="C615" s="76" t="s">
        <v>320</v>
      </c>
      <c r="D615" s="76" t="s">
        <v>147</v>
      </c>
      <c r="E615" s="76"/>
      <c r="F615" s="76">
        <f t="shared" ref="F615:L615" si="294">SUM(F616:F633)</f>
        <v>1206</v>
      </c>
      <c r="G615" s="76">
        <f t="shared" si="294"/>
        <v>402</v>
      </c>
      <c r="H615" s="76">
        <f t="shared" si="294"/>
        <v>402</v>
      </c>
      <c r="I615" s="76">
        <f t="shared" si="294"/>
        <v>402</v>
      </c>
      <c r="J615" s="76">
        <f t="shared" si="294"/>
        <v>402</v>
      </c>
      <c r="K615" s="76">
        <f t="shared" si="294"/>
        <v>1</v>
      </c>
      <c r="L615" s="76">
        <f t="shared" si="294"/>
        <v>1</v>
      </c>
      <c r="M615" s="76">
        <v>2018</v>
      </c>
      <c r="N615" s="76">
        <v>2020</v>
      </c>
      <c r="O615" s="76">
        <f t="shared" ref="O615:W615" si="295">SUM(O616:O633)</f>
        <v>658.476</v>
      </c>
      <c r="P615" s="76">
        <f t="shared" si="295"/>
        <v>219.492</v>
      </c>
      <c r="Q615" s="76">
        <f t="shared" si="295"/>
        <v>219.492</v>
      </c>
      <c r="R615" s="76">
        <f t="shared" si="295"/>
        <v>219.492</v>
      </c>
      <c r="S615" s="76">
        <f t="shared" si="295"/>
        <v>658.476</v>
      </c>
      <c r="T615" s="76">
        <f t="shared" si="295"/>
        <v>0</v>
      </c>
      <c r="U615" s="76">
        <f t="shared" si="295"/>
        <v>0</v>
      </c>
      <c r="V615" s="76">
        <f t="shared" si="295"/>
        <v>0</v>
      </c>
      <c r="W615" s="76">
        <f t="shared" si="295"/>
        <v>0</v>
      </c>
      <c r="X615" s="583" t="s">
        <v>1038</v>
      </c>
      <c r="Y615" s="76"/>
      <c r="Z615" s="76"/>
      <c r="AA615" s="76" t="s">
        <v>1285</v>
      </c>
      <c r="AB615" s="76" t="s">
        <v>1314</v>
      </c>
      <c r="AC615" s="76" t="s">
        <v>338</v>
      </c>
      <c r="AD615" s="136"/>
    </row>
    <row r="616" s="570" customFormat="1" customHeight="1" spans="1:30">
      <c r="A616" s="76"/>
      <c r="B616" s="212" t="s">
        <v>1265</v>
      </c>
      <c r="C616" s="76" t="s">
        <v>320</v>
      </c>
      <c r="D616" s="76" t="s">
        <v>147</v>
      </c>
      <c r="E616" s="76"/>
      <c r="F616" s="76">
        <f t="shared" ref="F616:F633" si="296">SUM(G616:I616)</f>
        <v>87</v>
      </c>
      <c r="G616" s="76">
        <v>29</v>
      </c>
      <c r="H616" s="76">
        <v>29</v>
      </c>
      <c r="I616" s="76">
        <v>29</v>
      </c>
      <c r="J616" s="76">
        <v>29</v>
      </c>
      <c r="K616" s="76"/>
      <c r="L616" s="76"/>
      <c r="M616" s="76">
        <v>2018</v>
      </c>
      <c r="N616" s="76">
        <v>2020</v>
      </c>
      <c r="O616" s="76">
        <f t="shared" ref="O616:O633" si="297">SUM(P616:R616)</f>
        <v>47.502</v>
      </c>
      <c r="P616" s="76">
        <f t="shared" ref="P616:P633" si="298">0.546*J616</f>
        <v>15.834</v>
      </c>
      <c r="Q616" s="76">
        <f t="shared" ref="Q616:Q633" si="299">0.546*J616</f>
        <v>15.834</v>
      </c>
      <c r="R616" s="76">
        <f t="shared" ref="R616:R633" si="300">0.546*J616</f>
        <v>15.834</v>
      </c>
      <c r="S616" s="76">
        <f t="shared" ref="S616:S633" si="301">O616</f>
        <v>47.502</v>
      </c>
      <c r="T616" s="76"/>
      <c r="U616" s="76"/>
      <c r="V616" s="76"/>
      <c r="W616" s="76"/>
      <c r="X616" s="583"/>
      <c r="Y616" s="76"/>
      <c r="Z616" s="76"/>
      <c r="AA616" s="76"/>
      <c r="AB616" s="76"/>
      <c r="AC616" s="76"/>
      <c r="AD616" s="136"/>
    </row>
    <row r="617" s="570" customFormat="1" customHeight="1" spans="1:30">
      <c r="A617" s="76"/>
      <c r="B617" s="212" t="s">
        <v>1266</v>
      </c>
      <c r="C617" s="76" t="s">
        <v>320</v>
      </c>
      <c r="D617" s="76" t="s">
        <v>147</v>
      </c>
      <c r="E617" s="76"/>
      <c r="F617" s="76">
        <f t="shared" si="296"/>
        <v>60</v>
      </c>
      <c r="G617" s="76">
        <v>20</v>
      </c>
      <c r="H617" s="76">
        <v>20</v>
      </c>
      <c r="I617" s="76">
        <v>20</v>
      </c>
      <c r="J617" s="76">
        <v>20</v>
      </c>
      <c r="K617" s="76"/>
      <c r="L617" s="76"/>
      <c r="M617" s="76">
        <v>2018</v>
      </c>
      <c r="N617" s="76">
        <v>2020</v>
      </c>
      <c r="O617" s="76">
        <f t="shared" si="297"/>
        <v>32.76</v>
      </c>
      <c r="P617" s="76">
        <f t="shared" si="298"/>
        <v>10.92</v>
      </c>
      <c r="Q617" s="76">
        <f t="shared" si="299"/>
        <v>10.92</v>
      </c>
      <c r="R617" s="76">
        <f t="shared" si="300"/>
        <v>10.92</v>
      </c>
      <c r="S617" s="76">
        <f t="shared" si="301"/>
        <v>32.76</v>
      </c>
      <c r="T617" s="76"/>
      <c r="U617" s="76"/>
      <c r="V617" s="76"/>
      <c r="W617" s="76"/>
      <c r="X617" s="583"/>
      <c r="Y617" s="76"/>
      <c r="Z617" s="76"/>
      <c r="AA617" s="76"/>
      <c r="AB617" s="76"/>
      <c r="AC617" s="76"/>
      <c r="AD617" s="136"/>
    </row>
    <row r="618" s="570" customFormat="1" customHeight="1" spans="1:30">
      <c r="A618" s="76"/>
      <c r="B618" s="212" t="s">
        <v>1267</v>
      </c>
      <c r="C618" s="76" t="s">
        <v>320</v>
      </c>
      <c r="D618" s="76" t="s">
        <v>147</v>
      </c>
      <c r="E618" s="76"/>
      <c r="F618" s="76">
        <f t="shared" si="296"/>
        <v>42</v>
      </c>
      <c r="G618" s="76">
        <v>14</v>
      </c>
      <c r="H618" s="76">
        <v>14</v>
      </c>
      <c r="I618" s="76">
        <v>14</v>
      </c>
      <c r="J618" s="76">
        <v>14</v>
      </c>
      <c r="K618" s="76"/>
      <c r="L618" s="76"/>
      <c r="M618" s="76">
        <v>2018</v>
      </c>
      <c r="N618" s="76">
        <v>2020</v>
      </c>
      <c r="O618" s="76">
        <f t="shared" si="297"/>
        <v>22.932</v>
      </c>
      <c r="P618" s="76">
        <f t="shared" si="298"/>
        <v>7.644</v>
      </c>
      <c r="Q618" s="76">
        <f t="shared" si="299"/>
        <v>7.644</v>
      </c>
      <c r="R618" s="76">
        <f t="shared" si="300"/>
        <v>7.644</v>
      </c>
      <c r="S618" s="76">
        <f t="shared" si="301"/>
        <v>22.932</v>
      </c>
      <c r="T618" s="76"/>
      <c r="U618" s="76"/>
      <c r="V618" s="76"/>
      <c r="W618" s="76"/>
      <c r="X618" s="583"/>
      <c r="Y618" s="76"/>
      <c r="Z618" s="76"/>
      <c r="AA618" s="76"/>
      <c r="AB618" s="76"/>
      <c r="AC618" s="76"/>
      <c r="AD618" s="136"/>
    </row>
    <row r="619" s="570" customFormat="1" customHeight="1" spans="1:30">
      <c r="A619" s="76"/>
      <c r="B619" s="212" t="s">
        <v>1268</v>
      </c>
      <c r="C619" s="76" t="s">
        <v>320</v>
      </c>
      <c r="D619" s="76" t="s">
        <v>147</v>
      </c>
      <c r="E619" s="76"/>
      <c r="F619" s="76">
        <f t="shared" si="296"/>
        <v>96</v>
      </c>
      <c r="G619" s="76">
        <v>32</v>
      </c>
      <c r="H619" s="76">
        <v>32</v>
      </c>
      <c r="I619" s="76">
        <v>32</v>
      </c>
      <c r="J619" s="76">
        <v>32</v>
      </c>
      <c r="K619" s="76"/>
      <c r="L619" s="76"/>
      <c r="M619" s="76">
        <v>2018</v>
      </c>
      <c r="N619" s="76">
        <v>2020</v>
      </c>
      <c r="O619" s="76">
        <f t="shared" si="297"/>
        <v>52.416</v>
      </c>
      <c r="P619" s="76">
        <f t="shared" si="298"/>
        <v>17.472</v>
      </c>
      <c r="Q619" s="76">
        <f t="shared" si="299"/>
        <v>17.472</v>
      </c>
      <c r="R619" s="76">
        <f t="shared" si="300"/>
        <v>17.472</v>
      </c>
      <c r="S619" s="76">
        <f t="shared" si="301"/>
        <v>52.416</v>
      </c>
      <c r="T619" s="76"/>
      <c r="U619" s="76"/>
      <c r="V619" s="76"/>
      <c r="W619" s="76"/>
      <c r="X619" s="583"/>
      <c r="Y619" s="76"/>
      <c r="Z619" s="76"/>
      <c r="AA619" s="76"/>
      <c r="AB619" s="76"/>
      <c r="AC619" s="76"/>
      <c r="AD619" s="136"/>
    </row>
    <row r="620" s="570" customFormat="1" customHeight="1" spans="1:30">
      <c r="A620" s="76"/>
      <c r="B620" s="212" t="s">
        <v>1275</v>
      </c>
      <c r="C620" s="76" t="s">
        <v>320</v>
      </c>
      <c r="D620" s="76" t="s">
        <v>147</v>
      </c>
      <c r="E620" s="76"/>
      <c r="F620" s="76">
        <f t="shared" si="296"/>
        <v>72</v>
      </c>
      <c r="G620" s="76">
        <v>24</v>
      </c>
      <c r="H620" s="76">
        <v>24</v>
      </c>
      <c r="I620" s="76">
        <v>24</v>
      </c>
      <c r="J620" s="76">
        <v>24</v>
      </c>
      <c r="K620" s="76"/>
      <c r="L620" s="76"/>
      <c r="M620" s="76">
        <v>2018</v>
      </c>
      <c r="N620" s="76">
        <v>2020</v>
      </c>
      <c r="O620" s="76">
        <f t="shared" si="297"/>
        <v>39.312</v>
      </c>
      <c r="P620" s="76">
        <f t="shared" si="298"/>
        <v>13.104</v>
      </c>
      <c r="Q620" s="76">
        <f t="shared" si="299"/>
        <v>13.104</v>
      </c>
      <c r="R620" s="76">
        <f t="shared" si="300"/>
        <v>13.104</v>
      </c>
      <c r="S620" s="76">
        <f t="shared" si="301"/>
        <v>39.312</v>
      </c>
      <c r="T620" s="76"/>
      <c r="U620" s="76"/>
      <c r="V620" s="76"/>
      <c r="W620" s="76"/>
      <c r="X620" s="583"/>
      <c r="Y620" s="76"/>
      <c r="Z620" s="76"/>
      <c r="AA620" s="76"/>
      <c r="AB620" s="76"/>
      <c r="AC620" s="76"/>
      <c r="AD620" s="136"/>
    </row>
    <row r="621" s="570" customFormat="1" customHeight="1" spans="1:30">
      <c r="A621" s="76"/>
      <c r="B621" s="212" t="s">
        <v>1276</v>
      </c>
      <c r="C621" s="76" t="s">
        <v>320</v>
      </c>
      <c r="D621" s="76" t="s">
        <v>147</v>
      </c>
      <c r="E621" s="76"/>
      <c r="F621" s="76">
        <f t="shared" si="296"/>
        <v>165</v>
      </c>
      <c r="G621" s="76">
        <v>55</v>
      </c>
      <c r="H621" s="76">
        <v>55</v>
      </c>
      <c r="I621" s="76">
        <v>55</v>
      </c>
      <c r="J621" s="76">
        <v>55</v>
      </c>
      <c r="K621" s="76"/>
      <c r="L621" s="76"/>
      <c r="M621" s="76">
        <v>2018</v>
      </c>
      <c r="N621" s="76">
        <v>2020</v>
      </c>
      <c r="O621" s="76">
        <f t="shared" si="297"/>
        <v>90.09</v>
      </c>
      <c r="P621" s="76">
        <f t="shared" si="298"/>
        <v>30.03</v>
      </c>
      <c r="Q621" s="76">
        <f t="shared" si="299"/>
        <v>30.03</v>
      </c>
      <c r="R621" s="76">
        <f t="shared" si="300"/>
        <v>30.03</v>
      </c>
      <c r="S621" s="76">
        <f t="shared" si="301"/>
        <v>90.09</v>
      </c>
      <c r="T621" s="76"/>
      <c r="U621" s="76"/>
      <c r="V621" s="76"/>
      <c r="W621" s="76"/>
      <c r="X621" s="583"/>
      <c r="Y621" s="76"/>
      <c r="Z621" s="76"/>
      <c r="AA621" s="76"/>
      <c r="AB621" s="76"/>
      <c r="AC621" s="76"/>
      <c r="AD621" s="136"/>
    </row>
    <row r="622" s="570" customFormat="1" customHeight="1" spans="1:30">
      <c r="A622" s="76"/>
      <c r="B622" s="212" t="s">
        <v>1277</v>
      </c>
      <c r="C622" s="76" t="s">
        <v>320</v>
      </c>
      <c r="D622" s="76" t="s">
        <v>147</v>
      </c>
      <c r="E622" s="76"/>
      <c r="F622" s="76">
        <f t="shared" si="296"/>
        <v>84</v>
      </c>
      <c r="G622" s="76">
        <v>28</v>
      </c>
      <c r="H622" s="76">
        <v>28</v>
      </c>
      <c r="I622" s="76">
        <v>28</v>
      </c>
      <c r="J622" s="76">
        <v>28</v>
      </c>
      <c r="K622" s="76"/>
      <c r="L622" s="76"/>
      <c r="M622" s="76">
        <v>2018</v>
      </c>
      <c r="N622" s="76">
        <v>2020</v>
      </c>
      <c r="O622" s="76">
        <f t="shared" si="297"/>
        <v>45.864</v>
      </c>
      <c r="P622" s="76">
        <f t="shared" si="298"/>
        <v>15.288</v>
      </c>
      <c r="Q622" s="76">
        <f t="shared" si="299"/>
        <v>15.288</v>
      </c>
      <c r="R622" s="76">
        <f t="shared" si="300"/>
        <v>15.288</v>
      </c>
      <c r="S622" s="76">
        <f t="shared" si="301"/>
        <v>45.864</v>
      </c>
      <c r="T622" s="76"/>
      <c r="U622" s="76"/>
      <c r="V622" s="76"/>
      <c r="W622" s="76"/>
      <c r="X622" s="583"/>
      <c r="Y622" s="76"/>
      <c r="Z622" s="76"/>
      <c r="AA622" s="76"/>
      <c r="AB622" s="76"/>
      <c r="AC622" s="76"/>
      <c r="AD622" s="136"/>
    </row>
    <row r="623" s="570" customFormat="1" customHeight="1" spans="1:30">
      <c r="A623" s="76"/>
      <c r="B623" s="212" t="s">
        <v>1278</v>
      </c>
      <c r="C623" s="76" t="s">
        <v>320</v>
      </c>
      <c r="D623" s="76" t="s">
        <v>147</v>
      </c>
      <c r="E623" s="76"/>
      <c r="F623" s="76">
        <f t="shared" si="296"/>
        <v>69</v>
      </c>
      <c r="G623" s="76">
        <v>23</v>
      </c>
      <c r="H623" s="76">
        <v>23</v>
      </c>
      <c r="I623" s="76">
        <v>23</v>
      </c>
      <c r="J623" s="76">
        <v>23</v>
      </c>
      <c r="K623" s="76"/>
      <c r="L623" s="76"/>
      <c r="M623" s="76">
        <v>2018</v>
      </c>
      <c r="N623" s="76">
        <v>2020</v>
      </c>
      <c r="O623" s="76">
        <f t="shared" si="297"/>
        <v>37.674</v>
      </c>
      <c r="P623" s="76">
        <f t="shared" si="298"/>
        <v>12.558</v>
      </c>
      <c r="Q623" s="76">
        <f t="shared" si="299"/>
        <v>12.558</v>
      </c>
      <c r="R623" s="76">
        <f t="shared" si="300"/>
        <v>12.558</v>
      </c>
      <c r="S623" s="76">
        <f t="shared" si="301"/>
        <v>37.674</v>
      </c>
      <c r="T623" s="76"/>
      <c r="U623" s="76"/>
      <c r="V623" s="76"/>
      <c r="W623" s="76"/>
      <c r="X623" s="583"/>
      <c r="Y623" s="76"/>
      <c r="Z623" s="76"/>
      <c r="AA623" s="76"/>
      <c r="AB623" s="76"/>
      <c r="AC623" s="76"/>
      <c r="AD623" s="136"/>
    </row>
    <row r="624" s="570" customFormat="1" customHeight="1" spans="1:30">
      <c r="A624" s="76"/>
      <c r="B624" s="212" t="s">
        <v>1279</v>
      </c>
      <c r="C624" s="76" t="s">
        <v>320</v>
      </c>
      <c r="D624" s="76" t="s">
        <v>147</v>
      </c>
      <c r="E624" s="76"/>
      <c r="F624" s="76">
        <f t="shared" si="296"/>
        <v>48</v>
      </c>
      <c r="G624" s="76">
        <v>16</v>
      </c>
      <c r="H624" s="76">
        <v>16</v>
      </c>
      <c r="I624" s="76">
        <v>16</v>
      </c>
      <c r="J624" s="76">
        <v>16</v>
      </c>
      <c r="K624" s="76"/>
      <c r="L624" s="76"/>
      <c r="M624" s="76">
        <v>2018</v>
      </c>
      <c r="N624" s="76">
        <v>2020</v>
      </c>
      <c r="O624" s="76">
        <f t="shared" si="297"/>
        <v>26.208</v>
      </c>
      <c r="P624" s="76">
        <f t="shared" si="298"/>
        <v>8.736</v>
      </c>
      <c r="Q624" s="76">
        <f t="shared" si="299"/>
        <v>8.736</v>
      </c>
      <c r="R624" s="76">
        <f t="shared" si="300"/>
        <v>8.736</v>
      </c>
      <c r="S624" s="76">
        <f t="shared" si="301"/>
        <v>26.208</v>
      </c>
      <c r="T624" s="76"/>
      <c r="U624" s="76"/>
      <c r="V624" s="76"/>
      <c r="W624" s="76"/>
      <c r="X624" s="583"/>
      <c r="Y624" s="76"/>
      <c r="Z624" s="76"/>
      <c r="AA624" s="76"/>
      <c r="AB624" s="76"/>
      <c r="AC624" s="76"/>
      <c r="AD624" s="136"/>
    </row>
    <row r="625" s="570" customFormat="1" customHeight="1" spans="1:30">
      <c r="A625" s="76"/>
      <c r="B625" s="212" t="s">
        <v>1280</v>
      </c>
      <c r="C625" s="76" t="s">
        <v>320</v>
      </c>
      <c r="D625" s="76" t="s">
        <v>147</v>
      </c>
      <c r="E625" s="76"/>
      <c r="F625" s="76">
        <f t="shared" si="296"/>
        <v>45</v>
      </c>
      <c r="G625" s="76">
        <v>15</v>
      </c>
      <c r="H625" s="76">
        <v>15</v>
      </c>
      <c r="I625" s="76">
        <v>15</v>
      </c>
      <c r="J625" s="76">
        <v>15</v>
      </c>
      <c r="K625" s="76"/>
      <c r="L625" s="76"/>
      <c r="M625" s="76">
        <v>2018</v>
      </c>
      <c r="N625" s="76">
        <v>2020</v>
      </c>
      <c r="O625" s="76">
        <f t="shared" si="297"/>
        <v>24.57</v>
      </c>
      <c r="P625" s="76">
        <f t="shared" si="298"/>
        <v>8.19</v>
      </c>
      <c r="Q625" s="76">
        <f t="shared" si="299"/>
        <v>8.19</v>
      </c>
      <c r="R625" s="76">
        <f t="shared" si="300"/>
        <v>8.19</v>
      </c>
      <c r="S625" s="76">
        <f t="shared" si="301"/>
        <v>24.57</v>
      </c>
      <c r="T625" s="76"/>
      <c r="U625" s="76"/>
      <c r="V625" s="76"/>
      <c r="W625" s="76"/>
      <c r="X625" s="583"/>
      <c r="Y625" s="76"/>
      <c r="Z625" s="76"/>
      <c r="AA625" s="76"/>
      <c r="AB625" s="76"/>
      <c r="AC625" s="76"/>
      <c r="AD625" s="136"/>
    </row>
    <row r="626" s="570" customFormat="1" customHeight="1" spans="1:30">
      <c r="A626" s="76"/>
      <c r="B626" s="212" t="s">
        <v>1269</v>
      </c>
      <c r="C626" s="76" t="s">
        <v>320</v>
      </c>
      <c r="D626" s="76" t="s">
        <v>147</v>
      </c>
      <c r="E626" s="76"/>
      <c r="F626" s="76">
        <f t="shared" si="296"/>
        <v>96</v>
      </c>
      <c r="G626" s="76">
        <v>32</v>
      </c>
      <c r="H626" s="76">
        <v>32</v>
      </c>
      <c r="I626" s="76">
        <v>32</v>
      </c>
      <c r="J626" s="76">
        <v>32</v>
      </c>
      <c r="K626" s="76"/>
      <c r="L626" s="76"/>
      <c r="M626" s="76">
        <v>2018</v>
      </c>
      <c r="N626" s="76">
        <v>2020</v>
      </c>
      <c r="O626" s="76">
        <f t="shared" si="297"/>
        <v>52.416</v>
      </c>
      <c r="P626" s="76">
        <f t="shared" si="298"/>
        <v>17.472</v>
      </c>
      <c r="Q626" s="76">
        <f t="shared" si="299"/>
        <v>17.472</v>
      </c>
      <c r="R626" s="76">
        <f t="shared" si="300"/>
        <v>17.472</v>
      </c>
      <c r="S626" s="76">
        <f t="shared" si="301"/>
        <v>52.416</v>
      </c>
      <c r="T626" s="76"/>
      <c r="U626" s="76"/>
      <c r="V626" s="76"/>
      <c r="W626" s="76"/>
      <c r="X626" s="583"/>
      <c r="Y626" s="76"/>
      <c r="Z626" s="76"/>
      <c r="AA626" s="76"/>
      <c r="AB626" s="76"/>
      <c r="AC626" s="76"/>
      <c r="AD626" s="136"/>
    </row>
    <row r="627" s="570" customFormat="1" customHeight="1" spans="1:30">
      <c r="A627" s="76"/>
      <c r="B627" s="212" t="s">
        <v>1270</v>
      </c>
      <c r="C627" s="76" t="s">
        <v>320</v>
      </c>
      <c r="D627" s="76" t="s">
        <v>147</v>
      </c>
      <c r="E627" s="76"/>
      <c r="F627" s="76">
        <f t="shared" si="296"/>
        <v>63</v>
      </c>
      <c r="G627" s="76">
        <v>21</v>
      </c>
      <c r="H627" s="76">
        <v>21</v>
      </c>
      <c r="I627" s="76">
        <v>21</v>
      </c>
      <c r="J627" s="76">
        <v>21</v>
      </c>
      <c r="K627" s="76"/>
      <c r="L627" s="76"/>
      <c r="M627" s="76">
        <v>2018</v>
      </c>
      <c r="N627" s="76">
        <v>2020</v>
      </c>
      <c r="O627" s="76">
        <f t="shared" si="297"/>
        <v>34.398</v>
      </c>
      <c r="P627" s="76">
        <f t="shared" si="298"/>
        <v>11.466</v>
      </c>
      <c r="Q627" s="76">
        <f t="shared" si="299"/>
        <v>11.466</v>
      </c>
      <c r="R627" s="76">
        <f t="shared" si="300"/>
        <v>11.466</v>
      </c>
      <c r="S627" s="76">
        <f t="shared" si="301"/>
        <v>34.398</v>
      </c>
      <c r="T627" s="76"/>
      <c r="U627" s="76"/>
      <c r="V627" s="76"/>
      <c r="W627" s="76"/>
      <c r="X627" s="583"/>
      <c r="Y627" s="76"/>
      <c r="Z627" s="76"/>
      <c r="AA627" s="76"/>
      <c r="AB627" s="76"/>
      <c r="AC627" s="76"/>
      <c r="AD627" s="136"/>
    </row>
    <row r="628" s="570" customFormat="1" customHeight="1" spans="1:30">
      <c r="A628" s="76"/>
      <c r="B628" s="212" t="s">
        <v>1281</v>
      </c>
      <c r="C628" s="76" t="s">
        <v>320</v>
      </c>
      <c r="D628" s="76" t="s">
        <v>147</v>
      </c>
      <c r="E628" s="76"/>
      <c r="F628" s="76">
        <f t="shared" si="296"/>
        <v>54</v>
      </c>
      <c r="G628" s="76">
        <v>18</v>
      </c>
      <c r="H628" s="76">
        <v>18</v>
      </c>
      <c r="I628" s="76">
        <v>18</v>
      </c>
      <c r="J628" s="76">
        <v>18</v>
      </c>
      <c r="K628" s="76"/>
      <c r="L628" s="76"/>
      <c r="M628" s="76">
        <v>2018</v>
      </c>
      <c r="N628" s="76">
        <v>2020</v>
      </c>
      <c r="O628" s="76">
        <f t="shared" si="297"/>
        <v>29.484</v>
      </c>
      <c r="P628" s="76">
        <f t="shared" si="298"/>
        <v>9.828</v>
      </c>
      <c r="Q628" s="76">
        <f t="shared" si="299"/>
        <v>9.828</v>
      </c>
      <c r="R628" s="76">
        <f t="shared" si="300"/>
        <v>9.828</v>
      </c>
      <c r="S628" s="76">
        <f t="shared" si="301"/>
        <v>29.484</v>
      </c>
      <c r="T628" s="76"/>
      <c r="U628" s="76"/>
      <c r="V628" s="76"/>
      <c r="W628" s="76"/>
      <c r="X628" s="583"/>
      <c r="Y628" s="76"/>
      <c r="Z628" s="76"/>
      <c r="AA628" s="76"/>
      <c r="AB628" s="76"/>
      <c r="AC628" s="76"/>
      <c r="AD628" s="136"/>
    </row>
    <row r="629" s="570" customFormat="1" customHeight="1" spans="1:30">
      <c r="A629" s="76"/>
      <c r="B629" s="212" t="s">
        <v>1271</v>
      </c>
      <c r="C629" s="76" t="s">
        <v>320</v>
      </c>
      <c r="D629" s="76" t="s">
        <v>147</v>
      </c>
      <c r="E629" s="76"/>
      <c r="F629" s="76">
        <f t="shared" si="296"/>
        <v>21</v>
      </c>
      <c r="G629" s="76">
        <v>7</v>
      </c>
      <c r="H629" s="76">
        <v>7</v>
      </c>
      <c r="I629" s="76">
        <v>7</v>
      </c>
      <c r="J629" s="76">
        <v>7</v>
      </c>
      <c r="K629" s="76"/>
      <c r="L629" s="76"/>
      <c r="M629" s="76">
        <v>2018</v>
      </c>
      <c r="N629" s="76">
        <v>2020</v>
      </c>
      <c r="O629" s="76">
        <f t="shared" si="297"/>
        <v>11.466</v>
      </c>
      <c r="P629" s="76">
        <f t="shared" si="298"/>
        <v>3.822</v>
      </c>
      <c r="Q629" s="76">
        <f t="shared" si="299"/>
        <v>3.822</v>
      </c>
      <c r="R629" s="76">
        <f t="shared" si="300"/>
        <v>3.822</v>
      </c>
      <c r="S629" s="76">
        <f t="shared" si="301"/>
        <v>11.466</v>
      </c>
      <c r="T629" s="76"/>
      <c r="U629" s="76"/>
      <c r="V629" s="76"/>
      <c r="W629" s="76"/>
      <c r="X629" s="583"/>
      <c r="Y629" s="76"/>
      <c r="Z629" s="76"/>
      <c r="AA629" s="76"/>
      <c r="AB629" s="76"/>
      <c r="AC629" s="76"/>
      <c r="AD629" s="136"/>
    </row>
    <row r="630" s="570" customFormat="1" customHeight="1" spans="1:30">
      <c r="A630" s="76"/>
      <c r="B630" s="212" t="s">
        <v>1282</v>
      </c>
      <c r="C630" s="76" t="s">
        <v>320</v>
      </c>
      <c r="D630" s="76" t="s">
        <v>147</v>
      </c>
      <c r="E630" s="76"/>
      <c r="F630" s="76">
        <f t="shared" si="296"/>
        <v>69</v>
      </c>
      <c r="G630" s="76">
        <v>23</v>
      </c>
      <c r="H630" s="76">
        <v>23</v>
      </c>
      <c r="I630" s="76">
        <v>23</v>
      </c>
      <c r="J630" s="76">
        <v>23</v>
      </c>
      <c r="K630" s="76"/>
      <c r="L630" s="76"/>
      <c r="M630" s="76">
        <v>2018</v>
      </c>
      <c r="N630" s="76">
        <v>2020</v>
      </c>
      <c r="O630" s="76">
        <f t="shared" si="297"/>
        <v>37.674</v>
      </c>
      <c r="P630" s="76">
        <f t="shared" si="298"/>
        <v>12.558</v>
      </c>
      <c r="Q630" s="76">
        <f t="shared" si="299"/>
        <v>12.558</v>
      </c>
      <c r="R630" s="76">
        <f t="shared" si="300"/>
        <v>12.558</v>
      </c>
      <c r="S630" s="76">
        <f t="shared" si="301"/>
        <v>37.674</v>
      </c>
      <c r="T630" s="76"/>
      <c r="U630" s="76"/>
      <c r="V630" s="76"/>
      <c r="W630" s="76"/>
      <c r="X630" s="583"/>
      <c r="Y630" s="76"/>
      <c r="Z630" s="76"/>
      <c r="AA630" s="76"/>
      <c r="AB630" s="76"/>
      <c r="AC630" s="76"/>
      <c r="AD630" s="136"/>
    </row>
    <row r="631" s="570" customFormat="1" customHeight="1" spans="1:30">
      <c r="A631" s="76"/>
      <c r="B631" s="212" t="s">
        <v>1283</v>
      </c>
      <c r="C631" s="76" t="s">
        <v>320</v>
      </c>
      <c r="D631" s="76" t="s">
        <v>147</v>
      </c>
      <c r="E631" s="76"/>
      <c r="F631" s="76">
        <f t="shared" si="296"/>
        <v>87</v>
      </c>
      <c r="G631" s="76">
        <v>29</v>
      </c>
      <c r="H631" s="76">
        <v>29</v>
      </c>
      <c r="I631" s="76">
        <v>29</v>
      </c>
      <c r="J631" s="76">
        <v>29</v>
      </c>
      <c r="K631" s="76">
        <v>1</v>
      </c>
      <c r="L631" s="76">
        <v>1</v>
      </c>
      <c r="M631" s="76">
        <v>2018</v>
      </c>
      <c r="N631" s="76">
        <v>2020</v>
      </c>
      <c r="O631" s="76">
        <f t="shared" si="297"/>
        <v>47.502</v>
      </c>
      <c r="P631" s="76">
        <f t="shared" si="298"/>
        <v>15.834</v>
      </c>
      <c r="Q631" s="76">
        <f t="shared" si="299"/>
        <v>15.834</v>
      </c>
      <c r="R631" s="76">
        <f t="shared" si="300"/>
        <v>15.834</v>
      </c>
      <c r="S631" s="76">
        <f t="shared" si="301"/>
        <v>47.502</v>
      </c>
      <c r="T631" s="76"/>
      <c r="U631" s="76"/>
      <c r="V631" s="76"/>
      <c r="W631" s="76"/>
      <c r="X631" s="583"/>
      <c r="Y631" s="76"/>
      <c r="Z631" s="76"/>
      <c r="AA631" s="76"/>
      <c r="AB631" s="76"/>
      <c r="AC631" s="76"/>
      <c r="AD631" s="136"/>
    </row>
    <row r="632" s="570" customFormat="1" customHeight="1" spans="1:30">
      <c r="A632" s="76"/>
      <c r="B632" s="212" t="s">
        <v>1284</v>
      </c>
      <c r="C632" s="76" t="s">
        <v>320</v>
      </c>
      <c r="D632" s="76" t="s">
        <v>147</v>
      </c>
      <c r="E632" s="76"/>
      <c r="F632" s="76">
        <f t="shared" si="296"/>
        <v>15</v>
      </c>
      <c r="G632" s="76">
        <v>5</v>
      </c>
      <c r="H632" s="76">
        <v>5</v>
      </c>
      <c r="I632" s="76">
        <v>5</v>
      </c>
      <c r="J632" s="76">
        <v>5</v>
      </c>
      <c r="K632" s="76"/>
      <c r="L632" s="76"/>
      <c r="M632" s="76">
        <v>2018</v>
      </c>
      <c r="N632" s="76">
        <v>2020</v>
      </c>
      <c r="O632" s="76">
        <f t="shared" si="297"/>
        <v>8.19</v>
      </c>
      <c r="P632" s="76">
        <f t="shared" si="298"/>
        <v>2.73</v>
      </c>
      <c r="Q632" s="76">
        <f t="shared" si="299"/>
        <v>2.73</v>
      </c>
      <c r="R632" s="76">
        <f t="shared" si="300"/>
        <v>2.73</v>
      </c>
      <c r="S632" s="76">
        <f t="shared" si="301"/>
        <v>8.19</v>
      </c>
      <c r="T632" s="76"/>
      <c r="U632" s="76"/>
      <c r="V632" s="76"/>
      <c r="W632" s="76"/>
      <c r="X632" s="583"/>
      <c r="Y632" s="76"/>
      <c r="Z632" s="76"/>
      <c r="AA632" s="76"/>
      <c r="AB632" s="76"/>
      <c r="AC632" s="76"/>
      <c r="AD632" s="136"/>
    </row>
    <row r="633" s="570" customFormat="1" customHeight="1" spans="1:30">
      <c r="A633" s="76"/>
      <c r="B633" s="212" t="s">
        <v>1315</v>
      </c>
      <c r="C633" s="76" t="s">
        <v>320</v>
      </c>
      <c r="D633" s="76" t="s">
        <v>147</v>
      </c>
      <c r="E633" s="76"/>
      <c r="F633" s="76">
        <f t="shared" si="296"/>
        <v>33</v>
      </c>
      <c r="G633" s="76">
        <v>11</v>
      </c>
      <c r="H633" s="76">
        <v>11</v>
      </c>
      <c r="I633" s="76">
        <v>11</v>
      </c>
      <c r="J633" s="76">
        <v>11</v>
      </c>
      <c r="K633" s="76"/>
      <c r="L633" s="76"/>
      <c r="M633" s="76">
        <v>2018</v>
      </c>
      <c r="N633" s="76">
        <v>2020</v>
      </c>
      <c r="O633" s="76">
        <f t="shared" si="297"/>
        <v>18.018</v>
      </c>
      <c r="P633" s="76">
        <f t="shared" si="298"/>
        <v>6.006</v>
      </c>
      <c r="Q633" s="76">
        <f t="shared" si="299"/>
        <v>6.006</v>
      </c>
      <c r="R633" s="76">
        <f t="shared" si="300"/>
        <v>6.006</v>
      </c>
      <c r="S633" s="76">
        <f t="shared" si="301"/>
        <v>18.018</v>
      </c>
      <c r="T633" s="76"/>
      <c r="U633" s="76"/>
      <c r="V633" s="76"/>
      <c r="W633" s="76"/>
      <c r="X633" s="583"/>
      <c r="Y633" s="76"/>
      <c r="Z633" s="76"/>
      <c r="AA633" s="76"/>
      <c r="AB633" s="76"/>
      <c r="AC633" s="76"/>
      <c r="AD633" s="136"/>
    </row>
    <row r="634" s="570" customFormat="1" customHeight="1" spans="1:30">
      <c r="A634" s="76">
        <v>54</v>
      </c>
      <c r="B634" s="92" t="s">
        <v>448</v>
      </c>
      <c r="C634" s="76" t="s">
        <v>320</v>
      </c>
      <c r="D634" s="76" t="s">
        <v>147</v>
      </c>
      <c r="E634" s="76"/>
      <c r="F634" s="76">
        <f t="shared" ref="F634:L634" si="302">SUM(F635:F645)</f>
        <v>51</v>
      </c>
      <c r="G634" s="76">
        <f t="shared" si="302"/>
        <v>17</v>
      </c>
      <c r="H634" s="76">
        <f t="shared" si="302"/>
        <v>17</v>
      </c>
      <c r="I634" s="76">
        <f t="shared" si="302"/>
        <v>17</v>
      </c>
      <c r="J634" s="76">
        <f t="shared" si="302"/>
        <v>17</v>
      </c>
      <c r="K634" s="76">
        <f t="shared" si="302"/>
        <v>0</v>
      </c>
      <c r="L634" s="76">
        <f t="shared" si="302"/>
        <v>0</v>
      </c>
      <c r="M634" s="76">
        <v>2018</v>
      </c>
      <c r="N634" s="76">
        <v>2020</v>
      </c>
      <c r="O634" s="76">
        <f t="shared" ref="O634:W634" si="303">SUM(O635:O645)</f>
        <v>33.048</v>
      </c>
      <c r="P634" s="76">
        <f t="shared" si="303"/>
        <v>11.016</v>
      </c>
      <c r="Q634" s="76">
        <f t="shared" si="303"/>
        <v>11.016</v>
      </c>
      <c r="R634" s="76">
        <f t="shared" si="303"/>
        <v>11.016</v>
      </c>
      <c r="S634" s="76">
        <f t="shared" si="303"/>
        <v>33.048</v>
      </c>
      <c r="T634" s="76">
        <f t="shared" si="303"/>
        <v>0</v>
      </c>
      <c r="U634" s="76">
        <f t="shared" si="303"/>
        <v>0</v>
      </c>
      <c r="V634" s="76">
        <f t="shared" si="303"/>
        <v>0</v>
      </c>
      <c r="W634" s="76">
        <f t="shared" si="303"/>
        <v>0</v>
      </c>
      <c r="X634" s="583" t="s">
        <v>1038</v>
      </c>
      <c r="Y634" s="76"/>
      <c r="Z634" s="76"/>
      <c r="AA634" s="76" t="s">
        <v>1285</v>
      </c>
      <c r="AB634" s="76" t="s">
        <v>1314</v>
      </c>
      <c r="AC634" s="76" t="s">
        <v>338</v>
      </c>
      <c r="AD634" s="136"/>
    </row>
    <row r="635" s="570" customFormat="1" customHeight="1" spans="1:30">
      <c r="A635" s="76"/>
      <c r="B635" s="212" t="s">
        <v>1265</v>
      </c>
      <c r="C635" s="76" t="s">
        <v>320</v>
      </c>
      <c r="D635" s="76" t="s">
        <v>147</v>
      </c>
      <c r="E635" s="76"/>
      <c r="F635" s="76">
        <f t="shared" ref="F635:F645" si="304">SUM(G635:I635)</f>
        <v>3</v>
      </c>
      <c r="G635" s="76">
        <v>1</v>
      </c>
      <c r="H635" s="76">
        <v>1</v>
      </c>
      <c r="I635" s="76">
        <v>1</v>
      </c>
      <c r="J635" s="76">
        <v>1</v>
      </c>
      <c r="K635" s="76"/>
      <c r="L635" s="76"/>
      <c r="M635" s="76">
        <v>2018</v>
      </c>
      <c r="N635" s="76">
        <v>2020</v>
      </c>
      <c r="O635" s="76">
        <f t="shared" ref="O635:O663" si="305">SUM(P635:R635)</f>
        <v>1.944</v>
      </c>
      <c r="P635" s="76">
        <f t="shared" ref="P635:P645" si="306">0.648*J635</f>
        <v>0.648</v>
      </c>
      <c r="Q635" s="76">
        <f t="shared" ref="Q635:Q645" si="307">0.648*J635</f>
        <v>0.648</v>
      </c>
      <c r="R635" s="76">
        <f t="shared" ref="R635:R645" si="308">0.648*J635</f>
        <v>0.648</v>
      </c>
      <c r="S635" s="76">
        <f t="shared" ref="S635:S646" si="309">O635</f>
        <v>1.944</v>
      </c>
      <c r="T635" s="76"/>
      <c r="U635" s="76"/>
      <c r="V635" s="76"/>
      <c r="W635" s="76"/>
      <c r="X635" s="583"/>
      <c r="Y635" s="76"/>
      <c r="Z635" s="76"/>
      <c r="AA635" s="76"/>
      <c r="AB635" s="76"/>
      <c r="AC635" s="76"/>
      <c r="AD635" s="136"/>
    </row>
    <row r="636" s="570" customFormat="1" customHeight="1" spans="1:30">
      <c r="A636" s="76"/>
      <c r="B636" s="212" t="s">
        <v>1266</v>
      </c>
      <c r="C636" s="76" t="s">
        <v>320</v>
      </c>
      <c r="D636" s="76" t="s">
        <v>147</v>
      </c>
      <c r="E636" s="76"/>
      <c r="F636" s="76">
        <f t="shared" si="304"/>
        <v>9</v>
      </c>
      <c r="G636" s="76">
        <v>3</v>
      </c>
      <c r="H636" s="76">
        <v>3</v>
      </c>
      <c r="I636" s="76">
        <v>3</v>
      </c>
      <c r="J636" s="76">
        <v>3</v>
      </c>
      <c r="K636" s="76"/>
      <c r="L636" s="76"/>
      <c r="M636" s="76">
        <v>2018</v>
      </c>
      <c r="N636" s="76">
        <v>2020</v>
      </c>
      <c r="O636" s="76">
        <f t="shared" si="305"/>
        <v>5.832</v>
      </c>
      <c r="P636" s="76">
        <f t="shared" si="306"/>
        <v>1.944</v>
      </c>
      <c r="Q636" s="76">
        <f t="shared" si="307"/>
        <v>1.944</v>
      </c>
      <c r="R636" s="76">
        <f t="shared" si="308"/>
        <v>1.944</v>
      </c>
      <c r="S636" s="76">
        <f t="shared" si="309"/>
        <v>5.832</v>
      </c>
      <c r="T636" s="76"/>
      <c r="U636" s="76"/>
      <c r="V636" s="76"/>
      <c r="W636" s="76"/>
      <c r="X636" s="583"/>
      <c r="Y636" s="76"/>
      <c r="Z636" s="76"/>
      <c r="AA636" s="76"/>
      <c r="AB636" s="76"/>
      <c r="AC636" s="76"/>
      <c r="AD636" s="136"/>
    </row>
    <row r="637" s="570" customFormat="1" customHeight="1" spans="1:30">
      <c r="A637" s="76"/>
      <c r="B637" s="212" t="s">
        <v>1267</v>
      </c>
      <c r="C637" s="76" t="s">
        <v>320</v>
      </c>
      <c r="D637" s="76" t="s">
        <v>147</v>
      </c>
      <c r="E637" s="76"/>
      <c r="F637" s="76">
        <f t="shared" si="304"/>
        <v>3</v>
      </c>
      <c r="G637" s="76">
        <v>1</v>
      </c>
      <c r="H637" s="76">
        <v>1</v>
      </c>
      <c r="I637" s="76">
        <v>1</v>
      </c>
      <c r="J637" s="76">
        <v>1</v>
      </c>
      <c r="K637" s="76"/>
      <c r="L637" s="76"/>
      <c r="M637" s="76">
        <v>2018</v>
      </c>
      <c r="N637" s="76">
        <v>2020</v>
      </c>
      <c r="O637" s="76">
        <f t="shared" si="305"/>
        <v>1.944</v>
      </c>
      <c r="P637" s="76">
        <f t="shared" si="306"/>
        <v>0.648</v>
      </c>
      <c r="Q637" s="76">
        <f t="shared" si="307"/>
        <v>0.648</v>
      </c>
      <c r="R637" s="76">
        <f t="shared" si="308"/>
        <v>0.648</v>
      </c>
      <c r="S637" s="76">
        <f t="shared" si="309"/>
        <v>1.944</v>
      </c>
      <c r="T637" s="76"/>
      <c r="U637" s="76"/>
      <c r="V637" s="76"/>
      <c r="W637" s="76"/>
      <c r="X637" s="583"/>
      <c r="Y637" s="76"/>
      <c r="Z637" s="76"/>
      <c r="AA637" s="76"/>
      <c r="AB637" s="76"/>
      <c r="AC637" s="76"/>
      <c r="AD637" s="136"/>
    </row>
    <row r="638" s="570" customFormat="1" customHeight="1" spans="1:30">
      <c r="A638" s="76"/>
      <c r="B638" s="212" t="s">
        <v>1268</v>
      </c>
      <c r="C638" s="76" t="s">
        <v>320</v>
      </c>
      <c r="D638" s="76" t="s">
        <v>147</v>
      </c>
      <c r="E638" s="76"/>
      <c r="F638" s="76">
        <f t="shared" si="304"/>
        <v>6</v>
      </c>
      <c r="G638" s="76">
        <v>2</v>
      </c>
      <c r="H638" s="76">
        <v>2</v>
      </c>
      <c r="I638" s="76">
        <v>2</v>
      </c>
      <c r="J638" s="76">
        <v>2</v>
      </c>
      <c r="K638" s="76"/>
      <c r="L638" s="76"/>
      <c r="M638" s="76">
        <v>2018</v>
      </c>
      <c r="N638" s="76">
        <v>2020</v>
      </c>
      <c r="O638" s="76">
        <f t="shared" si="305"/>
        <v>3.888</v>
      </c>
      <c r="P638" s="76">
        <f t="shared" si="306"/>
        <v>1.296</v>
      </c>
      <c r="Q638" s="76">
        <f t="shared" si="307"/>
        <v>1.296</v>
      </c>
      <c r="R638" s="76">
        <f t="shared" si="308"/>
        <v>1.296</v>
      </c>
      <c r="S638" s="76">
        <f t="shared" si="309"/>
        <v>3.888</v>
      </c>
      <c r="T638" s="76"/>
      <c r="U638" s="76"/>
      <c r="V638" s="76"/>
      <c r="W638" s="76"/>
      <c r="X638" s="583"/>
      <c r="Y638" s="76"/>
      <c r="Z638" s="76"/>
      <c r="AA638" s="76"/>
      <c r="AB638" s="76"/>
      <c r="AC638" s="76"/>
      <c r="AD638" s="136"/>
    </row>
    <row r="639" s="570" customFormat="1" customHeight="1" spans="1:30">
      <c r="A639" s="76"/>
      <c r="B639" s="212" t="s">
        <v>1275</v>
      </c>
      <c r="C639" s="76" t="s">
        <v>320</v>
      </c>
      <c r="D639" s="76" t="s">
        <v>147</v>
      </c>
      <c r="E639" s="76"/>
      <c r="F639" s="76">
        <f t="shared" si="304"/>
        <v>3</v>
      </c>
      <c r="G639" s="76">
        <v>1</v>
      </c>
      <c r="H639" s="76">
        <v>1</v>
      </c>
      <c r="I639" s="76">
        <v>1</v>
      </c>
      <c r="J639" s="76">
        <v>1</v>
      </c>
      <c r="K639" s="76"/>
      <c r="L639" s="76"/>
      <c r="M639" s="76">
        <v>2018</v>
      </c>
      <c r="N639" s="76">
        <v>2020</v>
      </c>
      <c r="O639" s="76">
        <f t="shared" si="305"/>
        <v>1.944</v>
      </c>
      <c r="P639" s="76">
        <f t="shared" si="306"/>
        <v>0.648</v>
      </c>
      <c r="Q639" s="76">
        <f t="shared" si="307"/>
        <v>0.648</v>
      </c>
      <c r="R639" s="76">
        <f t="shared" si="308"/>
        <v>0.648</v>
      </c>
      <c r="S639" s="76">
        <f t="shared" si="309"/>
        <v>1.944</v>
      </c>
      <c r="T639" s="76"/>
      <c r="U639" s="76"/>
      <c r="V639" s="76"/>
      <c r="W639" s="76"/>
      <c r="X639" s="583"/>
      <c r="Y639" s="76"/>
      <c r="Z639" s="76"/>
      <c r="AA639" s="76"/>
      <c r="AB639" s="76"/>
      <c r="AC639" s="76"/>
      <c r="AD639" s="136"/>
    </row>
    <row r="640" s="570" customFormat="1" customHeight="1" spans="1:30">
      <c r="A640" s="76"/>
      <c r="B640" s="212" t="s">
        <v>1276</v>
      </c>
      <c r="C640" s="76" t="s">
        <v>320</v>
      </c>
      <c r="D640" s="76" t="s">
        <v>147</v>
      </c>
      <c r="E640" s="76"/>
      <c r="F640" s="76">
        <f t="shared" si="304"/>
        <v>6</v>
      </c>
      <c r="G640" s="76">
        <v>2</v>
      </c>
      <c r="H640" s="76">
        <v>2</v>
      </c>
      <c r="I640" s="76">
        <v>2</v>
      </c>
      <c r="J640" s="76">
        <v>2</v>
      </c>
      <c r="K640" s="76"/>
      <c r="L640" s="76"/>
      <c r="M640" s="76">
        <v>2018</v>
      </c>
      <c r="N640" s="76">
        <v>2020</v>
      </c>
      <c r="O640" s="76">
        <f t="shared" si="305"/>
        <v>3.888</v>
      </c>
      <c r="P640" s="76">
        <f t="shared" si="306"/>
        <v>1.296</v>
      </c>
      <c r="Q640" s="76">
        <f t="shared" si="307"/>
        <v>1.296</v>
      </c>
      <c r="R640" s="76">
        <f t="shared" si="308"/>
        <v>1.296</v>
      </c>
      <c r="S640" s="76">
        <f t="shared" si="309"/>
        <v>3.888</v>
      </c>
      <c r="T640" s="76"/>
      <c r="U640" s="76"/>
      <c r="V640" s="76"/>
      <c r="W640" s="76"/>
      <c r="X640" s="583"/>
      <c r="Y640" s="76"/>
      <c r="Z640" s="76"/>
      <c r="AA640" s="76"/>
      <c r="AB640" s="76"/>
      <c r="AC640" s="76"/>
      <c r="AD640" s="136"/>
    </row>
    <row r="641" s="570" customFormat="1" customHeight="1" spans="1:30">
      <c r="A641" s="76"/>
      <c r="B641" s="212" t="s">
        <v>1278</v>
      </c>
      <c r="C641" s="76" t="s">
        <v>320</v>
      </c>
      <c r="D641" s="76" t="s">
        <v>147</v>
      </c>
      <c r="E641" s="76"/>
      <c r="F641" s="76">
        <f t="shared" si="304"/>
        <v>6</v>
      </c>
      <c r="G641" s="76">
        <v>2</v>
      </c>
      <c r="H641" s="76">
        <v>2</v>
      </c>
      <c r="I641" s="76">
        <v>2</v>
      </c>
      <c r="J641" s="76">
        <v>2</v>
      </c>
      <c r="K641" s="76"/>
      <c r="L641" s="76"/>
      <c r="M641" s="76">
        <v>2018</v>
      </c>
      <c r="N641" s="76">
        <v>2020</v>
      </c>
      <c r="O641" s="76">
        <f t="shared" si="305"/>
        <v>3.888</v>
      </c>
      <c r="P641" s="76">
        <f t="shared" si="306"/>
        <v>1.296</v>
      </c>
      <c r="Q641" s="76">
        <f t="shared" si="307"/>
        <v>1.296</v>
      </c>
      <c r="R641" s="76">
        <f t="shared" si="308"/>
        <v>1.296</v>
      </c>
      <c r="S641" s="76">
        <f t="shared" si="309"/>
        <v>3.888</v>
      </c>
      <c r="T641" s="76"/>
      <c r="U641" s="76"/>
      <c r="V641" s="76"/>
      <c r="W641" s="76"/>
      <c r="X641" s="583"/>
      <c r="Y641" s="76"/>
      <c r="Z641" s="76"/>
      <c r="AA641" s="76"/>
      <c r="AB641" s="76"/>
      <c r="AC641" s="76"/>
      <c r="AD641" s="136"/>
    </row>
    <row r="642" s="570" customFormat="1" customHeight="1" spans="1:30">
      <c r="A642" s="76"/>
      <c r="B642" s="212" t="s">
        <v>1271</v>
      </c>
      <c r="C642" s="76" t="s">
        <v>320</v>
      </c>
      <c r="D642" s="76" t="s">
        <v>147</v>
      </c>
      <c r="E642" s="76"/>
      <c r="F642" s="76">
        <f t="shared" si="304"/>
        <v>3</v>
      </c>
      <c r="G642" s="76">
        <v>1</v>
      </c>
      <c r="H642" s="76">
        <v>1</v>
      </c>
      <c r="I642" s="76">
        <v>1</v>
      </c>
      <c r="J642" s="76">
        <v>1</v>
      </c>
      <c r="K642" s="76"/>
      <c r="L642" s="76"/>
      <c r="M642" s="76">
        <v>2018</v>
      </c>
      <c r="N642" s="76">
        <v>2020</v>
      </c>
      <c r="O642" s="76">
        <f t="shared" si="305"/>
        <v>1.944</v>
      </c>
      <c r="P642" s="76">
        <f t="shared" si="306"/>
        <v>0.648</v>
      </c>
      <c r="Q642" s="76">
        <f t="shared" si="307"/>
        <v>0.648</v>
      </c>
      <c r="R642" s="76">
        <f t="shared" si="308"/>
        <v>0.648</v>
      </c>
      <c r="S642" s="76">
        <f t="shared" si="309"/>
        <v>1.944</v>
      </c>
      <c r="T642" s="76"/>
      <c r="U642" s="76"/>
      <c r="V642" s="76"/>
      <c r="W642" s="76"/>
      <c r="X642" s="583"/>
      <c r="Y642" s="76"/>
      <c r="Z642" s="76"/>
      <c r="AA642" s="76"/>
      <c r="AB642" s="76"/>
      <c r="AC642" s="76"/>
      <c r="AD642" s="136"/>
    </row>
    <row r="643" s="570" customFormat="1" customHeight="1" spans="1:30">
      <c r="A643" s="76"/>
      <c r="B643" s="212" t="s">
        <v>1282</v>
      </c>
      <c r="C643" s="76" t="s">
        <v>320</v>
      </c>
      <c r="D643" s="76" t="s">
        <v>147</v>
      </c>
      <c r="E643" s="76"/>
      <c r="F643" s="76">
        <f t="shared" si="304"/>
        <v>6</v>
      </c>
      <c r="G643" s="76">
        <v>2</v>
      </c>
      <c r="H643" s="76">
        <v>2</v>
      </c>
      <c r="I643" s="76">
        <v>2</v>
      </c>
      <c r="J643" s="76">
        <v>2</v>
      </c>
      <c r="K643" s="76"/>
      <c r="L643" s="76"/>
      <c r="M643" s="76">
        <v>2018</v>
      </c>
      <c r="N643" s="76">
        <v>2020</v>
      </c>
      <c r="O643" s="76">
        <f t="shared" si="305"/>
        <v>3.888</v>
      </c>
      <c r="P643" s="76">
        <f t="shared" si="306"/>
        <v>1.296</v>
      </c>
      <c r="Q643" s="76">
        <f t="shared" si="307"/>
        <v>1.296</v>
      </c>
      <c r="R643" s="76">
        <f t="shared" si="308"/>
        <v>1.296</v>
      </c>
      <c r="S643" s="76">
        <f t="shared" si="309"/>
        <v>3.888</v>
      </c>
      <c r="T643" s="76"/>
      <c r="U643" s="76"/>
      <c r="V643" s="76"/>
      <c r="W643" s="76"/>
      <c r="X643" s="583"/>
      <c r="Y643" s="76"/>
      <c r="Z643" s="76"/>
      <c r="AA643" s="76"/>
      <c r="AB643" s="76"/>
      <c r="AC643" s="76"/>
      <c r="AD643" s="136"/>
    </row>
    <row r="644" s="570" customFormat="1" customHeight="1" spans="1:30">
      <c r="A644" s="76"/>
      <c r="B644" s="212" t="s">
        <v>1284</v>
      </c>
      <c r="C644" s="76" t="s">
        <v>320</v>
      </c>
      <c r="D644" s="76" t="s">
        <v>147</v>
      </c>
      <c r="E644" s="76"/>
      <c r="F644" s="76">
        <f t="shared" si="304"/>
        <v>3</v>
      </c>
      <c r="G644" s="76">
        <v>1</v>
      </c>
      <c r="H644" s="76">
        <v>1</v>
      </c>
      <c r="I644" s="76">
        <v>1</v>
      </c>
      <c r="J644" s="76">
        <v>1</v>
      </c>
      <c r="K644" s="76"/>
      <c r="L644" s="76"/>
      <c r="M644" s="76">
        <v>2018</v>
      </c>
      <c r="N644" s="76">
        <v>2020</v>
      </c>
      <c r="O644" s="76">
        <f t="shared" si="305"/>
        <v>1.944</v>
      </c>
      <c r="P644" s="76">
        <f t="shared" si="306"/>
        <v>0.648</v>
      </c>
      <c r="Q644" s="76">
        <f t="shared" si="307"/>
        <v>0.648</v>
      </c>
      <c r="R644" s="76">
        <f t="shared" si="308"/>
        <v>0.648</v>
      </c>
      <c r="S644" s="76">
        <f t="shared" si="309"/>
        <v>1.944</v>
      </c>
      <c r="T644" s="76"/>
      <c r="U644" s="76"/>
      <c r="V644" s="76"/>
      <c r="W644" s="76"/>
      <c r="X644" s="583"/>
      <c r="Y644" s="76"/>
      <c r="Z644" s="76"/>
      <c r="AA644" s="76"/>
      <c r="AB644" s="76"/>
      <c r="AC644" s="76"/>
      <c r="AD644" s="136"/>
    </row>
    <row r="645" s="570" customFormat="1" customHeight="1" spans="1:30">
      <c r="A645" s="76"/>
      <c r="B645" s="212" t="s">
        <v>1315</v>
      </c>
      <c r="C645" s="76" t="s">
        <v>320</v>
      </c>
      <c r="D645" s="76" t="s">
        <v>147</v>
      </c>
      <c r="E645" s="76"/>
      <c r="F645" s="76">
        <f t="shared" si="304"/>
        <v>3</v>
      </c>
      <c r="G645" s="76">
        <v>1</v>
      </c>
      <c r="H645" s="76">
        <v>1</v>
      </c>
      <c r="I645" s="76">
        <v>1</v>
      </c>
      <c r="J645" s="76">
        <v>1</v>
      </c>
      <c r="K645" s="76"/>
      <c r="L645" s="76"/>
      <c r="M645" s="76">
        <v>2018</v>
      </c>
      <c r="N645" s="76">
        <v>2020</v>
      </c>
      <c r="O645" s="76">
        <f t="shared" si="305"/>
        <v>1.944</v>
      </c>
      <c r="P645" s="76">
        <f t="shared" si="306"/>
        <v>0.648</v>
      </c>
      <c r="Q645" s="76">
        <f t="shared" si="307"/>
        <v>0.648</v>
      </c>
      <c r="R645" s="76">
        <f t="shared" si="308"/>
        <v>0.648</v>
      </c>
      <c r="S645" s="76">
        <f t="shared" si="309"/>
        <v>1.944</v>
      </c>
      <c r="T645" s="76"/>
      <c r="U645" s="76"/>
      <c r="V645" s="76"/>
      <c r="W645" s="76"/>
      <c r="X645" s="583"/>
      <c r="Y645" s="76"/>
      <c r="Z645" s="76"/>
      <c r="AA645" s="76"/>
      <c r="AB645" s="76"/>
      <c r="AC645" s="76"/>
      <c r="AD645" s="136"/>
    </row>
    <row r="646" s="570" customFormat="1" customHeight="1" spans="1:30">
      <c r="A646" s="76">
        <v>55</v>
      </c>
      <c r="B646" s="92" t="s">
        <v>449</v>
      </c>
      <c r="C646" s="76" t="s">
        <v>320</v>
      </c>
      <c r="D646" s="76" t="s">
        <v>147</v>
      </c>
      <c r="E646" s="76"/>
      <c r="F646" s="76">
        <f t="shared" ref="F646:L646" si="310">SUM(F647:F664)</f>
        <v>945</v>
      </c>
      <c r="G646" s="76">
        <f t="shared" si="310"/>
        <v>315</v>
      </c>
      <c r="H646" s="76">
        <f t="shared" si="310"/>
        <v>315</v>
      </c>
      <c r="I646" s="76">
        <f t="shared" si="310"/>
        <v>315</v>
      </c>
      <c r="J646" s="76">
        <f t="shared" si="310"/>
        <v>315</v>
      </c>
      <c r="K646" s="76">
        <f t="shared" si="310"/>
        <v>14</v>
      </c>
      <c r="L646" s="76">
        <f t="shared" si="310"/>
        <v>14</v>
      </c>
      <c r="M646" s="76">
        <v>2018</v>
      </c>
      <c r="N646" s="76">
        <v>2020</v>
      </c>
      <c r="O646" s="76">
        <f t="shared" si="305"/>
        <v>127.98</v>
      </c>
      <c r="P646" s="76">
        <v>42.66</v>
      </c>
      <c r="Q646" s="76">
        <v>42.66</v>
      </c>
      <c r="R646" s="76">
        <v>42.66</v>
      </c>
      <c r="S646" s="76">
        <f t="shared" si="309"/>
        <v>127.98</v>
      </c>
      <c r="T646" s="76"/>
      <c r="U646" s="76"/>
      <c r="V646" s="76"/>
      <c r="W646" s="76"/>
      <c r="X646" s="583" t="s">
        <v>1038</v>
      </c>
      <c r="Y646" s="76"/>
      <c r="Z646" s="76"/>
      <c r="AA646" s="76" t="s">
        <v>1285</v>
      </c>
      <c r="AB646" s="76" t="s">
        <v>1314</v>
      </c>
      <c r="AC646" s="76" t="s">
        <v>452</v>
      </c>
      <c r="AD646" s="136"/>
    </row>
    <row r="647" s="570" customFormat="1" customHeight="1" spans="1:30">
      <c r="A647" s="76"/>
      <c r="B647" s="212" t="s">
        <v>1265</v>
      </c>
      <c r="C647" s="76" t="s">
        <v>320</v>
      </c>
      <c r="D647" s="76" t="s">
        <v>147</v>
      </c>
      <c r="E647" s="76"/>
      <c r="F647" s="76">
        <f t="shared" ref="F647:F664" si="311">SUM(G647:I647)</f>
        <v>30</v>
      </c>
      <c r="G647" s="76">
        <v>10</v>
      </c>
      <c r="H647" s="76">
        <v>10</v>
      </c>
      <c r="I647" s="76">
        <v>10</v>
      </c>
      <c r="J647" s="76">
        <v>10</v>
      </c>
      <c r="K647" s="76"/>
      <c r="L647" s="76"/>
      <c r="M647" s="76">
        <v>2018</v>
      </c>
      <c r="N647" s="76">
        <v>2020</v>
      </c>
      <c r="O647" s="76">
        <f t="shared" si="305"/>
        <v>0</v>
      </c>
      <c r="P647" s="76"/>
      <c r="Q647" s="76"/>
      <c r="R647" s="76"/>
      <c r="S647" s="76"/>
      <c r="T647" s="76"/>
      <c r="U647" s="76"/>
      <c r="V647" s="76"/>
      <c r="W647" s="76"/>
      <c r="X647" s="583"/>
      <c r="Y647" s="76"/>
      <c r="Z647" s="76"/>
      <c r="AA647" s="76"/>
      <c r="AB647" s="76"/>
      <c r="AC647" s="76"/>
      <c r="AD647" s="136"/>
    </row>
    <row r="648" s="570" customFormat="1" customHeight="1" spans="1:30">
      <c r="A648" s="76"/>
      <c r="B648" s="212" t="s">
        <v>1266</v>
      </c>
      <c r="C648" s="76" t="s">
        <v>320</v>
      </c>
      <c r="D648" s="76" t="s">
        <v>147</v>
      </c>
      <c r="E648" s="76"/>
      <c r="F648" s="76">
        <f t="shared" si="311"/>
        <v>36</v>
      </c>
      <c r="G648" s="76">
        <v>12</v>
      </c>
      <c r="H648" s="76">
        <v>12</v>
      </c>
      <c r="I648" s="76">
        <v>12</v>
      </c>
      <c r="J648" s="76">
        <v>12</v>
      </c>
      <c r="K648" s="76"/>
      <c r="L648" s="76"/>
      <c r="M648" s="76">
        <v>2018</v>
      </c>
      <c r="N648" s="76">
        <v>2020</v>
      </c>
      <c r="O648" s="76">
        <f t="shared" si="305"/>
        <v>0</v>
      </c>
      <c r="P648" s="76"/>
      <c r="Q648" s="76"/>
      <c r="R648" s="76"/>
      <c r="S648" s="76"/>
      <c r="T648" s="76"/>
      <c r="U648" s="76"/>
      <c r="V648" s="76"/>
      <c r="W648" s="76"/>
      <c r="X648" s="583"/>
      <c r="Y648" s="76"/>
      <c r="Z648" s="76"/>
      <c r="AA648" s="76"/>
      <c r="AB648" s="76"/>
      <c r="AC648" s="76"/>
      <c r="AD648" s="136"/>
    </row>
    <row r="649" s="570" customFormat="1" customHeight="1" spans="1:30">
      <c r="A649" s="76"/>
      <c r="B649" s="212" t="s">
        <v>1267</v>
      </c>
      <c r="C649" s="76" t="s">
        <v>320</v>
      </c>
      <c r="D649" s="76" t="s">
        <v>147</v>
      </c>
      <c r="E649" s="76"/>
      <c r="F649" s="76">
        <f t="shared" si="311"/>
        <v>72</v>
      </c>
      <c r="G649" s="76">
        <v>24</v>
      </c>
      <c r="H649" s="76">
        <v>24</v>
      </c>
      <c r="I649" s="76">
        <v>24</v>
      </c>
      <c r="J649" s="76">
        <v>24</v>
      </c>
      <c r="K649" s="76">
        <v>1</v>
      </c>
      <c r="L649" s="76">
        <v>1</v>
      </c>
      <c r="M649" s="76">
        <v>2018</v>
      </c>
      <c r="N649" s="76">
        <v>2020</v>
      </c>
      <c r="O649" s="76">
        <f t="shared" si="305"/>
        <v>0</v>
      </c>
      <c r="P649" s="76"/>
      <c r="Q649" s="76"/>
      <c r="R649" s="76"/>
      <c r="S649" s="76"/>
      <c r="T649" s="76"/>
      <c r="U649" s="76"/>
      <c r="V649" s="76"/>
      <c r="W649" s="76"/>
      <c r="X649" s="583"/>
      <c r="Y649" s="76"/>
      <c r="Z649" s="76"/>
      <c r="AA649" s="76"/>
      <c r="AB649" s="76"/>
      <c r="AC649" s="76"/>
      <c r="AD649" s="136"/>
    </row>
    <row r="650" s="570" customFormat="1" customHeight="1" spans="1:30">
      <c r="A650" s="76"/>
      <c r="B650" s="212" t="s">
        <v>1268</v>
      </c>
      <c r="C650" s="76" t="s">
        <v>320</v>
      </c>
      <c r="D650" s="76" t="s">
        <v>147</v>
      </c>
      <c r="E650" s="76"/>
      <c r="F650" s="76">
        <f t="shared" si="311"/>
        <v>54</v>
      </c>
      <c r="G650" s="76">
        <v>18</v>
      </c>
      <c r="H650" s="76">
        <v>18</v>
      </c>
      <c r="I650" s="76">
        <v>18</v>
      </c>
      <c r="J650" s="76">
        <v>18</v>
      </c>
      <c r="K650" s="76">
        <v>1</v>
      </c>
      <c r="L650" s="76">
        <v>1</v>
      </c>
      <c r="M650" s="76">
        <v>2018</v>
      </c>
      <c r="N650" s="76">
        <v>2020</v>
      </c>
      <c r="O650" s="76">
        <f t="shared" si="305"/>
        <v>0</v>
      </c>
      <c r="P650" s="76"/>
      <c r="Q650" s="76"/>
      <c r="R650" s="76"/>
      <c r="S650" s="76"/>
      <c r="T650" s="76"/>
      <c r="U650" s="76"/>
      <c r="V650" s="76"/>
      <c r="W650" s="76"/>
      <c r="X650" s="583"/>
      <c r="Y650" s="76"/>
      <c r="Z650" s="76"/>
      <c r="AA650" s="76"/>
      <c r="AB650" s="76"/>
      <c r="AC650" s="76"/>
      <c r="AD650" s="136"/>
    </row>
    <row r="651" s="570" customFormat="1" customHeight="1" spans="1:30">
      <c r="A651" s="76"/>
      <c r="B651" s="212" t="s">
        <v>1275</v>
      </c>
      <c r="C651" s="76" t="s">
        <v>320</v>
      </c>
      <c r="D651" s="76" t="s">
        <v>147</v>
      </c>
      <c r="E651" s="76"/>
      <c r="F651" s="76">
        <f t="shared" si="311"/>
        <v>90</v>
      </c>
      <c r="G651" s="76">
        <v>30</v>
      </c>
      <c r="H651" s="76">
        <v>30</v>
      </c>
      <c r="I651" s="76">
        <v>30</v>
      </c>
      <c r="J651" s="76">
        <v>30</v>
      </c>
      <c r="K651" s="76">
        <v>1</v>
      </c>
      <c r="L651" s="76">
        <v>1</v>
      </c>
      <c r="M651" s="76">
        <v>2018</v>
      </c>
      <c r="N651" s="76">
        <v>2020</v>
      </c>
      <c r="O651" s="76">
        <f t="shared" si="305"/>
        <v>0</v>
      </c>
      <c r="P651" s="76"/>
      <c r="Q651" s="76"/>
      <c r="R651" s="76"/>
      <c r="S651" s="76"/>
      <c r="T651" s="76"/>
      <c r="U651" s="76"/>
      <c r="V651" s="76"/>
      <c r="W651" s="76"/>
      <c r="X651" s="583"/>
      <c r="Y651" s="76"/>
      <c r="Z651" s="76"/>
      <c r="AA651" s="76"/>
      <c r="AB651" s="76"/>
      <c r="AC651" s="76"/>
      <c r="AD651" s="136"/>
    </row>
    <row r="652" s="570" customFormat="1" customHeight="1" spans="1:30">
      <c r="A652" s="76"/>
      <c r="B652" s="212" t="s">
        <v>1276</v>
      </c>
      <c r="C652" s="76" t="s">
        <v>320</v>
      </c>
      <c r="D652" s="76" t="s">
        <v>147</v>
      </c>
      <c r="E652" s="76"/>
      <c r="F652" s="76">
        <f t="shared" si="311"/>
        <v>75</v>
      </c>
      <c r="G652" s="76">
        <v>25</v>
      </c>
      <c r="H652" s="76">
        <v>25</v>
      </c>
      <c r="I652" s="76">
        <v>25</v>
      </c>
      <c r="J652" s="76">
        <v>25</v>
      </c>
      <c r="K652" s="76">
        <v>2</v>
      </c>
      <c r="L652" s="76">
        <v>2</v>
      </c>
      <c r="M652" s="76">
        <v>2018</v>
      </c>
      <c r="N652" s="76">
        <v>2020</v>
      </c>
      <c r="O652" s="76">
        <f t="shared" si="305"/>
        <v>0</v>
      </c>
      <c r="P652" s="76"/>
      <c r="Q652" s="76"/>
      <c r="R652" s="76"/>
      <c r="S652" s="76"/>
      <c r="T652" s="76"/>
      <c r="U652" s="76"/>
      <c r="V652" s="76"/>
      <c r="W652" s="76"/>
      <c r="X652" s="583"/>
      <c r="Y652" s="76"/>
      <c r="Z652" s="76"/>
      <c r="AA652" s="76"/>
      <c r="AB652" s="76"/>
      <c r="AC652" s="76"/>
      <c r="AD652" s="136"/>
    </row>
    <row r="653" s="570" customFormat="1" customHeight="1" spans="1:30">
      <c r="A653" s="76"/>
      <c r="B653" s="212" t="s">
        <v>1277</v>
      </c>
      <c r="C653" s="76" t="s">
        <v>320</v>
      </c>
      <c r="D653" s="76" t="s">
        <v>147</v>
      </c>
      <c r="E653" s="76"/>
      <c r="F653" s="76">
        <f t="shared" si="311"/>
        <v>36</v>
      </c>
      <c r="G653" s="76">
        <v>12</v>
      </c>
      <c r="H653" s="76">
        <v>12</v>
      </c>
      <c r="I653" s="76">
        <v>12</v>
      </c>
      <c r="J653" s="76">
        <v>12</v>
      </c>
      <c r="K653" s="76">
        <v>1</v>
      </c>
      <c r="L653" s="76">
        <v>1</v>
      </c>
      <c r="M653" s="76">
        <v>2018</v>
      </c>
      <c r="N653" s="76">
        <v>2020</v>
      </c>
      <c r="O653" s="76">
        <f t="shared" si="305"/>
        <v>0</v>
      </c>
      <c r="P653" s="76"/>
      <c r="Q653" s="76"/>
      <c r="R653" s="76"/>
      <c r="S653" s="76"/>
      <c r="T653" s="76"/>
      <c r="U653" s="76"/>
      <c r="V653" s="76"/>
      <c r="W653" s="76"/>
      <c r="X653" s="583"/>
      <c r="Y653" s="76"/>
      <c r="Z653" s="76"/>
      <c r="AA653" s="76"/>
      <c r="AB653" s="76"/>
      <c r="AC653" s="76"/>
      <c r="AD653" s="136"/>
    </row>
    <row r="654" s="570" customFormat="1" customHeight="1" spans="1:30">
      <c r="A654" s="76"/>
      <c r="B654" s="212" t="s">
        <v>1278</v>
      </c>
      <c r="C654" s="76" t="s">
        <v>320</v>
      </c>
      <c r="D654" s="76" t="s">
        <v>147</v>
      </c>
      <c r="E654" s="76"/>
      <c r="F654" s="76">
        <f t="shared" si="311"/>
        <v>36</v>
      </c>
      <c r="G654" s="76">
        <v>12</v>
      </c>
      <c r="H654" s="76">
        <v>12</v>
      </c>
      <c r="I654" s="76">
        <v>12</v>
      </c>
      <c r="J654" s="76">
        <v>12</v>
      </c>
      <c r="K654" s="76">
        <v>3</v>
      </c>
      <c r="L654" s="76">
        <v>3</v>
      </c>
      <c r="M654" s="76">
        <v>2018</v>
      </c>
      <c r="N654" s="76">
        <v>2020</v>
      </c>
      <c r="O654" s="76">
        <f t="shared" si="305"/>
        <v>0</v>
      </c>
      <c r="P654" s="76"/>
      <c r="Q654" s="76"/>
      <c r="R654" s="76"/>
      <c r="S654" s="76"/>
      <c r="T654" s="76"/>
      <c r="U654" s="76"/>
      <c r="V654" s="76"/>
      <c r="W654" s="76"/>
      <c r="X654" s="583"/>
      <c r="Y654" s="76"/>
      <c r="Z654" s="76"/>
      <c r="AA654" s="76"/>
      <c r="AB654" s="76"/>
      <c r="AC654" s="76"/>
      <c r="AD654" s="136"/>
    </row>
    <row r="655" s="570" customFormat="1" customHeight="1" spans="1:30">
      <c r="A655" s="76"/>
      <c r="B655" s="212" t="s">
        <v>1279</v>
      </c>
      <c r="C655" s="76" t="s">
        <v>320</v>
      </c>
      <c r="D655" s="76" t="s">
        <v>147</v>
      </c>
      <c r="E655" s="76"/>
      <c r="F655" s="76">
        <f t="shared" si="311"/>
        <v>15</v>
      </c>
      <c r="G655" s="76">
        <v>5</v>
      </c>
      <c r="H655" s="76">
        <v>5</v>
      </c>
      <c r="I655" s="76">
        <v>5</v>
      </c>
      <c r="J655" s="76">
        <v>5</v>
      </c>
      <c r="K655" s="76"/>
      <c r="L655" s="76"/>
      <c r="M655" s="76">
        <v>2018</v>
      </c>
      <c r="N655" s="76">
        <v>2020</v>
      </c>
      <c r="O655" s="76">
        <f t="shared" si="305"/>
        <v>0</v>
      </c>
      <c r="P655" s="76"/>
      <c r="Q655" s="76"/>
      <c r="R655" s="76"/>
      <c r="S655" s="76"/>
      <c r="T655" s="76"/>
      <c r="U655" s="76"/>
      <c r="V655" s="76"/>
      <c r="W655" s="76"/>
      <c r="X655" s="583"/>
      <c r="Y655" s="76"/>
      <c r="Z655" s="76"/>
      <c r="AA655" s="76"/>
      <c r="AB655" s="76"/>
      <c r="AC655" s="76"/>
      <c r="AD655" s="136"/>
    </row>
    <row r="656" s="570" customFormat="1" customHeight="1" spans="1:30">
      <c r="A656" s="76"/>
      <c r="B656" s="212" t="s">
        <v>1280</v>
      </c>
      <c r="C656" s="76" t="s">
        <v>320</v>
      </c>
      <c r="D656" s="76" t="s">
        <v>147</v>
      </c>
      <c r="E656" s="76"/>
      <c r="F656" s="76">
        <f t="shared" si="311"/>
        <v>72</v>
      </c>
      <c r="G656" s="76">
        <v>24</v>
      </c>
      <c r="H656" s="76">
        <v>24</v>
      </c>
      <c r="I656" s="76">
        <v>24</v>
      </c>
      <c r="J656" s="76">
        <v>24</v>
      </c>
      <c r="K656" s="76">
        <v>1</v>
      </c>
      <c r="L656" s="76">
        <v>1</v>
      </c>
      <c r="M656" s="76">
        <v>2018</v>
      </c>
      <c r="N656" s="76">
        <v>2020</v>
      </c>
      <c r="O656" s="76">
        <f t="shared" si="305"/>
        <v>0</v>
      </c>
      <c r="P656" s="76"/>
      <c r="Q656" s="76"/>
      <c r="R656" s="76"/>
      <c r="S656" s="76"/>
      <c r="T656" s="76"/>
      <c r="U656" s="76"/>
      <c r="V656" s="76"/>
      <c r="W656" s="76"/>
      <c r="X656" s="583"/>
      <c r="Y656" s="76"/>
      <c r="Z656" s="76"/>
      <c r="AA656" s="76"/>
      <c r="AB656" s="76"/>
      <c r="AC656" s="76"/>
      <c r="AD656" s="136"/>
    </row>
    <row r="657" s="570" customFormat="1" customHeight="1" spans="1:30">
      <c r="A657" s="76"/>
      <c r="B657" s="212" t="s">
        <v>1269</v>
      </c>
      <c r="C657" s="76" t="s">
        <v>320</v>
      </c>
      <c r="D657" s="76" t="s">
        <v>147</v>
      </c>
      <c r="E657" s="76"/>
      <c r="F657" s="76">
        <f t="shared" si="311"/>
        <v>72</v>
      </c>
      <c r="G657" s="76">
        <v>24</v>
      </c>
      <c r="H657" s="76">
        <v>24</v>
      </c>
      <c r="I657" s="76">
        <v>24</v>
      </c>
      <c r="J657" s="76">
        <v>24</v>
      </c>
      <c r="K657" s="76">
        <v>3</v>
      </c>
      <c r="L657" s="76">
        <v>3</v>
      </c>
      <c r="M657" s="76">
        <v>2018</v>
      </c>
      <c r="N657" s="76">
        <v>2020</v>
      </c>
      <c r="O657" s="76">
        <f t="shared" si="305"/>
        <v>0</v>
      </c>
      <c r="P657" s="76"/>
      <c r="Q657" s="76"/>
      <c r="R657" s="76"/>
      <c r="S657" s="76"/>
      <c r="T657" s="76"/>
      <c r="U657" s="76"/>
      <c r="V657" s="76"/>
      <c r="W657" s="76"/>
      <c r="X657" s="583"/>
      <c r="Y657" s="76"/>
      <c r="Z657" s="76"/>
      <c r="AA657" s="76"/>
      <c r="AB657" s="76"/>
      <c r="AC657" s="76"/>
      <c r="AD657" s="136"/>
    </row>
    <row r="658" s="570" customFormat="1" customHeight="1" spans="1:30">
      <c r="A658" s="76"/>
      <c r="B658" s="212" t="s">
        <v>1270</v>
      </c>
      <c r="C658" s="76" t="s">
        <v>320</v>
      </c>
      <c r="D658" s="76" t="s">
        <v>147</v>
      </c>
      <c r="E658" s="76"/>
      <c r="F658" s="76">
        <f t="shared" si="311"/>
        <v>81</v>
      </c>
      <c r="G658" s="76">
        <v>27</v>
      </c>
      <c r="H658" s="76">
        <v>27</v>
      </c>
      <c r="I658" s="76">
        <v>27</v>
      </c>
      <c r="J658" s="76">
        <v>27</v>
      </c>
      <c r="K658" s="76">
        <v>1</v>
      </c>
      <c r="L658" s="76">
        <v>1</v>
      </c>
      <c r="M658" s="76">
        <v>2018</v>
      </c>
      <c r="N658" s="76">
        <v>2020</v>
      </c>
      <c r="O658" s="76">
        <f t="shared" si="305"/>
        <v>0</v>
      </c>
      <c r="P658" s="76"/>
      <c r="Q658" s="76"/>
      <c r="R658" s="76"/>
      <c r="S658" s="76"/>
      <c r="T658" s="76"/>
      <c r="U658" s="76"/>
      <c r="V658" s="76"/>
      <c r="W658" s="76"/>
      <c r="X658" s="583"/>
      <c r="Y658" s="76"/>
      <c r="Z658" s="76"/>
      <c r="AA658" s="76"/>
      <c r="AB658" s="76"/>
      <c r="AC658" s="76"/>
      <c r="AD658" s="136"/>
    </row>
    <row r="659" s="570" customFormat="1" customHeight="1" spans="1:30">
      <c r="A659" s="76"/>
      <c r="B659" s="212" t="s">
        <v>1281</v>
      </c>
      <c r="C659" s="76" t="s">
        <v>320</v>
      </c>
      <c r="D659" s="76" t="s">
        <v>147</v>
      </c>
      <c r="E659" s="76"/>
      <c r="F659" s="76">
        <f t="shared" si="311"/>
        <v>48</v>
      </c>
      <c r="G659" s="76">
        <v>16</v>
      </c>
      <c r="H659" s="76">
        <v>16</v>
      </c>
      <c r="I659" s="76">
        <v>16</v>
      </c>
      <c r="J659" s="76">
        <v>16</v>
      </c>
      <c r="K659" s="76"/>
      <c r="L659" s="76"/>
      <c r="M659" s="76">
        <v>2018</v>
      </c>
      <c r="N659" s="76">
        <v>2020</v>
      </c>
      <c r="O659" s="76">
        <f t="shared" si="305"/>
        <v>0</v>
      </c>
      <c r="P659" s="76"/>
      <c r="Q659" s="76"/>
      <c r="R659" s="76"/>
      <c r="S659" s="76"/>
      <c r="T659" s="76"/>
      <c r="U659" s="76"/>
      <c r="V659" s="76"/>
      <c r="W659" s="76"/>
      <c r="X659" s="583"/>
      <c r="Y659" s="76"/>
      <c r="Z659" s="76"/>
      <c r="AA659" s="76"/>
      <c r="AB659" s="76"/>
      <c r="AC659" s="76"/>
      <c r="AD659" s="136"/>
    </row>
    <row r="660" s="570" customFormat="1" customHeight="1" spans="1:30">
      <c r="A660" s="76"/>
      <c r="B660" s="212" t="s">
        <v>1271</v>
      </c>
      <c r="C660" s="76" t="s">
        <v>320</v>
      </c>
      <c r="D660" s="76" t="s">
        <v>147</v>
      </c>
      <c r="E660" s="76"/>
      <c r="F660" s="76">
        <f t="shared" si="311"/>
        <v>93</v>
      </c>
      <c r="G660" s="76">
        <v>31</v>
      </c>
      <c r="H660" s="76">
        <v>31</v>
      </c>
      <c r="I660" s="76">
        <v>31</v>
      </c>
      <c r="J660" s="76">
        <v>31</v>
      </c>
      <c r="K660" s="76"/>
      <c r="L660" s="76"/>
      <c r="M660" s="76">
        <v>2018</v>
      </c>
      <c r="N660" s="76">
        <v>2020</v>
      </c>
      <c r="O660" s="76">
        <f t="shared" si="305"/>
        <v>0</v>
      </c>
      <c r="P660" s="76"/>
      <c r="Q660" s="76"/>
      <c r="R660" s="76"/>
      <c r="S660" s="76"/>
      <c r="T660" s="76"/>
      <c r="U660" s="76"/>
      <c r="V660" s="76"/>
      <c r="W660" s="76"/>
      <c r="X660" s="583"/>
      <c r="Y660" s="76"/>
      <c r="Z660" s="76"/>
      <c r="AA660" s="76"/>
      <c r="AB660" s="76"/>
      <c r="AC660" s="76"/>
      <c r="AD660" s="136"/>
    </row>
    <row r="661" s="570" customFormat="1" customHeight="1" spans="1:30">
      <c r="A661" s="76"/>
      <c r="B661" s="212" t="s">
        <v>1282</v>
      </c>
      <c r="C661" s="76" t="s">
        <v>320</v>
      </c>
      <c r="D661" s="76" t="s">
        <v>147</v>
      </c>
      <c r="E661" s="76"/>
      <c r="F661" s="76">
        <f t="shared" si="311"/>
        <v>27</v>
      </c>
      <c r="G661" s="76">
        <v>9</v>
      </c>
      <c r="H661" s="76">
        <v>9</v>
      </c>
      <c r="I661" s="76">
        <v>9</v>
      </c>
      <c r="J661" s="76">
        <v>9</v>
      </c>
      <c r="K661" s="76"/>
      <c r="L661" s="76"/>
      <c r="M661" s="76">
        <v>2018</v>
      </c>
      <c r="N661" s="76">
        <v>2020</v>
      </c>
      <c r="O661" s="76">
        <f t="shared" si="305"/>
        <v>0</v>
      </c>
      <c r="P661" s="76"/>
      <c r="Q661" s="76"/>
      <c r="R661" s="76"/>
      <c r="S661" s="76"/>
      <c r="T661" s="76"/>
      <c r="U661" s="76"/>
      <c r="V661" s="76"/>
      <c r="W661" s="76"/>
      <c r="X661" s="583"/>
      <c r="Y661" s="76"/>
      <c r="Z661" s="76"/>
      <c r="AA661" s="76"/>
      <c r="AB661" s="76"/>
      <c r="AC661" s="76"/>
      <c r="AD661" s="136"/>
    </row>
    <row r="662" s="570" customFormat="1" customHeight="1" spans="1:30">
      <c r="A662" s="76"/>
      <c r="B662" s="212" t="s">
        <v>1283</v>
      </c>
      <c r="C662" s="76" t="s">
        <v>320</v>
      </c>
      <c r="D662" s="76" t="s">
        <v>147</v>
      </c>
      <c r="E662" s="76"/>
      <c r="F662" s="76">
        <f t="shared" si="311"/>
        <v>36</v>
      </c>
      <c r="G662" s="76">
        <v>12</v>
      </c>
      <c r="H662" s="76">
        <v>12</v>
      </c>
      <c r="I662" s="76">
        <v>12</v>
      </c>
      <c r="J662" s="76">
        <v>12</v>
      </c>
      <c r="K662" s="76"/>
      <c r="L662" s="76"/>
      <c r="M662" s="76">
        <v>2018</v>
      </c>
      <c r="N662" s="76">
        <v>2020</v>
      </c>
      <c r="O662" s="76">
        <f t="shared" si="305"/>
        <v>0</v>
      </c>
      <c r="P662" s="76"/>
      <c r="Q662" s="76"/>
      <c r="R662" s="76"/>
      <c r="S662" s="76"/>
      <c r="T662" s="76"/>
      <c r="U662" s="76"/>
      <c r="V662" s="76"/>
      <c r="W662" s="76"/>
      <c r="X662" s="583"/>
      <c r="Y662" s="76"/>
      <c r="Z662" s="76"/>
      <c r="AA662" s="76"/>
      <c r="AB662" s="76"/>
      <c r="AC662" s="76"/>
      <c r="AD662" s="136"/>
    </row>
    <row r="663" s="570" customFormat="1" customHeight="1" spans="1:30">
      <c r="A663" s="76"/>
      <c r="B663" s="212" t="s">
        <v>1284</v>
      </c>
      <c r="C663" s="76" t="s">
        <v>320</v>
      </c>
      <c r="D663" s="76" t="s">
        <v>147</v>
      </c>
      <c r="E663" s="76"/>
      <c r="F663" s="76">
        <f t="shared" si="311"/>
        <v>21</v>
      </c>
      <c r="G663" s="76">
        <v>7</v>
      </c>
      <c r="H663" s="76">
        <v>7</v>
      </c>
      <c r="I663" s="76">
        <v>7</v>
      </c>
      <c r="J663" s="76">
        <v>7</v>
      </c>
      <c r="K663" s="76"/>
      <c r="L663" s="76"/>
      <c r="M663" s="76">
        <v>2018</v>
      </c>
      <c r="N663" s="76">
        <v>2020</v>
      </c>
      <c r="O663" s="76">
        <f t="shared" si="305"/>
        <v>0</v>
      </c>
      <c r="P663" s="76"/>
      <c r="Q663" s="76"/>
      <c r="R663" s="76"/>
      <c r="S663" s="76"/>
      <c r="T663" s="76"/>
      <c r="U663" s="76"/>
      <c r="V663" s="76"/>
      <c r="W663" s="76"/>
      <c r="X663" s="583"/>
      <c r="Y663" s="76"/>
      <c r="Z663" s="76"/>
      <c r="AA663" s="76"/>
      <c r="AB663" s="76"/>
      <c r="AC663" s="76"/>
      <c r="AD663" s="136"/>
    </row>
    <row r="664" s="570" customFormat="1" customHeight="1" spans="1:30">
      <c r="A664" s="76"/>
      <c r="B664" s="212" t="s">
        <v>1315</v>
      </c>
      <c r="C664" s="76" t="s">
        <v>320</v>
      </c>
      <c r="D664" s="76" t="s">
        <v>147</v>
      </c>
      <c r="E664" s="76"/>
      <c r="F664" s="76">
        <f t="shared" si="311"/>
        <v>51</v>
      </c>
      <c r="G664" s="76">
        <v>17</v>
      </c>
      <c r="H664" s="76">
        <v>17</v>
      </c>
      <c r="I664" s="76">
        <v>17</v>
      </c>
      <c r="J664" s="76">
        <v>17</v>
      </c>
      <c r="K664" s="76"/>
      <c r="L664" s="76"/>
      <c r="M664" s="76">
        <v>2018</v>
      </c>
      <c r="N664" s="76">
        <v>2020</v>
      </c>
      <c r="O664" s="76"/>
      <c r="P664" s="76"/>
      <c r="Q664" s="76"/>
      <c r="R664" s="76"/>
      <c r="S664" s="76"/>
      <c r="T664" s="76"/>
      <c r="U664" s="76"/>
      <c r="V664" s="76"/>
      <c r="W664" s="76"/>
      <c r="X664" s="583"/>
      <c r="Y664" s="76"/>
      <c r="Z664" s="76"/>
      <c r="AA664" s="76"/>
      <c r="AB664" s="76"/>
      <c r="AC664" s="76"/>
      <c r="AD664" s="136"/>
    </row>
    <row r="665" s="570" customFormat="1" customHeight="1" spans="1:30">
      <c r="A665" s="76">
        <v>56</v>
      </c>
      <c r="B665" s="92" t="s">
        <v>457</v>
      </c>
      <c r="C665" s="76" t="s">
        <v>320</v>
      </c>
      <c r="D665" s="76"/>
      <c r="E665" s="76"/>
      <c r="F665" s="76"/>
      <c r="G665" s="76"/>
      <c r="H665" s="76"/>
      <c r="I665" s="76"/>
      <c r="J665" s="76"/>
      <c r="K665" s="76"/>
      <c r="L665" s="76"/>
      <c r="M665" s="76"/>
      <c r="N665" s="76"/>
      <c r="O665" s="76"/>
      <c r="P665" s="76"/>
      <c r="Q665" s="76"/>
      <c r="R665" s="76"/>
      <c r="S665" s="76"/>
      <c r="T665" s="76"/>
      <c r="U665" s="76"/>
      <c r="V665" s="76"/>
      <c r="W665" s="76"/>
      <c r="X665" s="583"/>
      <c r="Y665" s="76"/>
      <c r="Z665" s="76"/>
      <c r="AA665" s="76" t="s">
        <v>1285</v>
      </c>
      <c r="AB665" s="76" t="s">
        <v>1314</v>
      </c>
      <c r="AC665" s="76" t="s">
        <v>320</v>
      </c>
      <c r="AD665" s="136"/>
    </row>
    <row r="666" s="570" customFormat="1" customHeight="1" spans="1:30">
      <c r="A666" s="76">
        <v>57</v>
      </c>
      <c r="B666" s="92" t="s">
        <v>458</v>
      </c>
      <c r="C666" s="76" t="s">
        <v>320</v>
      </c>
      <c r="D666" s="76" t="s">
        <v>147</v>
      </c>
      <c r="E666" s="76"/>
      <c r="F666" s="76"/>
      <c r="G666" s="76"/>
      <c r="H666" s="76"/>
      <c r="I666" s="76"/>
      <c r="J666" s="76"/>
      <c r="K666" s="76"/>
      <c r="L666" s="76"/>
      <c r="M666" s="76"/>
      <c r="N666" s="76"/>
      <c r="O666" s="76"/>
      <c r="P666" s="76"/>
      <c r="Q666" s="76"/>
      <c r="R666" s="76"/>
      <c r="S666" s="76"/>
      <c r="T666" s="76"/>
      <c r="U666" s="76"/>
      <c r="V666" s="76"/>
      <c r="W666" s="76"/>
      <c r="X666" s="583"/>
      <c r="Y666" s="76"/>
      <c r="Z666" s="76"/>
      <c r="AA666" s="76" t="s">
        <v>1285</v>
      </c>
      <c r="AB666" s="76" t="s">
        <v>1314</v>
      </c>
      <c r="AC666" s="76" t="s">
        <v>338</v>
      </c>
      <c r="AD666" s="136"/>
    </row>
    <row r="667" s="570" customFormat="1" customHeight="1" spans="1:30">
      <c r="A667" s="76">
        <v>58</v>
      </c>
      <c r="B667" s="92" t="s">
        <v>459</v>
      </c>
      <c r="C667" s="76" t="s">
        <v>320</v>
      </c>
      <c r="D667" s="76" t="s">
        <v>147</v>
      </c>
      <c r="E667" s="76"/>
      <c r="F667" s="76"/>
      <c r="G667" s="76"/>
      <c r="H667" s="76"/>
      <c r="I667" s="76"/>
      <c r="J667" s="76"/>
      <c r="K667" s="76"/>
      <c r="L667" s="76"/>
      <c r="M667" s="76"/>
      <c r="N667" s="76"/>
      <c r="O667" s="76"/>
      <c r="P667" s="76"/>
      <c r="Q667" s="76"/>
      <c r="R667" s="76"/>
      <c r="S667" s="76"/>
      <c r="T667" s="76"/>
      <c r="U667" s="76"/>
      <c r="V667" s="76"/>
      <c r="W667" s="76"/>
      <c r="X667" s="583"/>
      <c r="Y667" s="76"/>
      <c r="Z667" s="76"/>
      <c r="AA667" s="76" t="s">
        <v>1285</v>
      </c>
      <c r="AB667" s="76" t="s">
        <v>1314</v>
      </c>
      <c r="AC667" s="76" t="s">
        <v>338</v>
      </c>
      <c r="AD667" s="136"/>
    </row>
    <row r="668" customHeight="1" spans="1:30">
      <c r="A668" s="76">
        <v>59</v>
      </c>
      <c r="B668" s="95" t="s">
        <v>951</v>
      </c>
      <c r="C668" s="76" t="s">
        <v>320</v>
      </c>
      <c r="D668" s="76" t="s">
        <v>320</v>
      </c>
      <c r="E668" s="76"/>
      <c r="F668" s="76"/>
      <c r="G668" s="76"/>
      <c r="H668" s="76"/>
      <c r="I668" s="76"/>
      <c r="J668" s="76">
        <f>[1]八布!E54</f>
        <v>0</v>
      </c>
      <c r="K668" s="76"/>
      <c r="L668" s="76"/>
      <c r="M668" s="76"/>
      <c r="N668" s="76"/>
      <c r="O668" s="76">
        <f t="shared" ref="O668:W668" si="312">O669+O692+O700+O715+O719+O748+O763+O777+O796</f>
        <v>7475.012</v>
      </c>
      <c r="P668" s="76">
        <f t="shared" si="312"/>
        <v>3116.652</v>
      </c>
      <c r="Q668" s="76">
        <f t="shared" si="312"/>
        <v>4358.36</v>
      </c>
      <c r="R668" s="76">
        <f t="shared" si="312"/>
        <v>0</v>
      </c>
      <c r="S668" s="76">
        <f t="shared" si="312"/>
        <v>213.875</v>
      </c>
      <c r="T668" s="76">
        <f t="shared" si="312"/>
        <v>6581.13</v>
      </c>
      <c r="U668" s="76">
        <f t="shared" si="312"/>
        <v>680.007</v>
      </c>
      <c r="V668" s="76">
        <f t="shared" si="312"/>
        <v>0</v>
      </c>
      <c r="W668" s="76">
        <f t="shared" si="312"/>
        <v>0</v>
      </c>
      <c r="X668" s="583"/>
      <c r="Y668" s="76"/>
      <c r="Z668" s="76"/>
      <c r="AA668" s="76" t="s">
        <v>1273</v>
      </c>
      <c r="AB668" s="76" t="s">
        <v>1306</v>
      </c>
      <c r="AC668" s="76"/>
      <c r="AD668" s="136"/>
    </row>
    <row r="669" customHeight="1" spans="1:30">
      <c r="A669" s="76">
        <v>60</v>
      </c>
      <c r="B669" s="95" t="s">
        <v>462</v>
      </c>
      <c r="C669" s="76" t="s">
        <v>320</v>
      </c>
      <c r="D669" s="76" t="s">
        <v>320</v>
      </c>
      <c r="E669" s="76"/>
      <c r="F669" s="76">
        <f t="shared" ref="F669:L669" si="313">SUM(F670+F681+F690)</f>
        <v>143.156</v>
      </c>
      <c r="G669" s="76">
        <f t="shared" si="313"/>
        <v>32.648</v>
      </c>
      <c r="H669" s="76">
        <f t="shared" si="313"/>
        <v>110.508</v>
      </c>
      <c r="I669" s="76">
        <f t="shared" si="313"/>
        <v>0</v>
      </c>
      <c r="J669" s="76">
        <f t="shared" si="313"/>
        <v>108.248</v>
      </c>
      <c r="K669" s="76">
        <f t="shared" si="313"/>
        <v>5561</v>
      </c>
      <c r="L669" s="76">
        <f t="shared" si="313"/>
        <v>22616</v>
      </c>
      <c r="M669" s="76">
        <v>2018</v>
      </c>
      <c r="N669" s="76">
        <v>2019</v>
      </c>
      <c r="O669" s="76">
        <f t="shared" ref="O669:W669" si="314">SUM(O670+O681+O690)</f>
        <v>4540</v>
      </c>
      <c r="P669" s="76">
        <f t="shared" si="314"/>
        <v>2473</v>
      </c>
      <c r="Q669" s="76">
        <f t="shared" si="314"/>
        <v>2067</v>
      </c>
      <c r="R669" s="76">
        <f t="shared" si="314"/>
        <v>0</v>
      </c>
      <c r="S669" s="76">
        <f t="shared" si="314"/>
        <v>0</v>
      </c>
      <c r="T669" s="76">
        <f t="shared" si="314"/>
        <v>4108</v>
      </c>
      <c r="U669" s="76">
        <f t="shared" si="314"/>
        <v>432</v>
      </c>
      <c r="V669" s="76">
        <f t="shared" si="314"/>
        <v>0</v>
      </c>
      <c r="W669" s="76">
        <f t="shared" si="314"/>
        <v>0</v>
      </c>
      <c r="X669" s="583"/>
      <c r="Y669" s="76"/>
      <c r="Z669" s="76"/>
      <c r="AA669" s="76" t="s">
        <v>1273</v>
      </c>
      <c r="AB669" s="76" t="s">
        <v>1306</v>
      </c>
      <c r="AC669" s="76" t="s">
        <v>320</v>
      </c>
      <c r="AD669" s="136"/>
    </row>
    <row r="670" customHeight="1" spans="1:30">
      <c r="A670" s="76">
        <v>61</v>
      </c>
      <c r="B670" s="95" t="s">
        <v>1316</v>
      </c>
      <c r="C670" s="76" t="s">
        <v>1124</v>
      </c>
      <c r="D670" s="76" t="s">
        <v>192</v>
      </c>
      <c r="E670" s="76"/>
      <c r="F670" s="76">
        <f>SUM(F671:F680)</f>
        <v>34.908</v>
      </c>
      <c r="G670" s="76">
        <f t="shared" ref="G670:W670" si="315">SUM(G671:G680)</f>
        <v>0</v>
      </c>
      <c r="H670" s="76">
        <f t="shared" si="315"/>
        <v>34.908</v>
      </c>
      <c r="I670" s="76">
        <f t="shared" si="315"/>
        <v>0</v>
      </c>
      <c r="J670" s="76">
        <f t="shared" si="315"/>
        <v>0</v>
      </c>
      <c r="K670" s="76">
        <f t="shared" si="315"/>
        <v>125</v>
      </c>
      <c r="L670" s="76">
        <f t="shared" si="315"/>
        <v>455</v>
      </c>
      <c r="M670" s="76">
        <v>2018</v>
      </c>
      <c r="N670" s="76">
        <v>2019</v>
      </c>
      <c r="O670" s="76">
        <f>P670+Q670+R670</f>
        <v>2521</v>
      </c>
      <c r="P670" s="76">
        <f>SUM(P671:P680)</f>
        <v>1000</v>
      </c>
      <c r="Q670" s="76">
        <f t="shared" si="315"/>
        <v>1521</v>
      </c>
      <c r="R670" s="76">
        <f t="shared" si="315"/>
        <v>0</v>
      </c>
      <c r="S670" s="76">
        <f t="shared" si="315"/>
        <v>0</v>
      </c>
      <c r="T670" s="76">
        <f t="shared" si="315"/>
        <v>2521</v>
      </c>
      <c r="U670" s="76">
        <f t="shared" si="315"/>
        <v>0</v>
      </c>
      <c r="V670" s="76">
        <f t="shared" si="315"/>
        <v>0</v>
      </c>
      <c r="W670" s="76">
        <f t="shared" si="315"/>
        <v>0</v>
      </c>
      <c r="X670" s="583"/>
      <c r="Y670" s="76"/>
      <c r="Z670" s="76"/>
      <c r="AA670" s="76" t="s">
        <v>1273</v>
      </c>
      <c r="AB670" s="76" t="s">
        <v>1306</v>
      </c>
      <c r="AC670" s="76" t="s">
        <v>1317</v>
      </c>
      <c r="AD670" s="136"/>
    </row>
    <row r="671" ht="32.1" customHeight="1" spans="1:30">
      <c r="A671" s="76"/>
      <c r="B671" s="410" t="s">
        <v>1318</v>
      </c>
      <c r="C671" s="256" t="s">
        <v>970</v>
      </c>
      <c r="D671" s="76" t="s">
        <v>192</v>
      </c>
      <c r="E671" s="76"/>
      <c r="F671" s="76">
        <f t="shared" ref="F671:F680" si="316">H671</f>
        <v>4.322</v>
      </c>
      <c r="G671" s="76"/>
      <c r="H671" s="76">
        <v>4.322</v>
      </c>
      <c r="I671" s="76"/>
      <c r="J671" s="410" t="s">
        <v>1319</v>
      </c>
      <c r="K671" s="140">
        <v>11</v>
      </c>
      <c r="L671" s="140">
        <v>33</v>
      </c>
      <c r="M671" s="76">
        <v>2018</v>
      </c>
      <c r="N671" s="76">
        <v>2019</v>
      </c>
      <c r="O671" s="140">
        <f>P671+Q671+R671</f>
        <v>388</v>
      </c>
      <c r="P671" s="76">
        <v>200</v>
      </c>
      <c r="Q671" s="140">
        <v>188</v>
      </c>
      <c r="R671" s="76"/>
      <c r="S671" s="76"/>
      <c r="T671" s="76">
        <f>O671</f>
        <v>388</v>
      </c>
      <c r="U671" s="76"/>
      <c r="V671" s="76"/>
      <c r="W671" s="76"/>
      <c r="X671" s="583"/>
      <c r="Y671" s="76"/>
      <c r="Z671" s="76"/>
      <c r="AA671" s="76"/>
      <c r="AB671" s="76"/>
      <c r="AC671" s="76"/>
      <c r="AD671" s="136"/>
    </row>
    <row r="672" ht="39.95" customHeight="1" spans="1:30">
      <c r="A672" s="76"/>
      <c r="B672" s="410" t="s">
        <v>1320</v>
      </c>
      <c r="C672" s="256" t="s">
        <v>970</v>
      </c>
      <c r="D672" s="76" t="s">
        <v>192</v>
      </c>
      <c r="E672" s="76"/>
      <c r="F672" s="76">
        <f t="shared" si="316"/>
        <v>2.795</v>
      </c>
      <c r="G672" s="76"/>
      <c r="H672" s="76">
        <v>2.795</v>
      </c>
      <c r="I672" s="76"/>
      <c r="J672" s="410" t="s">
        <v>1321</v>
      </c>
      <c r="K672" s="140">
        <v>11</v>
      </c>
      <c r="L672" s="140">
        <v>33</v>
      </c>
      <c r="M672" s="76">
        <v>2018</v>
      </c>
      <c r="N672" s="76">
        <v>2019</v>
      </c>
      <c r="O672" s="140">
        <f t="shared" ref="O672:O680" si="317">P672+Q672+R672</f>
        <v>212</v>
      </c>
      <c r="P672" s="76">
        <v>90</v>
      </c>
      <c r="Q672" s="140">
        <v>122</v>
      </c>
      <c r="R672" s="76"/>
      <c r="S672" s="76"/>
      <c r="T672" s="76">
        <f t="shared" ref="T672:T680" si="318">O672</f>
        <v>212</v>
      </c>
      <c r="U672" s="76"/>
      <c r="V672" s="76"/>
      <c r="W672" s="76"/>
      <c r="X672" s="583"/>
      <c r="Y672" s="76"/>
      <c r="Z672" s="76"/>
      <c r="AA672" s="76"/>
      <c r="AB672" s="76"/>
      <c r="AC672" s="76"/>
      <c r="AD672" s="136"/>
    </row>
    <row r="673" ht="45.95" customHeight="1" spans="1:30">
      <c r="A673" s="76"/>
      <c r="B673" s="410" t="s">
        <v>1322</v>
      </c>
      <c r="C673" s="256" t="s">
        <v>970</v>
      </c>
      <c r="D673" s="76" t="s">
        <v>192</v>
      </c>
      <c r="E673" s="76"/>
      <c r="F673" s="76">
        <f t="shared" si="316"/>
        <v>4.655</v>
      </c>
      <c r="G673" s="76"/>
      <c r="H673" s="76">
        <v>4.655</v>
      </c>
      <c r="I673" s="76"/>
      <c r="J673" s="410" t="s">
        <v>1323</v>
      </c>
      <c r="K673" s="140">
        <v>3</v>
      </c>
      <c r="L673" s="140">
        <v>7</v>
      </c>
      <c r="M673" s="76">
        <v>2018</v>
      </c>
      <c r="N673" s="76">
        <v>2019</v>
      </c>
      <c r="O673" s="140">
        <f t="shared" si="317"/>
        <v>303</v>
      </c>
      <c r="P673" s="76">
        <v>100</v>
      </c>
      <c r="Q673" s="140">
        <v>203</v>
      </c>
      <c r="R673" s="76"/>
      <c r="S673" s="76"/>
      <c r="T673" s="76">
        <f t="shared" si="318"/>
        <v>303</v>
      </c>
      <c r="U673" s="76"/>
      <c r="V673" s="76"/>
      <c r="W673" s="76"/>
      <c r="X673" s="583"/>
      <c r="Y673" s="76"/>
      <c r="Z673" s="76"/>
      <c r="AA673" s="76"/>
      <c r="AB673" s="76"/>
      <c r="AC673" s="76"/>
      <c r="AD673" s="136"/>
    </row>
    <row r="674" ht="39" customHeight="1" spans="1:30">
      <c r="A674" s="76"/>
      <c r="B674" s="410" t="s">
        <v>1324</v>
      </c>
      <c r="C674" s="256" t="s">
        <v>970</v>
      </c>
      <c r="D674" s="76" t="s">
        <v>192</v>
      </c>
      <c r="E674" s="76"/>
      <c r="F674" s="76">
        <f t="shared" si="316"/>
        <v>10.278</v>
      </c>
      <c r="G674" s="76"/>
      <c r="H674" s="76">
        <v>10.278</v>
      </c>
      <c r="I674" s="76"/>
      <c r="J674" s="410" t="s">
        <v>1325</v>
      </c>
      <c r="K674" s="140">
        <v>38</v>
      </c>
      <c r="L674" s="140">
        <v>139</v>
      </c>
      <c r="M674" s="76">
        <v>2018</v>
      </c>
      <c r="N674" s="76">
        <v>2019</v>
      </c>
      <c r="O674" s="140">
        <f t="shared" si="317"/>
        <v>580</v>
      </c>
      <c r="P674" s="76">
        <v>130</v>
      </c>
      <c r="Q674" s="140">
        <v>450</v>
      </c>
      <c r="R674" s="76"/>
      <c r="S674" s="76"/>
      <c r="T674" s="76">
        <f t="shared" si="318"/>
        <v>580</v>
      </c>
      <c r="U674" s="76"/>
      <c r="V674" s="76"/>
      <c r="W674" s="76"/>
      <c r="X674" s="583"/>
      <c r="Y674" s="76"/>
      <c r="Z674" s="76"/>
      <c r="AA674" s="76"/>
      <c r="AB674" s="76"/>
      <c r="AC674" s="76"/>
      <c r="AD674" s="136"/>
    </row>
    <row r="675" ht="33.95" customHeight="1" spans="1:30">
      <c r="A675" s="76"/>
      <c r="B675" s="410" t="s">
        <v>1326</v>
      </c>
      <c r="C675" s="256" t="s">
        <v>970</v>
      </c>
      <c r="D675" s="76" t="s">
        <v>192</v>
      </c>
      <c r="E675" s="76"/>
      <c r="F675" s="76">
        <f t="shared" si="316"/>
        <v>1.745</v>
      </c>
      <c r="G675" s="76"/>
      <c r="H675" s="76">
        <v>1.745</v>
      </c>
      <c r="I675" s="76"/>
      <c r="J675" s="410" t="s">
        <v>1327</v>
      </c>
      <c r="K675" s="140">
        <v>8</v>
      </c>
      <c r="L675" s="140">
        <v>31</v>
      </c>
      <c r="M675" s="76">
        <v>2018</v>
      </c>
      <c r="N675" s="76">
        <v>2019</v>
      </c>
      <c r="O675" s="140">
        <f t="shared" si="317"/>
        <v>156</v>
      </c>
      <c r="P675" s="76">
        <v>80</v>
      </c>
      <c r="Q675" s="140">
        <v>76</v>
      </c>
      <c r="R675" s="76"/>
      <c r="S675" s="76"/>
      <c r="T675" s="76">
        <f t="shared" si="318"/>
        <v>156</v>
      </c>
      <c r="U675" s="76"/>
      <c r="V675" s="76"/>
      <c r="W675" s="76"/>
      <c r="X675" s="583"/>
      <c r="Y675" s="76"/>
      <c r="Z675" s="76"/>
      <c r="AA675" s="76"/>
      <c r="AB675" s="76"/>
      <c r="AC675" s="76"/>
      <c r="AD675" s="136"/>
    </row>
    <row r="676" ht="33.95" customHeight="1" spans="1:30">
      <c r="A676" s="76"/>
      <c r="B676" s="410" t="s">
        <v>1328</v>
      </c>
      <c r="C676" s="256" t="s">
        <v>970</v>
      </c>
      <c r="D676" s="76" t="s">
        <v>192</v>
      </c>
      <c r="E676" s="76"/>
      <c r="F676" s="76">
        <f t="shared" si="316"/>
        <v>3.291</v>
      </c>
      <c r="G676" s="76"/>
      <c r="H676" s="76">
        <v>3.291</v>
      </c>
      <c r="I676" s="76"/>
      <c r="J676" s="410" t="s">
        <v>1329</v>
      </c>
      <c r="K676" s="140">
        <v>8</v>
      </c>
      <c r="L676" s="140">
        <v>31</v>
      </c>
      <c r="M676" s="76">
        <v>2018</v>
      </c>
      <c r="N676" s="76">
        <v>2019</v>
      </c>
      <c r="O676" s="140">
        <f t="shared" si="317"/>
        <v>233</v>
      </c>
      <c r="P676" s="76">
        <v>90</v>
      </c>
      <c r="Q676" s="140">
        <v>143</v>
      </c>
      <c r="R676" s="76"/>
      <c r="S676" s="76"/>
      <c r="T676" s="76">
        <f t="shared" si="318"/>
        <v>233</v>
      </c>
      <c r="U676" s="76"/>
      <c r="V676" s="76"/>
      <c r="W676" s="76"/>
      <c r="X676" s="583"/>
      <c r="Y676" s="76"/>
      <c r="Z676" s="76"/>
      <c r="AA676" s="76"/>
      <c r="AB676" s="76"/>
      <c r="AC676" s="76"/>
      <c r="AD676" s="136"/>
    </row>
    <row r="677" ht="33.95" customHeight="1" spans="1:30">
      <c r="A677" s="76"/>
      <c r="B677" s="410" t="s">
        <v>1330</v>
      </c>
      <c r="C677" s="256" t="s">
        <v>970</v>
      </c>
      <c r="D677" s="76" t="s">
        <v>192</v>
      </c>
      <c r="E677" s="76"/>
      <c r="F677" s="76">
        <f t="shared" si="316"/>
        <v>3.148</v>
      </c>
      <c r="G677" s="76"/>
      <c r="H677" s="76">
        <v>3.148</v>
      </c>
      <c r="I677" s="76"/>
      <c r="J677" s="410" t="s">
        <v>1331</v>
      </c>
      <c r="K677" s="140">
        <v>8</v>
      </c>
      <c r="L677" s="140">
        <v>31</v>
      </c>
      <c r="M677" s="76">
        <v>2018</v>
      </c>
      <c r="N677" s="76">
        <v>2019</v>
      </c>
      <c r="O677" s="140">
        <f t="shared" si="317"/>
        <v>237</v>
      </c>
      <c r="P677" s="76">
        <v>100</v>
      </c>
      <c r="Q677" s="140">
        <v>137</v>
      </c>
      <c r="R677" s="76"/>
      <c r="S677" s="76"/>
      <c r="T677" s="76">
        <f t="shared" si="318"/>
        <v>237</v>
      </c>
      <c r="U677" s="76"/>
      <c r="V677" s="76"/>
      <c r="W677" s="76"/>
      <c r="X677" s="583"/>
      <c r="Y677" s="76"/>
      <c r="Z677" s="76"/>
      <c r="AA677" s="76"/>
      <c r="AB677" s="76"/>
      <c r="AC677" s="76"/>
      <c r="AD677" s="136"/>
    </row>
    <row r="678" customHeight="1" spans="1:30">
      <c r="A678" s="76"/>
      <c r="B678" s="410" t="s">
        <v>1332</v>
      </c>
      <c r="C678" s="256" t="s">
        <v>970</v>
      </c>
      <c r="D678" s="76" t="s">
        <v>192</v>
      </c>
      <c r="E678" s="76"/>
      <c r="F678" s="76">
        <f t="shared" si="316"/>
        <v>0.257</v>
      </c>
      <c r="G678" s="76"/>
      <c r="H678" s="76">
        <v>0.257</v>
      </c>
      <c r="I678" s="76"/>
      <c r="J678" s="410" t="s">
        <v>1333</v>
      </c>
      <c r="K678" s="140">
        <v>8</v>
      </c>
      <c r="L678" s="140">
        <v>32</v>
      </c>
      <c r="M678" s="76">
        <v>2018</v>
      </c>
      <c r="N678" s="76">
        <v>2019</v>
      </c>
      <c r="O678" s="140">
        <f t="shared" si="317"/>
        <v>42</v>
      </c>
      <c r="P678" s="76">
        <v>30</v>
      </c>
      <c r="Q678" s="140">
        <v>12</v>
      </c>
      <c r="R678" s="76"/>
      <c r="S678" s="76"/>
      <c r="T678" s="76">
        <f t="shared" si="318"/>
        <v>42</v>
      </c>
      <c r="U678" s="76"/>
      <c r="V678" s="76"/>
      <c r="W678" s="76"/>
      <c r="X678" s="583"/>
      <c r="Y678" s="76"/>
      <c r="Z678" s="76"/>
      <c r="AA678" s="76"/>
      <c r="AB678" s="76"/>
      <c r="AC678" s="76"/>
      <c r="AD678" s="136"/>
    </row>
    <row r="679" ht="36.95" customHeight="1" spans="1:30">
      <c r="A679" s="76"/>
      <c r="B679" s="410" t="s">
        <v>1334</v>
      </c>
      <c r="C679" s="256" t="s">
        <v>970</v>
      </c>
      <c r="D679" s="76" t="s">
        <v>192</v>
      </c>
      <c r="E679" s="76"/>
      <c r="F679" s="76">
        <f t="shared" si="316"/>
        <v>2.476</v>
      </c>
      <c r="G679" s="76"/>
      <c r="H679" s="76">
        <v>2.476</v>
      </c>
      <c r="I679" s="76"/>
      <c r="J679" s="410" t="s">
        <v>1335</v>
      </c>
      <c r="K679" s="140">
        <v>21</v>
      </c>
      <c r="L679" s="140">
        <v>84</v>
      </c>
      <c r="M679" s="76">
        <v>2018</v>
      </c>
      <c r="N679" s="76">
        <v>2019</v>
      </c>
      <c r="O679" s="140">
        <f t="shared" si="317"/>
        <v>210</v>
      </c>
      <c r="P679" s="76">
        <v>100</v>
      </c>
      <c r="Q679" s="140">
        <v>110</v>
      </c>
      <c r="R679" s="76"/>
      <c r="S679" s="76"/>
      <c r="T679" s="76">
        <f t="shared" si="318"/>
        <v>210</v>
      </c>
      <c r="U679" s="76"/>
      <c r="V679" s="76"/>
      <c r="W679" s="76"/>
      <c r="X679" s="583"/>
      <c r="Y679" s="76"/>
      <c r="Z679" s="76"/>
      <c r="AA679" s="76"/>
      <c r="AB679" s="76"/>
      <c r="AC679" s="76"/>
      <c r="AD679" s="136"/>
    </row>
    <row r="680" ht="33" customHeight="1" spans="1:30">
      <c r="A680" s="76"/>
      <c r="B680" s="410" t="s">
        <v>1336</v>
      </c>
      <c r="C680" s="256" t="s">
        <v>970</v>
      </c>
      <c r="D680" s="76" t="s">
        <v>192</v>
      </c>
      <c r="E680" s="76"/>
      <c r="F680" s="76">
        <f t="shared" si="316"/>
        <v>1.941</v>
      </c>
      <c r="G680" s="76"/>
      <c r="H680" s="76">
        <v>1.941</v>
      </c>
      <c r="I680" s="76"/>
      <c r="J680" s="410" t="s">
        <v>1337</v>
      </c>
      <c r="K680" s="140">
        <v>9</v>
      </c>
      <c r="L680" s="140">
        <v>34</v>
      </c>
      <c r="M680" s="76">
        <v>2018</v>
      </c>
      <c r="N680" s="76">
        <v>2019</v>
      </c>
      <c r="O680" s="140">
        <f t="shared" si="317"/>
        <v>160</v>
      </c>
      <c r="P680" s="76">
        <v>80</v>
      </c>
      <c r="Q680" s="140">
        <v>80</v>
      </c>
      <c r="R680" s="76"/>
      <c r="S680" s="76"/>
      <c r="T680" s="76">
        <f t="shared" si="318"/>
        <v>160</v>
      </c>
      <c r="U680" s="76"/>
      <c r="V680" s="76"/>
      <c r="W680" s="76"/>
      <c r="X680" s="583"/>
      <c r="Y680" s="76"/>
      <c r="Z680" s="76"/>
      <c r="AA680" s="76"/>
      <c r="AB680" s="76"/>
      <c r="AC680" s="76"/>
      <c r="AD680" s="136"/>
    </row>
    <row r="681" ht="41.1" customHeight="1" spans="1:30">
      <c r="A681" s="76">
        <v>62</v>
      </c>
      <c r="B681" s="95" t="s">
        <v>1338</v>
      </c>
      <c r="C681" s="76" t="s">
        <v>1124</v>
      </c>
      <c r="D681" s="76" t="s">
        <v>192</v>
      </c>
      <c r="E681" s="76"/>
      <c r="F681" s="76">
        <f t="shared" ref="F681:L681" si="319">SUM(F682:F689)</f>
        <v>92.248</v>
      </c>
      <c r="G681" s="76">
        <f t="shared" si="319"/>
        <v>16.648</v>
      </c>
      <c r="H681" s="76">
        <f t="shared" si="319"/>
        <v>75.6</v>
      </c>
      <c r="I681" s="76">
        <f t="shared" si="319"/>
        <v>0</v>
      </c>
      <c r="J681" s="76">
        <f t="shared" si="319"/>
        <v>92.248</v>
      </c>
      <c r="K681" s="76">
        <f t="shared" si="319"/>
        <v>4985</v>
      </c>
      <c r="L681" s="76">
        <f t="shared" si="319"/>
        <v>20503</v>
      </c>
      <c r="M681" s="76">
        <v>2018</v>
      </c>
      <c r="N681" s="76">
        <v>2019</v>
      </c>
      <c r="O681" s="76">
        <f>SUM(P681:R681)</f>
        <v>658</v>
      </c>
      <c r="P681" s="76">
        <f>SUM(P682:P689)</f>
        <v>112</v>
      </c>
      <c r="Q681" s="76">
        <f t="shared" ref="Q681:W681" si="320">SUM(Q682:Q689)</f>
        <v>546</v>
      </c>
      <c r="R681" s="76">
        <f t="shared" si="320"/>
        <v>0</v>
      </c>
      <c r="S681" s="76">
        <f t="shared" si="320"/>
        <v>0</v>
      </c>
      <c r="T681" s="76">
        <f t="shared" si="320"/>
        <v>546</v>
      </c>
      <c r="U681" s="76">
        <f t="shared" si="320"/>
        <v>112</v>
      </c>
      <c r="V681" s="76">
        <f t="shared" si="320"/>
        <v>0</v>
      </c>
      <c r="W681" s="76">
        <f t="shared" si="320"/>
        <v>0</v>
      </c>
      <c r="X681" s="583"/>
      <c r="Y681" s="76"/>
      <c r="Z681" s="76"/>
      <c r="AA681" s="76" t="s">
        <v>1273</v>
      </c>
      <c r="AB681" s="76" t="s">
        <v>1306</v>
      </c>
      <c r="AC681" s="76" t="s">
        <v>271</v>
      </c>
      <c r="AD681" s="136"/>
    </row>
    <row r="682" customHeight="1" spans="1:30">
      <c r="A682" s="594"/>
      <c r="B682" s="595" t="s">
        <v>1339</v>
      </c>
      <c r="C682" s="76" t="s">
        <v>52</v>
      </c>
      <c r="D682" s="76" t="s">
        <v>192</v>
      </c>
      <c r="E682" s="76"/>
      <c r="F682" s="76">
        <v>3</v>
      </c>
      <c r="G682" s="76">
        <v>3</v>
      </c>
      <c r="H682" s="76"/>
      <c r="I682" s="76"/>
      <c r="J682" s="76">
        <v>3</v>
      </c>
      <c r="K682" s="584">
        <v>369</v>
      </c>
      <c r="L682" s="584">
        <v>1605</v>
      </c>
      <c r="M682" s="76">
        <v>2018</v>
      </c>
      <c r="N682" s="76">
        <v>2018</v>
      </c>
      <c r="O682" s="76">
        <f t="shared" ref="O682:O691" si="321">SUM(P682:R682)</f>
        <v>20</v>
      </c>
      <c r="P682" s="598">
        <v>20</v>
      </c>
      <c r="Q682" s="598"/>
      <c r="R682" s="76"/>
      <c r="S682" s="602"/>
      <c r="T682" s="602"/>
      <c r="U682" s="598">
        <v>20</v>
      </c>
      <c r="V682" s="76"/>
      <c r="W682" s="76"/>
      <c r="X682" s="583"/>
      <c r="Y682" s="76"/>
      <c r="Z682" s="76"/>
      <c r="AA682" s="76"/>
      <c r="AB682" s="76"/>
      <c r="AC682" s="76"/>
      <c r="AD682" s="143" t="s">
        <v>1277</v>
      </c>
    </row>
    <row r="683" customHeight="1" spans="1:30">
      <c r="A683" s="594"/>
      <c r="B683" s="595" t="s">
        <v>1340</v>
      </c>
      <c r="C683" s="76" t="s">
        <v>52</v>
      </c>
      <c r="D683" s="76" t="s">
        <v>192</v>
      </c>
      <c r="E683" s="76"/>
      <c r="F683" s="76">
        <v>4.948</v>
      </c>
      <c r="G683" s="76">
        <v>4.948</v>
      </c>
      <c r="H683" s="76"/>
      <c r="I683" s="76"/>
      <c r="J683" s="76">
        <v>4.948</v>
      </c>
      <c r="K683" s="584">
        <v>90</v>
      </c>
      <c r="L683" s="584">
        <v>343</v>
      </c>
      <c r="M683" s="76">
        <v>2018</v>
      </c>
      <c r="N683" s="76">
        <v>2018</v>
      </c>
      <c r="O683" s="76">
        <f t="shared" si="321"/>
        <v>33</v>
      </c>
      <c r="P683" s="598">
        <v>33</v>
      </c>
      <c r="Q683" s="598"/>
      <c r="R683" s="76"/>
      <c r="S683" s="602"/>
      <c r="T683" s="602"/>
      <c r="U683" s="598">
        <v>33</v>
      </c>
      <c r="V683" s="76"/>
      <c r="W683" s="76"/>
      <c r="X683" s="583"/>
      <c r="Y683" s="76"/>
      <c r="Z683" s="76"/>
      <c r="AA683" s="76"/>
      <c r="AB683" s="76"/>
      <c r="AC683" s="76"/>
      <c r="AD683" s="143" t="s">
        <v>1280</v>
      </c>
    </row>
    <row r="684" customHeight="1" spans="1:30">
      <c r="A684" s="594"/>
      <c r="B684" s="595" t="s">
        <v>1341</v>
      </c>
      <c r="C684" s="76" t="s">
        <v>52</v>
      </c>
      <c r="D684" s="76" t="s">
        <v>192</v>
      </c>
      <c r="E684" s="76"/>
      <c r="F684" s="76">
        <v>5.8</v>
      </c>
      <c r="G684" s="76">
        <v>5.8</v>
      </c>
      <c r="H684" s="76"/>
      <c r="I684" s="76"/>
      <c r="J684" s="76">
        <v>5.8</v>
      </c>
      <c r="K684" s="584">
        <v>230</v>
      </c>
      <c r="L684" s="584">
        <v>993</v>
      </c>
      <c r="M684" s="76">
        <v>2018</v>
      </c>
      <c r="N684" s="76">
        <v>2018</v>
      </c>
      <c r="O684" s="76">
        <f t="shared" si="321"/>
        <v>39</v>
      </c>
      <c r="P684" s="598">
        <v>39</v>
      </c>
      <c r="Q684" s="598"/>
      <c r="R684" s="76"/>
      <c r="S684" s="602"/>
      <c r="T684" s="602"/>
      <c r="U684" s="598">
        <v>39</v>
      </c>
      <c r="V684" s="76"/>
      <c r="W684" s="76"/>
      <c r="X684" s="583"/>
      <c r="Y684" s="76"/>
      <c r="Z684" s="76"/>
      <c r="AA684" s="76"/>
      <c r="AB684" s="76"/>
      <c r="AC684" s="76"/>
      <c r="AD684" s="143" t="s">
        <v>1281</v>
      </c>
    </row>
    <row r="685" customHeight="1" spans="1:30">
      <c r="A685" s="594"/>
      <c r="B685" s="595" t="s">
        <v>1342</v>
      </c>
      <c r="C685" s="76" t="s">
        <v>52</v>
      </c>
      <c r="D685" s="76" t="s">
        <v>192</v>
      </c>
      <c r="E685" s="76"/>
      <c r="F685" s="76">
        <v>2.9</v>
      </c>
      <c r="G685" s="76">
        <v>2.9</v>
      </c>
      <c r="H685" s="76"/>
      <c r="I685" s="76"/>
      <c r="J685" s="76">
        <v>2.9</v>
      </c>
      <c r="K685" s="584">
        <v>201</v>
      </c>
      <c r="L685" s="584">
        <v>736</v>
      </c>
      <c r="M685" s="76">
        <v>2018</v>
      </c>
      <c r="N685" s="76">
        <v>2018</v>
      </c>
      <c r="O685" s="76">
        <f t="shared" si="321"/>
        <v>20</v>
      </c>
      <c r="P685" s="598">
        <v>20</v>
      </c>
      <c r="Q685" s="598"/>
      <c r="R685" s="76"/>
      <c r="S685" s="602"/>
      <c r="T685" s="602"/>
      <c r="U685" s="598">
        <v>20</v>
      </c>
      <c r="V685" s="76"/>
      <c r="W685" s="76"/>
      <c r="X685" s="583"/>
      <c r="Y685" s="76"/>
      <c r="Z685" s="76"/>
      <c r="AA685" s="76"/>
      <c r="AB685" s="76"/>
      <c r="AC685" s="76"/>
      <c r="AD685" s="143" t="s">
        <v>1276</v>
      </c>
    </row>
    <row r="686" customHeight="1" spans="1:30">
      <c r="A686" s="594"/>
      <c r="B686" s="596" t="s">
        <v>1343</v>
      </c>
      <c r="C686" s="76" t="s">
        <v>52</v>
      </c>
      <c r="D686" s="76" t="s">
        <v>192</v>
      </c>
      <c r="E686" s="76"/>
      <c r="F686" s="76">
        <v>9.8</v>
      </c>
      <c r="G686" s="76"/>
      <c r="H686" s="76">
        <v>9.8</v>
      </c>
      <c r="I686" s="63"/>
      <c r="J686" s="76">
        <v>9.8</v>
      </c>
      <c r="K686" s="584">
        <v>209</v>
      </c>
      <c r="L686" s="584">
        <v>901</v>
      </c>
      <c r="M686" s="76">
        <v>2018</v>
      </c>
      <c r="N686" s="76">
        <v>2019</v>
      </c>
      <c r="O686" s="76">
        <f t="shared" si="321"/>
        <v>70</v>
      </c>
      <c r="P686" s="599"/>
      <c r="Q686" s="599">
        <v>70</v>
      </c>
      <c r="R686" s="76"/>
      <c r="S686" s="602"/>
      <c r="T686" s="602">
        <f>O686</f>
        <v>70</v>
      </c>
      <c r="U686" s="599"/>
      <c r="V686" s="76"/>
      <c r="W686" s="76"/>
      <c r="X686" s="583"/>
      <c r="Y686" s="76"/>
      <c r="Z686" s="76"/>
      <c r="AA686" s="76"/>
      <c r="AB686" s="76"/>
      <c r="AC686" s="76"/>
      <c r="AD686" s="143" t="s">
        <v>1270</v>
      </c>
    </row>
    <row r="687" customHeight="1" spans="1:30">
      <c r="A687" s="594"/>
      <c r="B687" s="596" t="s">
        <v>1344</v>
      </c>
      <c r="C687" s="76" t="s">
        <v>52</v>
      </c>
      <c r="D687" s="76" t="s">
        <v>192</v>
      </c>
      <c r="E687" s="76"/>
      <c r="F687" s="76">
        <v>4.5</v>
      </c>
      <c r="G687" s="76"/>
      <c r="H687" s="76">
        <v>4.5</v>
      </c>
      <c r="I687" s="63"/>
      <c r="J687" s="76">
        <v>4.5</v>
      </c>
      <c r="K687" s="584">
        <v>299</v>
      </c>
      <c r="L687" s="584">
        <v>1316</v>
      </c>
      <c r="M687" s="76">
        <v>2018</v>
      </c>
      <c r="N687" s="76">
        <v>2019</v>
      </c>
      <c r="O687" s="76">
        <f t="shared" si="321"/>
        <v>36</v>
      </c>
      <c r="P687" s="599"/>
      <c r="Q687" s="599">
        <v>36</v>
      </c>
      <c r="R687" s="76"/>
      <c r="S687" s="602"/>
      <c r="T687" s="602">
        <f>O687</f>
        <v>36</v>
      </c>
      <c r="U687" s="599"/>
      <c r="V687" s="76"/>
      <c r="W687" s="76"/>
      <c r="X687" s="583"/>
      <c r="Y687" s="76"/>
      <c r="Z687" s="76"/>
      <c r="AA687" s="76"/>
      <c r="AB687" s="76"/>
      <c r="AC687" s="76"/>
      <c r="AD687" s="143" t="s">
        <v>1282</v>
      </c>
    </row>
    <row r="688" ht="23.1" customHeight="1" spans="1:30">
      <c r="A688" s="594"/>
      <c r="B688" s="596" t="s">
        <v>1345</v>
      </c>
      <c r="C688" s="76" t="s">
        <v>52</v>
      </c>
      <c r="D688" s="76" t="s">
        <v>192</v>
      </c>
      <c r="E688" s="76"/>
      <c r="F688" s="76">
        <v>50</v>
      </c>
      <c r="G688" s="76"/>
      <c r="H688" s="76">
        <v>50</v>
      </c>
      <c r="I688" s="63"/>
      <c r="J688" s="76">
        <v>50</v>
      </c>
      <c r="K688" s="76">
        <v>3218</v>
      </c>
      <c r="L688" s="76">
        <v>13004</v>
      </c>
      <c r="M688" s="76">
        <v>2018</v>
      </c>
      <c r="N688" s="76">
        <v>2019</v>
      </c>
      <c r="O688" s="76">
        <f t="shared" si="321"/>
        <v>350</v>
      </c>
      <c r="P688" s="599"/>
      <c r="Q688" s="599">
        <v>350</v>
      </c>
      <c r="R688" s="76"/>
      <c r="S688" s="602"/>
      <c r="T688" s="602">
        <f>O688</f>
        <v>350</v>
      </c>
      <c r="U688" s="599"/>
      <c r="V688" s="76"/>
      <c r="W688" s="76"/>
      <c r="X688" s="583"/>
      <c r="Y688" s="76"/>
      <c r="Z688" s="76"/>
      <c r="AA688" s="76"/>
      <c r="AB688" s="76"/>
      <c r="AC688" s="76"/>
      <c r="AD688" s="143" t="s">
        <v>1346</v>
      </c>
    </row>
    <row r="689" customHeight="1" spans="1:30">
      <c r="A689" s="594"/>
      <c r="B689" s="596" t="s">
        <v>1347</v>
      </c>
      <c r="C689" s="76" t="s">
        <v>52</v>
      </c>
      <c r="D689" s="76" t="s">
        <v>192</v>
      </c>
      <c r="E689" s="76"/>
      <c r="F689" s="76">
        <v>11.3</v>
      </c>
      <c r="G689" s="76"/>
      <c r="H689" s="76">
        <v>11.3</v>
      </c>
      <c r="I689" s="63"/>
      <c r="J689" s="76">
        <v>11.3</v>
      </c>
      <c r="K689" s="76">
        <v>369</v>
      </c>
      <c r="L689" s="76">
        <v>1605</v>
      </c>
      <c r="M689" s="76">
        <v>2018</v>
      </c>
      <c r="N689" s="76">
        <v>2019</v>
      </c>
      <c r="O689" s="76">
        <f t="shared" si="321"/>
        <v>90</v>
      </c>
      <c r="P689" s="599"/>
      <c r="Q689" s="599">
        <v>90</v>
      </c>
      <c r="R689" s="76"/>
      <c r="S689" s="602"/>
      <c r="T689" s="602">
        <f>O689</f>
        <v>90</v>
      </c>
      <c r="U689" s="599"/>
      <c r="V689" s="76"/>
      <c r="W689" s="76"/>
      <c r="X689" s="583"/>
      <c r="Y689" s="76"/>
      <c r="Z689" s="76"/>
      <c r="AA689" s="76"/>
      <c r="AB689" s="76"/>
      <c r="AC689" s="76"/>
      <c r="AD689" s="143" t="s">
        <v>1279</v>
      </c>
    </row>
    <row r="690" customHeight="1" spans="1:30">
      <c r="A690" s="76"/>
      <c r="B690" s="95" t="s">
        <v>489</v>
      </c>
      <c r="C690" s="76" t="s">
        <v>488</v>
      </c>
      <c r="D690" s="76" t="s">
        <v>192</v>
      </c>
      <c r="E690" s="76"/>
      <c r="F690" s="76">
        <v>16</v>
      </c>
      <c r="G690" s="76">
        <v>16</v>
      </c>
      <c r="H690" s="76"/>
      <c r="I690" s="76"/>
      <c r="J690" s="76">
        <v>16</v>
      </c>
      <c r="K690" s="76">
        <v>451</v>
      </c>
      <c r="L690" s="76">
        <v>1658</v>
      </c>
      <c r="M690" s="76">
        <v>2018</v>
      </c>
      <c r="N690" s="76">
        <v>2018</v>
      </c>
      <c r="O690" s="76">
        <f t="shared" si="321"/>
        <v>1361</v>
      </c>
      <c r="P690" s="76">
        <v>1361</v>
      </c>
      <c r="Q690" s="76"/>
      <c r="R690" s="76"/>
      <c r="S690" s="602"/>
      <c r="T690" s="602">
        <v>1041</v>
      </c>
      <c r="U690" s="602">
        <v>320</v>
      </c>
      <c r="V690" s="602"/>
      <c r="W690" s="602"/>
      <c r="X690" s="583"/>
      <c r="Y690" s="76" t="s">
        <v>1038</v>
      </c>
      <c r="Z690" s="76"/>
      <c r="AA690" s="76" t="s">
        <v>1273</v>
      </c>
      <c r="AB690" s="76" t="s">
        <v>1306</v>
      </c>
      <c r="AC690" s="76" t="s">
        <v>271</v>
      </c>
      <c r="AD690" s="136"/>
    </row>
    <row r="691" customHeight="1" spans="1:30">
      <c r="A691" s="76"/>
      <c r="B691" s="95" t="s">
        <v>1348</v>
      </c>
      <c r="C691" s="76" t="s">
        <v>488</v>
      </c>
      <c r="D691" s="76" t="s">
        <v>192</v>
      </c>
      <c r="E691" s="76"/>
      <c r="F691" s="76">
        <v>16</v>
      </c>
      <c r="G691" s="76">
        <v>16</v>
      </c>
      <c r="H691" s="76"/>
      <c r="I691" s="76"/>
      <c r="J691" s="76">
        <v>16</v>
      </c>
      <c r="K691" s="76">
        <v>451</v>
      </c>
      <c r="L691" s="76">
        <v>1658</v>
      </c>
      <c r="M691" s="76">
        <v>2018</v>
      </c>
      <c r="N691" s="76">
        <v>2018</v>
      </c>
      <c r="O691" s="76">
        <f t="shared" si="321"/>
        <v>1361</v>
      </c>
      <c r="P691" s="76">
        <v>1361</v>
      </c>
      <c r="Q691" s="76"/>
      <c r="R691" s="76"/>
      <c r="S691" s="602"/>
      <c r="T691" s="602">
        <v>1041</v>
      </c>
      <c r="U691" s="602">
        <v>320</v>
      </c>
      <c r="V691" s="602"/>
      <c r="W691" s="602"/>
      <c r="X691" s="583"/>
      <c r="Y691" s="76"/>
      <c r="Z691" s="76"/>
      <c r="AA691" s="76"/>
      <c r="AB691" s="76"/>
      <c r="AC691" s="76"/>
      <c r="AD691" s="136" t="s">
        <v>1349</v>
      </c>
    </row>
    <row r="692" customHeight="1" spans="1:30">
      <c r="A692" s="76">
        <v>64</v>
      </c>
      <c r="B692" s="95" t="s">
        <v>495</v>
      </c>
      <c r="C692" s="76" t="s">
        <v>1124</v>
      </c>
      <c r="D692" s="76" t="s">
        <v>496</v>
      </c>
      <c r="E692" s="76"/>
      <c r="F692" s="76">
        <f t="shared" ref="F692:L692" si="322">SUM(F693:F699)</f>
        <v>7</v>
      </c>
      <c r="G692" s="76">
        <f t="shared" si="322"/>
        <v>7</v>
      </c>
      <c r="H692" s="76">
        <f t="shared" si="322"/>
        <v>0</v>
      </c>
      <c r="I692" s="76">
        <f t="shared" si="322"/>
        <v>0</v>
      </c>
      <c r="J692" s="76">
        <f t="shared" si="322"/>
        <v>7</v>
      </c>
      <c r="K692" s="76">
        <f t="shared" si="322"/>
        <v>61</v>
      </c>
      <c r="L692" s="76">
        <f t="shared" si="322"/>
        <v>267</v>
      </c>
      <c r="M692" s="76">
        <v>2018</v>
      </c>
      <c r="N692" s="76">
        <v>2018</v>
      </c>
      <c r="O692" s="76">
        <f t="shared" ref="O692:U692" si="323">SUM(O693:O699)</f>
        <v>248.007</v>
      </c>
      <c r="P692" s="76">
        <f t="shared" si="323"/>
        <v>248.007</v>
      </c>
      <c r="Q692" s="76">
        <f t="shared" si="323"/>
        <v>0</v>
      </c>
      <c r="R692" s="76">
        <f t="shared" si="323"/>
        <v>0</v>
      </c>
      <c r="S692" s="76">
        <f t="shared" si="323"/>
        <v>0</v>
      </c>
      <c r="T692" s="76">
        <f t="shared" si="323"/>
        <v>0</v>
      </c>
      <c r="U692" s="76">
        <f t="shared" si="323"/>
        <v>248.007</v>
      </c>
      <c r="V692" s="76"/>
      <c r="W692" s="76"/>
      <c r="X692" s="583"/>
      <c r="Y692" s="76" t="s">
        <v>1038</v>
      </c>
      <c r="Z692" s="76"/>
      <c r="AA692" s="76" t="s">
        <v>1273</v>
      </c>
      <c r="AB692" s="76" t="s">
        <v>1306</v>
      </c>
      <c r="AC692" s="76" t="s">
        <v>497</v>
      </c>
      <c r="AD692" s="136"/>
    </row>
    <row r="693" customHeight="1" spans="1:30">
      <c r="A693" s="76"/>
      <c r="B693" s="436" t="s">
        <v>1350</v>
      </c>
      <c r="C693" s="76" t="s">
        <v>52</v>
      </c>
      <c r="D693" s="76" t="s">
        <v>496</v>
      </c>
      <c r="E693" s="76"/>
      <c r="F693" s="76">
        <v>1</v>
      </c>
      <c r="G693" s="76">
        <v>1</v>
      </c>
      <c r="H693" s="76"/>
      <c r="I693" s="76"/>
      <c r="J693" s="76">
        <v>1</v>
      </c>
      <c r="K693" s="76">
        <v>12</v>
      </c>
      <c r="L693" s="76">
        <v>48</v>
      </c>
      <c r="M693" s="76">
        <v>2018</v>
      </c>
      <c r="N693" s="76">
        <v>2018</v>
      </c>
      <c r="O693" s="76">
        <f t="shared" ref="O693:O699" si="324">SUM(P693:R693)</f>
        <v>37.77</v>
      </c>
      <c r="P693" s="600">
        <v>37.77</v>
      </c>
      <c r="Q693" s="76"/>
      <c r="R693" s="76"/>
      <c r="S693" s="76"/>
      <c r="T693" s="76"/>
      <c r="U693" s="600">
        <v>37.77</v>
      </c>
      <c r="V693" s="76"/>
      <c r="W693" s="600"/>
      <c r="X693" s="583"/>
      <c r="Y693" s="76"/>
      <c r="Z693" s="76"/>
      <c r="AA693" s="76"/>
      <c r="AB693" s="76"/>
      <c r="AC693" s="76"/>
      <c r="AD693" s="136"/>
    </row>
    <row r="694" customHeight="1" spans="1:30">
      <c r="A694" s="76"/>
      <c r="B694" s="436" t="s">
        <v>1351</v>
      </c>
      <c r="C694" s="76" t="s">
        <v>52</v>
      </c>
      <c r="D694" s="76" t="s">
        <v>496</v>
      </c>
      <c r="E694" s="76"/>
      <c r="F694" s="76">
        <v>1</v>
      </c>
      <c r="G694" s="76">
        <v>1</v>
      </c>
      <c r="H694" s="76"/>
      <c r="I694" s="76"/>
      <c r="J694" s="76">
        <v>1</v>
      </c>
      <c r="K694" s="76">
        <v>24</v>
      </c>
      <c r="L694" s="76">
        <v>113</v>
      </c>
      <c r="M694" s="76">
        <v>2018</v>
      </c>
      <c r="N694" s="76">
        <v>2018</v>
      </c>
      <c r="O694" s="76">
        <f t="shared" si="324"/>
        <v>34</v>
      </c>
      <c r="P694" s="600">
        <v>34</v>
      </c>
      <c r="Q694" s="76"/>
      <c r="R694" s="76"/>
      <c r="S694" s="76"/>
      <c r="T694" s="76"/>
      <c r="U694" s="600">
        <v>34</v>
      </c>
      <c r="V694" s="76"/>
      <c r="W694" s="600"/>
      <c r="X694" s="583"/>
      <c r="Y694" s="76"/>
      <c r="Z694" s="76"/>
      <c r="AA694" s="76"/>
      <c r="AB694" s="76"/>
      <c r="AC694" s="76"/>
      <c r="AD694" s="136"/>
    </row>
    <row r="695" customHeight="1" spans="1:30">
      <c r="A695" s="76"/>
      <c r="B695" s="436" t="s">
        <v>1352</v>
      </c>
      <c r="C695" s="76" t="s">
        <v>52</v>
      </c>
      <c r="D695" s="76" t="s">
        <v>496</v>
      </c>
      <c r="E695" s="76"/>
      <c r="F695" s="76">
        <v>1</v>
      </c>
      <c r="G695" s="76">
        <v>1</v>
      </c>
      <c r="H695" s="76"/>
      <c r="I695" s="76"/>
      <c r="J695" s="76">
        <v>1</v>
      </c>
      <c r="K695" s="76">
        <v>4</v>
      </c>
      <c r="L695" s="76">
        <v>18</v>
      </c>
      <c r="M695" s="76">
        <v>2018</v>
      </c>
      <c r="N695" s="76">
        <v>2018</v>
      </c>
      <c r="O695" s="76">
        <f t="shared" si="324"/>
        <v>24.71</v>
      </c>
      <c r="P695" s="600">
        <v>24.71</v>
      </c>
      <c r="Q695" s="76"/>
      <c r="R695" s="76"/>
      <c r="S695" s="76"/>
      <c r="T695" s="76"/>
      <c r="U695" s="600">
        <v>24.71</v>
      </c>
      <c r="V695" s="76"/>
      <c r="W695" s="600"/>
      <c r="X695" s="583"/>
      <c r="Y695" s="76"/>
      <c r="Z695" s="76"/>
      <c r="AA695" s="76"/>
      <c r="AB695" s="76"/>
      <c r="AC695" s="76"/>
      <c r="AD695" s="136"/>
    </row>
    <row r="696" customHeight="1" spans="1:30">
      <c r="A696" s="76"/>
      <c r="B696" s="597" t="s">
        <v>1353</v>
      </c>
      <c r="C696" s="76" t="s">
        <v>52</v>
      </c>
      <c r="D696" s="76" t="s">
        <v>496</v>
      </c>
      <c r="E696" s="76"/>
      <c r="F696" s="76">
        <v>1</v>
      </c>
      <c r="G696" s="76">
        <v>1</v>
      </c>
      <c r="H696" s="76"/>
      <c r="I696" s="76"/>
      <c r="J696" s="76">
        <v>1</v>
      </c>
      <c r="K696" s="76">
        <v>14</v>
      </c>
      <c r="L696" s="76">
        <v>67</v>
      </c>
      <c r="M696" s="76">
        <v>2018</v>
      </c>
      <c r="N696" s="76">
        <v>2018</v>
      </c>
      <c r="O696" s="76">
        <f t="shared" si="324"/>
        <v>64.86</v>
      </c>
      <c r="P696" s="600">
        <v>64.86</v>
      </c>
      <c r="Q696" s="76"/>
      <c r="R696" s="76"/>
      <c r="S696" s="76"/>
      <c r="T696" s="76"/>
      <c r="U696" s="600">
        <v>64.86</v>
      </c>
      <c r="V696" s="76"/>
      <c r="W696" s="600"/>
      <c r="X696" s="583"/>
      <c r="Y696" s="76"/>
      <c r="Z696" s="76"/>
      <c r="AA696" s="76"/>
      <c r="AB696" s="76"/>
      <c r="AC696" s="76"/>
      <c r="AD696" s="136"/>
    </row>
    <row r="697" customHeight="1" spans="1:30">
      <c r="A697" s="76"/>
      <c r="B697" s="597" t="s">
        <v>1354</v>
      </c>
      <c r="C697" s="76" t="s">
        <v>52</v>
      </c>
      <c r="D697" s="76" t="s">
        <v>496</v>
      </c>
      <c r="E697" s="76"/>
      <c r="F697" s="76">
        <v>1</v>
      </c>
      <c r="G697" s="76">
        <v>1</v>
      </c>
      <c r="H697" s="76"/>
      <c r="I697" s="76"/>
      <c r="J697" s="76">
        <v>1</v>
      </c>
      <c r="K697" s="76">
        <v>3</v>
      </c>
      <c r="L697" s="76">
        <v>9</v>
      </c>
      <c r="M697" s="76">
        <v>2018</v>
      </c>
      <c r="N697" s="76">
        <v>2018</v>
      </c>
      <c r="O697" s="76">
        <f t="shared" si="324"/>
        <v>28.962</v>
      </c>
      <c r="P697" s="601">
        <v>28.962</v>
      </c>
      <c r="Q697" s="76"/>
      <c r="R697" s="76"/>
      <c r="S697" s="76"/>
      <c r="T697" s="76"/>
      <c r="U697" s="601">
        <v>28.962</v>
      </c>
      <c r="V697" s="76"/>
      <c r="W697" s="601"/>
      <c r="X697" s="583"/>
      <c r="Y697" s="76"/>
      <c r="Z697" s="76"/>
      <c r="AA697" s="76"/>
      <c r="AB697" s="76"/>
      <c r="AC697" s="76"/>
      <c r="AD697" s="136"/>
    </row>
    <row r="698" customHeight="1" spans="1:30">
      <c r="A698" s="76"/>
      <c r="B698" s="597" t="s">
        <v>1355</v>
      </c>
      <c r="C698" s="76" t="s">
        <v>52</v>
      </c>
      <c r="D698" s="76" t="s">
        <v>496</v>
      </c>
      <c r="E698" s="76"/>
      <c r="F698" s="76">
        <v>1</v>
      </c>
      <c r="G698" s="76">
        <v>1</v>
      </c>
      <c r="H698" s="76"/>
      <c r="I698" s="76"/>
      <c r="J698" s="76">
        <v>1</v>
      </c>
      <c r="K698" s="76">
        <v>4</v>
      </c>
      <c r="L698" s="76">
        <v>12</v>
      </c>
      <c r="M698" s="76">
        <v>2018</v>
      </c>
      <c r="N698" s="76">
        <v>2018</v>
      </c>
      <c r="O698" s="76">
        <f t="shared" si="324"/>
        <v>26.625</v>
      </c>
      <c r="P698" s="601">
        <v>26.625</v>
      </c>
      <c r="Q698" s="76"/>
      <c r="R698" s="76"/>
      <c r="S698" s="76"/>
      <c r="T698" s="76"/>
      <c r="U698" s="601">
        <v>26.625</v>
      </c>
      <c r="V698" s="76"/>
      <c r="W698" s="601"/>
      <c r="X698" s="583"/>
      <c r="Y698" s="76"/>
      <c r="Z698" s="76"/>
      <c r="AA698" s="76"/>
      <c r="AB698" s="76"/>
      <c r="AC698" s="76"/>
      <c r="AD698" s="136"/>
    </row>
    <row r="699" customHeight="1" spans="1:30">
      <c r="A699" s="76"/>
      <c r="B699" s="597" t="s">
        <v>1356</v>
      </c>
      <c r="C699" s="76" t="s">
        <v>52</v>
      </c>
      <c r="D699" s="76" t="s">
        <v>496</v>
      </c>
      <c r="E699" s="76"/>
      <c r="F699" s="76">
        <v>1</v>
      </c>
      <c r="G699" s="76">
        <v>1</v>
      </c>
      <c r="H699" s="76"/>
      <c r="I699" s="76"/>
      <c r="J699" s="76">
        <v>1</v>
      </c>
      <c r="K699" s="76">
        <v>0</v>
      </c>
      <c r="L699" s="76">
        <v>0</v>
      </c>
      <c r="M699" s="76">
        <v>2018</v>
      </c>
      <c r="N699" s="76">
        <v>2018</v>
      </c>
      <c r="O699" s="76">
        <f t="shared" si="324"/>
        <v>31.08</v>
      </c>
      <c r="P699" s="601">
        <v>31.08</v>
      </c>
      <c r="Q699" s="76"/>
      <c r="R699" s="76"/>
      <c r="S699" s="76"/>
      <c r="T699" s="76"/>
      <c r="U699" s="601">
        <v>31.08</v>
      </c>
      <c r="V699" s="76"/>
      <c r="W699" s="601"/>
      <c r="X699" s="583"/>
      <c r="Y699" s="76"/>
      <c r="Z699" s="76"/>
      <c r="AA699" s="76"/>
      <c r="AB699" s="76"/>
      <c r="AC699" s="76"/>
      <c r="AD699" s="136"/>
    </row>
    <row r="700" customHeight="1" spans="1:30">
      <c r="A700" s="76">
        <v>65</v>
      </c>
      <c r="B700" s="95" t="s">
        <v>499</v>
      </c>
      <c r="C700" s="76" t="s">
        <v>1124</v>
      </c>
      <c r="D700" s="76" t="s">
        <v>384</v>
      </c>
      <c r="E700" s="76"/>
      <c r="F700" s="76">
        <f t="shared" ref="F700:L700" si="325">SUM(F701:F714)</f>
        <v>225</v>
      </c>
      <c r="G700" s="76">
        <f t="shared" si="325"/>
        <v>225</v>
      </c>
      <c r="H700" s="76">
        <f t="shared" si="325"/>
        <v>0</v>
      </c>
      <c r="I700" s="76">
        <f t="shared" si="325"/>
        <v>0</v>
      </c>
      <c r="J700" s="76">
        <f t="shared" si="325"/>
        <v>225</v>
      </c>
      <c r="K700" s="76">
        <f t="shared" si="325"/>
        <v>225</v>
      </c>
      <c r="L700" s="76">
        <f t="shared" si="325"/>
        <v>855</v>
      </c>
      <c r="M700" s="76">
        <v>2018</v>
      </c>
      <c r="N700" s="76">
        <v>2018</v>
      </c>
      <c r="O700" s="76">
        <f t="shared" ref="O700:W700" si="326">SUM(O701:O714)</f>
        <v>7.875</v>
      </c>
      <c r="P700" s="76">
        <f t="shared" si="326"/>
        <v>7.875</v>
      </c>
      <c r="Q700" s="76">
        <f t="shared" si="326"/>
        <v>0</v>
      </c>
      <c r="R700" s="76">
        <f t="shared" si="326"/>
        <v>0</v>
      </c>
      <c r="S700" s="76">
        <f t="shared" si="326"/>
        <v>7.875</v>
      </c>
      <c r="T700" s="76">
        <f t="shared" si="326"/>
        <v>0</v>
      </c>
      <c r="U700" s="76">
        <f t="shared" si="326"/>
        <v>0</v>
      </c>
      <c r="V700" s="76">
        <f t="shared" si="326"/>
        <v>0</v>
      </c>
      <c r="W700" s="76">
        <f t="shared" si="326"/>
        <v>0</v>
      </c>
      <c r="X700" s="583"/>
      <c r="Y700" s="76" t="s">
        <v>1038</v>
      </c>
      <c r="Z700" s="76"/>
      <c r="AA700" s="76" t="s">
        <v>1292</v>
      </c>
      <c r="AB700" s="76" t="s">
        <v>1357</v>
      </c>
      <c r="AC700" s="76" t="s">
        <v>500</v>
      </c>
      <c r="AD700" s="136"/>
    </row>
    <row r="701" customHeight="1" spans="1:30">
      <c r="A701" s="76"/>
      <c r="B701" s="212" t="s">
        <v>1265</v>
      </c>
      <c r="C701" s="76" t="s">
        <v>52</v>
      </c>
      <c r="D701" s="76" t="s">
        <v>384</v>
      </c>
      <c r="E701" s="76"/>
      <c r="F701" s="76">
        <v>6</v>
      </c>
      <c r="G701" s="76">
        <v>6</v>
      </c>
      <c r="H701" s="76"/>
      <c r="I701" s="76"/>
      <c r="J701" s="76">
        <v>6</v>
      </c>
      <c r="K701" s="76">
        <v>6</v>
      </c>
      <c r="L701" s="76">
        <f t="shared" ref="L701:L714" si="327">ROUND(K701*3.8,0)</f>
        <v>23</v>
      </c>
      <c r="M701" s="76">
        <v>2018</v>
      </c>
      <c r="N701" s="76">
        <v>2018</v>
      </c>
      <c r="O701" s="76">
        <f t="shared" ref="O701:O718" si="328">SUM(P701:R701)</f>
        <v>0.21</v>
      </c>
      <c r="P701" s="76">
        <f t="shared" ref="P701:P714" si="329">0.035*J701</f>
        <v>0.21</v>
      </c>
      <c r="Q701" s="76"/>
      <c r="R701" s="76"/>
      <c r="S701" s="602">
        <f t="shared" ref="S701:S714" si="330">O701</f>
        <v>0.21</v>
      </c>
      <c r="T701" s="602"/>
      <c r="U701" s="602"/>
      <c r="V701" s="602"/>
      <c r="W701" s="602"/>
      <c r="X701" s="583"/>
      <c r="Y701" s="76"/>
      <c r="Z701" s="76"/>
      <c r="AA701" s="76"/>
      <c r="AB701" s="76"/>
      <c r="AC701" s="76"/>
      <c r="AD701" s="136"/>
    </row>
    <row r="702" customHeight="1" spans="1:30">
      <c r="A702" s="76"/>
      <c r="B702" s="212" t="s">
        <v>1268</v>
      </c>
      <c r="C702" s="76" t="s">
        <v>52</v>
      </c>
      <c r="D702" s="76" t="s">
        <v>384</v>
      </c>
      <c r="E702" s="76"/>
      <c r="F702" s="76">
        <v>12</v>
      </c>
      <c r="G702" s="76">
        <v>12</v>
      </c>
      <c r="H702" s="76"/>
      <c r="I702" s="76"/>
      <c r="J702" s="76">
        <v>12</v>
      </c>
      <c r="K702" s="76">
        <v>12</v>
      </c>
      <c r="L702" s="76">
        <f t="shared" si="327"/>
        <v>46</v>
      </c>
      <c r="M702" s="76">
        <v>2018</v>
      </c>
      <c r="N702" s="76">
        <v>2018</v>
      </c>
      <c r="O702" s="76">
        <f t="shared" si="328"/>
        <v>0.42</v>
      </c>
      <c r="P702" s="76">
        <f t="shared" si="329"/>
        <v>0.42</v>
      </c>
      <c r="Q702" s="76"/>
      <c r="R702" s="76"/>
      <c r="S702" s="602">
        <f t="shared" si="330"/>
        <v>0.42</v>
      </c>
      <c r="T702" s="602"/>
      <c r="U702" s="602"/>
      <c r="V702" s="602"/>
      <c r="W702" s="602"/>
      <c r="X702" s="583"/>
      <c r="Y702" s="76"/>
      <c r="Z702" s="76"/>
      <c r="AA702" s="76"/>
      <c r="AB702" s="76"/>
      <c r="AC702" s="76"/>
      <c r="AD702" s="136"/>
    </row>
    <row r="703" customHeight="1" spans="1:30">
      <c r="A703" s="76"/>
      <c r="B703" s="212" t="s">
        <v>1275</v>
      </c>
      <c r="C703" s="76" t="s">
        <v>52</v>
      </c>
      <c r="D703" s="76" t="s">
        <v>384</v>
      </c>
      <c r="E703" s="76"/>
      <c r="F703" s="76">
        <v>13</v>
      </c>
      <c r="G703" s="76">
        <v>13</v>
      </c>
      <c r="H703" s="76"/>
      <c r="I703" s="76"/>
      <c r="J703" s="76">
        <v>13</v>
      </c>
      <c r="K703" s="76">
        <v>13</v>
      </c>
      <c r="L703" s="76">
        <f t="shared" si="327"/>
        <v>49</v>
      </c>
      <c r="M703" s="76">
        <v>2018</v>
      </c>
      <c r="N703" s="76">
        <v>2018</v>
      </c>
      <c r="O703" s="76">
        <f t="shared" si="328"/>
        <v>0.455</v>
      </c>
      <c r="P703" s="76">
        <f t="shared" si="329"/>
        <v>0.455</v>
      </c>
      <c r="Q703" s="76"/>
      <c r="R703" s="76"/>
      <c r="S703" s="602">
        <f t="shared" si="330"/>
        <v>0.455</v>
      </c>
      <c r="T703" s="602"/>
      <c r="U703" s="602"/>
      <c r="V703" s="602"/>
      <c r="W703" s="602"/>
      <c r="X703" s="583"/>
      <c r="Y703" s="76"/>
      <c r="Z703" s="76"/>
      <c r="AA703" s="76"/>
      <c r="AB703" s="76"/>
      <c r="AC703" s="76"/>
      <c r="AD703" s="136"/>
    </row>
    <row r="704" customHeight="1" spans="1:30">
      <c r="A704" s="76"/>
      <c r="B704" s="212" t="s">
        <v>1276</v>
      </c>
      <c r="C704" s="76" t="s">
        <v>52</v>
      </c>
      <c r="D704" s="76" t="s">
        <v>384</v>
      </c>
      <c r="E704" s="76"/>
      <c r="F704" s="76">
        <v>21</v>
      </c>
      <c r="G704" s="76">
        <v>21</v>
      </c>
      <c r="H704" s="76"/>
      <c r="I704" s="76"/>
      <c r="J704" s="76">
        <v>21</v>
      </c>
      <c r="K704" s="76">
        <v>21</v>
      </c>
      <c r="L704" s="76">
        <f t="shared" si="327"/>
        <v>80</v>
      </c>
      <c r="M704" s="76">
        <v>2018</v>
      </c>
      <c r="N704" s="76">
        <v>2018</v>
      </c>
      <c r="O704" s="76">
        <f t="shared" si="328"/>
        <v>0.735</v>
      </c>
      <c r="P704" s="76">
        <f t="shared" si="329"/>
        <v>0.735</v>
      </c>
      <c r="Q704" s="76"/>
      <c r="R704" s="76"/>
      <c r="S704" s="602">
        <f t="shared" si="330"/>
        <v>0.735</v>
      </c>
      <c r="T704" s="602"/>
      <c r="U704" s="602"/>
      <c r="V704" s="602"/>
      <c r="W704" s="602"/>
      <c r="X704" s="583"/>
      <c r="Y704" s="76"/>
      <c r="Z704" s="76"/>
      <c r="AA704" s="76"/>
      <c r="AB704" s="76"/>
      <c r="AC704" s="76"/>
      <c r="AD704" s="136"/>
    </row>
    <row r="705" customHeight="1" spans="1:30">
      <c r="A705" s="76"/>
      <c r="B705" s="212" t="s">
        <v>1277</v>
      </c>
      <c r="C705" s="76" t="s">
        <v>52</v>
      </c>
      <c r="D705" s="76" t="s">
        <v>384</v>
      </c>
      <c r="E705" s="76"/>
      <c r="F705" s="76">
        <v>30</v>
      </c>
      <c r="G705" s="76">
        <v>30</v>
      </c>
      <c r="H705" s="76"/>
      <c r="I705" s="76"/>
      <c r="J705" s="76">
        <v>30</v>
      </c>
      <c r="K705" s="76">
        <v>30</v>
      </c>
      <c r="L705" s="76">
        <f t="shared" si="327"/>
        <v>114</v>
      </c>
      <c r="M705" s="76">
        <v>2018</v>
      </c>
      <c r="N705" s="76">
        <v>2018</v>
      </c>
      <c r="O705" s="76">
        <f t="shared" si="328"/>
        <v>1.05</v>
      </c>
      <c r="P705" s="76">
        <f t="shared" si="329"/>
        <v>1.05</v>
      </c>
      <c r="Q705" s="76"/>
      <c r="R705" s="76"/>
      <c r="S705" s="602">
        <f t="shared" si="330"/>
        <v>1.05</v>
      </c>
      <c r="T705" s="602"/>
      <c r="U705" s="602"/>
      <c r="V705" s="602"/>
      <c r="W705" s="602"/>
      <c r="X705" s="583"/>
      <c r="Y705" s="76"/>
      <c r="Z705" s="76"/>
      <c r="AA705" s="76"/>
      <c r="AB705" s="76"/>
      <c r="AC705" s="76"/>
      <c r="AD705" s="136"/>
    </row>
    <row r="706" customHeight="1" spans="1:30">
      <c r="A706" s="76"/>
      <c r="B706" s="212" t="s">
        <v>1278</v>
      </c>
      <c r="C706" s="76" t="s">
        <v>52</v>
      </c>
      <c r="D706" s="76" t="s">
        <v>384</v>
      </c>
      <c r="E706" s="76"/>
      <c r="F706" s="76">
        <v>30</v>
      </c>
      <c r="G706" s="76">
        <v>30</v>
      </c>
      <c r="H706" s="76"/>
      <c r="I706" s="76"/>
      <c r="J706" s="76">
        <v>30</v>
      </c>
      <c r="K706" s="76">
        <v>30</v>
      </c>
      <c r="L706" s="76">
        <f t="shared" si="327"/>
        <v>114</v>
      </c>
      <c r="M706" s="76">
        <v>2018</v>
      </c>
      <c r="N706" s="76">
        <v>2018</v>
      </c>
      <c r="O706" s="76">
        <f t="shared" si="328"/>
        <v>1.05</v>
      </c>
      <c r="P706" s="76">
        <f t="shared" si="329"/>
        <v>1.05</v>
      </c>
      <c r="Q706" s="76"/>
      <c r="R706" s="76"/>
      <c r="S706" s="602">
        <f t="shared" si="330"/>
        <v>1.05</v>
      </c>
      <c r="T706" s="602"/>
      <c r="U706" s="602"/>
      <c r="V706" s="602"/>
      <c r="W706" s="602"/>
      <c r="X706" s="583"/>
      <c r="Y706" s="76"/>
      <c r="Z706" s="76"/>
      <c r="AA706" s="76"/>
      <c r="AB706" s="76"/>
      <c r="AC706" s="76"/>
      <c r="AD706" s="136"/>
    </row>
    <row r="707" customHeight="1" spans="1:30">
      <c r="A707" s="76"/>
      <c r="B707" s="212" t="s">
        <v>1280</v>
      </c>
      <c r="C707" s="76" t="s">
        <v>52</v>
      </c>
      <c r="D707" s="76" t="s">
        <v>384</v>
      </c>
      <c r="E707" s="76"/>
      <c r="F707" s="76">
        <v>9</v>
      </c>
      <c r="G707" s="76">
        <v>9</v>
      </c>
      <c r="H707" s="76"/>
      <c r="I707" s="76"/>
      <c r="J707" s="76">
        <v>9</v>
      </c>
      <c r="K707" s="76">
        <v>9</v>
      </c>
      <c r="L707" s="76">
        <f t="shared" si="327"/>
        <v>34</v>
      </c>
      <c r="M707" s="76">
        <v>2018</v>
      </c>
      <c r="N707" s="76">
        <v>2018</v>
      </c>
      <c r="O707" s="76">
        <f t="shared" si="328"/>
        <v>0.315</v>
      </c>
      <c r="P707" s="76">
        <f t="shared" si="329"/>
        <v>0.315</v>
      </c>
      <c r="Q707" s="76"/>
      <c r="R707" s="76"/>
      <c r="S707" s="602">
        <f t="shared" si="330"/>
        <v>0.315</v>
      </c>
      <c r="T707" s="602"/>
      <c r="U707" s="602"/>
      <c r="V707" s="602"/>
      <c r="W707" s="602"/>
      <c r="X707" s="583"/>
      <c r="Y707" s="76"/>
      <c r="Z707" s="76"/>
      <c r="AA707" s="76"/>
      <c r="AB707" s="76"/>
      <c r="AC707" s="76"/>
      <c r="AD707" s="136"/>
    </row>
    <row r="708" customHeight="1" spans="1:30">
      <c r="A708" s="76"/>
      <c r="B708" s="212" t="s">
        <v>1269</v>
      </c>
      <c r="C708" s="76" t="s">
        <v>52</v>
      </c>
      <c r="D708" s="76" t="s">
        <v>384</v>
      </c>
      <c r="E708" s="76"/>
      <c r="F708" s="76">
        <v>18</v>
      </c>
      <c r="G708" s="76">
        <v>18</v>
      </c>
      <c r="H708" s="76"/>
      <c r="I708" s="76"/>
      <c r="J708" s="76">
        <v>18</v>
      </c>
      <c r="K708" s="76">
        <v>18</v>
      </c>
      <c r="L708" s="76">
        <f t="shared" si="327"/>
        <v>68</v>
      </c>
      <c r="M708" s="76">
        <v>2018</v>
      </c>
      <c r="N708" s="76">
        <v>2018</v>
      </c>
      <c r="O708" s="76">
        <f t="shared" si="328"/>
        <v>0.63</v>
      </c>
      <c r="P708" s="76">
        <f t="shared" si="329"/>
        <v>0.63</v>
      </c>
      <c r="Q708" s="76"/>
      <c r="R708" s="76"/>
      <c r="S708" s="602">
        <f t="shared" si="330"/>
        <v>0.63</v>
      </c>
      <c r="T708" s="602"/>
      <c r="U708" s="602"/>
      <c r="V708" s="602"/>
      <c r="W708" s="602"/>
      <c r="X708" s="583"/>
      <c r="Y708" s="76"/>
      <c r="Z708" s="76"/>
      <c r="AA708" s="76"/>
      <c r="AB708" s="76"/>
      <c r="AC708" s="76"/>
      <c r="AD708" s="136"/>
    </row>
    <row r="709" customHeight="1" spans="1:30">
      <c r="A709" s="76"/>
      <c r="B709" s="212" t="s">
        <v>1270</v>
      </c>
      <c r="C709" s="76" t="s">
        <v>52</v>
      </c>
      <c r="D709" s="76" t="s">
        <v>384</v>
      </c>
      <c r="E709" s="76"/>
      <c r="F709" s="76">
        <v>28</v>
      </c>
      <c r="G709" s="76">
        <v>28</v>
      </c>
      <c r="H709" s="76"/>
      <c r="I709" s="76"/>
      <c r="J709" s="76">
        <v>28</v>
      </c>
      <c r="K709" s="76">
        <v>28</v>
      </c>
      <c r="L709" s="76">
        <f t="shared" si="327"/>
        <v>106</v>
      </c>
      <c r="M709" s="76">
        <v>2018</v>
      </c>
      <c r="N709" s="76">
        <v>2018</v>
      </c>
      <c r="O709" s="76">
        <f t="shared" si="328"/>
        <v>0.98</v>
      </c>
      <c r="P709" s="76">
        <f t="shared" si="329"/>
        <v>0.98</v>
      </c>
      <c r="Q709" s="76"/>
      <c r="R709" s="76"/>
      <c r="S709" s="602">
        <f t="shared" si="330"/>
        <v>0.98</v>
      </c>
      <c r="T709" s="602"/>
      <c r="U709" s="602"/>
      <c r="V709" s="602"/>
      <c r="W709" s="602"/>
      <c r="X709" s="583"/>
      <c r="Y709" s="76"/>
      <c r="Z709" s="76"/>
      <c r="AA709" s="76"/>
      <c r="AB709" s="76"/>
      <c r="AC709" s="76"/>
      <c r="AD709" s="136"/>
    </row>
    <row r="710" customHeight="1" spans="1:30">
      <c r="A710" s="76"/>
      <c r="B710" s="212" t="s">
        <v>1281</v>
      </c>
      <c r="C710" s="76" t="s">
        <v>52</v>
      </c>
      <c r="D710" s="76" t="s">
        <v>384</v>
      </c>
      <c r="E710" s="76"/>
      <c r="F710" s="76">
        <v>9</v>
      </c>
      <c r="G710" s="76">
        <v>9</v>
      </c>
      <c r="H710" s="76"/>
      <c r="I710" s="76"/>
      <c r="J710" s="76">
        <v>9</v>
      </c>
      <c r="K710" s="76">
        <v>9</v>
      </c>
      <c r="L710" s="76">
        <f t="shared" si="327"/>
        <v>34</v>
      </c>
      <c r="M710" s="76">
        <v>2018</v>
      </c>
      <c r="N710" s="76">
        <v>2018</v>
      </c>
      <c r="O710" s="76">
        <f t="shared" si="328"/>
        <v>0.315</v>
      </c>
      <c r="P710" s="76">
        <f t="shared" si="329"/>
        <v>0.315</v>
      </c>
      <c r="Q710" s="76"/>
      <c r="R710" s="76"/>
      <c r="S710" s="602">
        <f t="shared" si="330"/>
        <v>0.315</v>
      </c>
      <c r="T710" s="602"/>
      <c r="U710" s="602"/>
      <c r="V710" s="602"/>
      <c r="W710" s="602"/>
      <c r="X710" s="583"/>
      <c r="Y710" s="76"/>
      <c r="Z710" s="76"/>
      <c r="AA710" s="76"/>
      <c r="AB710" s="76"/>
      <c r="AC710" s="76"/>
      <c r="AD710" s="136"/>
    </row>
    <row r="711" customHeight="1" spans="1:30">
      <c r="A711" s="76"/>
      <c r="B711" s="212" t="s">
        <v>1271</v>
      </c>
      <c r="C711" s="76" t="s">
        <v>52</v>
      </c>
      <c r="D711" s="76" t="s">
        <v>384</v>
      </c>
      <c r="E711" s="76"/>
      <c r="F711" s="76">
        <v>31</v>
      </c>
      <c r="G711" s="76">
        <v>31</v>
      </c>
      <c r="H711" s="76"/>
      <c r="I711" s="76"/>
      <c r="J711" s="76">
        <v>31</v>
      </c>
      <c r="K711" s="76">
        <v>31</v>
      </c>
      <c r="L711" s="76">
        <f t="shared" si="327"/>
        <v>118</v>
      </c>
      <c r="M711" s="76">
        <v>2018</v>
      </c>
      <c r="N711" s="76">
        <v>2018</v>
      </c>
      <c r="O711" s="76">
        <f t="shared" si="328"/>
        <v>1.085</v>
      </c>
      <c r="P711" s="76">
        <f t="shared" si="329"/>
        <v>1.085</v>
      </c>
      <c r="Q711" s="76"/>
      <c r="R711" s="76"/>
      <c r="S711" s="602">
        <f t="shared" si="330"/>
        <v>1.085</v>
      </c>
      <c r="T711" s="602"/>
      <c r="U711" s="602"/>
      <c r="V711" s="602"/>
      <c r="W711" s="602"/>
      <c r="X711" s="583"/>
      <c r="Y711" s="76"/>
      <c r="Z711" s="76"/>
      <c r="AA711" s="76"/>
      <c r="AB711" s="76"/>
      <c r="AC711" s="76"/>
      <c r="AD711" s="136"/>
    </row>
    <row r="712" customHeight="1" spans="1:30">
      <c r="A712" s="76"/>
      <c r="B712" s="212" t="s">
        <v>1282</v>
      </c>
      <c r="C712" s="76" t="s">
        <v>52</v>
      </c>
      <c r="D712" s="76" t="s">
        <v>384</v>
      </c>
      <c r="E712" s="76"/>
      <c r="F712" s="76">
        <v>6</v>
      </c>
      <c r="G712" s="76">
        <v>6</v>
      </c>
      <c r="H712" s="76"/>
      <c r="I712" s="76"/>
      <c r="J712" s="76">
        <v>6</v>
      </c>
      <c r="K712" s="76">
        <v>6</v>
      </c>
      <c r="L712" s="76">
        <f t="shared" si="327"/>
        <v>23</v>
      </c>
      <c r="M712" s="76">
        <v>2018</v>
      </c>
      <c r="N712" s="76">
        <v>2018</v>
      </c>
      <c r="O712" s="76">
        <f t="shared" si="328"/>
        <v>0.21</v>
      </c>
      <c r="P712" s="76">
        <f t="shared" si="329"/>
        <v>0.21</v>
      </c>
      <c r="Q712" s="76"/>
      <c r="R712" s="76"/>
      <c r="S712" s="602">
        <f t="shared" si="330"/>
        <v>0.21</v>
      </c>
      <c r="T712" s="602"/>
      <c r="U712" s="602"/>
      <c r="V712" s="602"/>
      <c r="W712" s="602"/>
      <c r="X712" s="583"/>
      <c r="Y712" s="76"/>
      <c r="Z712" s="76"/>
      <c r="AA712" s="76"/>
      <c r="AB712" s="76"/>
      <c r="AC712" s="76"/>
      <c r="AD712" s="136"/>
    </row>
    <row r="713" customHeight="1" spans="1:30">
      <c r="A713" s="76"/>
      <c r="B713" s="212" t="s">
        <v>1283</v>
      </c>
      <c r="C713" s="76" t="s">
        <v>52</v>
      </c>
      <c r="D713" s="76" t="s">
        <v>384</v>
      </c>
      <c r="E713" s="76"/>
      <c r="F713" s="76">
        <v>10</v>
      </c>
      <c r="G713" s="76">
        <v>10</v>
      </c>
      <c r="H713" s="76"/>
      <c r="I713" s="76"/>
      <c r="J713" s="76">
        <v>10</v>
      </c>
      <c r="K713" s="76">
        <v>10</v>
      </c>
      <c r="L713" s="76">
        <f t="shared" si="327"/>
        <v>38</v>
      </c>
      <c r="M713" s="76">
        <v>2018</v>
      </c>
      <c r="N713" s="76">
        <v>2018</v>
      </c>
      <c r="O713" s="76">
        <f t="shared" si="328"/>
        <v>0.35</v>
      </c>
      <c r="P713" s="76">
        <f t="shared" si="329"/>
        <v>0.35</v>
      </c>
      <c r="Q713" s="76"/>
      <c r="R713" s="76"/>
      <c r="S713" s="602">
        <f t="shared" si="330"/>
        <v>0.35</v>
      </c>
      <c r="T713" s="602"/>
      <c r="U713" s="602"/>
      <c r="V713" s="602"/>
      <c r="W713" s="602"/>
      <c r="X713" s="583"/>
      <c r="Y713" s="76"/>
      <c r="Z713" s="76"/>
      <c r="AA713" s="76"/>
      <c r="AB713" s="76"/>
      <c r="AC713" s="76"/>
      <c r="AD713" s="136"/>
    </row>
    <row r="714" customHeight="1" spans="1:30">
      <c r="A714" s="76"/>
      <c r="B714" s="212" t="s">
        <v>1284</v>
      </c>
      <c r="C714" s="76" t="s">
        <v>52</v>
      </c>
      <c r="D714" s="76" t="s">
        <v>384</v>
      </c>
      <c r="E714" s="76"/>
      <c r="F714" s="76">
        <v>2</v>
      </c>
      <c r="G714" s="76">
        <v>2</v>
      </c>
      <c r="H714" s="76"/>
      <c r="I714" s="76"/>
      <c r="J714" s="76">
        <v>2</v>
      </c>
      <c r="K714" s="76">
        <v>2</v>
      </c>
      <c r="L714" s="76">
        <f t="shared" si="327"/>
        <v>8</v>
      </c>
      <c r="M714" s="76">
        <v>2018</v>
      </c>
      <c r="N714" s="76">
        <v>2018</v>
      </c>
      <c r="O714" s="76">
        <f t="shared" si="328"/>
        <v>0.07</v>
      </c>
      <c r="P714" s="76">
        <f t="shared" si="329"/>
        <v>0.07</v>
      </c>
      <c r="Q714" s="76"/>
      <c r="R714" s="76"/>
      <c r="S714" s="602">
        <f t="shared" si="330"/>
        <v>0.07</v>
      </c>
      <c r="T714" s="602"/>
      <c r="U714" s="602"/>
      <c r="V714" s="602"/>
      <c r="W714" s="602"/>
      <c r="X714" s="583"/>
      <c r="Y714" s="76"/>
      <c r="Z714" s="76"/>
      <c r="AA714" s="76"/>
      <c r="AB714" s="76"/>
      <c r="AC714" s="76"/>
      <c r="AD714" s="136"/>
    </row>
    <row r="715" customHeight="1" spans="1:30">
      <c r="A715" s="76">
        <v>66</v>
      </c>
      <c r="B715" s="95" t="s">
        <v>501</v>
      </c>
      <c r="C715" s="76" t="s">
        <v>320</v>
      </c>
      <c r="D715" s="76" t="s">
        <v>320</v>
      </c>
      <c r="E715" s="76"/>
      <c r="F715" s="76"/>
      <c r="G715" s="76"/>
      <c r="H715" s="76"/>
      <c r="I715" s="76"/>
      <c r="J715" s="76"/>
      <c r="K715" s="76"/>
      <c r="L715" s="76"/>
      <c r="M715" s="76"/>
      <c r="N715" s="76"/>
      <c r="O715" s="76">
        <f t="shared" si="328"/>
        <v>0</v>
      </c>
      <c r="P715" s="76"/>
      <c r="Q715" s="76"/>
      <c r="R715" s="76"/>
      <c r="S715" s="76"/>
      <c r="T715" s="76"/>
      <c r="U715" s="76"/>
      <c r="V715" s="76"/>
      <c r="W715" s="76"/>
      <c r="X715" s="583"/>
      <c r="Y715" s="76"/>
      <c r="Z715" s="76"/>
      <c r="AA715" s="76" t="s">
        <v>1273</v>
      </c>
      <c r="AB715" s="76" t="s">
        <v>1358</v>
      </c>
      <c r="AC715" s="76" t="s">
        <v>320</v>
      </c>
      <c r="AD715" s="136"/>
    </row>
    <row r="716" customHeight="1" spans="1:30">
      <c r="A716" s="76">
        <v>67</v>
      </c>
      <c r="B716" s="95" t="s">
        <v>502</v>
      </c>
      <c r="C716" s="76" t="s">
        <v>1124</v>
      </c>
      <c r="D716" s="76" t="s">
        <v>496</v>
      </c>
      <c r="E716" s="76"/>
      <c r="F716" s="76"/>
      <c r="G716" s="76"/>
      <c r="H716" s="76"/>
      <c r="I716" s="76"/>
      <c r="J716" s="76"/>
      <c r="K716" s="76"/>
      <c r="L716" s="76"/>
      <c r="M716" s="76"/>
      <c r="N716" s="76"/>
      <c r="O716" s="76">
        <f t="shared" si="328"/>
        <v>0</v>
      </c>
      <c r="P716" s="76"/>
      <c r="Q716" s="76"/>
      <c r="R716" s="76"/>
      <c r="S716" s="76"/>
      <c r="T716" s="76"/>
      <c r="U716" s="76"/>
      <c r="V716" s="76"/>
      <c r="W716" s="76"/>
      <c r="X716" s="583"/>
      <c r="Y716" s="76" t="s">
        <v>1038</v>
      </c>
      <c r="Z716" s="76"/>
      <c r="AA716" s="76" t="s">
        <v>1273</v>
      </c>
      <c r="AB716" s="76" t="s">
        <v>1358</v>
      </c>
      <c r="AC716" s="76" t="s">
        <v>497</v>
      </c>
      <c r="AD716" s="136"/>
    </row>
    <row r="717" customHeight="1" spans="1:30">
      <c r="A717" s="76">
        <v>68</v>
      </c>
      <c r="B717" s="95" t="s">
        <v>503</v>
      </c>
      <c r="C717" s="76" t="s">
        <v>1124</v>
      </c>
      <c r="D717" s="76" t="s">
        <v>496</v>
      </c>
      <c r="E717" s="76"/>
      <c r="F717" s="76"/>
      <c r="G717" s="76"/>
      <c r="H717" s="76"/>
      <c r="I717" s="76"/>
      <c r="J717" s="76"/>
      <c r="K717" s="76"/>
      <c r="L717" s="76"/>
      <c r="M717" s="76"/>
      <c r="N717" s="76"/>
      <c r="O717" s="76">
        <f t="shared" si="328"/>
        <v>0</v>
      </c>
      <c r="P717" s="76"/>
      <c r="Q717" s="76"/>
      <c r="R717" s="76"/>
      <c r="S717" s="76"/>
      <c r="T717" s="76"/>
      <c r="U717" s="76"/>
      <c r="V717" s="76"/>
      <c r="W717" s="76"/>
      <c r="X717" s="583"/>
      <c r="Y717" s="76" t="s">
        <v>1038</v>
      </c>
      <c r="Z717" s="76"/>
      <c r="AA717" s="76" t="s">
        <v>1273</v>
      </c>
      <c r="AB717" s="76" t="s">
        <v>1358</v>
      </c>
      <c r="AC717" s="76" t="s">
        <v>497</v>
      </c>
      <c r="AD717" s="136"/>
    </row>
    <row r="718" customHeight="1" spans="1:30">
      <c r="A718" s="76">
        <v>69</v>
      </c>
      <c r="B718" s="95" t="s">
        <v>504</v>
      </c>
      <c r="C718" s="76" t="s">
        <v>1124</v>
      </c>
      <c r="D718" s="76" t="s">
        <v>496</v>
      </c>
      <c r="E718" s="76"/>
      <c r="F718" s="76"/>
      <c r="G718" s="76"/>
      <c r="H718" s="76"/>
      <c r="I718" s="76"/>
      <c r="J718" s="76"/>
      <c r="K718" s="76"/>
      <c r="L718" s="93"/>
      <c r="M718" s="76"/>
      <c r="N718" s="76"/>
      <c r="O718" s="76">
        <f t="shared" si="328"/>
        <v>0</v>
      </c>
      <c r="P718" s="76"/>
      <c r="Q718" s="76"/>
      <c r="R718" s="76"/>
      <c r="S718" s="76"/>
      <c r="T718" s="76"/>
      <c r="U718" s="76"/>
      <c r="V718" s="76"/>
      <c r="W718" s="76"/>
      <c r="X718" s="583"/>
      <c r="Y718" s="76" t="s">
        <v>1038</v>
      </c>
      <c r="Z718" s="76"/>
      <c r="AA718" s="76" t="s">
        <v>1273</v>
      </c>
      <c r="AB718" s="76" t="s">
        <v>1358</v>
      </c>
      <c r="AC718" s="76" t="s">
        <v>497</v>
      </c>
      <c r="AD718" s="136"/>
    </row>
    <row r="719" customHeight="1" spans="1:30">
      <c r="A719" s="76">
        <v>70</v>
      </c>
      <c r="B719" s="92" t="s">
        <v>505</v>
      </c>
      <c r="C719" s="76" t="s">
        <v>1124</v>
      </c>
      <c r="D719" s="76" t="s">
        <v>147</v>
      </c>
      <c r="E719" s="76"/>
      <c r="F719" s="76">
        <f t="shared" ref="F719:L719" si="331">SUM(F720:F747)</f>
        <v>8426</v>
      </c>
      <c r="G719" s="76">
        <f t="shared" si="331"/>
        <v>4422</v>
      </c>
      <c r="H719" s="76">
        <f t="shared" si="331"/>
        <v>4004</v>
      </c>
      <c r="I719" s="76">
        <f t="shared" si="331"/>
        <v>0</v>
      </c>
      <c r="J719" s="76">
        <f t="shared" si="331"/>
        <v>8426</v>
      </c>
      <c r="K719" s="76">
        <f t="shared" si="331"/>
        <v>622</v>
      </c>
      <c r="L719" s="76">
        <f t="shared" si="331"/>
        <v>2413</v>
      </c>
      <c r="M719" s="76">
        <v>2018</v>
      </c>
      <c r="N719" s="76">
        <v>2019</v>
      </c>
      <c r="O719" s="76">
        <f t="shared" ref="O719:W719" si="332">SUM(O720:O747)</f>
        <v>1730.13</v>
      </c>
      <c r="P719" s="76">
        <f t="shared" si="332"/>
        <v>145.77</v>
      </c>
      <c r="Q719" s="76">
        <f t="shared" si="332"/>
        <v>1584.36</v>
      </c>
      <c r="R719" s="76">
        <f t="shared" si="332"/>
        <v>0</v>
      </c>
      <c r="S719" s="76">
        <f t="shared" si="332"/>
        <v>150</v>
      </c>
      <c r="T719" s="76">
        <f t="shared" si="332"/>
        <v>1580.13</v>
      </c>
      <c r="U719" s="76">
        <f t="shared" si="332"/>
        <v>0</v>
      </c>
      <c r="V719" s="76">
        <f t="shared" si="332"/>
        <v>0</v>
      </c>
      <c r="W719" s="76">
        <f t="shared" si="332"/>
        <v>0</v>
      </c>
      <c r="X719" s="583" t="s">
        <v>1038</v>
      </c>
      <c r="Y719" s="76"/>
      <c r="Z719" s="76"/>
      <c r="AA719" s="76" t="s">
        <v>1273</v>
      </c>
      <c r="AB719" s="76" t="s">
        <v>1358</v>
      </c>
      <c r="AC719" s="76" t="s">
        <v>275</v>
      </c>
      <c r="AD719" s="136"/>
    </row>
    <row r="720" ht="24" spans="1:30">
      <c r="A720" s="76"/>
      <c r="B720" s="74" t="s">
        <v>1359</v>
      </c>
      <c r="C720" s="71" t="s">
        <v>52</v>
      </c>
      <c r="D720" s="28" t="s">
        <v>147</v>
      </c>
      <c r="E720" s="28"/>
      <c r="F720" s="147">
        <v>168</v>
      </c>
      <c r="G720" s="147">
        <v>168</v>
      </c>
      <c r="H720" s="76"/>
      <c r="I720" s="76"/>
      <c r="J720" s="147">
        <v>168</v>
      </c>
      <c r="K720" s="147">
        <v>5</v>
      </c>
      <c r="L720" s="147">
        <v>19</v>
      </c>
      <c r="M720" s="147">
        <v>2018</v>
      </c>
      <c r="N720" s="147">
        <v>2018</v>
      </c>
      <c r="O720" s="76">
        <f t="shared" ref="O720:O727" si="333">SUM(P720:R720)</f>
        <v>25.79</v>
      </c>
      <c r="P720" s="147">
        <v>25.79</v>
      </c>
      <c r="Q720" s="147"/>
      <c r="R720" s="147"/>
      <c r="S720" s="147">
        <v>25.79</v>
      </c>
      <c r="T720" s="147"/>
      <c r="U720" s="76"/>
      <c r="V720" s="76"/>
      <c r="W720" s="76"/>
      <c r="X720" s="583"/>
      <c r="Y720" s="76"/>
      <c r="Z720" s="76"/>
      <c r="AA720" s="76"/>
      <c r="AB720" s="76"/>
      <c r="AC720" s="76"/>
      <c r="AD720" s="136"/>
    </row>
    <row r="721" ht="24" spans="1:30">
      <c r="A721" s="76"/>
      <c r="B721" s="74" t="s">
        <v>1360</v>
      </c>
      <c r="C721" s="71" t="s">
        <v>52</v>
      </c>
      <c r="D721" s="28" t="s">
        <v>147</v>
      </c>
      <c r="E721" s="28"/>
      <c r="F721" s="147">
        <v>198</v>
      </c>
      <c r="G721" s="147">
        <v>198</v>
      </c>
      <c r="H721" s="76"/>
      <c r="I721" s="76"/>
      <c r="J721" s="147">
        <v>198</v>
      </c>
      <c r="K721" s="147">
        <v>22</v>
      </c>
      <c r="L721" s="147">
        <v>84</v>
      </c>
      <c r="M721" s="147">
        <v>2018</v>
      </c>
      <c r="N721" s="147">
        <v>2018</v>
      </c>
      <c r="O721" s="76">
        <f t="shared" si="333"/>
        <v>17.35</v>
      </c>
      <c r="P721" s="147">
        <v>17.35</v>
      </c>
      <c r="Q721" s="147"/>
      <c r="R721" s="147"/>
      <c r="S721" s="147">
        <v>17.35</v>
      </c>
      <c r="T721" s="147"/>
      <c r="U721" s="76"/>
      <c r="V721" s="76"/>
      <c r="W721" s="76"/>
      <c r="X721" s="583"/>
      <c r="Y721" s="76"/>
      <c r="Z721" s="76"/>
      <c r="AA721" s="76"/>
      <c r="AB721" s="76"/>
      <c r="AC721" s="76"/>
      <c r="AD721" s="136"/>
    </row>
    <row r="722" ht="24" spans="1:30">
      <c r="A722" s="76"/>
      <c r="B722" s="74" t="s">
        <v>1361</v>
      </c>
      <c r="C722" s="71" t="s">
        <v>52</v>
      </c>
      <c r="D722" s="28" t="s">
        <v>147</v>
      </c>
      <c r="E722" s="28"/>
      <c r="F722" s="147">
        <v>229</v>
      </c>
      <c r="G722" s="147">
        <v>229</v>
      </c>
      <c r="H722" s="76"/>
      <c r="I722" s="76"/>
      <c r="J722" s="147">
        <v>229</v>
      </c>
      <c r="K722" s="147">
        <v>11</v>
      </c>
      <c r="L722" s="147">
        <v>33</v>
      </c>
      <c r="M722" s="147">
        <v>2018</v>
      </c>
      <c r="N722" s="147">
        <v>2018</v>
      </c>
      <c r="O722" s="76">
        <f t="shared" si="333"/>
        <v>10.97</v>
      </c>
      <c r="P722" s="147">
        <v>10.97</v>
      </c>
      <c r="Q722" s="147"/>
      <c r="R722" s="147"/>
      <c r="S722" s="147">
        <v>10.97</v>
      </c>
      <c r="T722" s="147"/>
      <c r="U722" s="76"/>
      <c r="V722" s="76"/>
      <c r="W722" s="76"/>
      <c r="X722" s="583"/>
      <c r="Y722" s="76"/>
      <c r="Z722" s="76"/>
      <c r="AA722" s="76"/>
      <c r="AB722" s="76"/>
      <c r="AC722" s="76"/>
      <c r="AD722" s="136"/>
    </row>
    <row r="723" ht="24" spans="1:30">
      <c r="A723" s="76"/>
      <c r="B723" s="73" t="s">
        <v>1362</v>
      </c>
      <c r="C723" s="71" t="s">
        <v>52</v>
      </c>
      <c r="D723" s="28" t="s">
        <v>147</v>
      </c>
      <c r="E723" s="28"/>
      <c r="F723" s="147">
        <v>194</v>
      </c>
      <c r="G723" s="147">
        <v>194</v>
      </c>
      <c r="H723" s="76"/>
      <c r="I723" s="76"/>
      <c r="J723" s="147">
        <v>194</v>
      </c>
      <c r="K723" s="147">
        <v>17</v>
      </c>
      <c r="L723" s="147">
        <v>65</v>
      </c>
      <c r="M723" s="147">
        <v>2018</v>
      </c>
      <c r="N723" s="147">
        <v>2018</v>
      </c>
      <c r="O723" s="76">
        <f t="shared" si="333"/>
        <v>39</v>
      </c>
      <c r="P723" s="147">
        <v>39</v>
      </c>
      <c r="Q723" s="147"/>
      <c r="R723" s="147"/>
      <c r="S723" s="147">
        <v>39</v>
      </c>
      <c r="T723" s="147"/>
      <c r="U723" s="76"/>
      <c r="V723" s="76"/>
      <c r="W723" s="76"/>
      <c r="X723" s="583"/>
      <c r="Y723" s="76"/>
      <c r="Z723" s="76"/>
      <c r="AA723" s="76"/>
      <c r="AB723" s="76"/>
      <c r="AC723" s="76"/>
      <c r="AD723" s="136"/>
    </row>
    <row r="724" ht="36" spans="1:30">
      <c r="A724" s="76"/>
      <c r="B724" s="74" t="s">
        <v>1363</v>
      </c>
      <c r="C724" s="71" t="s">
        <v>52</v>
      </c>
      <c r="D724" s="28" t="s">
        <v>147</v>
      </c>
      <c r="E724" s="28"/>
      <c r="F724" s="147">
        <v>237</v>
      </c>
      <c r="G724" s="147">
        <v>237</v>
      </c>
      <c r="H724" s="76"/>
      <c r="I724" s="76"/>
      <c r="J724" s="147">
        <v>237</v>
      </c>
      <c r="K724" s="147">
        <v>15</v>
      </c>
      <c r="L724" s="147">
        <v>65</v>
      </c>
      <c r="M724" s="147">
        <v>2018</v>
      </c>
      <c r="N724" s="147">
        <v>2018</v>
      </c>
      <c r="O724" s="76">
        <f t="shared" si="333"/>
        <v>48.46</v>
      </c>
      <c r="P724" s="147">
        <v>48.46</v>
      </c>
      <c r="Q724" s="147"/>
      <c r="R724" s="147"/>
      <c r="S724" s="147">
        <v>48.46</v>
      </c>
      <c r="T724" s="147"/>
      <c r="U724" s="76"/>
      <c r="V724" s="76"/>
      <c r="W724" s="76"/>
      <c r="X724" s="583"/>
      <c r="Y724" s="76"/>
      <c r="Z724" s="76"/>
      <c r="AA724" s="76"/>
      <c r="AB724" s="76"/>
      <c r="AC724" s="76"/>
      <c r="AD724" s="136"/>
    </row>
    <row r="725" ht="108" spans="1:30">
      <c r="A725" s="76"/>
      <c r="B725" s="74" t="s">
        <v>1364</v>
      </c>
      <c r="C725" s="71" t="s">
        <v>52</v>
      </c>
      <c r="D725" s="28" t="s">
        <v>147</v>
      </c>
      <c r="E725" s="28"/>
      <c r="F725" s="147">
        <v>3385</v>
      </c>
      <c r="G725" s="147">
        <v>3385</v>
      </c>
      <c r="H725" s="76"/>
      <c r="I725" s="76"/>
      <c r="J725" s="147">
        <v>3385</v>
      </c>
      <c r="K725" s="147">
        <v>220</v>
      </c>
      <c r="L725" s="147">
        <v>751</v>
      </c>
      <c r="M725" s="147">
        <v>2018</v>
      </c>
      <c r="N725" s="147">
        <v>2018</v>
      </c>
      <c r="O725" s="76">
        <f t="shared" si="333"/>
        <v>1023.8</v>
      </c>
      <c r="P725" s="147"/>
      <c r="Q725" s="147">
        <v>1023.8</v>
      </c>
      <c r="R725" s="147"/>
      <c r="S725" s="147">
        <v>4.23</v>
      </c>
      <c r="T725" s="147">
        <f>O725-S725</f>
        <v>1019.57</v>
      </c>
      <c r="U725" s="76"/>
      <c r="V725" s="76"/>
      <c r="W725" s="76"/>
      <c r="X725" s="583"/>
      <c r="Y725" s="76"/>
      <c r="Z725" s="76"/>
      <c r="AA725" s="76"/>
      <c r="AB725" s="76"/>
      <c r="AC725" s="76"/>
      <c r="AD725" s="136" t="s">
        <v>1346</v>
      </c>
    </row>
    <row r="726" ht="24" spans="1:30">
      <c r="A726" s="76"/>
      <c r="B726" s="74" t="s">
        <v>1365</v>
      </c>
      <c r="C726" s="71" t="s">
        <v>52</v>
      </c>
      <c r="D726" s="28" t="s">
        <v>147</v>
      </c>
      <c r="E726" s="28"/>
      <c r="F726" s="147">
        <v>5</v>
      </c>
      <c r="G726" s="147">
        <v>5</v>
      </c>
      <c r="H726" s="76"/>
      <c r="I726" s="76"/>
      <c r="J726" s="147">
        <v>5</v>
      </c>
      <c r="K726" s="147">
        <v>1</v>
      </c>
      <c r="L726" s="147">
        <v>5</v>
      </c>
      <c r="M726" s="147">
        <v>2018</v>
      </c>
      <c r="N726" s="147">
        <v>2018</v>
      </c>
      <c r="O726" s="76">
        <f t="shared" si="333"/>
        <v>2.1</v>
      </c>
      <c r="P726" s="147">
        <v>2.1</v>
      </c>
      <c r="Q726" s="147"/>
      <c r="R726" s="147"/>
      <c r="S726" s="147">
        <v>2.1</v>
      </c>
      <c r="T726" s="147"/>
      <c r="U726" s="76"/>
      <c r="V726" s="76"/>
      <c r="W726" s="76"/>
      <c r="X726" s="583"/>
      <c r="Y726" s="76"/>
      <c r="Z726" s="76"/>
      <c r="AA726" s="76"/>
      <c r="AB726" s="76"/>
      <c r="AC726" s="76"/>
      <c r="AD726" s="136"/>
    </row>
    <row r="727" ht="32.1" customHeight="1" spans="1:30">
      <c r="A727" s="76"/>
      <c r="B727" s="74" t="s">
        <v>1366</v>
      </c>
      <c r="C727" s="71" t="s">
        <v>52</v>
      </c>
      <c r="D727" s="28" t="s">
        <v>147</v>
      </c>
      <c r="E727" s="28"/>
      <c r="F727" s="147">
        <v>6</v>
      </c>
      <c r="G727" s="147">
        <v>6</v>
      </c>
      <c r="H727" s="76"/>
      <c r="I727" s="76"/>
      <c r="J727" s="147">
        <v>6</v>
      </c>
      <c r="K727" s="147">
        <v>1</v>
      </c>
      <c r="L727" s="147">
        <v>6</v>
      </c>
      <c r="M727" s="147">
        <v>2018</v>
      </c>
      <c r="N727" s="147">
        <v>2018</v>
      </c>
      <c r="O727" s="76">
        <f t="shared" si="333"/>
        <v>2.1</v>
      </c>
      <c r="P727" s="147">
        <v>2.1</v>
      </c>
      <c r="Q727" s="147"/>
      <c r="R727" s="147"/>
      <c r="S727" s="147">
        <v>2.1</v>
      </c>
      <c r="T727" s="147"/>
      <c r="U727" s="76"/>
      <c r="V727" s="76"/>
      <c r="W727" s="76"/>
      <c r="X727" s="583"/>
      <c r="Y727" s="76"/>
      <c r="Z727" s="76"/>
      <c r="AA727" s="76"/>
      <c r="AB727" s="76"/>
      <c r="AC727" s="76"/>
      <c r="AD727" s="136"/>
    </row>
    <row r="728" ht="29.1" customHeight="1" spans="1:30">
      <c r="A728" s="76"/>
      <c r="B728" s="73" t="s">
        <v>1367</v>
      </c>
      <c r="C728" s="71" t="s">
        <v>52</v>
      </c>
      <c r="D728" s="28" t="s">
        <v>147</v>
      </c>
      <c r="E728" s="28"/>
      <c r="F728" s="147">
        <v>273</v>
      </c>
      <c r="G728" s="93"/>
      <c r="H728" s="147">
        <v>273</v>
      </c>
      <c r="I728" s="76"/>
      <c r="J728" s="147">
        <v>273</v>
      </c>
      <c r="K728" s="147">
        <v>14</v>
      </c>
      <c r="L728" s="147">
        <v>53</v>
      </c>
      <c r="M728" s="147">
        <v>2019</v>
      </c>
      <c r="N728" s="147">
        <v>2019</v>
      </c>
      <c r="O728" s="76">
        <f t="shared" ref="O728:O747" si="334">Q728</f>
        <v>38.22</v>
      </c>
      <c r="P728" s="147"/>
      <c r="Q728" s="147">
        <f t="shared" ref="Q728:Q747" si="335">0.14*F728</f>
        <v>38.22</v>
      </c>
      <c r="R728" s="147"/>
      <c r="S728" s="147"/>
      <c r="T728" s="147">
        <f t="shared" ref="T728:T747" si="336">O728</f>
        <v>38.22</v>
      </c>
      <c r="U728" s="76"/>
      <c r="V728" s="76"/>
      <c r="W728" s="76"/>
      <c r="X728" s="583"/>
      <c r="Y728" s="76"/>
      <c r="Z728" s="76"/>
      <c r="AA728" s="76"/>
      <c r="AB728" s="76"/>
      <c r="AC728" s="76"/>
      <c r="AD728" s="136"/>
    </row>
    <row r="729" ht="27.95" customHeight="1" spans="1:30">
      <c r="A729" s="76"/>
      <c r="B729" s="73" t="s">
        <v>1368</v>
      </c>
      <c r="C729" s="71" t="s">
        <v>52</v>
      </c>
      <c r="D729" s="28" t="s">
        <v>147</v>
      </c>
      <c r="E729" s="28"/>
      <c r="F729" s="147">
        <v>96</v>
      </c>
      <c r="G729" s="93"/>
      <c r="H729" s="147">
        <v>96</v>
      </c>
      <c r="I729" s="76"/>
      <c r="J729" s="147">
        <v>96</v>
      </c>
      <c r="K729" s="147">
        <v>14</v>
      </c>
      <c r="L729" s="147">
        <v>71</v>
      </c>
      <c r="M729" s="147">
        <v>2019</v>
      </c>
      <c r="N729" s="147">
        <v>2019</v>
      </c>
      <c r="O729" s="76">
        <f t="shared" si="334"/>
        <v>13.44</v>
      </c>
      <c r="P729" s="147"/>
      <c r="Q729" s="147">
        <f t="shared" si="335"/>
        <v>13.44</v>
      </c>
      <c r="R729" s="147"/>
      <c r="S729" s="147"/>
      <c r="T729" s="147">
        <f t="shared" si="336"/>
        <v>13.44</v>
      </c>
      <c r="U729" s="76"/>
      <c r="V729" s="76"/>
      <c r="W729" s="76"/>
      <c r="X729" s="583"/>
      <c r="Y729" s="76"/>
      <c r="Z729" s="76"/>
      <c r="AA729" s="76"/>
      <c r="AB729" s="76"/>
      <c r="AC729" s="76"/>
      <c r="AD729" s="136"/>
    </row>
    <row r="730" ht="27.95" customHeight="1" spans="1:30">
      <c r="A730" s="76"/>
      <c r="B730" s="73" t="s">
        <v>1369</v>
      </c>
      <c r="C730" s="71" t="s">
        <v>52</v>
      </c>
      <c r="D730" s="28" t="s">
        <v>147</v>
      </c>
      <c r="E730" s="28"/>
      <c r="F730" s="147">
        <v>196</v>
      </c>
      <c r="G730" s="93"/>
      <c r="H730" s="147">
        <v>196</v>
      </c>
      <c r="I730" s="76"/>
      <c r="J730" s="147">
        <v>196</v>
      </c>
      <c r="K730" s="147">
        <v>11</v>
      </c>
      <c r="L730" s="147">
        <v>49</v>
      </c>
      <c r="M730" s="147">
        <v>2019</v>
      </c>
      <c r="N730" s="147">
        <v>2019</v>
      </c>
      <c r="O730" s="76">
        <f t="shared" si="334"/>
        <v>27.44</v>
      </c>
      <c r="P730" s="147"/>
      <c r="Q730" s="147">
        <f t="shared" si="335"/>
        <v>27.44</v>
      </c>
      <c r="R730" s="147"/>
      <c r="S730" s="147"/>
      <c r="T730" s="147">
        <f t="shared" si="336"/>
        <v>27.44</v>
      </c>
      <c r="U730" s="76"/>
      <c r="V730" s="76"/>
      <c r="W730" s="76"/>
      <c r="X730" s="583"/>
      <c r="Y730" s="76"/>
      <c r="Z730" s="76"/>
      <c r="AA730" s="76"/>
      <c r="AB730" s="76"/>
      <c r="AC730" s="76"/>
      <c r="AD730" s="136"/>
    </row>
    <row r="731" ht="26.1" customHeight="1" spans="1:30">
      <c r="A731" s="76"/>
      <c r="B731" s="73" t="s">
        <v>1370</v>
      </c>
      <c r="C731" s="71" t="s">
        <v>52</v>
      </c>
      <c r="D731" s="28" t="s">
        <v>147</v>
      </c>
      <c r="E731" s="28"/>
      <c r="F731" s="147">
        <v>301</v>
      </c>
      <c r="G731" s="93"/>
      <c r="H731" s="147">
        <v>301</v>
      </c>
      <c r="I731" s="76"/>
      <c r="J731" s="147">
        <v>301</v>
      </c>
      <c r="K731" s="147">
        <v>34</v>
      </c>
      <c r="L731" s="147">
        <v>160</v>
      </c>
      <c r="M731" s="147">
        <v>2019</v>
      </c>
      <c r="N731" s="147">
        <v>2019</v>
      </c>
      <c r="O731" s="76">
        <f t="shared" si="334"/>
        <v>42.14</v>
      </c>
      <c r="P731" s="147"/>
      <c r="Q731" s="147">
        <f t="shared" si="335"/>
        <v>42.14</v>
      </c>
      <c r="R731" s="147"/>
      <c r="S731" s="147"/>
      <c r="T731" s="147">
        <f t="shared" si="336"/>
        <v>42.14</v>
      </c>
      <c r="U731" s="76"/>
      <c r="V731" s="76"/>
      <c r="W731" s="76"/>
      <c r="X731" s="583"/>
      <c r="Y731" s="76"/>
      <c r="Z731" s="76"/>
      <c r="AA731" s="76"/>
      <c r="AB731" s="76"/>
      <c r="AC731" s="76"/>
      <c r="AD731" s="136"/>
    </row>
    <row r="732" ht="24" customHeight="1" spans="1:30">
      <c r="A732" s="76"/>
      <c r="B732" s="73" t="s">
        <v>1371</v>
      </c>
      <c r="C732" s="71" t="s">
        <v>162</v>
      </c>
      <c r="D732" s="28" t="s">
        <v>147</v>
      </c>
      <c r="E732" s="28"/>
      <c r="F732" s="147">
        <v>150</v>
      </c>
      <c r="G732" s="93"/>
      <c r="H732" s="147">
        <v>150</v>
      </c>
      <c r="I732" s="76"/>
      <c r="J732" s="147">
        <v>150</v>
      </c>
      <c r="K732" s="147">
        <v>8</v>
      </c>
      <c r="L732" s="147">
        <v>41</v>
      </c>
      <c r="M732" s="147">
        <v>2019</v>
      </c>
      <c r="N732" s="147">
        <v>2019</v>
      </c>
      <c r="O732" s="76">
        <f t="shared" si="334"/>
        <v>21</v>
      </c>
      <c r="P732" s="147"/>
      <c r="Q732" s="147">
        <f t="shared" si="335"/>
        <v>21</v>
      </c>
      <c r="R732" s="147"/>
      <c r="S732" s="147"/>
      <c r="T732" s="147">
        <f t="shared" si="336"/>
        <v>21</v>
      </c>
      <c r="U732" s="76"/>
      <c r="V732" s="76"/>
      <c r="W732" s="76"/>
      <c r="X732" s="583"/>
      <c r="Y732" s="76"/>
      <c r="Z732" s="76"/>
      <c r="AA732" s="76"/>
      <c r="AB732" s="76"/>
      <c r="AC732" s="76"/>
      <c r="AD732" s="136"/>
    </row>
    <row r="733" ht="29.1" customHeight="1" spans="1:30">
      <c r="A733" s="76"/>
      <c r="B733" s="73" t="s">
        <v>1372</v>
      </c>
      <c r="C733" s="71" t="s">
        <v>52</v>
      </c>
      <c r="D733" s="28" t="s">
        <v>147</v>
      </c>
      <c r="E733" s="28"/>
      <c r="F733" s="147">
        <v>141</v>
      </c>
      <c r="G733" s="93"/>
      <c r="H733" s="147">
        <v>141</v>
      </c>
      <c r="I733" s="76"/>
      <c r="J733" s="147">
        <v>141</v>
      </c>
      <c r="K733" s="147">
        <v>15</v>
      </c>
      <c r="L733" s="147">
        <v>65</v>
      </c>
      <c r="M733" s="147">
        <v>2019</v>
      </c>
      <c r="N733" s="147">
        <v>2019</v>
      </c>
      <c r="O733" s="76">
        <f t="shared" si="334"/>
        <v>19.74</v>
      </c>
      <c r="P733" s="147"/>
      <c r="Q733" s="147">
        <f t="shared" si="335"/>
        <v>19.74</v>
      </c>
      <c r="R733" s="147"/>
      <c r="S733" s="147"/>
      <c r="T733" s="147">
        <f t="shared" si="336"/>
        <v>19.74</v>
      </c>
      <c r="U733" s="76"/>
      <c r="V733" s="76"/>
      <c r="W733" s="76"/>
      <c r="X733" s="583"/>
      <c r="Y733" s="76"/>
      <c r="Z733" s="76"/>
      <c r="AA733" s="76"/>
      <c r="AB733" s="76"/>
      <c r="AC733" s="76"/>
      <c r="AD733" s="136"/>
    </row>
    <row r="734" ht="26.1" customHeight="1" spans="1:30">
      <c r="A734" s="76"/>
      <c r="B734" s="73" t="s">
        <v>1373</v>
      </c>
      <c r="C734" s="71" t="s">
        <v>52</v>
      </c>
      <c r="D734" s="28" t="s">
        <v>147</v>
      </c>
      <c r="E734" s="28"/>
      <c r="F734" s="147">
        <v>90</v>
      </c>
      <c r="G734" s="93"/>
      <c r="H734" s="147">
        <v>90</v>
      </c>
      <c r="I734" s="76"/>
      <c r="J734" s="147">
        <v>90</v>
      </c>
      <c r="K734" s="147">
        <v>6</v>
      </c>
      <c r="L734" s="147">
        <v>23</v>
      </c>
      <c r="M734" s="147">
        <v>2019</v>
      </c>
      <c r="N734" s="147">
        <v>2019</v>
      </c>
      <c r="O734" s="76">
        <f t="shared" si="334"/>
        <v>12.6</v>
      </c>
      <c r="P734" s="147"/>
      <c r="Q734" s="147">
        <f t="shared" si="335"/>
        <v>12.6</v>
      </c>
      <c r="R734" s="147"/>
      <c r="S734" s="147"/>
      <c r="T734" s="147">
        <f t="shared" si="336"/>
        <v>12.6</v>
      </c>
      <c r="U734" s="76"/>
      <c r="V734" s="76"/>
      <c r="W734" s="76"/>
      <c r="X734" s="583"/>
      <c r="Y734" s="76"/>
      <c r="Z734" s="76"/>
      <c r="AA734" s="76"/>
      <c r="AB734" s="76"/>
      <c r="AC734" s="76"/>
      <c r="AD734" s="136"/>
    </row>
    <row r="735" customHeight="1" spans="1:30">
      <c r="A735" s="76"/>
      <c r="B735" s="73" t="s">
        <v>1374</v>
      </c>
      <c r="C735" s="71" t="s">
        <v>52</v>
      </c>
      <c r="D735" s="28" t="s">
        <v>147</v>
      </c>
      <c r="E735" s="28"/>
      <c r="F735" s="147">
        <v>58</v>
      </c>
      <c r="G735" s="93"/>
      <c r="H735" s="147">
        <v>58</v>
      </c>
      <c r="I735" s="76"/>
      <c r="J735" s="147">
        <v>58</v>
      </c>
      <c r="K735" s="147">
        <v>4</v>
      </c>
      <c r="L735" s="147">
        <v>9</v>
      </c>
      <c r="M735" s="147">
        <v>2019</v>
      </c>
      <c r="N735" s="147">
        <v>2019</v>
      </c>
      <c r="O735" s="76">
        <f t="shared" si="334"/>
        <v>8.12</v>
      </c>
      <c r="P735" s="147"/>
      <c r="Q735" s="147">
        <f t="shared" si="335"/>
        <v>8.12</v>
      </c>
      <c r="R735" s="147"/>
      <c r="S735" s="147"/>
      <c r="T735" s="147">
        <f t="shared" si="336"/>
        <v>8.12</v>
      </c>
      <c r="U735" s="76"/>
      <c r="V735" s="76"/>
      <c r="W735" s="76"/>
      <c r="X735" s="583"/>
      <c r="Y735" s="76"/>
      <c r="Z735" s="76"/>
      <c r="AA735" s="76"/>
      <c r="AB735" s="76"/>
      <c r="AC735" s="76"/>
      <c r="AD735" s="136"/>
    </row>
    <row r="736" customHeight="1" spans="1:30">
      <c r="A736" s="76"/>
      <c r="B736" s="73" t="s">
        <v>1375</v>
      </c>
      <c r="C736" s="71" t="s">
        <v>162</v>
      </c>
      <c r="D736" s="28" t="s">
        <v>147</v>
      </c>
      <c r="E736" s="28"/>
      <c r="F736" s="147">
        <v>333</v>
      </c>
      <c r="G736" s="93"/>
      <c r="H736" s="147">
        <v>333</v>
      </c>
      <c r="I736" s="76"/>
      <c r="J736" s="147">
        <v>333</v>
      </c>
      <c r="K736" s="147">
        <v>49</v>
      </c>
      <c r="L736" s="147">
        <v>205</v>
      </c>
      <c r="M736" s="147">
        <v>2019</v>
      </c>
      <c r="N736" s="147">
        <v>2019</v>
      </c>
      <c r="O736" s="76">
        <f t="shared" si="334"/>
        <v>46.62</v>
      </c>
      <c r="P736" s="147"/>
      <c r="Q736" s="147">
        <f t="shared" si="335"/>
        <v>46.62</v>
      </c>
      <c r="R736" s="147"/>
      <c r="S736" s="147"/>
      <c r="T736" s="147">
        <f t="shared" si="336"/>
        <v>46.62</v>
      </c>
      <c r="U736" s="76"/>
      <c r="V736" s="76"/>
      <c r="W736" s="76"/>
      <c r="X736" s="583"/>
      <c r="Y736" s="76"/>
      <c r="Z736" s="76"/>
      <c r="AA736" s="76"/>
      <c r="AB736" s="76"/>
      <c r="AC736" s="76"/>
      <c r="AD736" s="136"/>
    </row>
    <row r="737" customHeight="1" spans="1:30">
      <c r="A737" s="76"/>
      <c r="B737" s="73" t="s">
        <v>1376</v>
      </c>
      <c r="C737" s="71" t="s">
        <v>52</v>
      </c>
      <c r="D737" s="28" t="s">
        <v>147</v>
      </c>
      <c r="E737" s="28"/>
      <c r="F737" s="147">
        <v>501</v>
      </c>
      <c r="G737" s="93"/>
      <c r="H737" s="147">
        <v>501</v>
      </c>
      <c r="I737" s="76"/>
      <c r="J737" s="147">
        <v>501</v>
      </c>
      <c r="K737" s="147">
        <v>27</v>
      </c>
      <c r="L737" s="147">
        <v>83</v>
      </c>
      <c r="M737" s="147">
        <v>2019</v>
      </c>
      <c r="N737" s="147">
        <v>2019</v>
      </c>
      <c r="O737" s="76">
        <f t="shared" si="334"/>
        <v>70.14</v>
      </c>
      <c r="P737" s="147"/>
      <c r="Q737" s="147">
        <f t="shared" si="335"/>
        <v>70.14</v>
      </c>
      <c r="R737" s="147"/>
      <c r="S737" s="147"/>
      <c r="T737" s="147">
        <f t="shared" si="336"/>
        <v>70.14</v>
      </c>
      <c r="U737" s="76"/>
      <c r="V737" s="76"/>
      <c r="W737" s="76"/>
      <c r="X737" s="583"/>
      <c r="Y737" s="76"/>
      <c r="Z737" s="76"/>
      <c r="AA737" s="76"/>
      <c r="AB737" s="76"/>
      <c r="AC737" s="76"/>
      <c r="AD737" s="136"/>
    </row>
    <row r="738" customHeight="1" spans="1:30">
      <c r="A738" s="76"/>
      <c r="B738" s="73" t="s">
        <v>1377</v>
      </c>
      <c r="C738" s="71" t="s">
        <v>52</v>
      </c>
      <c r="D738" s="28" t="s">
        <v>147</v>
      </c>
      <c r="E738" s="28"/>
      <c r="F738" s="147">
        <v>368</v>
      </c>
      <c r="G738" s="93"/>
      <c r="H738" s="147">
        <v>368</v>
      </c>
      <c r="I738" s="76"/>
      <c r="J738" s="147">
        <v>368</v>
      </c>
      <c r="K738" s="147">
        <v>22</v>
      </c>
      <c r="L738" s="147">
        <v>82</v>
      </c>
      <c r="M738" s="147">
        <v>2019</v>
      </c>
      <c r="N738" s="147">
        <v>2019</v>
      </c>
      <c r="O738" s="76">
        <f t="shared" si="334"/>
        <v>51.52</v>
      </c>
      <c r="P738" s="147"/>
      <c r="Q738" s="147">
        <f t="shared" si="335"/>
        <v>51.52</v>
      </c>
      <c r="R738" s="147"/>
      <c r="S738" s="147"/>
      <c r="T738" s="147">
        <f t="shared" si="336"/>
        <v>51.52</v>
      </c>
      <c r="U738" s="76"/>
      <c r="V738" s="76"/>
      <c r="W738" s="76"/>
      <c r="X738" s="583"/>
      <c r="Y738" s="76"/>
      <c r="Z738" s="76"/>
      <c r="AA738" s="76"/>
      <c r="AB738" s="76"/>
      <c r="AC738" s="76"/>
      <c r="AD738" s="136"/>
    </row>
    <row r="739" customHeight="1" spans="1:30">
      <c r="A739" s="76"/>
      <c r="B739" s="73" t="s">
        <v>1378</v>
      </c>
      <c r="C739" s="71" t="s">
        <v>52</v>
      </c>
      <c r="D739" s="28" t="s">
        <v>147</v>
      </c>
      <c r="E739" s="28"/>
      <c r="F739" s="147">
        <v>347</v>
      </c>
      <c r="G739" s="93"/>
      <c r="H739" s="147">
        <v>347</v>
      </c>
      <c r="I739" s="76"/>
      <c r="J739" s="147">
        <v>347</v>
      </c>
      <c r="K739" s="147">
        <v>39</v>
      </c>
      <c r="L739" s="147">
        <v>177</v>
      </c>
      <c r="M739" s="147">
        <v>2019</v>
      </c>
      <c r="N739" s="147">
        <v>2019</v>
      </c>
      <c r="O739" s="76">
        <f t="shared" si="334"/>
        <v>48.58</v>
      </c>
      <c r="P739" s="147"/>
      <c r="Q739" s="147">
        <f t="shared" si="335"/>
        <v>48.58</v>
      </c>
      <c r="R739" s="147"/>
      <c r="S739" s="147"/>
      <c r="T739" s="147">
        <f t="shared" si="336"/>
        <v>48.58</v>
      </c>
      <c r="U739" s="76"/>
      <c r="V739" s="76"/>
      <c r="W739" s="76"/>
      <c r="X739" s="583"/>
      <c r="Y739" s="76"/>
      <c r="Z739" s="76"/>
      <c r="AA739" s="76"/>
      <c r="AB739" s="76"/>
      <c r="AC739" s="76"/>
      <c r="AD739" s="136"/>
    </row>
    <row r="740" customHeight="1" spans="1:30">
      <c r="A740" s="76"/>
      <c r="B740" s="73" t="s">
        <v>1379</v>
      </c>
      <c r="C740" s="71" t="s">
        <v>52</v>
      </c>
      <c r="D740" s="28" t="s">
        <v>147</v>
      </c>
      <c r="E740" s="28"/>
      <c r="F740" s="147">
        <v>82</v>
      </c>
      <c r="G740" s="93"/>
      <c r="H740" s="147">
        <v>82</v>
      </c>
      <c r="I740" s="76"/>
      <c r="J740" s="147">
        <v>82</v>
      </c>
      <c r="K740" s="147">
        <v>0</v>
      </c>
      <c r="L740" s="147">
        <v>0</v>
      </c>
      <c r="M740" s="147">
        <v>2019</v>
      </c>
      <c r="N740" s="147">
        <v>2019</v>
      </c>
      <c r="O740" s="76">
        <f t="shared" si="334"/>
        <v>11.48</v>
      </c>
      <c r="P740" s="147"/>
      <c r="Q740" s="147">
        <f t="shared" si="335"/>
        <v>11.48</v>
      </c>
      <c r="R740" s="147"/>
      <c r="S740" s="147"/>
      <c r="T740" s="147">
        <f t="shared" si="336"/>
        <v>11.48</v>
      </c>
      <c r="U740" s="76"/>
      <c r="V740" s="76"/>
      <c r="W740" s="76"/>
      <c r="X740" s="583"/>
      <c r="Y740" s="76"/>
      <c r="Z740" s="76"/>
      <c r="AA740" s="76"/>
      <c r="AB740" s="76"/>
      <c r="AC740" s="76"/>
      <c r="AD740" s="136"/>
    </row>
    <row r="741" ht="27.95" customHeight="1" spans="1:30">
      <c r="A741" s="76"/>
      <c r="B741" s="73" t="s">
        <v>1380</v>
      </c>
      <c r="C741" s="71" t="s">
        <v>52</v>
      </c>
      <c r="D741" s="28" t="s">
        <v>147</v>
      </c>
      <c r="E741" s="28"/>
      <c r="F741" s="147">
        <v>177</v>
      </c>
      <c r="G741" s="93"/>
      <c r="H741" s="147">
        <v>177</v>
      </c>
      <c r="I741" s="76"/>
      <c r="J741" s="147">
        <v>177</v>
      </c>
      <c r="K741" s="147">
        <v>20</v>
      </c>
      <c r="L741" s="147">
        <v>87</v>
      </c>
      <c r="M741" s="147">
        <v>2019</v>
      </c>
      <c r="N741" s="147">
        <v>2019</v>
      </c>
      <c r="O741" s="76">
        <f t="shared" si="334"/>
        <v>24.78</v>
      </c>
      <c r="P741" s="147"/>
      <c r="Q741" s="147">
        <f t="shared" si="335"/>
        <v>24.78</v>
      </c>
      <c r="R741" s="147"/>
      <c r="S741" s="147"/>
      <c r="T741" s="147">
        <f t="shared" si="336"/>
        <v>24.78</v>
      </c>
      <c r="U741" s="76"/>
      <c r="V741" s="76"/>
      <c r="W741" s="76"/>
      <c r="X741" s="583"/>
      <c r="Y741" s="76"/>
      <c r="Z741" s="76"/>
      <c r="AA741" s="76"/>
      <c r="AB741" s="76"/>
      <c r="AC741" s="76"/>
      <c r="AD741" s="136"/>
    </row>
    <row r="742" ht="23.1" customHeight="1" spans="1:30">
      <c r="A742" s="76"/>
      <c r="B742" s="73" t="s">
        <v>1381</v>
      </c>
      <c r="C742" s="71" t="s">
        <v>52</v>
      </c>
      <c r="D742" s="28" t="s">
        <v>147</v>
      </c>
      <c r="E742" s="28"/>
      <c r="F742" s="147">
        <v>89</v>
      </c>
      <c r="G742" s="93"/>
      <c r="H742" s="147">
        <v>89</v>
      </c>
      <c r="I742" s="76"/>
      <c r="J742" s="147">
        <v>89</v>
      </c>
      <c r="K742" s="147">
        <v>8</v>
      </c>
      <c r="L742" s="147">
        <v>21</v>
      </c>
      <c r="M742" s="147">
        <v>2019</v>
      </c>
      <c r="N742" s="147">
        <v>2019</v>
      </c>
      <c r="O742" s="76">
        <f t="shared" si="334"/>
        <v>12.46</v>
      </c>
      <c r="P742" s="147"/>
      <c r="Q742" s="147">
        <f t="shared" si="335"/>
        <v>12.46</v>
      </c>
      <c r="R742" s="147"/>
      <c r="S742" s="147"/>
      <c r="T742" s="147">
        <f t="shared" si="336"/>
        <v>12.46</v>
      </c>
      <c r="U742" s="76"/>
      <c r="V742" s="76"/>
      <c r="W742" s="76"/>
      <c r="X742" s="583"/>
      <c r="Y742" s="76"/>
      <c r="Z742" s="76"/>
      <c r="AA742" s="76"/>
      <c r="AB742" s="76"/>
      <c r="AC742" s="76"/>
      <c r="AD742" s="136"/>
    </row>
    <row r="743" ht="26.1" customHeight="1" spans="1:30">
      <c r="A743" s="76"/>
      <c r="B743" s="73" t="s">
        <v>1382</v>
      </c>
      <c r="C743" s="71" t="s">
        <v>162</v>
      </c>
      <c r="D743" s="28" t="s">
        <v>147</v>
      </c>
      <c r="E743" s="28"/>
      <c r="F743" s="147">
        <v>282</v>
      </c>
      <c r="G743" s="93"/>
      <c r="H743" s="147">
        <v>282</v>
      </c>
      <c r="I743" s="76"/>
      <c r="J743" s="147">
        <v>282</v>
      </c>
      <c r="K743" s="147">
        <v>19</v>
      </c>
      <c r="L743" s="147">
        <v>84</v>
      </c>
      <c r="M743" s="147">
        <v>2019</v>
      </c>
      <c r="N743" s="147">
        <v>2019</v>
      </c>
      <c r="O743" s="76">
        <f t="shared" si="334"/>
        <v>39.48</v>
      </c>
      <c r="P743" s="147"/>
      <c r="Q743" s="147">
        <f t="shared" si="335"/>
        <v>39.48</v>
      </c>
      <c r="R743" s="147"/>
      <c r="S743" s="147"/>
      <c r="T743" s="147">
        <f t="shared" si="336"/>
        <v>39.48</v>
      </c>
      <c r="U743" s="76"/>
      <c r="V743" s="76"/>
      <c r="W743" s="76"/>
      <c r="X743" s="583"/>
      <c r="Y743" s="76"/>
      <c r="Z743" s="76"/>
      <c r="AA743" s="76"/>
      <c r="AB743" s="76"/>
      <c r="AC743" s="76"/>
      <c r="AD743" s="136"/>
    </row>
    <row r="744" ht="21.95" customHeight="1" spans="1:30">
      <c r="A744" s="76"/>
      <c r="B744" s="73" t="s">
        <v>1383</v>
      </c>
      <c r="C744" s="71" t="s">
        <v>162</v>
      </c>
      <c r="D744" s="28" t="s">
        <v>147</v>
      </c>
      <c r="E744" s="28"/>
      <c r="F744" s="147">
        <v>143</v>
      </c>
      <c r="G744" s="93"/>
      <c r="H744" s="147">
        <v>143</v>
      </c>
      <c r="I744" s="76"/>
      <c r="J744" s="147">
        <v>143</v>
      </c>
      <c r="K744" s="147">
        <v>12</v>
      </c>
      <c r="L744" s="147">
        <v>49</v>
      </c>
      <c r="M744" s="147">
        <v>2019</v>
      </c>
      <c r="N744" s="147">
        <v>2019</v>
      </c>
      <c r="O744" s="76">
        <f t="shared" si="334"/>
        <v>20.02</v>
      </c>
      <c r="P744" s="147"/>
      <c r="Q744" s="147">
        <f t="shared" si="335"/>
        <v>20.02</v>
      </c>
      <c r="R744" s="147"/>
      <c r="S744" s="147"/>
      <c r="T744" s="147">
        <f t="shared" si="336"/>
        <v>20.02</v>
      </c>
      <c r="U744" s="76"/>
      <c r="V744" s="76"/>
      <c r="W744" s="76"/>
      <c r="X744" s="583"/>
      <c r="Y744" s="76"/>
      <c r="Z744" s="76"/>
      <c r="AA744" s="76"/>
      <c r="AB744" s="76"/>
      <c r="AC744" s="76"/>
      <c r="AD744" s="136"/>
    </row>
    <row r="745" ht="27" customHeight="1" spans="1:30">
      <c r="A745" s="76"/>
      <c r="B745" s="73" t="s">
        <v>1384</v>
      </c>
      <c r="C745" s="71" t="s">
        <v>162</v>
      </c>
      <c r="D745" s="28" t="s">
        <v>147</v>
      </c>
      <c r="E745" s="28"/>
      <c r="F745" s="147">
        <v>114</v>
      </c>
      <c r="G745" s="93"/>
      <c r="H745" s="147">
        <v>114</v>
      </c>
      <c r="I745" s="76"/>
      <c r="J745" s="147">
        <v>114</v>
      </c>
      <c r="K745" s="147">
        <v>10</v>
      </c>
      <c r="L745" s="147">
        <v>38</v>
      </c>
      <c r="M745" s="147">
        <v>2019</v>
      </c>
      <c r="N745" s="147">
        <v>2019</v>
      </c>
      <c r="O745" s="76">
        <f t="shared" si="334"/>
        <v>15.96</v>
      </c>
      <c r="P745" s="147"/>
      <c r="Q745" s="147">
        <f t="shared" si="335"/>
        <v>15.96</v>
      </c>
      <c r="R745" s="147"/>
      <c r="S745" s="147"/>
      <c r="T745" s="147">
        <f t="shared" si="336"/>
        <v>15.96</v>
      </c>
      <c r="U745" s="76"/>
      <c r="V745" s="76"/>
      <c r="W745" s="76"/>
      <c r="X745" s="583"/>
      <c r="Y745" s="76"/>
      <c r="Z745" s="76"/>
      <c r="AA745" s="76"/>
      <c r="AB745" s="76"/>
      <c r="AC745" s="76"/>
      <c r="AD745" s="136"/>
    </row>
    <row r="746" ht="27.95" customHeight="1" spans="1:30">
      <c r="A746" s="76"/>
      <c r="B746" s="73" t="s">
        <v>1385</v>
      </c>
      <c r="C746" s="71" t="s">
        <v>52</v>
      </c>
      <c r="D746" s="28" t="s">
        <v>147</v>
      </c>
      <c r="E746" s="28"/>
      <c r="F746" s="147">
        <v>163</v>
      </c>
      <c r="G746" s="93"/>
      <c r="H746" s="147">
        <v>163</v>
      </c>
      <c r="I746" s="76"/>
      <c r="J746" s="147">
        <v>163</v>
      </c>
      <c r="K746" s="147">
        <v>16</v>
      </c>
      <c r="L746" s="147">
        <v>82</v>
      </c>
      <c r="M746" s="147">
        <v>2019</v>
      </c>
      <c r="N746" s="147">
        <v>2019</v>
      </c>
      <c r="O746" s="76">
        <f t="shared" si="334"/>
        <v>22.82</v>
      </c>
      <c r="P746" s="147"/>
      <c r="Q746" s="147">
        <f t="shared" si="335"/>
        <v>22.82</v>
      </c>
      <c r="R746" s="147"/>
      <c r="S746" s="147"/>
      <c r="T746" s="147">
        <f t="shared" si="336"/>
        <v>22.82</v>
      </c>
      <c r="U746" s="76"/>
      <c r="V746" s="76"/>
      <c r="W746" s="76"/>
      <c r="X746" s="583"/>
      <c r="Y746" s="76"/>
      <c r="Z746" s="76"/>
      <c r="AA746" s="76"/>
      <c r="AB746" s="76"/>
      <c r="AC746" s="76"/>
      <c r="AD746" s="136"/>
    </row>
    <row r="747" ht="24.95" customHeight="1" spans="1:30">
      <c r="A747" s="76"/>
      <c r="B747" s="73" t="s">
        <v>1386</v>
      </c>
      <c r="C747" s="71" t="s">
        <v>52</v>
      </c>
      <c r="D747" s="28" t="s">
        <v>147</v>
      </c>
      <c r="E747" s="28"/>
      <c r="F747" s="147">
        <v>100</v>
      </c>
      <c r="G747" s="93"/>
      <c r="H747" s="147">
        <v>100</v>
      </c>
      <c r="I747" s="76"/>
      <c r="J747" s="147">
        <v>100</v>
      </c>
      <c r="K747" s="147">
        <v>2</v>
      </c>
      <c r="L747" s="147">
        <v>6</v>
      </c>
      <c r="M747" s="147">
        <v>2019</v>
      </c>
      <c r="N747" s="147">
        <v>2019</v>
      </c>
      <c r="O747" s="76">
        <f t="shared" si="334"/>
        <v>14</v>
      </c>
      <c r="P747" s="147"/>
      <c r="Q747" s="147">
        <f t="shared" si="335"/>
        <v>14</v>
      </c>
      <c r="R747" s="147"/>
      <c r="S747" s="147"/>
      <c r="T747" s="147">
        <f t="shared" si="336"/>
        <v>14</v>
      </c>
      <c r="U747" s="76"/>
      <c r="V747" s="76"/>
      <c r="W747" s="76"/>
      <c r="X747" s="583"/>
      <c r="Y747" s="76"/>
      <c r="Z747" s="76"/>
      <c r="AA747" s="76"/>
      <c r="AB747" s="76"/>
      <c r="AC747" s="76"/>
      <c r="AD747" s="136"/>
    </row>
    <row r="748" customHeight="1" spans="1:30">
      <c r="A748" s="76">
        <v>71</v>
      </c>
      <c r="B748" s="95" t="s">
        <v>1387</v>
      </c>
      <c r="C748" s="76" t="s">
        <v>320</v>
      </c>
      <c r="D748" s="76" t="s">
        <v>320</v>
      </c>
      <c r="E748" s="76"/>
      <c r="F748" s="76">
        <f t="shared" ref="F748:L748" si="337">SUM(F749:F762)</f>
        <v>14</v>
      </c>
      <c r="G748" s="76">
        <f t="shared" si="337"/>
        <v>14</v>
      </c>
      <c r="H748" s="76">
        <f t="shared" si="337"/>
        <v>0</v>
      </c>
      <c r="I748" s="76">
        <f t="shared" si="337"/>
        <v>0</v>
      </c>
      <c r="J748" s="76">
        <f t="shared" si="337"/>
        <v>14</v>
      </c>
      <c r="K748" s="76">
        <f t="shared" si="337"/>
        <v>2886</v>
      </c>
      <c r="L748" s="76">
        <f t="shared" si="337"/>
        <v>11704</v>
      </c>
      <c r="M748" s="76">
        <v>2018</v>
      </c>
      <c r="N748" s="76">
        <v>2018</v>
      </c>
      <c r="O748" s="76">
        <f t="shared" ref="O748:W748" si="338">SUM(O749:O762)</f>
        <v>56</v>
      </c>
      <c r="P748" s="76">
        <f t="shared" si="338"/>
        <v>56</v>
      </c>
      <c r="Q748" s="76">
        <f t="shared" si="338"/>
        <v>0</v>
      </c>
      <c r="R748" s="76">
        <f t="shared" si="338"/>
        <v>0</v>
      </c>
      <c r="S748" s="76">
        <f t="shared" si="338"/>
        <v>56</v>
      </c>
      <c r="T748" s="76">
        <f t="shared" si="338"/>
        <v>0</v>
      </c>
      <c r="U748" s="76">
        <f t="shared" si="338"/>
        <v>0</v>
      </c>
      <c r="V748" s="76">
        <f t="shared" si="338"/>
        <v>0</v>
      </c>
      <c r="W748" s="76">
        <f t="shared" si="338"/>
        <v>0</v>
      </c>
      <c r="X748" s="583"/>
      <c r="Y748" s="76"/>
      <c r="Z748" s="76"/>
      <c r="AA748" s="76" t="s">
        <v>1285</v>
      </c>
      <c r="AB748" s="76" t="s">
        <v>1291</v>
      </c>
      <c r="AC748" s="76" t="s">
        <v>358</v>
      </c>
      <c r="AD748" s="136"/>
    </row>
    <row r="749" customHeight="1" spans="1:30">
      <c r="A749" s="76"/>
      <c r="B749" s="212" t="s">
        <v>1266</v>
      </c>
      <c r="C749" s="76" t="s">
        <v>320</v>
      </c>
      <c r="D749" s="76" t="s">
        <v>320</v>
      </c>
      <c r="E749" s="76"/>
      <c r="F749" s="76">
        <v>1</v>
      </c>
      <c r="G749" s="76">
        <v>1</v>
      </c>
      <c r="H749" s="76"/>
      <c r="I749" s="76"/>
      <c r="J749" s="76">
        <v>1</v>
      </c>
      <c r="K749" s="584">
        <v>153</v>
      </c>
      <c r="L749" s="584">
        <v>594</v>
      </c>
      <c r="M749" s="76">
        <v>2018</v>
      </c>
      <c r="N749" s="76">
        <v>2018</v>
      </c>
      <c r="O749" s="76">
        <f t="shared" ref="O749:O762" si="339">SUM(P749:R749)</f>
        <v>4</v>
      </c>
      <c r="P749" s="76">
        <v>4</v>
      </c>
      <c r="Q749" s="76"/>
      <c r="R749" s="76"/>
      <c r="S749" s="76">
        <f t="shared" ref="S749:S762" si="340">O749</f>
        <v>4</v>
      </c>
      <c r="T749" s="76"/>
      <c r="U749" s="602"/>
      <c r="V749" s="76"/>
      <c r="W749" s="76"/>
      <c r="X749" s="583"/>
      <c r="Y749" s="76"/>
      <c r="Z749" s="76"/>
      <c r="AA749" s="76"/>
      <c r="AB749" s="76"/>
      <c r="AC749" s="76"/>
      <c r="AD749" s="136"/>
    </row>
    <row r="750" customHeight="1" spans="1:30">
      <c r="A750" s="76"/>
      <c r="B750" s="212" t="s">
        <v>1267</v>
      </c>
      <c r="C750" s="76" t="s">
        <v>320</v>
      </c>
      <c r="D750" s="76" t="s">
        <v>320</v>
      </c>
      <c r="E750" s="76"/>
      <c r="F750" s="76">
        <v>1</v>
      </c>
      <c r="G750" s="76">
        <v>1</v>
      </c>
      <c r="H750" s="76"/>
      <c r="I750" s="76"/>
      <c r="J750" s="76">
        <v>1</v>
      </c>
      <c r="K750" s="584">
        <v>126</v>
      </c>
      <c r="L750" s="584">
        <v>503</v>
      </c>
      <c r="M750" s="76">
        <v>2018</v>
      </c>
      <c r="N750" s="76">
        <v>2018</v>
      </c>
      <c r="O750" s="76">
        <f t="shared" si="339"/>
        <v>4</v>
      </c>
      <c r="P750" s="76">
        <v>4</v>
      </c>
      <c r="Q750" s="76"/>
      <c r="R750" s="76"/>
      <c r="S750" s="76">
        <f t="shared" si="340"/>
        <v>4</v>
      </c>
      <c r="T750" s="76"/>
      <c r="U750" s="602"/>
      <c r="V750" s="76"/>
      <c r="W750" s="76"/>
      <c r="X750" s="583"/>
      <c r="Y750" s="76"/>
      <c r="Z750" s="76"/>
      <c r="AA750" s="76"/>
      <c r="AB750" s="76"/>
      <c r="AC750" s="76"/>
      <c r="AD750" s="136"/>
    </row>
    <row r="751" customHeight="1" spans="1:30">
      <c r="A751" s="76"/>
      <c r="B751" s="212" t="s">
        <v>1268</v>
      </c>
      <c r="C751" s="76" t="s">
        <v>320</v>
      </c>
      <c r="D751" s="76" t="s">
        <v>320</v>
      </c>
      <c r="E751" s="76"/>
      <c r="F751" s="76">
        <v>1</v>
      </c>
      <c r="G751" s="76">
        <v>1</v>
      </c>
      <c r="H751" s="76"/>
      <c r="I751" s="76"/>
      <c r="J751" s="76">
        <v>1</v>
      </c>
      <c r="K751" s="584">
        <v>183</v>
      </c>
      <c r="L751" s="584">
        <v>671</v>
      </c>
      <c r="M751" s="76">
        <v>2018</v>
      </c>
      <c r="N751" s="76">
        <v>2018</v>
      </c>
      <c r="O751" s="76">
        <f t="shared" si="339"/>
        <v>4</v>
      </c>
      <c r="P751" s="76">
        <v>4</v>
      </c>
      <c r="Q751" s="76"/>
      <c r="R751" s="76"/>
      <c r="S751" s="76">
        <f t="shared" si="340"/>
        <v>4</v>
      </c>
      <c r="T751" s="76"/>
      <c r="U751" s="602"/>
      <c r="V751" s="76"/>
      <c r="W751" s="76"/>
      <c r="X751" s="583"/>
      <c r="Y751" s="76"/>
      <c r="Z751" s="76"/>
      <c r="AA751" s="76"/>
      <c r="AB751" s="76"/>
      <c r="AC751" s="76"/>
      <c r="AD751" s="136"/>
    </row>
    <row r="752" customHeight="1" spans="1:30">
      <c r="A752" s="76"/>
      <c r="B752" s="212" t="s">
        <v>1275</v>
      </c>
      <c r="C752" s="76" t="s">
        <v>320</v>
      </c>
      <c r="D752" s="76" t="s">
        <v>320</v>
      </c>
      <c r="E752" s="76"/>
      <c r="F752" s="76">
        <v>1</v>
      </c>
      <c r="G752" s="76">
        <v>1</v>
      </c>
      <c r="H752" s="76"/>
      <c r="I752" s="76"/>
      <c r="J752" s="76">
        <v>1</v>
      </c>
      <c r="K752" s="584">
        <v>268</v>
      </c>
      <c r="L752" s="584">
        <v>987</v>
      </c>
      <c r="M752" s="76">
        <v>2018</v>
      </c>
      <c r="N752" s="76">
        <v>2018</v>
      </c>
      <c r="O752" s="76">
        <f t="shared" si="339"/>
        <v>4</v>
      </c>
      <c r="P752" s="76">
        <v>4</v>
      </c>
      <c r="Q752" s="76"/>
      <c r="R752" s="76"/>
      <c r="S752" s="76">
        <f t="shared" si="340"/>
        <v>4</v>
      </c>
      <c r="T752" s="76"/>
      <c r="U752" s="602"/>
      <c r="V752" s="76"/>
      <c r="W752" s="76"/>
      <c r="X752" s="583"/>
      <c r="Y752" s="76"/>
      <c r="Z752" s="76"/>
      <c r="AA752" s="76"/>
      <c r="AB752" s="76"/>
      <c r="AC752" s="76"/>
      <c r="AD752" s="136"/>
    </row>
    <row r="753" customHeight="1" spans="1:30">
      <c r="A753" s="76"/>
      <c r="B753" s="212" t="s">
        <v>1276</v>
      </c>
      <c r="C753" s="76" t="s">
        <v>320</v>
      </c>
      <c r="D753" s="76" t="s">
        <v>320</v>
      </c>
      <c r="E753" s="76"/>
      <c r="F753" s="76">
        <v>1</v>
      </c>
      <c r="G753" s="76">
        <v>1</v>
      </c>
      <c r="H753" s="76"/>
      <c r="I753" s="76"/>
      <c r="J753" s="76">
        <v>1</v>
      </c>
      <c r="K753" s="584">
        <v>201</v>
      </c>
      <c r="L753" s="584">
        <v>736</v>
      </c>
      <c r="M753" s="76">
        <v>2018</v>
      </c>
      <c r="N753" s="76">
        <v>2018</v>
      </c>
      <c r="O753" s="76">
        <f t="shared" si="339"/>
        <v>4</v>
      </c>
      <c r="P753" s="76">
        <v>4</v>
      </c>
      <c r="Q753" s="76"/>
      <c r="R753" s="76"/>
      <c r="S753" s="76">
        <f t="shared" si="340"/>
        <v>4</v>
      </c>
      <c r="T753" s="76"/>
      <c r="U753" s="602"/>
      <c r="V753" s="76"/>
      <c r="W753" s="76"/>
      <c r="X753" s="583"/>
      <c r="Y753" s="76"/>
      <c r="Z753" s="76"/>
      <c r="AA753" s="76"/>
      <c r="AB753" s="76"/>
      <c r="AC753" s="76"/>
      <c r="AD753" s="136"/>
    </row>
    <row r="754" customHeight="1" spans="1:30">
      <c r="A754" s="76"/>
      <c r="B754" s="212" t="s">
        <v>1277</v>
      </c>
      <c r="C754" s="76" t="s">
        <v>320</v>
      </c>
      <c r="D754" s="76" t="s">
        <v>320</v>
      </c>
      <c r="E754" s="76"/>
      <c r="F754" s="76">
        <v>1</v>
      </c>
      <c r="G754" s="76">
        <v>1</v>
      </c>
      <c r="H754" s="76"/>
      <c r="I754" s="76"/>
      <c r="J754" s="76">
        <v>1</v>
      </c>
      <c r="K754" s="584">
        <v>369</v>
      </c>
      <c r="L754" s="584">
        <v>1605</v>
      </c>
      <c r="M754" s="76">
        <v>2018</v>
      </c>
      <c r="N754" s="76">
        <v>2018</v>
      </c>
      <c r="O754" s="76">
        <f t="shared" si="339"/>
        <v>4</v>
      </c>
      <c r="P754" s="76">
        <v>4</v>
      </c>
      <c r="Q754" s="76"/>
      <c r="R754" s="76"/>
      <c r="S754" s="76">
        <f t="shared" si="340"/>
        <v>4</v>
      </c>
      <c r="T754" s="76"/>
      <c r="U754" s="602"/>
      <c r="V754" s="76"/>
      <c r="W754" s="76"/>
      <c r="X754" s="583"/>
      <c r="Y754" s="76"/>
      <c r="Z754" s="76"/>
      <c r="AA754" s="76"/>
      <c r="AB754" s="76"/>
      <c r="AC754" s="76"/>
      <c r="AD754" s="136"/>
    </row>
    <row r="755" customHeight="1" spans="1:30">
      <c r="A755" s="76"/>
      <c r="B755" s="212" t="s">
        <v>1278</v>
      </c>
      <c r="C755" s="76" t="s">
        <v>320</v>
      </c>
      <c r="D755" s="76" t="s">
        <v>320</v>
      </c>
      <c r="E755" s="76"/>
      <c r="F755" s="76">
        <v>1</v>
      </c>
      <c r="G755" s="76">
        <v>1</v>
      </c>
      <c r="H755" s="76"/>
      <c r="I755" s="76"/>
      <c r="J755" s="76">
        <v>1</v>
      </c>
      <c r="K755" s="584">
        <v>267</v>
      </c>
      <c r="L755" s="584">
        <v>1050</v>
      </c>
      <c r="M755" s="76">
        <v>2018</v>
      </c>
      <c r="N755" s="76">
        <v>2018</v>
      </c>
      <c r="O755" s="76">
        <f t="shared" si="339"/>
        <v>4</v>
      </c>
      <c r="P755" s="76">
        <v>4</v>
      </c>
      <c r="Q755" s="76"/>
      <c r="R755" s="76"/>
      <c r="S755" s="76">
        <f t="shared" si="340"/>
        <v>4</v>
      </c>
      <c r="T755" s="76"/>
      <c r="U755" s="602"/>
      <c r="V755" s="76"/>
      <c r="W755" s="76"/>
      <c r="X755" s="583"/>
      <c r="Y755" s="76"/>
      <c r="Z755" s="76"/>
      <c r="AA755" s="76"/>
      <c r="AB755" s="76"/>
      <c r="AC755" s="76"/>
      <c r="AD755" s="136"/>
    </row>
    <row r="756" customHeight="1" spans="1:30">
      <c r="A756" s="76"/>
      <c r="B756" s="212" t="s">
        <v>1279</v>
      </c>
      <c r="C756" s="76" t="s">
        <v>320</v>
      </c>
      <c r="D756" s="76" t="s">
        <v>320</v>
      </c>
      <c r="E756" s="76"/>
      <c r="F756" s="76">
        <v>1</v>
      </c>
      <c r="G756" s="76">
        <v>1</v>
      </c>
      <c r="H756" s="76"/>
      <c r="I756" s="76"/>
      <c r="J756" s="76">
        <v>1</v>
      </c>
      <c r="K756" s="584">
        <v>174</v>
      </c>
      <c r="L756" s="584">
        <v>656</v>
      </c>
      <c r="M756" s="76">
        <v>2018</v>
      </c>
      <c r="N756" s="76">
        <v>2018</v>
      </c>
      <c r="O756" s="76">
        <f t="shared" si="339"/>
        <v>4</v>
      </c>
      <c r="P756" s="76">
        <v>4</v>
      </c>
      <c r="Q756" s="76"/>
      <c r="R756" s="76"/>
      <c r="S756" s="76">
        <f t="shared" si="340"/>
        <v>4</v>
      </c>
      <c r="T756" s="76"/>
      <c r="U756" s="602"/>
      <c r="V756" s="76"/>
      <c r="W756" s="76"/>
      <c r="X756" s="583"/>
      <c r="Y756" s="76"/>
      <c r="Z756" s="76"/>
      <c r="AA756" s="76"/>
      <c r="AB756" s="76"/>
      <c r="AC756" s="76"/>
      <c r="AD756" s="136"/>
    </row>
    <row r="757" customHeight="1" spans="1:30">
      <c r="A757" s="76"/>
      <c r="B757" s="212" t="s">
        <v>1280</v>
      </c>
      <c r="C757" s="76" t="s">
        <v>320</v>
      </c>
      <c r="D757" s="76" t="s">
        <v>320</v>
      </c>
      <c r="E757" s="76"/>
      <c r="F757" s="76">
        <v>1</v>
      </c>
      <c r="G757" s="76">
        <v>1</v>
      </c>
      <c r="H757" s="76"/>
      <c r="I757" s="76"/>
      <c r="J757" s="76">
        <v>1</v>
      </c>
      <c r="K757" s="584">
        <v>90</v>
      </c>
      <c r="L757" s="584">
        <v>343</v>
      </c>
      <c r="M757" s="76">
        <v>2018</v>
      </c>
      <c r="N757" s="76">
        <v>2018</v>
      </c>
      <c r="O757" s="76">
        <f t="shared" si="339"/>
        <v>4</v>
      </c>
      <c r="P757" s="76">
        <v>4</v>
      </c>
      <c r="Q757" s="76"/>
      <c r="R757" s="76"/>
      <c r="S757" s="76">
        <f t="shared" si="340"/>
        <v>4</v>
      </c>
      <c r="T757" s="76"/>
      <c r="U757" s="602"/>
      <c r="V757" s="76"/>
      <c r="W757" s="76"/>
      <c r="X757" s="583"/>
      <c r="Y757" s="76"/>
      <c r="Z757" s="76"/>
      <c r="AA757" s="76"/>
      <c r="AB757" s="76"/>
      <c r="AC757" s="76"/>
      <c r="AD757" s="136"/>
    </row>
    <row r="758" customHeight="1" spans="1:30">
      <c r="A758" s="76"/>
      <c r="B758" s="212" t="s">
        <v>1269</v>
      </c>
      <c r="C758" s="76" t="s">
        <v>320</v>
      </c>
      <c r="D758" s="76" t="s">
        <v>320</v>
      </c>
      <c r="E758" s="76"/>
      <c r="F758" s="76">
        <v>1</v>
      </c>
      <c r="G758" s="76">
        <v>1</v>
      </c>
      <c r="H758" s="76"/>
      <c r="I758" s="76"/>
      <c r="J758" s="76">
        <v>1</v>
      </c>
      <c r="K758" s="584">
        <v>188</v>
      </c>
      <c r="L758" s="584">
        <v>765</v>
      </c>
      <c r="M758" s="76">
        <v>2018</v>
      </c>
      <c r="N758" s="76">
        <v>2018</v>
      </c>
      <c r="O758" s="76">
        <f t="shared" si="339"/>
        <v>4</v>
      </c>
      <c r="P758" s="76">
        <v>4</v>
      </c>
      <c r="Q758" s="76"/>
      <c r="R758" s="76"/>
      <c r="S758" s="76">
        <f t="shared" si="340"/>
        <v>4</v>
      </c>
      <c r="T758" s="76"/>
      <c r="U758" s="602"/>
      <c r="V758" s="76"/>
      <c r="W758" s="76"/>
      <c r="X758" s="583"/>
      <c r="Y758" s="76"/>
      <c r="Z758" s="76"/>
      <c r="AA758" s="76"/>
      <c r="AB758" s="76"/>
      <c r="AC758" s="76"/>
      <c r="AD758" s="136"/>
    </row>
    <row r="759" customHeight="1" spans="1:30">
      <c r="A759" s="76"/>
      <c r="B759" s="212" t="s">
        <v>1270</v>
      </c>
      <c r="C759" s="76" t="s">
        <v>320</v>
      </c>
      <c r="D759" s="76" t="s">
        <v>320</v>
      </c>
      <c r="E759" s="76"/>
      <c r="F759" s="76">
        <v>1</v>
      </c>
      <c r="G759" s="76">
        <v>1</v>
      </c>
      <c r="H759" s="76"/>
      <c r="I759" s="76"/>
      <c r="J759" s="76">
        <v>1</v>
      </c>
      <c r="K759" s="584">
        <v>209</v>
      </c>
      <c r="L759" s="584">
        <v>901</v>
      </c>
      <c r="M759" s="76">
        <v>2018</v>
      </c>
      <c r="N759" s="76">
        <v>2018</v>
      </c>
      <c r="O759" s="76">
        <f t="shared" si="339"/>
        <v>4</v>
      </c>
      <c r="P759" s="76">
        <v>4</v>
      </c>
      <c r="Q759" s="76"/>
      <c r="R759" s="76"/>
      <c r="S759" s="76">
        <f t="shared" si="340"/>
        <v>4</v>
      </c>
      <c r="T759" s="76"/>
      <c r="U759" s="602"/>
      <c r="V759" s="76"/>
      <c r="W759" s="76"/>
      <c r="X759" s="583"/>
      <c r="Y759" s="76"/>
      <c r="Z759" s="76"/>
      <c r="AA759" s="76"/>
      <c r="AB759" s="76"/>
      <c r="AC759" s="76"/>
      <c r="AD759" s="136"/>
    </row>
    <row r="760" customHeight="1" spans="1:30">
      <c r="A760" s="76"/>
      <c r="B760" s="212" t="s">
        <v>1281</v>
      </c>
      <c r="C760" s="76" t="s">
        <v>320</v>
      </c>
      <c r="D760" s="76" t="s">
        <v>320</v>
      </c>
      <c r="E760" s="76"/>
      <c r="F760" s="76">
        <v>1</v>
      </c>
      <c r="G760" s="76">
        <v>1</v>
      </c>
      <c r="H760" s="76"/>
      <c r="I760" s="76"/>
      <c r="J760" s="76">
        <v>1</v>
      </c>
      <c r="K760" s="584">
        <v>230</v>
      </c>
      <c r="L760" s="584">
        <v>993</v>
      </c>
      <c r="M760" s="76">
        <v>2018</v>
      </c>
      <c r="N760" s="76">
        <v>2018</v>
      </c>
      <c r="O760" s="76">
        <f t="shared" si="339"/>
        <v>4</v>
      </c>
      <c r="P760" s="76">
        <v>4</v>
      </c>
      <c r="Q760" s="76"/>
      <c r="R760" s="76"/>
      <c r="S760" s="76">
        <f t="shared" si="340"/>
        <v>4</v>
      </c>
      <c r="T760" s="76"/>
      <c r="U760" s="602"/>
      <c r="V760" s="76"/>
      <c r="W760" s="76"/>
      <c r="X760" s="583"/>
      <c r="Y760" s="76"/>
      <c r="Z760" s="76"/>
      <c r="AA760" s="76"/>
      <c r="AB760" s="76"/>
      <c r="AC760" s="76"/>
      <c r="AD760" s="136"/>
    </row>
    <row r="761" customHeight="1" spans="1:30">
      <c r="A761" s="76"/>
      <c r="B761" s="212" t="s">
        <v>1282</v>
      </c>
      <c r="C761" s="76" t="s">
        <v>320</v>
      </c>
      <c r="D761" s="76" t="s">
        <v>320</v>
      </c>
      <c r="E761" s="76"/>
      <c r="F761" s="76">
        <v>1</v>
      </c>
      <c r="G761" s="76">
        <v>1</v>
      </c>
      <c r="H761" s="76"/>
      <c r="I761" s="76"/>
      <c r="J761" s="76">
        <v>1</v>
      </c>
      <c r="K761" s="584">
        <v>299</v>
      </c>
      <c r="L761" s="584">
        <v>1316</v>
      </c>
      <c r="M761" s="76">
        <v>2018</v>
      </c>
      <c r="N761" s="76">
        <v>2018</v>
      </c>
      <c r="O761" s="76">
        <f t="shared" si="339"/>
        <v>4</v>
      </c>
      <c r="P761" s="76">
        <v>4</v>
      </c>
      <c r="Q761" s="76"/>
      <c r="R761" s="76"/>
      <c r="S761" s="76">
        <f t="shared" si="340"/>
        <v>4</v>
      </c>
      <c r="T761" s="76"/>
      <c r="U761" s="602"/>
      <c r="V761" s="76"/>
      <c r="W761" s="76"/>
      <c r="X761" s="583"/>
      <c r="Y761" s="76"/>
      <c r="Z761" s="76"/>
      <c r="AA761" s="76"/>
      <c r="AB761" s="76"/>
      <c r="AC761" s="76"/>
      <c r="AD761" s="136"/>
    </row>
    <row r="762" customHeight="1" spans="1:30">
      <c r="A762" s="76"/>
      <c r="B762" s="212" t="s">
        <v>1283</v>
      </c>
      <c r="C762" s="76" t="s">
        <v>320</v>
      </c>
      <c r="D762" s="76" t="s">
        <v>320</v>
      </c>
      <c r="E762" s="76"/>
      <c r="F762" s="76">
        <v>1</v>
      </c>
      <c r="G762" s="76">
        <v>1</v>
      </c>
      <c r="H762" s="76"/>
      <c r="I762" s="76"/>
      <c r="J762" s="76">
        <v>1</v>
      </c>
      <c r="K762" s="584">
        <v>129</v>
      </c>
      <c r="L762" s="584">
        <v>584</v>
      </c>
      <c r="M762" s="76">
        <v>2018</v>
      </c>
      <c r="N762" s="76">
        <v>2018</v>
      </c>
      <c r="O762" s="76">
        <f t="shared" si="339"/>
        <v>4</v>
      </c>
      <c r="P762" s="76">
        <v>4</v>
      </c>
      <c r="Q762" s="76"/>
      <c r="R762" s="76"/>
      <c r="S762" s="76">
        <f t="shared" si="340"/>
        <v>4</v>
      </c>
      <c r="T762" s="76"/>
      <c r="U762" s="602"/>
      <c r="V762" s="76"/>
      <c r="W762" s="76"/>
      <c r="X762" s="583"/>
      <c r="Y762" s="76"/>
      <c r="Z762" s="76"/>
      <c r="AA762" s="76"/>
      <c r="AB762" s="76"/>
      <c r="AC762" s="76"/>
      <c r="AD762" s="136"/>
    </row>
    <row r="763" customHeight="1" spans="1:30">
      <c r="A763" s="76">
        <v>72</v>
      </c>
      <c r="B763" s="95" t="s">
        <v>552</v>
      </c>
      <c r="C763" s="76" t="s">
        <v>320</v>
      </c>
      <c r="D763" s="76" t="s">
        <v>320</v>
      </c>
      <c r="E763" s="76"/>
      <c r="F763" s="76">
        <f t="shared" ref="F763:W763" si="341">F764</f>
        <v>12</v>
      </c>
      <c r="G763" s="76">
        <f t="shared" si="341"/>
        <v>7</v>
      </c>
      <c r="H763" s="76">
        <f t="shared" si="341"/>
        <v>5</v>
      </c>
      <c r="I763" s="76">
        <f t="shared" si="341"/>
        <v>0</v>
      </c>
      <c r="J763" s="76">
        <f t="shared" si="341"/>
        <v>12</v>
      </c>
      <c r="K763" s="76">
        <f t="shared" si="341"/>
        <v>146</v>
      </c>
      <c r="L763" s="76">
        <f t="shared" si="341"/>
        <v>526</v>
      </c>
      <c r="M763" s="76">
        <f t="shared" si="341"/>
        <v>2018</v>
      </c>
      <c r="N763" s="76">
        <f t="shared" si="341"/>
        <v>2018</v>
      </c>
      <c r="O763" s="76">
        <f t="shared" si="341"/>
        <v>250</v>
      </c>
      <c r="P763" s="76">
        <f t="shared" si="341"/>
        <v>70</v>
      </c>
      <c r="Q763" s="76">
        <f t="shared" si="341"/>
        <v>180</v>
      </c>
      <c r="R763" s="76">
        <f t="shared" si="341"/>
        <v>0</v>
      </c>
      <c r="S763" s="76">
        <f t="shared" si="341"/>
        <v>0</v>
      </c>
      <c r="T763" s="76">
        <f t="shared" si="341"/>
        <v>250</v>
      </c>
      <c r="U763" s="76">
        <f t="shared" si="341"/>
        <v>0</v>
      </c>
      <c r="V763" s="76">
        <f t="shared" si="341"/>
        <v>0</v>
      </c>
      <c r="W763" s="76">
        <f t="shared" si="341"/>
        <v>0</v>
      </c>
      <c r="X763" s="583"/>
      <c r="Y763" s="76"/>
      <c r="Z763" s="76"/>
      <c r="AA763" s="76" t="s">
        <v>1388</v>
      </c>
      <c r="AB763" s="76" t="s">
        <v>1358</v>
      </c>
      <c r="AC763" s="76" t="s">
        <v>320</v>
      </c>
      <c r="AD763" s="136"/>
    </row>
    <row r="764" customHeight="1" spans="1:30">
      <c r="A764" s="76"/>
      <c r="B764" s="95" t="s">
        <v>554</v>
      </c>
      <c r="C764" s="76" t="s">
        <v>52</v>
      </c>
      <c r="D764" s="76" t="s">
        <v>150</v>
      </c>
      <c r="E764" s="76"/>
      <c r="F764" s="76">
        <f t="shared" ref="F764:L764" si="342">SUM(F765:F776)</f>
        <v>12</v>
      </c>
      <c r="G764" s="76">
        <f t="shared" si="342"/>
        <v>7</v>
      </c>
      <c r="H764" s="76">
        <f t="shared" si="342"/>
        <v>5</v>
      </c>
      <c r="I764" s="76">
        <f t="shared" si="342"/>
        <v>0</v>
      </c>
      <c r="J764" s="76">
        <f t="shared" si="342"/>
        <v>12</v>
      </c>
      <c r="K764" s="76">
        <f t="shared" si="342"/>
        <v>146</v>
      </c>
      <c r="L764" s="76">
        <f t="shared" si="342"/>
        <v>526</v>
      </c>
      <c r="M764" s="76">
        <v>2018</v>
      </c>
      <c r="N764" s="76">
        <v>2018</v>
      </c>
      <c r="O764" s="76">
        <f t="shared" ref="O764:W764" si="343">SUM(O765:O776)</f>
        <v>250</v>
      </c>
      <c r="P764" s="76">
        <f t="shared" si="343"/>
        <v>70</v>
      </c>
      <c r="Q764" s="76">
        <f t="shared" si="343"/>
        <v>180</v>
      </c>
      <c r="R764" s="76">
        <f t="shared" si="343"/>
        <v>0</v>
      </c>
      <c r="S764" s="76">
        <f t="shared" si="343"/>
        <v>0</v>
      </c>
      <c r="T764" s="76">
        <f t="shared" si="343"/>
        <v>250</v>
      </c>
      <c r="U764" s="76">
        <f t="shared" si="343"/>
        <v>0</v>
      </c>
      <c r="V764" s="76">
        <f t="shared" si="343"/>
        <v>0</v>
      </c>
      <c r="W764" s="76">
        <f t="shared" si="343"/>
        <v>0</v>
      </c>
      <c r="X764" s="583"/>
      <c r="Y764" s="76" t="s">
        <v>1038</v>
      </c>
      <c r="Z764" s="76"/>
      <c r="AA764" s="76" t="s">
        <v>1388</v>
      </c>
      <c r="AB764" s="76" t="s">
        <v>1358</v>
      </c>
      <c r="AC764" s="76" t="s">
        <v>553</v>
      </c>
      <c r="AD764" s="136"/>
    </row>
    <row r="765" customHeight="1" spans="1:30">
      <c r="A765" s="76"/>
      <c r="B765" s="603" t="s">
        <v>1389</v>
      </c>
      <c r="C765" s="76" t="s">
        <v>52</v>
      </c>
      <c r="D765" s="76" t="s">
        <v>150</v>
      </c>
      <c r="E765" s="76"/>
      <c r="F765" s="76">
        <f t="shared" ref="F765:F776" si="344">SUM(G765:I765)</f>
        <v>1</v>
      </c>
      <c r="G765" s="76">
        <v>1</v>
      </c>
      <c r="H765" s="76"/>
      <c r="I765" s="76"/>
      <c r="J765" s="76">
        <v>1</v>
      </c>
      <c r="K765" s="141">
        <v>2</v>
      </c>
      <c r="L765" s="141">
        <v>4</v>
      </c>
      <c r="M765" s="76">
        <v>2018</v>
      </c>
      <c r="N765" s="76">
        <v>2018</v>
      </c>
      <c r="O765" s="76">
        <f t="shared" ref="O765:O795" si="345">SUM(P765:R765)</f>
        <v>20</v>
      </c>
      <c r="P765" s="76">
        <v>10</v>
      </c>
      <c r="Q765" s="76">
        <v>10</v>
      </c>
      <c r="R765" s="76"/>
      <c r="S765" s="76"/>
      <c r="T765" s="76">
        <f t="shared" ref="T765:T776" si="346">O765</f>
        <v>20</v>
      </c>
      <c r="U765" s="76"/>
      <c r="V765" s="76"/>
      <c r="W765" s="76"/>
      <c r="X765" s="583"/>
      <c r="Y765" s="76"/>
      <c r="Z765" s="76"/>
      <c r="AA765" s="76"/>
      <c r="AB765" s="76"/>
      <c r="AC765" s="76"/>
      <c r="AD765" s="136"/>
    </row>
    <row r="766" customHeight="1" spans="1:30">
      <c r="A766" s="76"/>
      <c r="B766" s="603" t="s">
        <v>1390</v>
      </c>
      <c r="C766" s="76" t="s">
        <v>52</v>
      </c>
      <c r="D766" s="76" t="s">
        <v>150</v>
      </c>
      <c r="E766" s="76"/>
      <c r="F766" s="76">
        <f t="shared" si="344"/>
        <v>1</v>
      </c>
      <c r="G766" s="76">
        <v>1</v>
      </c>
      <c r="H766" s="76"/>
      <c r="I766" s="76"/>
      <c r="J766" s="76">
        <v>1</v>
      </c>
      <c r="K766" s="141">
        <v>18</v>
      </c>
      <c r="L766" s="141">
        <v>76</v>
      </c>
      <c r="M766" s="76">
        <v>2018</v>
      </c>
      <c r="N766" s="76">
        <v>2018</v>
      </c>
      <c r="O766" s="76">
        <f t="shared" si="345"/>
        <v>20</v>
      </c>
      <c r="P766" s="76">
        <v>10</v>
      </c>
      <c r="Q766" s="76">
        <v>10</v>
      </c>
      <c r="R766" s="76"/>
      <c r="S766" s="76"/>
      <c r="T766" s="76">
        <f t="shared" si="346"/>
        <v>20</v>
      </c>
      <c r="U766" s="76"/>
      <c r="V766" s="76"/>
      <c r="W766" s="76"/>
      <c r="X766" s="583"/>
      <c r="Y766" s="76"/>
      <c r="Z766" s="76"/>
      <c r="AA766" s="76"/>
      <c r="AB766" s="76"/>
      <c r="AC766" s="76"/>
      <c r="AD766" s="136"/>
    </row>
    <row r="767" customHeight="1" spans="1:30">
      <c r="A767" s="76"/>
      <c r="B767" s="603" t="s">
        <v>1391</v>
      </c>
      <c r="C767" s="76" t="s">
        <v>52</v>
      </c>
      <c r="D767" s="76" t="s">
        <v>150</v>
      </c>
      <c r="E767" s="76"/>
      <c r="F767" s="76">
        <f t="shared" si="344"/>
        <v>1</v>
      </c>
      <c r="G767" s="76">
        <v>1</v>
      </c>
      <c r="H767" s="76"/>
      <c r="I767" s="76"/>
      <c r="J767" s="76">
        <v>1</v>
      </c>
      <c r="K767" s="141">
        <v>8</v>
      </c>
      <c r="L767" s="141">
        <v>32</v>
      </c>
      <c r="M767" s="76">
        <v>2018</v>
      </c>
      <c r="N767" s="76">
        <v>2018</v>
      </c>
      <c r="O767" s="76">
        <f t="shared" si="345"/>
        <v>20</v>
      </c>
      <c r="P767" s="76">
        <v>10</v>
      </c>
      <c r="Q767" s="76">
        <v>10</v>
      </c>
      <c r="R767" s="76"/>
      <c r="S767" s="76"/>
      <c r="T767" s="76">
        <f t="shared" si="346"/>
        <v>20</v>
      </c>
      <c r="U767" s="76"/>
      <c r="V767" s="76"/>
      <c r="W767" s="76"/>
      <c r="X767" s="583"/>
      <c r="Y767" s="76"/>
      <c r="Z767" s="76"/>
      <c r="AA767" s="76"/>
      <c r="AB767" s="76"/>
      <c r="AC767" s="76"/>
      <c r="AD767" s="136"/>
    </row>
    <row r="768" customHeight="1" spans="1:30">
      <c r="A768" s="76"/>
      <c r="B768" s="603" t="s">
        <v>1392</v>
      </c>
      <c r="C768" s="76" t="s">
        <v>52</v>
      </c>
      <c r="D768" s="76" t="s">
        <v>150</v>
      </c>
      <c r="E768" s="76"/>
      <c r="F768" s="76">
        <f t="shared" si="344"/>
        <v>1</v>
      </c>
      <c r="G768" s="76">
        <v>1</v>
      </c>
      <c r="H768" s="76"/>
      <c r="I768" s="76"/>
      <c r="J768" s="76">
        <v>1</v>
      </c>
      <c r="K768" s="141">
        <v>9</v>
      </c>
      <c r="L768" s="141">
        <v>30</v>
      </c>
      <c r="M768" s="76">
        <v>2018</v>
      </c>
      <c r="N768" s="76">
        <v>2018</v>
      </c>
      <c r="O768" s="76">
        <f t="shared" si="345"/>
        <v>20</v>
      </c>
      <c r="P768" s="76">
        <v>10</v>
      </c>
      <c r="Q768" s="76">
        <v>10</v>
      </c>
      <c r="R768" s="76"/>
      <c r="S768" s="76"/>
      <c r="T768" s="76">
        <f t="shared" si="346"/>
        <v>20</v>
      </c>
      <c r="U768" s="76"/>
      <c r="V768" s="76"/>
      <c r="W768" s="76"/>
      <c r="X768" s="583"/>
      <c r="Y768" s="76"/>
      <c r="Z768" s="76"/>
      <c r="AA768" s="76"/>
      <c r="AB768" s="76"/>
      <c r="AC768" s="76"/>
      <c r="AD768" s="136"/>
    </row>
    <row r="769" customHeight="1" spans="1:30">
      <c r="A769" s="76"/>
      <c r="B769" s="603" t="s">
        <v>1393</v>
      </c>
      <c r="C769" s="76" t="s">
        <v>52</v>
      </c>
      <c r="D769" s="76" t="s">
        <v>150</v>
      </c>
      <c r="E769" s="76"/>
      <c r="F769" s="76">
        <f t="shared" si="344"/>
        <v>1</v>
      </c>
      <c r="G769" s="76">
        <v>1</v>
      </c>
      <c r="H769" s="76"/>
      <c r="I769" s="76"/>
      <c r="J769" s="76">
        <v>1</v>
      </c>
      <c r="K769" s="141">
        <v>29</v>
      </c>
      <c r="L769" s="141">
        <v>103</v>
      </c>
      <c r="M769" s="76">
        <v>2018</v>
      </c>
      <c r="N769" s="76">
        <v>2018</v>
      </c>
      <c r="O769" s="76">
        <f t="shared" si="345"/>
        <v>20</v>
      </c>
      <c r="P769" s="76">
        <v>10</v>
      </c>
      <c r="Q769" s="76">
        <v>10</v>
      </c>
      <c r="R769" s="76"/>
      <c r="S769" s="76"/>
      <c r="T769" s="76">
        <f t="shared" si="346"/>
        <v>20</v>
      </c>
      <c r="U769" s="76"/>
      <c r="V769" s="76"/>
      <c r="W769" s="76"/>
      <c r="X769" s="583"/>
      <c r="Y769" s="76"/>
      <c r="Z769" s="76"/>
      <c r="AA769" s="76"/>
      <c r="AB769" s="76"/>
      <c r="AC769" s="76"/>
      <c r="AD769" s="136"/>
    </row>
    <row r="770" customHeight="1" spans="1:30">
      <c r="A770" s="76"/>
      <c r="B770" s="603" t="s">
        <v>1394</v>
      </c>
      <c r="C770" s="76" t="s">
        <v>52</v>
      </c>
      <c r="D770" s="76" t="s">
        <v>150</v>
      </c>
      <c r="E770" s="76"/>
      <c r="F770" s="76">
        <f t="shared" si="344"/>
        <v>1</v>
      </c>
      <c r="G770" s="76">
        <v>1</v>
      </c>
      <c r="H770" s="76"/>
      <c r="I770" s="76"/>
      <c r="J770" s="76">
        <v>1</v>
      </c>
      <c r="K770" s="141">
        <v>11</v>
      </c>
      <c r="L770" s="141">
        <v>38</v>
      </c>
      <c r="M770" s="76">
        <v>2018</v>
      </c>
      <c r="N770" s="76">
        <v>2018</v>
      </c>
      <c r="O770" s="76">
        <f t="shared" si="345"/>
        <v>20</v>
      </c>
      <c r="P770" s="76">
        <v>10</v>
      </c>
      <c r="Q770" s="76">
        <v>10</v>
      </c>
      <c r="R770" s="76"/>
      <c r="S770" s="76"/>
      <c r="T770" s="76">
        <f t="shared" si="346"/>
        <v>20</v>
      </c>
      <c r="U770" s="76"/>
      <c r="V770" s="76"/>
      <c r="W770" s="76"/>
      <c r="X770" s="583"/>
      <c r="Y770" s="76"/>
      <c r="Z770" s="76"/>
      <c r="AA770" s="76"/>
      <c r="AB770" s="76"/>
      <c r="AC770" s="76"/>
      <c r="AD770" s="136"/>
    </row>
    <row r="771" customHeight="1" spans="1:30">
      <c r="A771" s="76"/>
      <c r="B771" s="603" t="s">
        <v>1395</v>
      </c>
      <c r="C771" s="76" t="s">
        <v>52</v>
      </c>
      <c r="D771" s="76" t="s">
        <v>150</v>
      </c>
      <c r="E771" s="76"/>
      <c r="F771" s="76">
        <f t="shared" si="344"/>
        <v>1</v>
      </c>
      <c r="G771" s="76">
        <v>1</v>
      </c>
      <c r="H771" s="76"/>
      <c r="I771" s="76"/>
      <c r="J771" s="76">
        <v>1</v>
      </c>
      <c r="K771" s="141">
        <v>0</v>
      </c>
      <c r="L771" s="141">
        <v>0</v>
      </c>
      <c r="M771" s="76">
        <v>2018</v>
      </c>
      <c r="N771" s="76">
        <v>2018</v>
      </c>
      <c r="O771" s="76">
        <f t="shared" si="345"/>
        <v>20</v>
      </c>
      <c r="P771" s="76">
        <v>10</v>
      </c>
      <c r="Q771" s="76">
        <v>10</v>
      </c>
      <c r="R771" s="76"/>
      <c r="S771" s="76"/>
      <c r="T771" s="76">
        <f t="shared" si="346"/>
        <v>20</v>
      </c>
      <c r="U771" s="76"/>
      <c r="V771" s="76"/>
      <c r="W771" s="76"/>
      <c r="X771" s="583"/>
      <c r="Y771" s="76"/>
      <c r="Z771" s="76"/>
      <c r="AA771" s="76"/>
      <c r="AB771" s="76"/>
      <c r="AC771" s="76"/>
      <c r="AD771" s="136"/>
    </row>
    <row r="772" customHeight="1" spans="1:30">
      <c r="A772" s="76"/>
      <c r="B772" s="156" t="s">
        <v>1396</v>
      </c>
      <c r="C772" s="76" t="s">
        <v>52</v>
      </c>
      <c r="D772" s="76" t="s">
        <v>150</v>
      </c>
      <c r="E772" s="76"/>
      <c r="F772" s="76">
        <f t="shared" si="344"/>
        <v>1</v>
      </c>
      <c r="G772" s="93"/>
      <c r="H772" s="76">
        <v>1</v>
      </c>
      <c r="I772" s="76"/>
      <c r="J772" s="76">
        <v>1</v>
      </c>
      <c r="K772" s="141">
        <v>2</v>
      </c>
      <c r="L772" s="141">
        <v>5</v>
      </c>
      <c r="M772" s="76">
        <v>2018</v>
      </c>
      <c r="N772" s="76">
        <v>2019</v>
      </c>
      <c r="O772" s="76">
        <f t="shared" si="345"/>
        <v>20</v>
      </c>
      <c r="P772" s="76"/>
      <c r="Q772" s="76">
        <v>20</v>
      </c>
      <c r="R772" s="76"/>
      <c r="S772" s="76"/>
      <c r="T772" s="76">
        <f t="shared" si="346"/>
        <v>20</v>
      </c>
      <c r="U772" s="76"/>
      <c r="V772" s="76"/>
      <c r="W772" s="76"/>
      <c r="X772" s="583"/>
      <c r="Y772" s="76"/>
      <c r="Z772" s="76"/>
      <c r="AA772" s="76"/>
      <c r="AB772" s="76"/>
      <c r="AC772" s="76"/>
      <c r="AD772" s="136"/>
    </row>
    <row r="773" customHeight="1" spans="1:30">
      <c r="A773" s="76"/>
      <c r="B773" s="156" t="s">
        <v>1397</v>
      </c>
      <c r="C773" s="76" t="s">
        <v>52</v>
      </c>
      <c r="D773" s="76" t="s">
        <v>150</v>
      </c>
      <c r="E773" s="76"/>
      <c r="F773" s="76">
        <f t="shared" si="344"/>
        <v>1</v>
      </c>
      <c r="G773" s="93"/>
      <c r="H773" s="76">
        <v>1</v>
      </c>
      <c r="I773" s="76"/>
      <c r="J773" s="76">
        <v>1</v>
      </c>
      <c r="K773" s="141">
        <v>19</v>
      </c>
      <c r="L773" s="141">
        <v>68</v>
      </c>
      <c r="M773" s="76">
        <v>2018</v>
      </c>
      <c r="N773" s="76">
        <v>2019</v>
      </c>
      <c r="O773" s="76">
        <f t="shared" si="345"/>
        <v>20</v>
      </c>
      <c r="P773" s="76"/>
      <c r="Q773" s="76">
        <v>20</v>
      </c>
      <c r="R773" s="76"/>
      <c r="S773" s="76"/>
      <c r="T773" s="76">
        <f t="shared" si="346"/>
        <v>20</v>
      </c>
      <c r="U773" s="76"/>
      <c r="V773" s="76"/>
      <c r="W773" s="76"/>
      <c r="X773" s="583"/>
      <c r="Y773" s="76"/>
      <c r="Z773" s="76"/>
      <c r="AA773" s="76"/>
      <c r="AB773" s="76"/>
      <c r="AC773" s="76"/>
      <c r="AD773" s="136"/>
    </row>
    <row r="774" customHeight="1" spans="1:30">
      <c r="A774" s="76"/>
      <c r="B774" s="156" t="s">
        <v>1398</v>
      </c>
      <c r="C774" s="76" t="s">
        <v>52</v>
      </c>
      <c r="D774" s="76" t="s">
        <v>150</v>
      </c>
      <c r="E774" s="76"/>
      <c r="F774" s="76">
        <f t="shared" si="344"/>
        <v>1</v>
      </c>
      <c r="G774" s="93"/>
      <c r="H774" s="76">
        <v>1</v>
      </c>
      <c r="I774" s="76"/>
      <c r="J774" s="76">
        <v>1</v>
      </c>
      <c r="K774" s="141">
        <v>9</v>
      </c>
      <c r="L774" s="141">
        <v>36</v>
      </c>
      <c r="M774" s="76">
        <v>2018</v>
      </c>
      <c r="N774" s="76">
        <v>2019</v>
      </c>
      <c r="O774" s="76">
        <f t="shared" si="345"/>
        <v>20</v>
      </c>
      <c r="P774" s="76"/>
      <c r="Q774" s="76">
        <v>20</v>
      </c>
      <c r="R774" s="76"/>
      <c r="S774" s="76"/>
      <c r="T774" s="76">
        <f t="shared" si="346"/>
        <v>20</v>
      </c>
      <c r="U774" s="76"/>
      <c r="V774" s="76"/>
      <c r="W774" s="76"/>
      <c r="X774" s="583"/>
      <c r="Y774" s="76"/>
      <c r="Z774" s="76"/>
      <c r="AA774" s="76"/>
      <c r="AB774" s="76"/>
      <c r="AC774" s="76"/>
      <c r="AD774" s="136"/>
    </row>
    <row r="775" customHeight="1" spans="1:30">
      <c r="A775" s="76"/>
      <c r="B775" s="156" t="s">
        <v>1399</v>
      </c>
      <c r="C775" s="76" t="s">
        <v>52</v>
      </c>
      <c r="D775" s="76" t="s">
        <v>150</v>
      </c>
      <c r="E775" s="76"/>
      <c r="F775" s="76">
        <f t="shared" si="344"/>
        <v>1</v>
      </c>
      <c r="G775" s="93"/>
      <c r="H775" s="76">
        <v>1</v>
      </c>
      <c r="I775" s="76"/>
      <c r="J775" s="76">
        <v>1</v>
      </c>
      <c r="K775" s="141">
        <v>22</v>
      </c>
      <c r="L775" s="141">
        <v>72</v>
      </c>
      <c r="M775" s="76">
        <v>2018</v>
      </c>
      <c r="N775" s="76">
        <v>2019</v>
      </c>
      <c r="O775" s="76">
        <f t="shared" si="345"/>
        <v>20</v>
      </c>
      <c r="P775" s="76"/>
      <c r="Q775" s="76">
        <v>20</v>
      </c>
      <c r="R775" s="76"/>
      <c r="S775" s="76"/>
      <c r="T775" s="76">
        <f t="shared" si="346"/>
        <v>20</v>
      </c>
      <c r="U775" s="76"/>
      <c r="V775" s="76"/>
      <c r="W775" s="76"/>
      <c r="X775" s="583"/>
      <c r="Y775" s="76"/>
      <c r="Z775" s="76"/>
      <c r="AA775" s="76"/>
      <c r="AB775" s="76"/>
      <c r="AC775" s="76"/>
      <c r="AD775" s="136"/>
    </row>
    <row r="776" customHeight="1" spans="1:30">
      <c r="A776" s="76"/>
      <c r="B776" s="156" t="s">
        <v>1400</v>
      </c>
      <c r="C776" s="76" t="s">
        <v>52</v>
      </c>
      <c r="D776" s="76" t="s">
        <v>150</v>
      </c>
      <c r="E776" s="76"/>
      <c r="F776" s="76">
        <f t="shared" si="344"/>
        <v>1</v>
      </c>
      <c r="G776" s="93"/>
      <c r="H776" s="76">
        <v>1</v>
      </c>
      <c r="I776" s="76"/>
      <c r="J776" s="76">
        <v>1</v>
      </c>
      <c r="K776" s="141">
        <v>17</v>
      </c>
      <c r="L776" s="141">
        <v>62</v>
      </c>
      <c r="M776" s="76">
        <v>2018</v>
      </c>
      <c r="N776" s="76">
        <v>2019</v>
      </c>
      <c r="O776" s="76">
        <f t="shared" si="345"/>
        <v>30</v>
      </c>
      <c r="P776" s="76"/>
      <c r="Q776" s="76">
        <v>30</v>
      </c>
      <c r="R776" s="76"/>
      <c r="S776" s="76"/>
      <c r="T776" s="76">
        <f t="shared" si="346"/>
        <v>30</v>
      </c>
      <c r="U776" s="76"/>
      <c r="V776" s="76"/>
      <c r="W776" s="76"/>
      <c r="X776" s="583"/>
      <c r="Y776" s="76"/>
      <c r="Z776" s="76"/>
      <c r="AA776" s="76"/>
      <c r="AB776" s="76"/>
      <c r="AC776" s="76"/>
      <c r="AD776" s="136"/>
    </row>
    <row r="777" customHeight="1" spans="1:30">
      <c r="A777" s="76">
        <v>73</v>
      </c>
      <c r="B777" s="95" t="s">
        <v>555</v>
      </c>
      <c r="C777" s="76" t="s">
        <v>320</v>
      </c>
      <c r="D777" s="76" t="s">
        <v>320</v>
      </c>
      <c r="E777" s="76"/>
      <c r="F777" s="76">
        <f t="shared" ref="F777:L777" si="347">F778</f>
        <v>21216</v>
      </c>
      <c r="G777" s="76">
        <f t="shared" si="347"/>
        <v>7072</v>
      </c>
      <c r="H777" s="76">
        <f t="shared" si="347"/>
        <v>7072</v>
      </c>
      <c r="I777" s="76">
        <f t="shared" si="347"/>
        <v>7072</v>
      </c>
      <c r="J777" s="76">
        <f t="shared" si="347"/>
        <v>7072</v>
      </c>
      <c r="K777" s="76">
        <f t="shared" si="347"/>
        <v>1855</v>
      </c>
      <c r="L777" s="76">
        <f t="shared" si="347"/>
        <v>1855</v>
      </c>
      <c r="M777" s="76">
        <v>2018</v>
      </c>
      <c r="N777" s="76">
        <v>2020</v>
      </c>
      <c r="O777" s="76">
        <f t="shared" si="345"/>
        <v>0</v>
      </c>
      <c r="P777" s="76"/>
      <c r="Q777" s="76"/>
      <c r="R777" s="76"/>
      <c r="S777" s="76"/>
      <c r="T777" s="76"/>
      <c r="U777" s="76"/>
      <c r="V777" s="76"/>
      <c r="W777" s="76"/>
      <c r="X777" s="583"/>
      <c r="Y777" s="76"/>
      <c r="Z777" s="76"/>
      <c r="AA777" s="76" t="s">
        <v>1285</v>
      </c>
      <c r="AB777" s="76" t="s">
        <v>1286</v>
      </c>
      <c r="AC777" s="76" t="s">
        <v>320</v>
      </c>
      <c r="AD777" s="136"/>
    </row>
    <row r="778" customHeight="1" spans="1:30">
      <c r="A778" s="76"/>
      <c r="B778" s="95" t="s">
        <v>1225</v>
      </c>
      <c r="C778" s="76" t="s">
        <v>320</v>
      </c>
      <c r="D778" s="76" t="s">
        <v>147</v>
      </c>
      <c r="E778" s="76"/>
      <c r="F778" s="76">
        <f t="shared" ref="F778:L778" si="348">SUM(F779:F795)</f>
        <v>21216</v>
      </c>
      <c r="G778" s="76">
        <f t="shared" si="348"/>
        <v>7072</v>
      </c>
      <c r="H778" s="76">
        <f t="shared" si="348"/>
        <v>7072</v>
      </c>
      <c r="I778" s="76">
        <f t="shared" si="348"/>
        <v>7072</v>
      </c>
      <c r="J778" s="76">
        <f t="shared" si="348"/>
        <v>7072</v>
      </c>
      <c r="K778" s="76">
        <f t="shared" si="348"/>
        <v>1855</v>
      </c>
      <c r="L778" s="76">
        <f t="shared" si="348"/>
        <v>1855</v>
      </c>
      <c r="M778" s="76">
        <v>2018</v>
      </c>
      <c r="N778" s="76">
        <v>2020</v>
      </c>
      <c r="O778" s="76">
        <f t="shared" si="345"/>
        <v>0</v>
      </c>
      <c r="P778" s="76"/>
      <c r="Q778" s="76"/>
      <c r="R778" s="76"/>
      <c r="S778" s="76"/>
      <c r="T778" s="76"/>
      <c r="U778" s="76"/>
      <c r="V778" s="76"/>
      <c r="W778" s="76"/>
      <c r="X778" s="583"/>
      <c r="Y778" s="76"/>
      <c r="Z778" s="76"/>
      <c r="AA778" s="76" t="s">
        <v>1285</v>
      </c>
      <c r="AB778" s="76" t="s">
        <v>1286</v>
      </c>
      <c r="AC778" s="76" t="s">
        <v>294</v>
      </c>
      <c r="AD778" s="136"/>
    </row>
    <row r="779" customHeight="1" spans="1:30">
      <c r="A779" s="76"/>
      <c r="B779" s="212" t="s">
        <v>1265</v>
      </c>
      <c r="C779" s="76" t="s">
        <v>320</v>
      </c>
      <c r="D779" s="76" t="s">
        <v>147</v>
      </c>
      <c r="E779" s="76"/>
      <c r="F779" s="76">
        <f t="shared" ref="F779:F795" si="349">SUM(G779:I779)</f>
        <v>1056</v>
      </c>
      <c r="G779" s="604">
        <v>352</v>
      </c>
      <c r="H779" s="604">
        <v>352</v>
      </c>
      <c r="I779" s="604">
        <v>352</v>
      </c>
      <c r="J779" s="604">
        <v>352</v>
      </c>
      <c r="K779" s="143">
        <v>17</v>
      </c>
      <c r="L779" s="143">
        <v>17</v>
      </c>
      <c r="M779" s="76">
        <v>2018</v>
      </c>
      <c r="N779" s="76">
        <v>2020</v>
      </c>
      <c r="O779" s="76">
        <f t="shared" si="345"/>
        <v>0</v>
      </c>
      <c r="P779" s="76"/>
      <c r="Q779" s="76"/>
      <c r="R779" s="76"/>
      <c r="S779" s="76"/>
      <c r="T779" s="76"/>
      <c r="U779" s="76"/>
      <c r="V779" s="76"/>
      <c r="W779" s="76"/>
      <c r="X779" s="583"/>
      <c r="Y779" s="76"/>
      <c r="Z779" s="76"/>
      <c r="AA779" s="76"/>
      <c r="AB779" s="76"/>
      <c r="AC779" s="76"/>
      <c r="AD779" s="136"/>
    </row>
    <row r="780" customHeight="1" spans="1:30">
      <c r="A780" s="76"/>
      <c r="B780" s="212" t="s">
        <v>1266</v>
      </c>
      <c r="C780" s="76" t="s">
        <v>320</v>
      </c>
      <c r="D780" s="76" t="s">
        <v>147</v>
      </c>
      <c r="E780" s="76"/>
      <c r="F780" s="76">
        <f t="shared" si="349"/>
        <v>579</v>
      </c>
      <c r="G780" s="604">
        <v>193</v>
      </c>
      <c r="H780" s="604">
        <v>193</v>
      </c>
      <c r="I780" s="604">
        <v>193</v>
      </c>
      <c r="J780" s="604">
        <v>193</v>
      </c>
      <c r="K780" s="143">
        <v>69</v>
      </c>
      <c r="L780" s="143">
        <v>69</v>
      </c>
      <c r="M780" s="76">
        <v>2018</v>
      </c>
      <c r="N780" s="76">
        <v>2020</v>
      </c>
      <c r="O780" s="76">
        <f t="shared" si="345"/>
        <v>0</v>
      </c>
      <c r="P780" s="76"/>
      <c r="Q780" s="76"/>
      <c r="R780" s="76"/>
      <c r="S780" s="76"/>
      <c r="T780" s="76"/>
      <c r="U780" s="76"/>
      <c r="V780" s="76"/>
      <c r="W780" s="76"/>
      <c r="X780" s="583"/>
      <c r="Y780" s="76"/>
      <c r="Z780" s="76"/>
      <c r="AA780" s="76"/>
      <c r="AB780" s="76"/>
      <c r="AC780" s="76"/>
      <c r="AD780" s="136"/>
    </row>
    <row r="781" customHeight="1" spans="1:30">
      <c r="A781" s="76"/>
      <c r="B781" s="212" t="s">
        <v>1267</v>
      </c>
      <c r="C781" s="76" t="s">
        <v>320</v>
      </c>
      <c r="D781" s="76" t="s">
        <v>147</v>
      </c>
      <c r="E781" s="76"/>
      <c r="F781" s="76">
        <f t="shared" si="349"/>
        <v>741</v>
      </c>
      <c r="G781" s="604">
        <v>247</v>
      </c>
      <c r="H781" s="604">
        <v>247</v>
      </c>
      <c r="I781" s="604">
        <v>247</v>
      </c>
      <c r="J781" s="604">
        <v>247</v>
      </c>
      <c r="K781" s="143">
        <v>47</v>
      </c>
      <c r="L781" s="143">
        <v>47</v>
      </c>
      <c r="M781" s="76">
        <v>2018</v>
      </c>
      <c r="N781" s="76">
        <v>2020</v>
      </c>
      <c r="O781" s="76">
        <f t="shared" si="345"/>
        <v>0</v>
      </c>
      <c r="P781" s="76"/>
      <c r="Q781" s="76"/>
      <c r="R781" s="76"/>
      <c r="S781" s="76"/>
      <c r="T781" s="76"/>
      <c r="U781" s="76"/>
      <c r="V781" s="76"/>
      <c r="W781" s="76"/>
      <c r="X781" s="583"/>
      <c r="Y781" s="76"/>
      <c r="Z781" s="76"/>
      <c r="AA781" s="76"/>
      <c r="AB781" s="76"/>
      <c r="AC781" s="76"/>
      <c r="AD781" s="136"/>
    </row>
    <row r="782" customHeight="1" spans="1:30">
      <c r="A782" s="76"/>
      <c r="B782" s="212" t="s">
        <v>1268</v>
      </c>
      <c r="C782" s="76" t="s">
        <v>320</v>
      </c>
      <c r="D782" s="76" t="s">
        <v>147</v>
      </c>
      <c r="E782" s="76"/>
      <c r="F782" s="76">
        <f t="shared" si="349"/>
        <v>1605</v>
      </c>
      <c r="G782" s="605">
        <v>535</v>
      </c>
      <c r="H782" s="605">
        <v>535</v>
      </c>
      <c r="I782" s="605">
        <v>535</v>
      </c>
      <c r="J782" s="605">
        <v>535</v>
      </c>
      <c r="K782" s="143">
        <v>108</v>
      </c>
      <c r="L782" s="143">
        <v>108</v>
      </c>
      <c r="M782" s="76">
        <v>2018</v>
      </c>
      <c r="N782" s="76">
        <v>2020</v>
      </c>
      <c r="O782" s="76">
        <f t="shared" si="345"/>
        <v>0</v>
      </c>
      <c r="P782" s="76"/>
      <c r="Q782" s="76"/>
      <c r="R782" s="76"/>
      <c r="S782" s="76"/>
      <c r="T782" s="76"/>
      <c r="U782" s="76"/>
      <c r="V782" s="76"/>
      <c r="W782" s="76"/>
      <c r="X782" s="583"/>
      <c r="Y782" s="76"/>
      <c r="Z782" s="76"/>
      <c r="AA782" s="76"/>
      <c r="AB782" s="76"/>
      <c r="AC782" s="76"/>
      <c r="AD782" s="136"/>
    </row>
    <row r="783" customHeight="1" spans="1:30">
      <c r="A783" s="76"/>
      <c r="B783" s="212" t="s">
        <v>1275</v>
      </c>
      <c r="C783" s="76" t="s">
        <v>320</v>
      </c>
      <c r="D783" s="76" t="s">
        <v>147</v>
      </c>
      <c r="E783" s="76"/>
      <c r="F783" s="76">
        <f t="shared" si="349"/>
        <v>1740</v>
      </c>
      <c r="G783" s="604">
        <v>580</v>
      </c>
      <c r="H783" s="604">
        <v>580</v>
      </c>
      <c r="I783" s="604">
        <v>580</v>
      </c>
      <c r="J783" s="604">
        <v>580</v>
      </c>
      <c r="K783" s="143">
        <v>155</v>
      </c>
      <c r="L783" s="143">
        <v>155</v>
      </c>
      <c r="M783" s="76">
        <v>2018</v>
      </c>
      <c r="N783" s="76">
        <v>2020</v>
      </c>
      <c r="O783" s="76">
        <f t="shared" si="345"/>
        <v>0</v>
      </c>
      <c r="P783" s="76"/>
      <c r="Q783" s="76"/>
      <c r="R783" s="76"/>
      <c r="S783" s="76"/>
      <c r="T783" s="76"/>
      <c r="U783" s="76"/>
      <c r="V783" s="76"/>
      <c r="W783" s="76"/>
      <c r="X783" s="583"/>
      <c r="Y783" s="76"/>
      <c r="Z783" s="76"/>
      <c r="AA783" s="76"/>
      <c r="AB783" s="76"/>
      <c r="AC783" s="76"/>
      <c r="AD783" s="136"/>
    </row>
    <row r="784" customHeight="1" spans="1:30">
      <c r="A784" s="76"/>
      <c r="B784" s="212" t="s">
        <v>1276</v>
      </c>
      <c r="C784" s="76" t="s">
        <v>320</v>
      </c>
      <c r="D784" s="76" t="s">
        <v>147</v>
      </c>
      <c r="E784" s="76"/>
      <c r="F784" s="76">
        <f t="shared" si="349"/>
        <v>1764</v>
      </c>
      <c r="G784" s="604">
        <v>588</v>
      </c>
      <c r="H784" s="604">
        <v>588</v>
      </c>
      <c r="I784" s="604">
        <v>588</v>
      </c>
      <c r="J784" s="604">
        <v>588</v>
      </c>
      <c r="K784" s="143">
        <v>102</v>
      </c>
      <c r="L784" s="143">
        <v>102</v>
      </c>
      <c r="M784" s="76">
        <v>2018</v>
      </c>
      <c r="N784" s="76">
        <v>2020</v>
      </c>
      <c r="O784" s="76">
        <f t="shared" si="345"/>
        <v>0</v>
      </c>
      <c r="P784" s="76"/>
      <c r="Q784" s="76"/>
      <c r="R784" s="76"/>
      <c r="S784" s="76"/>
      <c r="T784" s="76"/>
      <c r="U784" s="76"/>
      <c r="V784" s="76"/>
      <c r="W784" s="76"/>
      <c r="X784" s="583"/>
      <c r="Y784" s="76"/>
      <c r="Z784" s="76"/>
      <c r="AA784" s="76"/>
      <c r="AB784" s="76"/>
      <c r="AC784" s="76"/>
      <c r="AD784" s="136"/>
    </row>
    <row r="785" customHeight="1" spans="1:30">
      <c r="A785" s="76"/>
      <c r="B785" s="212" t="s">
        <v>1277</v>
      </c>
      <c r="C785" s="76" t="s">
        <v>320</v>
      </c>
      <c r="D785" s="76" t="s">
        <v>147</v>
      </c>
      <c r="E785" s="76"/>
      <c r="F785" s="76">
        <f t="shared" si="349"/>
        <v>2553</v>
      </c>
      <c r="G785" s="604">
        <v>851</v>
      </c>
      <c r="H785" s="604">
        <v>851</v>
      </c>
      <c r="I785" s="604">
        <v>851</v>
      </c>
      <c r="J785" s="604">
        <v>851</v>
      </c>
      <c r="K785" s="143">
        <v>285</v>
      </c>
      <c r="L785" s="143">
        <v>285</v>
      </c>
      <c r="M785" s="76">
        <v>2018</v>
      </c>
      <c r="N785" s="76">
        <v>2020</v>
      </c>
      <c r="O785" s="76">
        <f t="shared" si="345"/>
        <v>0</v>
      </c>
      <c r="P785" s="76"/>
      <c r="Q785" s="76"/>
      <c r="R785" s="76"/>
      <c r="S785" s="76"/>
      <c r="T785" s="76"/>
      <c r="U785" s="76"/>
      <c r="V785" s="76"/>
      <c r="W785" s="76"/>
      <c r="X785" s="583"/>
      <c r="Y785" s="76"/>
      <c r="Z785" s="76"/>
      <c r="AA785" s="76"/>
      <c r="AB785" s="76"/>
      <c r="AC785" s="76"/>
      <c r="AD785" s="136"/>
    </row>
    <row r="786" customHeight="1" spans="1:30">
      <c r="A786" s="76"/>
      <c r="B786" s="212" t="s">
        <v>1278</v>
      </c>
      <c r="C786" s="76" t="s">
        <v>320</v>
      </c>
      <c r="D786" s="76" t="s">
        <v>147</v>
      </c>
      <c r="E786" s="76"/>
      <c r="F786" s="76">
        <f t="shared" si="349"/>
        <v>1791</v>
      </c>
      <c r="G786" s="604">
        <v>597</v>
      </c>
      <c r="H786" s="604">
        <v>597</v>
      </c>
      <c r="I786" s="604">
        <v>597</v>
      </c>
      <c r="J786" s="604">
        <v>597</v>
      </c>
      <c r="K786" s="143">
        <v>208</v>
      </c>
      <c r="L786" s="143">
        <v>208</v>
      </c>
      <c r="M786" s="76">
        <v>2018</v>
      </c>
      <c r="N786" s="76">
        <v>2020</v>
      </c>
      <c r="O786" s="76">
        <f t="shared" si="345"/>
        <v>0</v>
      </c>
      <c r="P786" s="76"/>
      <c r="Q786" s="76"/>
      <c r="R786" s="76"/>
      <c r="S786" s="76"/>
      <c r="T786" s="76"/>
      <c r="U786" s="76"/>
      <c r="V786" s="76"/>
      <c r="W786" s="76"/>
      <c r="X786" s="583"/>
      <c r="Y786" s="76"/>
      <c r="Z786" s="76"/>
      <c r="AA786" s="76"/>
      <c r="AB786" s="76"/>
      <c r="AC786" s="76"/>
      <c r="AD786" s="136"/>
    </row>
    <row r="787" customHeight="1" spans="1:30">
      <c r="A787" s="76"/>
      <c r="B787" s="212" t="s">
        <v>1279</v>
      </c>
      <c r="C787" s="76" t="s">
        <v>320</v>
      </c>
      <c r="D787" s="76" t="s">
        <v>147</v>
      </c>
      <c r="E787" s="76"/>
      <c r="F787" s="76">
        <f t="shared" si="349"/>
        <v>924</v>
      </c>
      <c r="G787" s="604">
        <v>308</v>
      </c>
      <c r="H787" s="604">
        <v>308</v>
      </c>
      <c r="I787" s="604">
        <v>308</v>
      </c>
      <c r="J787" s="604">
        <v>308</v>
      </c>
      <c r="K787" s="143">
        <v>120</v>
      </c>
      <c r="L787" s="143">
        <v>120</v>
      </c>
      <c r="M787" s="76">
        <v>2018</v>
      </c>
      <c r="N787" s="76">
        <v>2020</v>
      </c>
      <c r="O787" s="76">
        <f t="shared" si="345"/>
        <v>0</v>
      </c>
      <c r="P787" s="76"/>
      <c r="Q787" s="76"/>
      <c r="R787" s="76"/>
      <c r="S787" s="76"/>
      <c r="T787" s="76"/>
      <c r="U787" s="76"/>
      <c r="V787" s="76"/>
      <c r="W787" s="76"/>
      <c r="X787" s="583"/>
      <c r="Y787" s="76"/>
      <c r="Z787" s="76"/>
      <c r="AA787" s="76"/>
      <c r="AB787" s="76"/>
      <c r="AC787" s="76"/>
      <c r="AD787" s="136"/>
    </row>
    <row r="788" customHeight="1" spans="1:30">
      <c r="A788" s="76"/>
      <c r="B788" s="212" t="s">
        <v>1280</v>
      </c>
      <c r="C788" s="76" t="s">
        <v>320</v>
      </c>
      <c r="D788" s="76" t="s">
        <v>147</v>
      </c>
      <c r="E788" s="76"/>
      <c r="F788" s="76">
        <f t="shared" si="349"/>
        <v>1062</v>
      </c>
      <c r="G788" s="605">
        <v>354</v>
      </c>
      <c r="H788" s="605">
        <v>354</v>
      </c>
      <c r="I788" s="605">
        <v>354</v>
      </c>
      <c r="J788" s="605">
        <v>354</v>
      </c>
      <c r="K788" s="143">
        <v>51</v>
      </c>
      <c r="L788" s="143">
        <v>51</v>
      </c>
      <c r="M788" s="76">
        <v>2018</v>
      </c>
      <c r="N788" s="76">
        <v>2020</v>
      </c>
      <c r="O788" s="76">
        <f t="shared" si="345"/>
        <v>0</v>
      </c>
      <c r="P788" s="76"/>
      <c r="Q788" s="76"/>
      <c r="R788" s="76"/>
      <c r="S788" s="76"/>
      <c r="T788" s="76"/>
      <c r="U788" s="76"/>
      <c r="V788" s="76"/>
      <c r="W788" s="76"/>
      <c r="X788" s="583"/>
      <c r="Y788" s="76"/>
      <c r="Z788" s="76"/>
      <c r="AA788" s="76"/>
      <c r="AB788" s="76"/>
      <c r="AC788" s="76"/>
      <c r="AD788" s="136"/>
    </row>
    <row r="789" customHeight="1" spans="1:30">
      <c r="A789" s="76"/>
      <c r="B789" s="212" t="s">
        <v>1269</v>
      </c>
      <c r="C789" s="76" t="s">
        <v>320</v>
      </c>
      <c r="D789" s="76" t="s">
        <v>147</v>
      </c>
      <c r="E789" s="76"/>
      <c r="F789" s="76">
        <f t="shared" si="349"/>
        <v>1350</v>
      </c>
      <c r="G789" s="604">
        <v>450</v>
      </c>
      <c r="H789" s="604">
        <v>450</v>
      </c>
      <c r="I789" s="604">
        <v>450</v>
      </c>
      <c r="J789" s="604">
        <v>450</v>
      </c>
      <c r="K789" s="143">
        <v>112</v>
      </c>
      <c r="L789" s="143">
        <v>112</v>
      </c>
      <c r="M789" s="76">
        <v>2018</v>
      </c>
      <c r="N789" s="76">
        <v>2020</v>
      </c>
      <c r="O789" s="76">
        <f t="shared" si="345"/>
        <v>0</v>
      </c>
      <c r="P789" s="76"/>
      <c r="Q789" s="76"/>
      <c r="R789" s="76"/>
      <c r="S789" s="76"/>
      <c r="T789" s="76"/>
      <c r="U789" s="76"/>
      <c r="V789" s="76"/>
      <c r="W789" s="76"/>
      <c r="X789" s="583"/>
      <c r="Y789" s="76"/>
      <c r="Z789" s="76"/>
      <c r="AA789" s="76"/>
      <c r="AB789" s="76"/>
      <c r="AC789" s="76"/>
      <c r="AD789" s="136"/>
    </row>
    <row r="790" customHeight="1" spans="1:30">
      <c r="A790" s="76"/>
      <c r="B790" s="212" t="s">
        <v>1270</v>
      </c>
      <c r="C790" s="76" t="s">
        <v>320</v>
      </c>
      <c r="D790" s="76" t="s">
        <v>147</v>
      </c>
      <c r="E790" s="76"/>
      <c r="F790" s="76">
        <f t="shared" si="349"/>
        <v>1092</v>
      </c>
      <c r="G790" s="604">
        <v>364</v>
      </c>
      <c r="H790" s="604">
        <v>364</v>
      </c>
      <c r="I790" s="604">
        <v>364</v>
      </c>
      <c r="J790" s="604">
        <v>364</v>
      </c>
      <c r="K790" s="143">
        <v>106</v>
      </c>
      <c r="L790" s="143">
        <v>106</v>
      </c>
      <c r="M790" s="76">
        <v>2018</v>
      </c>
      <c r="N790" s="76">
        <v>2020</v>
      </c>
      <c r="O790" s="76">
        <f t="shared" si="345"/>
        <v>0</v>
      </c>
      <c r="P790" s="76"/>
      <c r="Q790" s="76"/>
      <c r="R790" s="76"/>
      <c r="S790" s="76"/>
      <c r="T790" s="76"/>
      <c r="U790" s="76"/>
      <c r="V790" s="76"/>
      <c r="W790" s="76"/>
      <c r="X790" s="583"/>
      <c r="Y790" s="76"/>
      <c r="Z790" s="76"/>
      <c r="AA790" s="76"/>
      <c r="AB790" s="76"/>
      <c r="AC790" s="76"/>
      <c r="AD790" s="136"/>
    </row>
    <row r="791" customHeight="1" spans="1:30">
      <c r="A791" s="76"/>
      <c r="B791" s="212" t="s">
        <v>1281</v>
      </c>
      <c r="C791" s="76" t="s">
        <v>320</v>
      </c>
      <c r="D791" s="76" t="s">
        <v>147</v>
      </c>
      <c r="E791" s="76"/>
      <c r="F791" s="76">
        <f t="shared" si="349"/>
        <v>1101</v>
      </c>
      <c r="G791" s="604">
        <v>367</v>
      </c>
      <c r="H791" s="604">
        <v>367</v>
      </c>
      <c r="I791" s="604">
        <v>367</v>
      </c>
      <c r="J791" s="604">
        <v>367</v>
      </c>
      <c r="K791" s="143">
        <v>119</v>
      </c>
      <c r="L791" s="143">
        <v>119</v>
      </c>
      <c r="M791" s="76">
        <v>2018</v>
      </c>
      <c r="N791" s="76">
        <v>2020</v>
      </c>
      <c r="O791" s="76">
        <f t="shared" si="345"/>
        <v>0</v>
      </c>
      <c r="P791" s="76"/>
      <c r="Q791" s="76"/>
      <c r="R791" s="76"/>
      <c r="S791" s="76"/>
      <c r="T791" s="76"/>
      <c r="U791" s="76"/>
      <c r="V791" s="76"/>
      <c r="W791" s="76"/>
      <c r="X791" s="583"/>
      <c r="Y791" s="76"/>
      <c r="Z791" s="76"/>
      <c r="AA791" s="76"/>
      <c r="AB791" s="76"/>
      <c r="AC791" s="76"/>
      <c r="AD791" s="136"/>
    </row>
    <row r="792" customHeight="1" spans="1:30">
      <c r="A792" s="76"/>
      <c r="B792" s="212" t="s">
        <v>1271</v>
      </c>
      <c r="C792" s="76" t="s">
        <v>320</v>
      </c>
      <c r="D792" s="76" t="s">
        <v>147</v>
      </c>
      <c r="E792" s="76"/>
      <c r="F792" s="76">
        <f t="shared" si="349"/>
        <v>756</v>
      </c>
      <c r="G792" s="604">
        <v>252</v>
      </c>
      <c r="H792" s="604">
        <v>252</v>
      </c>
      <c r="I792" s="604">
        <v>252</v>
      </c>
      <c r="J792" s="604">
        <v>252</v>
      </c>
      <c r="K792" s="143">
        <v>101</v>
      </c>
      <c r="L792" s="143">
        <v>101</v>
      </c>
      <c r="M792" s="76">
        <v>2018</v>
      </c>
      <c r="N792" s="76">
        <v>2020</v>
      </c>
      <c r="O792" s="76">
        <f t="shared" si="345"/>
        <v>0</v>
      </c>
      <c r="P792" s="76"/>
      <c r="Q792" s="76"/>
      <c r="R792" s="76"/>
      <c r="S792" s="76"/>
      <c r="T792" s="76"/>
      <c r="U792" s="76"/>
      <c r="V792" s="76"/>
      <c r="W792" s="76"/>
      <c r="X792" s="583"/>
      <c r="Y792" s="76"/>
      <c r="Z792" s="76"/>
      <c r="AA792" s="76"/>
      <c r="AB792" s="76"/>
      <c r="AC792" s="76"/>
      <c r="AD792" s="136"/>
    </row>
    <row r="793" customHeight="1" spans="1:30">
      <c r="A793" s="76"/>
      <c r="B793" s="212" t="s">
        <v>1282</v>
      </c>
      <c r="C793" s="76" t="s">
        <v>320</v>
      </c>
      <c r="D793" s="76" t="s">
        <v>147</v>
      </c>
      <c r="E793" s="76"/>
      <c r="F793" s="76">
        <f t="shared" si="349"/>
        <v>1230</v>
      </c>
      <c r="G793" s="604">
        <v>410</v>
      </c>
      <c r="H793" s="604">
        <v>410</v>
      </c>
      <c r="I793" s="604">
        <v>410</v>
      </c>
      <c r="J793" s="604">
        <v>410</v>
      </c>
      <c r="K793" s="143">
        <v>155</v>
      </c>
      <c r="L793" s="143">
        <v>155</v>
      </c>
      <c r="M793" s="76">
        <v>2018</v>
      </c>
      <c r="N793" s="76">
        <v>2020</v>
      </c>
      <c r="O793" s="76">
        <f t="shared" si="345"/>
        <v>0</v>
      </c>
      <c r="P793" s="76"/>
      <c r="Q793" s="76"/>
      <c r="R793" s="76"/>
      <c r="S793" s="76"/>
      <c r="T793" s="76"/>
      <c r="U793" s="76"/>
      <c r="V793" s="76"/>
      <c r="W793" s="76"/>
      <c r="X793" s="583"/>
      <c r="Y793" s="76"/>
      <c r="Z793" s="76"/>
      <c r="AA793" s="76"/>
      <c r="AB793" s="76"/>
      <c r="AC793" s="76"/>
      <c r="AD793" s="136"/>
    </row>
    <row r="794" customHeight="1" spans="1:30">
      <c r="A794" s="76"/>
      <c r="B794" s="212" t="s">
        <v>1283</v>
      </c>
      <c r="C794" s="76" t="s">
        <v>320</v>
      </c>
      <c r="D794" s="76" t="s">
        <v>147</v>
      </c>
      <c r="E794" s="76"/>
      <c r="F794" s="76">
        <f t="shared" si="349"/>
        <v>1035</v>
      </c>
      <c r="G794" s="604">
        <v>345</v>
      </c>
      <c r="H794" s="604">
        <v>345</v>
      </c>
      <c r="I794" s="604">
        <v>345</v>
      </c>
      <c r="J794" s="604">
        <v>345</v>
      </c>
      <c r="K794" s="143">
        <v>75</v>
      </c>
      <c r="L794" s="143">
        <v>75</v>
      </c>
      <c r="M794" s="76">
        <v>2018</v>
      </c>
      <c r="N794" s="76">
        <v>2020</v>
      </c>
      <c r="O794" s="76">
        <f t="shared" si="345"/>
        <v>0</v>
      </c>
      <c r="P794" s="76"/>
      <c r="Q794" s="76"/>
      <c r="R794" s="76"/>
      <c r="S794" s="76"/>
      <c r="T794" s="76"/>
      <c r="U794" s="76"/>
      <c r="V794" s="76"/>
      <c r="W794" s="76"/>
      <c r="X794" s="583"/>
      <c r="Y794" s="76"/>
      <c r="Z794" s="76"/>
      <c r="AA794" s="76"/>
      <c r="AB794" s="76"/>
      <c r="AC794" s="76"/>
      <c r="AD794" s="136"/>
    </row>
    <row r="795" customHeight="1" spans="1:30">
      <c r="A795" s="76"/>
      <c r="B795" s="212" t="s">
        <v>1284</v>
      </c>
      <c r="C795" s="76" t="s">
        <v>320</v>
      </c>
      <c r="D795" s="76" t="s">
        <v>147</v>
      </c>
      <c r="E795" s="76"/>
      <c r="F795" s="76">
        <f t="shared" si="349"/>
        <v>837</v>
      </c>
      <c r="G795" s="604">
        <v>279</v>
      </c>
      <c r="H795" s="604">
        <v>279</v>
      </c>
      <c r="I795" s="604">
        <v>279</v>
      </c>
      <c r="J795" s="604">
        <v>279</v>
      </c>
      <c r="K795" s="143">
        <v>25</v>
      </c>
      <c r="L795" s="143">
        <v>25</v>
      </c>
      <c r="M795" s="76">
        <v>2018</v>
      </c>
      <c r="N795" s="76">
        <v>2020</v>
      </c>
      <c r="O795" s="76">
        <f t="shared" si="345"/>
        <v>0</v>
      </c>
      <c r="P795" s="76"/>
      <c r="Q795" s="76"/>
      <c r="R795" s="76"/>
      <c r="S795" s="76"/>
      <c r="T795" s="76"/>
      <c r="U795" s="76"/>
      <c r="V795" s="76"/>
      <c r="W795" s="76"/>
      <c r="X795" s="583"/>
      <c r="Y795" s="76"/>
      <c r="Z795" s="76"/>
      <c r="AA795" s="76"/>
      <c r="AB795" s="76"/>
      <c r="AC795" s="76"/>
      <c r="AD795" s="136"/>
    </row>
    <row r="796" customHeight="1" spans="1:30">
      <c r="A796" s="76"/>
      <c r="B796" s="95" t="s">
        <v>1401</v>
      </c>
      <c r="C796" s="76" t="s">
        <v>52</v>
      </c>
      <c r="D796" s="76" t="s">
        <v>150</v>
      </c>
      <c r="E796" s="76"/>
      <c r="F796" s="76">
        <f t="shared" ref="F796:J796" si="350">F797+F799+F803</f>
        <v>8</v>
      </c>
      <c r="G796" s="76">
        <f t="shared" si="350"/>
        <v>3</v>
      </c>
      <c r="H796" s="76">
        <f t="shared" si="350"/>
        <v>5</v>
      </c>
      <c r="I796" s="76">
        <f t="shared" si="350"/>
        <v>0</v>
      </c>
      <c r="J796" s="76">
        <f t="shared" si="350"/>
        <v>3</v>
      </c>
      <c r="K796" s="76">
        <f>K798+K800</f>
        <v>233</v>
      </c>
      <c r="L796" s="76">
        <f>L798+L800</f>
        <v>850</v>
      </c>
      <c r="M796" s="76">
        <f>M797</f>
        <v>2018</v>
      </c>
      <c r="N796" s="76">
        <f>N797</f>
        <v>2018</v>
      </c>
      <c r="O796" s="76">
        <f t="shared" ref="O796:W796" si="351">O797+O799+O803</f>
        <v>643</v>
      </c>
      <c r="P796" s="76">
        <f t="shared" si="351"/>
        <v>116</v>
      </c>
      <c r="Q796" s="76">
        <f t="shared" si="351"/>
        <v>527</v>
      </c>
      <c r="R796" s="76">
        <f t="shared" si="351"/>
        <v>0</v>
      </c>
      <c r="S796" s="76">
        <f t="shared" si="351"/>
        <v>0</v>
      </c>
      <c r="T796" s="76">
        <f t="shared" si="351"/>
        <v>643</v>
      </c>
      <c r="U796" s="76">
        <f t="shared" si="351"/>
        <v>0</v>
      </c>
      <c r="V796" s="76">
        <f t="shared" si="351"/>
        <v>0</v>
      </c>
      <c r="W796" s="76">
        <f t="shared" si="351"/>
        <v>0</v>
      </c>
      <c r="X796" s="583"/>
      <c r="Y796" s="76"/>
      <c r="Z796" s="76"/>
      <c r="AA796" s="76" t="s">
        <v>1273</v>
      </c>
      <c r="AB796" s="76" t="s">
        <v>1402</v>
      </c>
      <c r="AC796" s="76" t="s">
        <v>273</v>
      </c>
      <c r="AD796" s="136"/>
    </row>
    <row r="797" customHeight="1" spans="1:30">
      <c r="A797" s="76"/>
      <c r="B797" s="95" t="s">
        <v>1226</v>
      </c>
      <c r="C797" s="76" t="str">
        <f>C798</f>
        <v>新建</v>
      </c>
      <c r="D797" s="76" t="str">
        <f>D798</f>
        <v>个</v>
      </c>
      <c r="E797" s="76"/>
      <c r="F797" s="76">
        <f t="shared" ref="F797:N797" si="352">F798</f>
        <v>1</v>
      </c>
      <c r="G797" s="76">
        <f t="shared" si="352"/>
        <v>1</v>
      </c>
      <c r="H797" s="76">
        <f t="shared" si="352"/>
        <v>0</v>
      </c>
      <c r="I797" s="76">
        <f t="shared" si="352"/>
        <v>0</v>
      </c>
      <c r="J797" s="76">
        <f t="shared" si="352"/>
        <v>1</v>
      </c>
      <c r="K797" s="76">
        <f t="shared" si="352"/>
        <v>50</v>
      </c>
      <c r="L797" s="76">
        <f t="shared" si="352"/>
        <v>179</v>
      </c>
      <c r="M797" s="76">
        <f t="shared" si="352"/>
        <v>2018</v>
      </c>
      <c r="N797" s="76">
        <f t="shared" si="352"/>
        <v>2018</v>
      </c>
      <c r="O797" s="76">
        <f t="shared" ref="O797:O800" si="353">SUM(P797:R797)</f>
        <v>17</v>
      </c>
      <c r="P797" s="76">
        <f t="shared" ref="P797:W797" si="354">P798</f>
        <v>17</v>
      </c>
      <c r="Q797" s="76">
        <f t="shared" si="354"/>
        <v>0</v>
      </c>
      <c r="R797" s="76">
        <f t="shared" si="354"/>
        <v>0</v>
      </c>
      <c r="S797" s="76">
        <f t="shared" si="354"/>
        <v>0</v>
      </c>
      <c r="T797" s="76">
        <f t="shared" si="354"/>
        <v>17</v>
      </c>
      <c r="U797" s="76">
        <f t="shared" si="354"/>
        <v>0</v>
      </c>
      <c r="V797" s="76">
        <f t="shared" si="354"/>
        <v>0</v>
      </c>
      <c r="W797" s="76">
        <f t="shared" si="354"/>
        <v>0</v>
      </c>
      <c r="X797" s="583"/>
      <c r="Y797" s="76"/>
      <c r="Z797" s="76"/>
      <c r="AA797" s="76"/>
      <c r="AB797" s="76"/>
      <c r="AC797" s="76"/>
      <c r="AD797" s="136"/>
    </row>
    <row r="798" customHeight="1" spans="1:30">
      <c r="A798" s="76"/>
      <c r="B798" s="95" t="s">
        <v>1403</v>
      </c>
      <c r="C798" s="76" t="s">
        <v>52</v>
      </c>
      <c r="D798" s="76" t="s">
        <v>150</v>
      </c>
      <c r="E798" s="76"/>
      <c r="F798" s="76">
        <v>1</v>
      </c>
      <c r="G798" s="76">
        <v>1</v>
      </c>
      <c r="H798" s="76"/>
      <c r="I798" s="76"/>
      <c r="J798" s="76">
        <v>1</v>
      </c>
      <c r="K798" s="76">
        <v>50</v>
      </c>
      <c r="L798" s="76">
        <v>179</v>
      </c>
      <c r="M798" s="76">
        <v>2018</v>
      </c>
      <c r="N798" s="76">
        <v>2018</v>
      </c>
      <c r="O798" s="76">
        <f t="shared" si="353"/>
        <v>17</v>
      </c>
      <c r="P798" s="76">
        <v>17</v>
      </c>
      <c r="Q798" s="76"/>
      <c r="R798" s="76"/>
      <c r="S798" s="76"/>
      <c r="T798" s="602">
        <v>17</v>
      </c>
      <c r="U798" s="76"/>
      <c r="V798" s="76"/>
      <c r="W798" s="76"/>
      <c r="X798" s="583"/>
      <c r="Y798" s="76"/>
      <c r="Z798" s="76"/>
      <c r="AA798" s="76"/>
      <c r="AB798" s="76"/>
      <c r="AC798" s="76"/>
      <c r="AD798" s="136"/>
    </row>
    <row r="799" customHeight="1" spans="1:30">
      <c r="A799" s="76"/>
      <c r="B799" s="95" t="s">
        <v>1404</v>
      </c>
      <c r="C799" s="76" t="str">
        <f>C800</f>
        <v>新建</v>
      </c>
      <c r="D799" s="76" t="str">
        <f>D800</f>
        <v>个</v>
      </c>
      <c r="E799" s="76"/>
      <c r="F799" s="76">
        <f>F800+F801+F802</f>
        <v>3</v>
      </c>
      <c r="G799" s="76">
        <f>G800+G801+G802</f>
        <v>1</v>
      </c>
      <c r="H799" s="76">
        <f>H800+H801+H802</f>
        <v>2</v>
      </c>
      <c r="I799" s="76">
        <f>I800+I801+I802</f>
        <v>0</v>
      </c>
      <c r="J799" s="76">
        <f t="shared" ref="J799:N799" si="355">J800</f>
        <v>1</v>
      </c>
      <c r="K799" s="76">
        <f t="shared" si="355"/>
        <v>183</v>
      </c>
      <c r="L799" s="76">
        <f t="shared" si="355"/>
        <v>671</v>
      </c>
      <c r="M799" s="76">
        <f t="shared" si="355"/>
        <v>2018</v>
      </c>
      <c r="N799" s="76">
        <f t="shared" si="355"/>
        <v>2018</v>
      </c>
      <c r="O799" s="76">
        <f t="shared" ref="O799:W799" si="356">SUM(O800:O802)</f>
        <v>229</v>
      </c>
      <c r="P799" s="76">
        <f t="shared" si="356"/>
        <v>0</v>
      </c>
      <c r="Q799" s="76">
        <f t="shared" si="356"/>
        <v>229</v>
      </c>
      <c r="R799" s="76">
        <f t="shared" si="356"/>
        <v>0</v>
      </c>
      <c r="S799" s="76">
        <f t="shared" si="356"/>
        <v>0</v>
      </c>
      <c r="T799" s="76">
        <f t="shared" si="356"/>
        <v>229</v>
      </c>
      <c r="U799" s="76">
        <f t="shared" si="356"/>
        <v>0</v>
      </c>
      <c r="V799" s="76">
        <f t="shared" si="356"/>
        <v>0</v>
      </c>
      <c r="W799" s="76">
        <f t="shared" si="356"/>
        <v>0</v>
      </c>
      <c r="X799" s="583"/>
      <c r="Y799" s="76"/>
      <c r="Z799" s="76"/>
      <c r="AA799" s="76"/>
      <c r="AB799" s="76"/>
      <c r="AC799" s="76"/>
      <c r="AD799" s="136"/>
    </row>
    <row r="800" ht="44.1" customHeight="1" spans="1:30">
      <c r="A800" s="76"/>
      <c r="B800" s="95" t="s">
        <v>1405</v>
      </c>
      <c r="C800" s="76" t="s">
        <v>52</v>
      </c>
      <c r="D800" s="76" t="s">
        <v>150</v>
      </c>
      <c r="E800" s="76"/>
      <c r="F800" s="76">
        <v>1</v>
      </c>
      <c r="G800" s="76">
        <v>1</v>
      </c>
      <c r="H800" s="76"/>
      <c r="I800" s="76"/>
      <c r="J800" s="76">
        <v>1</v>
      </c>
      <c r="K800" s="584">
        <v>183</v>
      </c>
      <c r="L800" s="584">
        <v>671</v>
      </c>
      <c r="M800" s="76">
        <v>2018</v>
      </c>
      <c r="N800" s="76">
        <v>2018</v>
      </c>
      <c r="O800" s="76">
        <f t="shared" si="353"/>
        <v>99</v>
      </c>
      <c r="P800" s="76"/>
      <c r="Q800" s="76">
        <v>99</v>
      </c>
      <c r="R800" s="76"/>
      <c r="S800" s="76"/>
      <c r="T800" s="76">
        <v>99</v>
      </c>
      <c r="U800" s="76"/>
      <c r="V800" s="76"/>
      <c r="W800" s="76"/>
      <c r="X800" s="583"/>
      <c r="Y800" s="76"/>
      <c r="Z800" s="76"/>
      <c r="AA800" s="76" t="s">
        <v>1273</v>
      </c>
      <c r="AB800" s="76" t="s">
        <v>1402</v>
      </c>
      <c r="AC800" s="76" t="s">
        <v>273</v>
      </c>
      <c r="AD800" s="136"/>
    </row>
    <row r="801" ht="24" spans="1:30">
      <c r="A801" s="76"/>
      <c r="B801" s="95" t="s">
        <v>1406</v>
      </c>
      <c r="C801" s="76" t="s">
        <v>52</v>
      </c>
      <c r="D801" s="76" t="s">
        <v>150</v>
      </c>
      <c r="E801" s="76"/>
      <c r="F801" s="76">
        <v>1</v>
      </c>
      <c r="G801" s="76"/>
      <c r="H801" s="76">
        <v>1</v>
      </c>
      <c r="I801" s="76"/>
      <c r="J801" s="76" t="s">
        <v>1407</v>
      </c>
      <c r="K801" s="140">
        <v>8</v>
      </c>
      <c r="L801" s="140" t="s">
        <v>1408</v>
      </c>
      <c r="M801" s="76">
        <v>2018</v>
      </c>
      <c r="N801" s="76">
        <v>2019</v>
      </c>
      <c r="O801" s="76">
        <v>30</v>
      </c>
      <c r="P801" s="76"/>
      <c r="Q801" s="76">
        <v>30</v>
      </c>
      <c r="R801" s="76"/>
      <c r="S801" s="76"/>
      <c r="T801" s="76">
        <v>30</v>
      </c>
      <c r="U801" s="76"/>
      <c r="V801" s="76"/>
      <c r="W801" s="76"/>
      <c r="X801" s="583"/>
      <c r="Y801" s="76"/>
      <c r="Z801" s="76"/>
      <c r="AA801" s="76"/>
      <c r="AB801" s="76"/>
      <c r="AC801" s="76"/>
      <c r="AD801" s="136"/>
    </row>
    <row r="802" ht="24" spans="1:30">
      <c r="A802" s="76"/>
      <c r="B802" s="95" t="s">
        <v>1409</v>
      </c>
      <c r="C802" s="76" t="s">
        <v>52</v>
      </c>
      <c r="D802" s="76" t="s">
        <v>150</v>
      </c>
      <c r="E802" s="76"/>
      <c r="F802" s="76">
        <v>1</v>
      </c>
      <c r="G802" s="76"/>
      <c r="H802" s="76">
        <v>1</v>
      </c>
      <c r="I802" s="76"/>
      <c r="J802" s="76">
        <v>100</v>
      </c>
      <c r="K802" s="76">
        <v>43</v>
      </c>
      <c r="L802" s="76">
        <v>187</v>
      </c>
      <c r="M802" s="76">
        <v>2019</v>
      </c>
      <c r="N802" s="76">
        <v>2019</v>
      </c>
      <c r="O802" s="76">
        <f t="shared" ref="O802:O806" si="357">Q802</f>
        <v>100</v>
      </c>
      <c r="P802" s="76"/>
      <c r="Q802" s="76">
        <v>100</v>
      </c>
      <c r="R802" s="76"/>
      <c r="S802" s="76"/>
      <c r="T802" s="76">
        <v>100</v>
      </c>
      <c r="U802" s="76"/>
      <c r="V802" s="76"/>
      <c r="W802" s="76"/>
      <c r="X802" s="583"/>
      <c r="Y802" s="76"/>
      <c r="Z802" s="76"/>
      <c r="AA802" s="76"/>
      <c r="AB802" s="76"/>
      <c r="AC802" s="76"/>
      <c r="AD802" s="136"/>
    </row>
    <row r="803" customHeight="1" spans="1:30">
      <c r="A803" s="76"/>
      <c r="B803" s="95" t="s">
        <v>1410</v>
      </c>
      <c r="C803" s="76" t="str">
        <f>C804</f>
        <v>新建</v>
      </c>
      <c r="D803" s="76" t="str">
        <f>D804</f>
        <v>个</v>
      </c>
      <c r="E803" s="76"/>
      <c r="F803" s="76">
        <f>F804+F805+F806+F807</f>
        <v>4</v>
      </c>
      <c r="G803" s="76">
        <f>G804+G805+G806+G807</f>
        <v>1</v>
      </c>
      <c r="H803" s="76">
        <f>H804+H805+H806+H807</f>
        <v>3</v>
      </c>
      <c r="I803" s="76">
        <f>I804+I805+I806+I807</f>
        <v>0</v>
      </c>
      <c r="J803" s="76">
        <f t="shared" ref="J803:N803" si="358">J804</f>
        <v>1</v>
      </c>
      <c r="K803" s="76">
        <f t="shared" si="358"/>
        <v>18</v>
      </c>
      <c r="L803" s="76">
        <f t="shared" si="358"/>
        <v>82</v>
      </c>
      <c r="M803" s="76">
        <f t="shared" si="358"/>
        <v>2018</v>
      </c>
      <c r="N803" s="76">
        <f t="shared" si="358"/>
        <v>2018</v>
      </c>
      <c r="O803" s="76">
        <f t="shared" ref="O803:W803" si="359">SUM(O804:O807)</f>
        <v>397</v>
      </c>
      <c r="P803" s="76">
        <f t="shared" si="359"/>
        <v>99</v>
      </c>
      <c r="Q803" s="76">
        <f t="shared" si="359"/>
        <v>298</v>
      </c>
      <c r="R803" s="76">
        <f t="shared" si="359"/>
        <v>0</v>
      </c>
      <c r="S803" s="76">
        <f t="shared" si="359"/>
        <v>0</v>
      </c>
      <c r="T803" s="76">
        <f t="shared" si="359"/>
        <v>397</v>
      </c>
      <c r="U803" s="76">
        <f t="shared" si="359"/>
        <v>0</v>
      </c>
      <c r="V803" s="76">
        <f t="shared" si="359"/>
        <v>0</v>
      </c>
      <c r="W803" s="76">
        <f t="shared" si="359"/>
        <v>0</v>
      </c>
      <c r="X803" s="583"/>
      <c r="Y803" s="76"/>
      <c r="Z803" s="76"/>
      <c r="AA803" s="76"/>
      <c r="AB803" s="76"/>
      <c r="AC803" s="76"/>
      <c r="AD803" s="136"/>
    </row>
    <row r="804" ht="36" spans="1:30">
      <c r="A804" s="76"/>
      <c r="B804" s="95" t="s">
        <v>1411</v>
      </c>
      <c r="C804" s="76" t="s">
        <v>52</v>
      </c>
      <c r="D804" s="76" t="s">
        <v>150</v>
      </c>
      <c r="E804" s="76"/>
      <c r="F804" s="76">
        <v>1</v>
      </c>
      <c r="G804" s="76">
        <v>1</v>
      </c>
      <c r="H804" s="76"/>
      <c r="I804" s="76"/>
      <c r="J804" s="76">
        <v>1</v>
      </c>
      <c r="K804" s="76">
        <v>18</v>
      </c>
      <c r="L804" s="76">
        <v>82</v>
      </c>
      <c r="M804" s="76">
        <v>2018</v>
      </c>
      <c r="N804" s="76">
        <v>2018</v>
      </c>
      <c r="O804" s="76">
        <f>SUM(P804:R804)</f>
        <v>99</v>
      </c>
      <c r="P804" s="76">
        <v>99</v>
      </c>
      <c r="Q804" s="76"/>
      <c r="R804" s="76"/>
      <c r="S804" s="76"/>
      <c r="T804" s="76">
        <v>99</v>
      </c>
      <c r="U804" s="76"/>
      <c r="V804" s="76"/>
      <c r="W804" s="76"/>
      <c r="X804" s="583"/>
      <c r="Y804" s="76"/>
      <c r="Z804" s="76"/>
      <c r="AA804" s="76" t="s">
        <v>1273</v>
      </c>
      <c r="AB804" s="76" t="s">
        <v>1402</v>
      </c>
      <c r="AC804" s="76" t="s">
        <v>583</v>
      </c>
      <c r="AD804" s="136"/>
    </row>
    <row r="805" ht="24" spans="1:30">
      <c r="A805" s="76"/>
      <c r="B805" s="95" t="s">
        <v>1412</v>
      </c>
      <c r="C805" s="76" t="s">
        <v>52</v>
      </c>
      <c r="D805" s="76" t="s">
        <v>150</v>
      </c>
      <c r="E805" s="76"/>
      <c r="F805" s="76">
        <v>1</v>
      </c>
      <c r="G805" s="76"/>
      <c r="H805" s="76">
        <v>1</v>
      </c>
      <c r="I805" s="76"/>
      <c r="J805" s="76">
        <v>99</v>
      </c>
      <c r="K805" s="76">
        <v>11</v>
      </c>
      <c r="L805" s="76">
        <v>57</v>
      </c>
      <c r="M805" s="76">
        <v>2019</v>
      </c>
      <c r="N805" s="76">
        <v>2019</v>
      </c>
      <c r="O805" s="76">
        <f t="shared" si="357"/>
        <v>99</v>
      </c>
      <c r="P805" s="76"/>
      <c r="Q805" s="76">
        <v>99</v>
      </c>
      <c r="R805" s="76"/>
      <c r="S805" s="76"/>
      <c r="T805" s="76">
        <v>99</v>
      </c>
      <c r="U805" s="76"/>
      <c r="V805" s="76"/>
      <c r="W805" s="76"/>
      <c r="X805" s="583"/>
      <c r="Y805" s="76"/>
      <c r="Z805" s="76"/>
      <c r="AA805" s="76"/>
      <c r="AB805" s="76"/>
      <c r="AC805" s="76"/>
      <c r="AD805" s="136"/>
    </row>
    <row r="806" ht="24" spans="1:30">
      <c r="A806" s="76"/>
      <c r="B806" s="95" t="s">
        <v>1413</v>
      </c>
      <c r="C806" s="76" t="s">
        <v>52</v>
      </c>
      <c r="D806" s="76" t="s">
        <v>150</v>
      </c>
      <c r="E806" s="76"/>
      <c r="F806" s="76">
        <v>1</v>
      </c>
      <c r="G806" s="76"/>
      <c r="H806" s="76">
        <v>1</v>
      </c>
      <c r="I806" s="76"/>
      <c r="J806" s="76">
        <v>100</v>
      </c>
      <c r="K806" s="76">
        <v>11</v>
      </c>
      <c r="L806" s="76">
        <v>41</v>
      </c>
      <c r="M806" s="76">
        <v>2019</v>
      </c>
      <c r="N806" s="76">
        <v>2019</v>
      </c>
      <c r="O806" s="76">
        <f t="shared" si="357"/>
        <v>100</v>
      </c>
      <c r="P806" s="76"/>
      <c r="Q806" s="76">
        <v>100</v>
      </c>
      <c r="R806" s="76"/>
      <c r="S806" s="76"/>
      <c r="T806" s="76">
        <v>100</v>
      </c>
      <c r="U806" s="76"/>
      <c r="V806" s="76"/>
      <c r="W806" s="76"/>
      <c r="X806" s="583"/>
      <c r="Y806" s="76"/>
      <c r="Z806" s="76"/>
      <c r="AA806" s="76"/>
      <c r="AB806" s="76"/>
      <c r="AC806" s="76"/>
      <c r="AD806" s="136"/>
    </row>
    <row r="807" ht="24" spans="1:30">
      <c r="A807" s="76"/>
      <c r="B807" s="95" t="s">
        <v>1414</v>
      </c>
      <c r="C807" s="76" t="s">
        <v>52</v>
      </c>
      <c r="D807" s="76" t="s">
        <v>150</v>
      </c>
      <c r="E807" s="76"/>
      <c r="F807" s="76">
        <v>1</v>
      </c>
      <c r="G807" s="76"/>
      <c r="H807" s="76">
        <v>1</v>
      </c>
      <c r="I807" s="76"/>
      <c r="J807" s="76">
        <v>99</v>
      </c>
      <c r="K807" s="76">
        <v>48</v>
      </c>
      <c r="L807" s="76">
        <v>203</v>
      </c>
      <c r="M807" s="76">
        <v>2019</v>
      </c>
      <c r="N807" s="76">
        <v>2019</v>
      </c>
      <c r="O807" s="76">
        <f t="shared" ref="O807:O812" si="360">SUM(P807:R807)</f>
        <v>99</v>
      </c>
      <c r="P807" s="76"/>
      <c r="Q807" s="76">
        <v>99</v>
      </c>
      <c r="R807" s="76"/>
      <c r="S807" s="76"/>
      <c r="T807" s="76">
        <v>99</v>
      </c>
      <c r="U807" s="76"/>
      <c r="V807" s="76"/>
      <c r="W807" s="76"/>
      <c r="X807" s="583"/>
      <c r="Y807" s="76"/>
      <c r="Z807" s="76"/>
      <c r="AA807" s="76"/>
      <c r="AB807" s="76"/>
      <c r="AC807" s="76"/>
      <c r="AD807" s="136"/>
    </row>
    <row r="808" customHeight="1" spans="1:30">
      <c r="A808" s="76">
        <v>74</v>
      </c>
      <c r="B808" s="95" t="s">
        <v>1048</v>
      </c>
      <c r="C808" s="76"/>
      <c r="D808" s="76"/>
      <c r="E808" s="76"/>
      <c r="F808" s="76">
        <f t="shared" ref="F808:L808" si="361">SUM(F809+F813)</f>
        <v>17</v>
      </c>
      <c r="G808" s="76">
        <f t="shared" si="361"/>
        <v>585</v>
      </c>
      <c r="H808" s="76">
        <f t="shared" si="361"/>
        <v>105</v>
      </c>
      <c r="I808" s="76">
        <f t="shared" si="361"/>
        <v>0</v>
      </c>
      <c r="J808" s="76">
        <f t="shared" si="361"/>
        <v>0</v>
      </c>
      <c r="K808" s="76">
        <f t="shared" si="361"/>
        <v>3218</v>
      </c>
      <c r="L808" s="76">
        <f t="shared" si="361"/>
        <v>13004</v>
      </c>
      <c r="M808" s="76">
        <v>2018</v>
      </c>
      <c r="N808" s="76">
        <v>2020</v>
      </c>
      <c r="O808" s="76">
        <f t="shared" ref="O808:W808" si="362">SUM(O809+O813)</f>
        <v>690</v>
      </c>
      <c r="P808" s="76">
        <f t="shared" si="362"/>
        <v>585</v>
      </c>
      <c r="Q808" s="76">
        <f t="shared" si="362"/>
        <v>105</v>
      </c>
      <c r="R808" s="76">
        <f t="shared" si="362"/>
        <v>0</v>
      </c>
      <c r="S808" s="76">
        <f t="shared" si="362"/>
        <v>0</v>
      </c>
      <c r="T808" s="76">
        <f t="shared" si="362"/>
        <v>690</v>
      </c>
      <c r="U808" s="76">
        <f t="shared" si="362"/>
        <v>0</v>
      </c>
      <c r="V808" s="76">
        <f t="shared" si="362"/>
        <v>0</v>
      </c>
      <c r="W808" s="76">
        <f t="shared" si="362"/>
        <v>0</v>
      </c>
      <c r="X808" s="583"/>
      <c r="Y808" s="76"/>
      <c r="Z808" s="76"/>
      <c r="AA808" s="76" t="s">
        <v>1302</v>
      </c>
      <c r="AB808" s="76" t="s">
        <v>1303</v>
      </c>
      <c r="AC808" s="76"/>
      <c r="AD808" s="136"/>
    </row>
    <row r="809" customHeight="1" spans="1:30">
      <c r="A809" s="76">
        <v>75</v>
      </c>
      <c r="B809" s="95" t="s">
        <v>1049</v>
      </c>
      <c r="C809" s="76" t="s">
        <v>320</v>
      </c>
      <c r="D809" s="76" t="s">
        <v>320</v>
      </c>
      <c r="E809" s="76"/>
      <c r="F809" s="76"/>
      <c r="G809" s="76"/>
      <c r="H809" s="76"/>
      <c r="I809" s="76"/>
      <c r="J809" s="76"/>
      <c r="K809" s="76"/>
      <c r="L809" s="76"/>
      <c r="M809" s="76"/>
      <c r="N809" s="76"/>
      <c r="O809" s="76"/>
      <c r="P809" s="76"/>
      <c r="Q809" s="76"/>
      <c r="R809" s="76"/>
      <c r="S809" s="76"/>
      <c r="T809" s="76"/>
      <c r="U809" s="76"/>
      <c r="V809" s="76"/>
      <c r="W809" s="76"/>
      <c r="X809" s="583"/>
      <c r="Y809" s="76"/>
      <c r="Z809" s="76"/>
      <c r="AA809" s="76" t="s">
        <v>1302</v>
      </c>
      <c r="AB809" s="76" t="s">
        <v>1303</v>
      </c>
      <c r="AC809" s="76" t="s">
        <v>320</v>
      </c>
      <c r="AD809" s="136"/>
    </row>
    <row r="810" customHeight="1" spans="1:30">
      <c r="A810" s="76">
        <v>76</v>
      </c>
      <c r="B810" s="95" t="s">
        <v>1237</v>
      </c>
      <c r="C810" s="76" t="s">
        <v>52</v>
      </c>
      <c r="D810" s="76" t="s">
        <v>202</v>
      </c>
      <c r="E810" s="76"/>
      <c r="F810" s="76"/>
      <c r="G810" s="76"/>
      <c r="H810" s="76"/>
      <c r="I810" s="76"/>
      <c r="J810" s="76"/>
      <c r="K810" s="76"/>
      <c r="L810" s="76"/>
      <c r="M810" s="76"/>
      <c r="N810" s="76"/>
      <c r="O810" s="76">
        <f t="shared" si="360"/>
        <v>0</v>
      </c>
      <c r="P810" s="76"/>
      <c r="Q810" s="76"/>
      <c r="R810" s="76"/>
      <c r="S810" s="76"/>
      <c r="T810" s="76"/>
      <c r="U810" s="76"/>
      <c r="V810" s="76"/>
      <c r="W810" s="76"/>
      <c r="X810" s="583"/>
      <c r="Y810" s="76"/>
      <c r="Z810" s="76"/>
      <c r="AA810" s="76" t="s">
        <v>1302</v>
      </c>
      <c r="AB810" s="76" t="s">
        <v>1303</v>
      </c>
      <c r="AC810" s="76" t="s">
        <v>497</v>
      </c>
      <c r="AD810" s="136"/>
    </row>
    <row r="811" customHeight="1" spans="1:30">
      <c r="A811" s="76">
        <v>77</v>
      </c>
      <c r="B811" s="92" t="s">
        <v>1238</v>
      </c>
      <c r="C811" s="76" t="s">
        <v>320</v>
      </c>
      <c r="D811" s="76" t="s">
        <v>320</v>
      </c>
      <c r="E811" s="76"/>
      <c r="F811" s="76"/>
      <c r="G811" s="76"/>
      <c r="H811" s="76"/>
      <c r="I811" s="76"/>
      <c r="J811" s="76"/>
      <c r="K811" s="76"/>
      <c r="L811" s="76"/>
      <c r="M811" s="76"/>
      <c r="N811" s="76"/>
      <c r="O811" s="76">
        <f t="shared" si="360"/>
        <v>0</v>
      </c>
      <c r="P811" s="76"/>
      <c r="Q811" s="76"/>
      <c r="R811" s="76"/>
      <c r="S811" s="76"/>
      <c r="T811" s="76"/>
      <c r="U811" s="76"/>
      <c r="V811" s="76"/>
      <c r="W811" s="76"/>
      <c r="X811" s="583"/>
      <c r="Y811" s="76"/>
      <c r="Z811" s="76"/>
      <c r="AA811" s="76" t="s">
        <v>1302</v>
      </c>
      <c r="AB811" s="76" t="s">
        <v>1303</v>
      </c>
      <c r="AC811" s="76" t="s">
        <v>160</v>
      </c>
      <c r="AD811" s="136"/>
    </row>
    <row r="812" customHeight="1" spans="1:30">
      <c r="A812" s="76">
        <v>78</v>
      </c>
      <c r="B812" s="92" t="s">
        <v>1239</v>
      </c>
      <c r="C812" s="76" t="s">
        <v>320</v>
      </c>
      <c r="D812" s="76" t="s">
        <v>320</v>
      </c>
      <c r="E812" s="76"/>
      <c r="F812" s="76"/>
      <c r="G812" s="76"/>
      <c r="H812" s="76"/>
      <c r="I812" s="76"/>
      <c r="J812" s="76"/>
      <c r="K812" s="76"/>
      <c r="L812" s="76"/>
      <c r="M812" s="76"/>
      <c r="N812" s="76"/>
      <c r="O812" s="76">
        <f t="shared" si="360"/>
        <v>0</v>
      </c>
      <c r="P812" s="76"/>
      <c r="Q812" s="76"/>
      <c r="R812" s="76"/>
      <c r="S812" s="76"/>
      <c r="T812" s="76"/>
      <c r="U812" s="76"/>
      <c r="V812" s="76"/>
      <c r="W812" s="76"/>
      <c r="X812" s="583"/>
      <c r="Y812" s="76" t="s">
        <v>1038</v>
      </c>
      <c r="Z812" s="76"/>
      <c r="AA812" s="76" t="s">
        <v>1302</v>
      </c>
      <c r="AB812" s="76" t="s">
        <v>1303</v>
      </c>
      <c r="AC812" s="76" t="s">
        <v>160</v>
      </c>
      <c r="AD812" s="136"/>
    </row>
    <row r="813" customHeight="1" spans="1:30">
      <c r="A813" s="76">
        <v>79</v>
      </c>
      <c r="B813" s="94" t="s">
        <v>1059</v>
      </c>
      <c r="C813" s="93"/>
      <c r="D813" s="93"/>
      <c r="E813" s="93"/>
      <c r="F813" s="76">
        <f t="shared" ref="F813:W813" si="363">F814</f>
        <v>17</v>
      </c>
      <c r="G813" s="76">
        <f t="shared" si="363"/>
        <v>585</v>
      </c>
      <c r="H813" s="76">
        <f t="shared" si="363"/>
        <v>105</v>
      </c>
      <c r="I813" s="76">
        <f t="shared" si="363"/>
        <v>0</v>
      </c>
      <c r="J813" s="76">
        <f t="shared" si="363"/>
        <v>0</v>
      </c>
      <c r="K813" s="76">
        <f t="shared" si="363"/>
        <v>3218</v>
      </c>
      <c r="L813" s="76">
        <f t="shared" si="363"/>
        <v>13004</v>
      </c>
      <c r="M813" s="76">
        <f t="shared" si="363"/>
        <v>2018</v>
      </c>
      <c r="N813" s="76">
        <f t="shared" si="363"/>
        <v>2020</v>
      </c>
      <c r="O813" s="76">
        <f t="shared" si="363"/>
        <v>690</v>
      </c>
      <c r="P813" s="76">
        <f t="shared" si="363"/>
        <v>585</v>
      </c>
      <c r="Q813" s="76">
        <f t="shared" si="363"/>
        <v>105</v>
      </c>
      <c r="R813" s="76">
        <f t="shared" si="363"/>
        <v>0</v>
      </c>
      <c r="S813" s="76">
        <f t="shared" si="363"/>
        <v>0</v>
      </c>
      <c r="T813" s="76">
        <f t="shared" si="363"/>
        <v>690</v>
      </c>
      <c r="U813" s="76">
        <f t="shared" si="363"/>
        <v>0</v>
      </c>
      <c r="V813" s="76">
        <f t="shared" si="363"/>
        <v>0</v>
      </c>
      <c r="W813" s="76">
        <f t="shared" si="363"/>
        <v>0</v>
      </c>
      <c r="X813" s="583"/>
      <c r="Y813" s="76" t="s">
        <v>1038</v>
      </c>
      <c r="Z813" s="76"/>
      <c r="AA813" s="76" t="s">
        <v>1302</v>
      </c>
      <c r="AB813" s="76" t="s">
        <v>1303</v>
      </c>
      <c r="AC813" s="76" t="s">
        <v>43</v>
      </c>
      <c r="AD813" s="136"/>
    </row>
    <row r="814" customHeight="1" spans="1:30">
      <c r="A814" s="93">
        <v>80</v>
      </c>
      <c r="B814" s="94" t="s">
        <v>1415</v>
      </c>
      <c r="C814" s="93" t="s">
        <v>52</v>
      </c>
      <c r="D814" s="93" t="s">
        <v>150</v>
      </c>
      <c r="E814" s="93"/>
      <c r="F814" s="76">
        <f t="shared" ref="F814:L814" si="364">SUM(F815:F831)</f>
        <v>17</v>
      </c>
      <c r="G814" s="76">
        <f t="shared" si="364"/>
        <v>585</v>
      </c>
      <c r="H814" s="76">
        <f t="shared" si="364"/>
        <v>105</v>
      </c>
      <c r="I814" s="76">
        <f t="shared" si="364"/>
        <v>0</v>
      </c>
      <c r="J814" s="76">
        <f t="shared" si="364"/>
        <v>0</v>
      </c>
      <c r="K814" s="76">
        <f t="shared" si="364"/>
        <v>3218</v>
      </c>
      <c r="L814" s="76">
        <f t="shared" si="364"/>
        <v>13004</v>
      </c>
      <c r="M814" s="76">
        <v>2018</v>
      </c>
      <c r="N814" s="76">
        <v>2020</v>
      </c>
      <c r="O814" s="76">
        <f t="shared" ref="O814:W814" si="365">SUM(O815:O831)</f>
        <v>690</v>
      </c>
      <c r="P814" s="76">
        <f t="shared" si="365"/>
        <v>585</v>
      </c>
      <c r="Q814" s="76">
        <f t="shared" si="365"/>
        <v>105</v>
      </c>
      <c r="R814" s="76">
        <f t="shared" si="365"/>
        <v>0</v>
      </c>
      <c r="S814" s="76">
        <f t="shared" si="365"/>
        <v>0</v>
      </c>
      <c r="T814" s="76">
        <f t="shared" si="365"/>
        <v>690</v>
      </c>
      <c r="U814" s="76">
        <f t="shared" si="365"/>
        <v>0</v>
      </c>
      <c r="V814" s="76">
        <f t="shared" si="365"/>
        <v>0</v>
      </c>
      <c r="W814" s="76">
        <f t="shared" si="365"/>
        <v>0</v>
      </c>
      <c r="X814" s="583"/>
      <c r="Y814" s="76"/>
      <c r="Z814" s="76"/>
      <c r="AA814" s="76" t="s">
        <v>1302</v>
      </c>
      <c r="AB814" s="76" t="s">
        <v>1303</v>
      </c>
      <c r="AC814" s="93"/>
      <c r="AD814" s="136"/>
    </row>
    <row r="815" customHeight="1" spans="1:30">
      <c r="A815" s="76"/>
      <c r="B815" s="212" t="s">
        <v>1265</v>
      </c>
      <c r="C815" s="93" t="s">
        <v>52</v>
      </c>
      <c r="D815" s="93" t="s">
        <v>150</v>
      </c>
      <c r="E815" s="93"/>
      <c r="F815" s="76">
        <v>1</v>
      </c>
      <c r="G815" s="76">
        <v>50</v>
      </c>
      <c r="H815" s="76"/>
      <c r="I815" s="76"/>
      <c r="J815" s="76"/>
      <c r="K815" s="584">
        <v>54</v>
      </c>
      <c r="L815" s="584">
        <v>183</v>
      </c>
      <c r="M815" s="76">
        <v>2018</v>
      </c>
      <c r="N815" s="76">
        <v>2020</v>
      </c>
      <c r="O815" s="76">
        <f t="shared" ref="O815:O831" si="366">SUM(P815:R815)</f>
        <v>50</v>
      </c>
      <c r="P815" s="76">
        <v>50</v>
      </c>
      <c r="Q815" s="76"/>
      <c r="R815" s="76"/>
      <c r="S815" s="76"/>
      <c r="T815" s="76">
        <f t="shared" ref="T815:T831" si="367">O815</f>
        <v>50</v>
      </c>
      <c r="U815" s="76"/>
      <c r="V815" s="76"/>
      <c r="W815" s="76"/>
      <c r="X815" s="583"/>
      <c r="Y815" s="76"/>
      <c r="Z815" s="76"/>
      <c r="AA815" s="76"/>
      <c r="AB815" s="76"/>
      <c r="AC815" s="76"/>
      <c r="AD815" s="136"/>
    </row>
    <row r="816" customHeight="1" spans="1:30">
      <c r="A816" s="76"/>
      <c r="B816" s="212" t="s">
        <v>1266</v>
      </c>
      <c r="C816" s="93" t="s">
        <v>52</v>
      </c>
      <c r="D816" s="93" t="s">
        <v>150</v>
      </c>
      <c r="E816" s="93"/>
      <c r="F816" s="76">
        <v>1</v>
      </c>
      <c r="G816" s="76">
        <v>50</v>
      </c>
      <c r="H816" s="76"/>
      <c r="I816" s="76"/>
      <c r="J816" s="76"/>
      <c r="K816" s="584">
        <v>153</v>
      </c>
      <c r="L816" s="584">
        <v>594</v>
      </c>
      <c r="M816" s="76">
        <v>2018</v>
      </c>
      <c r="N816" s="76">
        <v>2020</v>
      </c>
      <c r="O816" s="76">
        <f t="shared" si="366"/>
        <v>50</v>
      </c>
      <c r="P816" s="76">
        <v>50</v>
      </c>
      <c r="Q816" s="76"/>
      <c r="R816" s="76"/>
      <c r="S816" s="76"/>
      <c r="T816" s="76">
        <f t="shared" si="367"/>
        <v>50</v>
      </c>
      <c r="U816" s="76"/>
      <c r="V816" s="76"/>
      <c r="W816" s="76"/>
      <c r="X816" s="583"/>
      <c r="Y816" s="76"/>
      <c r="Z816" s="76"/>
      <c r="AA816" s="76"/>
      <c r="AB816" s="76"/>
      <c r="AC816" s="76"/>
      <c r="AD816" s="136"/>
    </row>
    <row r="817" customHeight="1" spans="1:30">
      <c r="A817" s="76"/>
      <c r="B817" s="212" t="s">
        <v>1267</v>
      </c>
      <c r="C817" s="93" t="s">
        <v>52</v>
      </c>
      <c r="D817" s="93" t="s">
        <v>150</v>
      </c>
      <c r="E817" s="93"/>
      <c r="F817" s="76">
        <v>1</v>
      </c>
      <c r="G817" s="76">
        <v>15</v>
      </c>
      <c r="H817" s="76">
        <v>15</v>
      </c>
      <c r="I817" s="76"/>
      <c r="J817" s="76"/>
      <c r="K817" s="584">
        <v>126</v>
      </c>
      <c r="L817" s="584">
        <v>503</v>
      </c>
      <c r="M817" s="76">
        <v>2018</v>
      </c>
      <c r="N817" s="76">
        <v>2020</v>
      </c>
      <c r="O817" s="76">
        <f t="shared" si="366"/>
        <v>30</v>
      </c>
      <c r="P817" s="76">
        <v>15</v>
      </c>
      <c r="Q817" s="76">
        <v>15</v>
      </c>
      <c r="R817" s="76"/>
      <c r="S817" s="76"/>
      <c r="T817" s="76">
        <f t="shared" si="367"/>
        <v>30</v>
      </c>
      <c r="U817" s="76"/>
      <c r="V817" s="76"/>
      <c r="W817" s="76"/>
      <c r="X817" s="583"/>
      <c r="Y817" s="76"/>
      <c r="Z817" s="76"/>
      <c r="AA817" s="76"/>
      <c r="AB817" s="76"/>
      <c r="AC817" s="76"/>
      <c r="AD817" s="136"/>
    </row>
    <row r="818" customHeight="1" spans="1:30">
      <c r="A818" s="76"/>
      <c r="B818" s="212" t="s">
        <v>1268</v>
      </c>
      <c r="C818" s="93" t="s">
        <v>52</v>
      </c>
      <c r="D818" s="93" t="s">
        <v>150</v>
      </c>
      <c r="E818" s="93"/>
      <c r="F818" s="76">
        <v>1</v>
      </c>
      <c r="G818" s="76">
        <v>50</v>
      </c>
      <c r="H818" s="76"/>
      <c r="I818" s="76"/>
      <c r="J818" s="76"/>
      <c r="K818" s="584">
        <v>183</v>
      </c>
      <c r="L818" s="584">
        <v>671</v>
      </c>
      <c r="M818" s="76">
        <v>2018</v>
      </c>
      <c r="N818" s="76">
        <v>2020</v>
      </c>
      <c r="O818" s="76">
        <f t="shared" si="366"/>
        <v>50</v>
      </c>
      <c r="P818" s="76">
        <v>50</v>
      </c>
      <c r="Q818" s="76"/>
      <c r="R818" s="76"/>
      <c r="S818" s="76"/>
      <c r="T818" s="76">
        <f t="shared" si="367"/>
        <v>50</v>
      </c>
      <c r="U818" s="76"/>
      <c r="V818" s="76"/>
      <c r="W818" s="76"/>
      <c r="X818" s="583"/>
      <c r="Y818" s="76"/>
      <c r="Z818" s="76"/>
      <c r="AA818" s="76"/>
      <c r="AB818" s="76"/>
      <c r="AC818" s="76"/>
      <c r="AD818" s="136"/>
    </row>
    <row r="819" customHeight="1" spans="1:30">
      <c r="A819" s="76"/>
      <c r="B819" s="212" t="s">
        <v>1275</v>
      </c>
      <c r="C819" s="93" t="s">
        <v>52</v>
      </c>
      <c r="D819" s="93" t="s">
        <v>150</v>
      </c>
      <c r="E819" s="93"/>
      <c r="F819" s="76">
        <v>1</v>
      </c>
      <c r="G819" s="76">
        <v>50</v>
      </c>
      <c r="H819" s="76"/>
      <c r="I819" s="76"/>
      <c r="J819" s="76"/>
      <c r="K819" s="584">
        <v>268</v>
      </c>
      <c r="L819" s="584">
        <v>987</v>
      </c>
      <c r="M819" s="76">
        <v>2018</v>
      </c>
      <c r="N819" s="76">
        <v>2020</v>
      </c>
      <c r="O819" s="76">
        <f t="shared" si="366"/>
        <v>50</v>
      </c>
      <c r="P819" s="76">
        <v>50</v>
      </c>
      <c r="Q819" s="76"/>
      <c r="R819" s="76"/>
      <c r="S819" s="76"/>
      <c r="T819" s="76">
        <f t="shared" si="367"/>
        <v>50</v>
      </c>
      <c r="U819" s="76"/>
      <c r="V819" s="76"/>
      <c r="W819" s="76"/>
      <c r="X819" s="583"/>
      <c r="Y819" s="76"/>
      <c r="Z819" s="76"/>
      <c r="AA819" s="76"/>
      <c r="AB819" s="76"/>
      <c r="AC819" s="76"/>
      <c r="AD819" s="136"/>
    </row>
    <row r="820" customHeight="1" spans="1:30">
      <c r="A820" s="76"/>
      <c r="B820" s="212" t="s">
        <v>1276</v>
      </c>
      <c r="C820" s="93" t="s">
        <v>52</v>
      </c>
      <c r="D820" s="93" t="s">
        <v>150</v>
      </c>
      <c r="E820" s="93"/>
      <c r="F820" s="76">
        <v>1</v>
      </c>
      <c r="G820" s="76">
        <v>50</v>
      </c>
      <c r="H820" s="76"/>
      <c r="I820" s="76"/>
      <c r="J820" s="76"/>
      <c r="K820" s="584">
        <v>201</v>
      </c>
      <c r="L820" s="584">
        <v>736</v>
      </c>
      <c r="M820" s="76">
        <v>2018</v>
      </c>
      <c r="N820" s="76">
        <v>2020</v>
      </c>
      <c r="O820" s="76">
        <f t="shared" si="366"/>
        <v>50</v>
      </c>
      <c r="P820" s="76">
        <v>50</v>
      </c>
      <c r="Q820" s="76"/>
      <c r="R820" s="76"/>
      <c r="S820" s="76"/>
      <c r="T820" s="76">
        <f t="shared" si="367"/>
        <v>50</v>
      </c>
      <c r="U820" s="76"/>
      <c r="V820" s="76"/>
      <c r="W820" s="76"/>
      <c r="X820" s="583"/>
      <c r="Y820" s="76"/>
      <c r="Z820" s="76"/>
      <c r="AA820" s="76"/>
      <c r="AB820" s="76"/>
      <c r="AC820" s="76"/>
      <c r="AD820" s="136"/>
    </row>
    <row r="821" customHeight="1" spans="1:30">
      <c r="A821" s="76"/>
      <c r="B821" s="212" t="s">
        <v>1277</v>
      </c>
      <c r="C821" s="93" t="s">
        <v>52</v>
      </c>
      <c r="D821" s="93" t="s">
        <v>150</v>
      </c>
      <c r="E821" s="93"/>
      <c r="F821" s="76">
        <v>1</v>
      </c>
      <c r="G821" s="76">
        <v>50</v>
      </c>
      <c r="H821" s="76"/>
      <c r="I821" s="76"/>
      <c r="J821" s="76"/>
      <c r="K821" s="584">
        <v>369</v>
      </c>
      <c r="L821" s="584">
        <v>1605</v>
      </c>
      <c r="M821" s="76">
        <v>2018</v>
      </c>
      <c r="N821" s="76">
        <v>2020</v>
      </c>
      <c r="O821" s="76">
        <f t="shared" si="366"/>
        <v>50</v>
      </c>
      <c r="P821" s="76">
        <v>50</v>
      </c>
      <c r="Q821" s="76"/>
      <c r="R821" s="76"/>
      <c r="S821" s="76"/>
      <c r="T821" s="76">
        <f t="shared" si="367"/>
        <v>50</v>
      </c>
      <c r="U821" s="76"/>
      <c r="V821" s="76"/>
      <c r="W821" s="76"/>
      <c r="X821" s="583"/>
      <c r="Y821" s="76"/>
      <c r="Z821" s="76"/>
      <c r="AA821" s="76"/>
      <c r="AB821" s="76"/>
      <c r="AC821" s="76"/>
      <c r="AD821" s="136"/>
    </row>
    <row r="822" customHeight="1" spans="1:30">
      <c r="A822" s="76"/>
      <c r="B822" s="212" t="s">
        <v>1278</v>
      </c>
      <c r="C822" s="93" t="s">
        <v>52</v>
      </c>
      <c r="D822" s="93" t="s">
        <v>150</v>
      </c>
      <c r="E822" s="93"/>
      <c r="F822" s="76">
        <v>1</v>
      </c>
      <c r="G822" s="76">
        <v>50</v>
      </c>
      <c r="H822" s="76"/>
      <c r="I822" s="76"/>
      <c r="J822" s="76"/>
      <c r="K822" s="584">
        <v>267</v>
      </c>
      <c r="L822" s="584">
        <v>1050</v>
      </c>
      <c r="M822" s="76">
        <v>2018</v>
      </c>
      <c r="N822" s="76">
        <v>2020</v>
      </c>
      <c r="O822" s="76">
        <f t="shared" si="366"/>
        <v>50</v>
      </c>
      <c r="P822" s="76">
        <v>50</v>
      </c>
      <c r="Q822" s="76"/>
      <c r="R822" s="76"/>
      <c r="S822" s="76"/>
      <c r="T822" s="76">
        <f t="shared" si="367"/>
        <v>50</v>
      </c>
      <c r="U822" s="76"/>
      <c r="V822" s="76"/>
      <c r="W822" s="76"/>
      <c r="X822" s="583"/>
      <c r="Y822" s="76"/>
      <c r="Z822" s="76"/>
      <c r="AA822" s="76"/>
      <c r="AB822" s="76"/>
      <c r="AC822" s="76"/>
      <c r="AD822" s="136"/>
    </row>
    <row r="823" customHeight="1" spans="1:30">
      <c r="A823" s="76"/>
      <c r="B823" s="212" t="s">
        <v>1279</v>
      </c>
      <c r="C823" s="93" t="s">
        <v>52</v>
      </c>
      <c r="D823" s="93" t="s">
        <v>150</v>
      </c>
      <c r="E823" s="93"/>
      <c r="F823" s="76">
        <v>1</v>
      </c>
      <c r="G823" s="76">
        <v>15</v>
      </c>
      <c r="H823" s="76">
        <v>15</v>
      </c>
      <c r="I823" s="76"/>
      <c r="J823" s="76"/>
      <c r="K823" s="584">
        <v>174</v>
      </c>
      <c r="L823" s="584">
        <v>656</v>
      </c>
      <c r="M823" s="76">
        <v>2018</v>
      </c>
      <c r="N823" s="76">
        <v>2020</v>
      </c>
      <c r="O823" s="76">
        <f t="shared" si="366"/>
        <v>30</v>
      </c>
      <c r="P823" s="76">
        <v>15</v>
      </c>
      <c r="Q823" s="76">
        <v>15</v>
      </c>
      <c r="R823" s="76"/>
      <c r="S823" s="76"/>
      <c r="T823" s="76">
        <f t="shared" si="367"/>
        <v>30</v>
      </c>
      <c r="U823" s="76"/>
      <c r="V823" s="76"/>
      <c r="W823" s="76"/>
      <c r="X823" s="583"/>
      <c r="Y823" s="76"/>
      <c r="Z823" s="76"/>
      <c r="AA823" s="76"/>
      <c r="AB823" s="76"/>
      <c r="AC823" s="76"/>
      <c r="AD823" s="136"/>
    </row>
    <row r="824" customHeight="1" spans="1:30">
      <c r="A824" s="76"/>
      <c r="B824" s="212" t="s">
        <v>1280</v>
      </c>
      <c r="C824" s="93" t="s">
        <v>52</v>
      </c>
      <c r="D824" s="93" t="s">
        <v>150</v>
      </c>
      <c r="E824" s="93"/>
      <c r="F824" s="76">
        <v>1</v>
      </c>
      <c r="G824" s="76">
        <v>50</v>
      </c>
      <c r="H824" s="76"/>
      <c r="I824" s="76"/>
      <c r="J824" s="76"/>
      <c r="K824" s="584">
        <v>90</v>
      </c>
      <c r="L824" s="584">
        <v>343</v>
      </c>
      <c r="M824" s="76">
        <v>2018</v>
      </c>
      <c r="N824" s="76">
        <v>2020</v>
      </c>
      <c r="O824" s="76">
        <f t="shared" si="366"/>
        <v>50</v>
      </c>
      <c r="P824" s="76">
        <v>50</v>
      </c>
      <c r="Q824" s="76"/>
      <c r="R824" s="76"/>
      <c r="S824" s="76"/>
      <c r="T824" s="76">
        <f t="shared" si="367"/>
        <v>50</v>
      </c>
      <c r="U824" s="76"/>
      <c r="V824" s="76"/>
      <c r="W824" s="76"/>
      <c r="X824" s="583"/>
      <c r="Y824" s="76"/>
      <c r="Z824" s="76"/>
      <c r="AA824" s="76"/>
      <c r="AB824" s="76"/>
      <c r="AC824" s="76"/>
      <c r="AD824" s="136"/>
    </row>
    <row r="825" customHeight="1" spans="1:30">
      <c r="A825" s="76"/>
      <c r="B825" s="212" t="s">
        <v>1269</v>
      </c>
      <c r="C825" s="93" t="s">
        <v>52</v>
      </c>
      <c r="D825" s="93" t="s">
        <v>150</v>
      </c>
      <c r="E825" s="93"/>
      <c r="F825" s="76">
        <v>1</v>
      </c>
      <c r="G825" s="76">
        <v>15</v>
      </c>
      <c r="H825" s="76">
        <v>15</v>
      </c>
      <c r="I825" s="76"/>
      <c r="J825" s="76"/>
      <c r="K825" s="584">
        <v>188</v>
      </c>
      <c r="L825" s="584">
        <v>765</v>
      </c>
      <c r="M825" s="76">
        <v>2018</v>
      </c>
      <c r="N825" s="76">
        <v>2020</v>
      </c>
      <c r="O825" s="76">
        <f t="shared" si="366"/>
        <v>30</v>
      </c>
      <c r="P825" s="76">
        <v>15</v>
      </c>
      <c r="Q825" s="76">
        <v>15</v>
      </c>
      <c r="R825" s="76"/>
      <c r="S825" s="76"/>
      <c r="T825" s="76">
        <f t="shared" si="367"/>
        <v>30</v>
      </c>
      <c r="U825" s="76"/>
      <c r="V825" s="76"/>
      <c r="W825" s="76"/>
      <c r="X825" s="583"/>
      <c r="Y825" s="76"/>
      <c r="Z825" s="76"/>
      <c r="AA825" s="76"/>
      <c r="AB825" s="76"/>
      <c r="AC825" s="76"/>
      <c r="AD825" s="136"/>
    </row>
    <row r="826" customHeight="1" spans="1:30">
      <c r="A826" s="76"/>
      <c r="B826" s="212" t="s">
        <v>1270</v>
      </c>
      <c r="C826" s="93" t="s">
        <v>52</v>
      </c>
      <c r="D826" s="93" t="s">
        <v>150</v>
      </c>
      <c r="E826" s="93"/>
      <c r="F826" s="76">
        <v>1</v>
      </c>
      <c r="G826" s="76">
        <v>15</v>
      </c>
      <c r="H826" s="76">
        <v>15</v>
      </c>
      <c r="I826" s="76"/>
      <c r="J826" s="76"/>
      <c r="K826" s="584">
        <v>209</v>
      </c>
      <c r="L826" s="584">
        <v>901</v>
      </c>
      <c r="M826" s="76">
        <v>2018</v>
      </c>
      <c r="N826" s="76">
        <v>2020</v>
      </c>
      <c r="O826" s="76">
        <f t="shared" si="366"/>
        <v>30</v>
      </c>
      <c r="P826" s="76">
        <v>15</v>
      </c>
      <c r="Q826" s="76">
        <v>15</v>
      </c>
      <c r="R826" s="76"/>
      <c r="S826" s="76"/>
      <c r="T826" s="76">
        <f t="shared" si="367"/>
        <v>30</v>
      </c>
      <c r="U826" s="76"/>
      <c r="V826" s="76"/>
      <c r="W826" s="76"/>
      <c r="X826" s="583"/>
      <c r="Y826" s="76"/>
      <c r="Z826" s="76"/>
      <c r="AA826" s="76"/>
      <c r="AB826" s="76"/>
      <c r="AC826" s="76"/>
      <c r="AD826" s="136"/>
    </row>
    <row r="827" customHeight="1" spans="1:30">
      <c r="A827" s="76"/>
      <c r="B827" s="212" t="s">
        <v>1281</v>
      </c>
      <c r="C827" s="93" t="s">
        <v>52</v>
      </c>
      <c r="D827" s="93" t="s">
        <v>150</v>
      </c>
      <c r="E827" s="93"/>
      <c r="F827" s="76">
        <v>1</v>
      </c>
      <c r="G827" s="76">
        <v>50</v>
      </c>
      <c r="H827" s="76"/>
      <c r="I827" s="76"/>
      <c r="J827" s="76"/>
      <c r="K827" s="584">
        <v>230</v>
      </c>
      <c r="L827" s="584">
        <v>993</v>
      </c>
      <c r="M827" s="76">
        <v>2018</v>
      </c>
      <c r="N827" s="76">
        <v>2020</v>
      </c>
      <c r="O827" s="76">
        <f t="shared" si="366"/>
        <v>50</v>
      </c>
      <c r="P827" s="76">
        <v>50</v>
      </c>
      <c r="Q827" s="76"/>
      <c r="R827" s="76"/>
      <c r="S827" s="76"/>
      <c r="T827" s="76">
        <f t="shared" si="367"/>
        <v>50</v>
      </c>
      <c r="U827" s="76"/>
      <c r="V827" s="76"/>
      <c r="W827" s="76"/>
      <c r="X827" s="583"/>
      <c r="Y827" s="76"/>
      <c r="Z827" s="76"/>
      <c r="AA827" s="76"/>
      <c r="AB827" s="76"/>
      <c r="AC827" s="76"/>
      <c r="AD827" s="136"/>
    </row>
    <row r="828" customHeight="1" spans="1:30">
      <c r="A828" s="76"/>
      <c r="B828" s="212" t="s">
        <v>1271</v>
      </c>
      <c r="C828" s="93" t="s">
        <v>52</v>
      </c>
      <c r="D828" s="93" t="s">
        <v>150</v>
      </c>
      <c r="E828" s="93"/>
      <c r="F828" s="76">
        <v>1</v>
      </c>
      <c r="G828" s="76">
        <v>15</v>
      </c>
      <c r="H828" s="76">
        <v>15</v>
      </c>
      <c r="I828" s="76"/>
      <c r="J828" s="76"/>
      <c r="K828" s="584">
        <v>228</v>
      </c>
      <c r="L828" s="584">
        <v>938</v>
      </c>
      <c r="M828" s="76">
        <v>2018</v>
      </c>
      <c r="N828" s="76">
        <v>2020</v>
      </c>
      <c r="O828" s="76">
        <f t="shared" si="366"/>
        <v>30</v>
      </c>
      <c r="P828" s="76">
        <v>15</v>
      </c>
      <c r="Q828" s="76">
        <v>15</v>
      </c>
      <c r="R828" s="76"/>
      <c r="S828" s="76"/>
      <c r="T828" s="76">
        <f t="shared" si="367"/>
        <v>30</v>
      </c>
      <c r="U828" s="76"/>
      <c r="V828" s="76"/>
      <c r="W828" s="76"/>
      <c r="X828" s="583"/>
      <c r="Y828" s="76"/>
      <c r="Z828" s="76"/>
      <c r="AA828" s="76"/>
      <c r="AB828" s="76"/>
      <c r="AC828" s="76"/>
      <c r="AD828" s="136"/>
    </row>
    <row r="829" customHeight="1" spans="1:30">
      <c r="A829" s="76"/>
      <c r="B829" s="212" t="s">
        <v>1282</v>
      </c>
      <c r="C829" s="93" t="s">
        <v>52</v>
      </c>
      <c r="D829" s="93" t="s">
        <v>150</v>
      </c>
      <c r="E829" s="93"/>
      <c r="F829" s="76">
        <v>1</v>
      </c>
      <c r="G829" s="76">
        <v>15</v>
      </c>
      <c r="H829" s="76">
        <v>15</v>
      </c>
      <c r="I829" s="76"/>
      <c r="J829" s="76"/>
      <c r="K829" s="584">
        <v>299</v>
      </c>
      <c r="L829" s="584">
        <v>1316</v>
      </c>
      <c r="M829" s="76">
        <v>2018</v>
      </c>
      <c r="N829" s="76">
        <v>2020</v>
      </c>
      <c r="O829" s="76">
        <f t="shared" si="366"/>
        <v>30</v>
      </c>
      <c r="P829" s="76">
        <v>15</v>
      </c>
      <c r="Q829" s="76">
        <v>15</v>
      </c>
      <c r="R829" s="76"/>
      <c r="S829" s="76"/>
      <c r="T829" s="76">
        <f t="shared" si="367"/>
        <v>30</v>
      </c>
      <c r="U829" s="76"/>
      <c r="V829" s="76"/>
      <c r="W829" s="76"/>
      <c r="X829" s="583"/>
      <c r="Y829" s="76"/>
      <c r="Z829" s="76"/>
      <c r="AA829" s="76"/>
      <c r="AB829" s="76"/>
      <c r="AC829" s="76"/>
      <c r="AD829" s="136"/>
    </row>
    <row r="830" customHeight="1" spans="1:30">
      <c r="A830" s="76"/>
      <c r="B830" s="212" t="s">
        <v>1283</v>
      </c>
      <c r="C830" s="93" t="s">
        <v>52</v>
      </c>
      <c r="D830" s="93" t="s">
        <v>150</v>
      </c>
      <c r="E830" s="93"/>
      <c r="F830" s="76">
        <v>1</v>
      </c>
      <c r="G830" s="76">
        <v>15</v>
      </c>
      <c r="H830" s="76">
        <v>15</v>
      </c>
      <c r="I830" s="76"/>
      <c r="J830" s="76"/>
      <c r="K830" s="584">
        <v>129</v>
      </c>
      <c r="L830" s="584">
        <v>584</v>
      </c>
      <c r="M830" s="76">
        <v>2018</v>
      </c>
      <c r="N830" s="76">
        <v>2020</v>
      </c>
      <c r="O830" s="76">
        <f t="shared" si="366"/>
        <v>30</v>
      </c>
      <c r="P830" s="76">
        <v>15</v>
      </c>
      <c r="Q830" s="76">
        <v>15</v>
      </c>
      <c r="R830" s="76"/>
      <c r="S830" s="76"/>
      <c r="T830" s="76">
        <f t="shared" si="367"/>
        <v>30</v>
      </c>
      <c r="U830" s="76"/>
      <c r="V830" s="76"/>
      <c r="W830" s="76"/>
      <c r="X830" s="583"/>
      <c r="Y830" s="76"/>
      <c r="Z830" s="76"/>
      <c r="AA830" s="76"/>
      <c r="AB830" s="76"/>
      <c r="AC830" s="76"/>
      <c r="AD830" s="136"/>
    </row>
    <row r="831" customHeight="1" spans="1:30">
      <c r="A831" s="76"/>
      <c r="B831" s="212" t="s">
        <v>1284</v>
      </c>
      <c r="C831" s="93" t="s">
        <v>52</v>
      </c>
      <c r="D831" s="93" t="s">
        <v>150</v>
      </c>
      <c r="E831" s="93"/>
      <c r="F831" s="76">
        <v>1</v>
      </c>
      <c r="G831" s="76">
        <v>30</v>
      </c>
      <c r="H831" s="76"/>
      <c r="I831" s="76"/>
      <c r="J831" s="76"/>
      <c r="K831" s="584">
        <v>50</v>
      </c>
      <c r="L831" s="584">
        <v>179</v>
      </c>
      <c r="M831" s="76">
        <v>2018</v>
      </c>
      <c r="N831" s="76">
        <v>2020</v>
      </c>
      <c r="O831" s="76">
        <f t="shared" si="366"/>
        <v>30</v>
      </c>
      <c r="P831" s="76">
        <v>30</v>
      </c>
      <c r="Q831" s="76"/>
      <c r="R831" s="76"/>
      <c r="S831" s="76"/>
      <c r="T831" s="76">
        <f t="shared" si="367"/>
        <v>30</v>
      </c>
      <c r="U831" s="76"/>
      <c r="V831" s="76"/>
      <c r="W831" s="76"/>
      <c r="X831" s="583"/>
      <c r="Y831" s="76"/>
      <c r="Z831" s="76"/>
      <c r="AA831" s="76"/>
      <c r="AB831" s="76"/>
      <c r="AC831" s="76"/>
      <c r="AD831" s="136"/>
    </row>
    <row r="832" customHeight="1" spans="1:30">
      <c r="A832" s="606" t="s">
        <v>1256</v>
      </c>
      <c r="B832" s="607"/>
      <c r="C832" s="607"/>
      <c r="D832" s="607"/>
      <c r="E832" s="607"/>
      <c r="F832" s="607"/>
      <c r="G832" s="608"/>
      <c r="H832" s="608"/>
      <c r="I832" s="608"/>
      <c r="J832" s="608"/>
      <c r="K832" s="607"/>
      <c r="L832" s="607"/>
      <c r="M832" s="607"/>
      <c r="N832" s="607"/>
      <c r="O832" s="607"/>
      <c r="P832" s="607"/>
      <c r="Q832" s="607"/>
      <c r="R832" s="607"/>
      <c r="S832" s="607"/>
      <c r="T832" s="607"/>
      <c r="U832" s="607"/>
      <c r="V832" s="607"/>
      <c r="W832" s="607"/>
      <c r="X832" s="608"/>
      <c r="Y832" s="608"/>
      <c r="Z832" s="608"/>
      <c r="AA832" s="607"/>
      <c r="AB832" s="607"/>
      <c r="AC832" s="607"/>
      <c r="AD832" s="609"/>
    </row>
    <row r="833" customHeight="1" spans="1:30">
      <c r="A833" s="610" t="s">
        <v>1416</v>
      </c>
      <c r="B833" s="444"/>
      <c r="C833" s="444"/>
      <c r="D833" s="444"/>
      <c r="E833" s="444"/>
      <c r="F833" s="444"/>
      <c r="G833" s="611"/>
      <c r="H833" s="611"/>
      <c r="I833" s="611"/>
      <c r="J833" s="611"/>
      <c r="K833" s="444"/>
      <c r="L833" s="444"/>
      <c r="M833" s="444"/>
      <c r="N833" s="444"/>
      <c r="O833" s="444"/>
      <c r="P833" s="444"/>
      <c r="Q833" s="444"/>
      <c r="R833" s="444"/>
      <c r="S833" s="444"/>
      <c r="T833" s="444"/>
      <c r="U833" s="444"/>
      <c r="V833" s="444"/>
      <c r="W833" s="444"/>
      <c r="X833" s="611"/>
      <c r="Y833" s="611"/>
      <c r="Z833" s="611"/>
      <c r="AA833" s="444"/>
      <c r="AB833" s="444"/>
      <c r="AC833" s="444"/>
      <c r="AD833" s="615"/>
    </row>
    <row r="834" customHeight="1" spans="1:30">
      <c r="A834" s="612" t="s">
        <v>1258</v>
      </c>
      <c r="B834" s="613"/>
      <c r="C834" s="613"/>
      <c r="D834" s="613"/>
      <c r="E834" s="613"/>
      <c r="F834" s="613"/>
      <c r="G834" s="614"/>
      <c r="H834" s="614"/>
      <c r="I834" s="614"/>
      <c r="J834" s="614"/>
      <c r="K834" s="613"/>
      <c r="L834" s="613"/>
      <c r="M834" s="613"/>
      <c r="N834" s="613"/>
      <c r="O834" s="613"/>
      <c r="P834" s="613"/>
      <c r="Q834" s="613"/>
      <c r="R834" s="613"/>
      <c r="S834" s="613"/>
      <c r="T834" s="613"/>
      <c r="U834" s="613"/>
      <c r="V834" s="613"/>
      <c r="W834" s="613"/>
      <c r="X834" s="614"/>
      <c r="Y834" s="614"/>
      <c r="Z834" s="614"/>
      <c r="AA834" s="613"/>
      <c r="AB834" s="613"/>
      <c r="AC834" s="613"/>
      <c r="AD834" s="616"/>
    </row>
    <row r="835" customHeight="1" spans="24:26">
      <c r="X835" s="61"/>
      <c r="Y835" s="61"/>
      <c r="Z835" s="61"/>
    </row>
    <row r="836" customHeight="1" spans="24:26">
      <c r="X836" s="61"/>
      <c r="Y836" s="61"/>
      <c r="Z836" s="61"/>
    </row>
    <row r="837" customHeight="1" spans="24:26">
      <c r="X837" s="61"/>
      <c r="Y837" s="61"/>
      <c r="Z837" s="61"/>
    </row>
  </sheetData>
  <mergeCells count="33">
    <mergeCell ref="A2:AD2"/>
    <mergeCell ref="A3:AD3"/>
    <mergeCell ref="F4:I4"/>
    <mergeCell ref="K4:L4"/>
    <mergeCell ref="M4:N4"/>
    <mergeCell ref="O4:R4"/>
    <mergeCell ref="S4:W4"/>
    <mergeCell ref="G5:I5"/>
    <mergeCell ref="O5:R5"/>
    <mergeCell ref="A832:AD832"/>
    <mergeCell ref="A833:AD833"/>
    <mergeCell ref="A834:AD834"/>
    <mergeCell ref="A4:A6"/>
    <mergeCell ref="B4:B6"/>
    <mergeCell ref="C4:C6"/>
    <mergeCell ref="D4:D6"/>
    <mergeCell ref="F5:F6"/>
    <mergeCell ref="J4:J6"/>
    <mergeCell ref="K5:K6"/>
    <mergeCell ref="L5:L6"/>
    <mergeCell ref="M5:M6"/>
    <mergeCell ref="N5:N6"/>
    <mergeCell ref="S5:S6"/>
    <mergeCell ref="T5:T6"/>
    <mergeCell ref="U5:U6"/>
    <mergeCell ref="V5:V6"/>
    <mergeCell ref="W5:W6"/>
    <mergeCell ref="X4:X6"/>
    <mergeCell ref="Y4:Y6"/>
    <mergeCell ref="Z4:Z6"/>
    <mergeCell ref="AC4:AC6"/>
    <mergeCell ref="AD4:AD6"/>
    <mergeCell ref="AA4:AB6"/>
  </mergeCells>
  <dataValidations count="1">
    <dataValidation allowBlank="1" showInputMessage="1" showErrorMessage="1" sqref="A2"/>
  </dataValidations>
  <pageMargins left="0.388888888888889" right="0.279166666666667" top="0.388888888888889" bottom="0.388888888888889" header="0.388888888888889" footer="0.349305555555556"/>
  <pageSetup paperSize="9" scale="59" orientation="landscape"/>
  <headerFooter/>
  <colBreaks count="1" manualBreakCount="1">
    <brk id="30"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autoPageBreaks="0"/>
  </sheetPr>
  <dimension ref="A1:AH340"/>
  <sheetViews>
    <sheetView view="pageBreakPreview" zoomScaleNormal="100" workbookViewId="0">
      <pane xSplit="2" ySplit="7" topLeftCell="C100" activePane="bottomRight" state="frozen"/>
      <selection/>
      <selection pane="topRight"/>
      <selection pane="bottomLeft"/>
      <selection pane="bottomRight" activeCell="J102" sqref="J102"/>
    </sheetView>
  </sheetViews>
  <sheetFormatPr defaultColWidth="8.88333333333333" defaultRowHeight="13.5"/>
  <cols>
    <col min="1" max="1" width="3.88333333333333" style="67" customWidth="1"/>
    <col min="2" max="2" width="21.1333333333333" style="201" customWidth="1"/>
    <col min="3" max="3" width="9.63333333333333" style="67" customWidth="1"/>
    <col min="4" max="4" width="7.38333333333333" style="67" customWidth="1"/>
    <col min="5" max="5" width="10.6333333333333" style="67" customWidth="1"/>
    <col min="6" max="6" width="8.25" style="67" customWidth="1"/>
    <col min="7" max="7" width="7.88333333333333" style="67" customWidth="1"/>
    <col min="8" max="9" width="7.13333333333333" style="67" customWidth="1"/>
    <col min="10" max="10" width="12" style="502" customWidth="1"/>
    <col min="11" max="11" width="9.38333333333333" style="502" customWidth="1"/>
    <col min="12" max="12" width="10.5" style="502" customWidth="1"/>
    <col min="13" max="13" width="9.63333333333333" style="502" customWidth="1"/>
    <col min="14" max="15" width="11.3833333333333" style="502" customWidth="1"/>
    <col min="16" max="16" width="10.25" style="502" customWidth="1"/>
    <col min="17" max="17" width="9.63333333333333" style="502" customWidth="1"/>
    <col min="18" max="18" width="6.38333333333333" style="502" customWidth="1"/>
    <col min="19" max="19" width="6.38333333333333" style="67" customWidth="1"/>
    <col min="20" max="20" width="6" style="67" customWidth="1"/>
    <col min="21" max="21" width="9" style="67" customWidth="1"/>
    <col min="22" max="22" width="12.1333333333333" style="69" customWidth="1"/>
    <col min="23" max="23" width="15.3833333333333" style="68"/>
    <col min="24" max="24" width="9.63333333333333" style="68"/>
    <col min="25" max="25" width="9" style="68"/>
    <col min="26" max="26" width="9.63333333333333" style="68"/>
    <col min="27" max="29" width="9" style="68"/>
    <col min="30" max="30" width="12.8833333333333" style="68"/>
    <col min="31" max="256" width="9" style="68"/>
    <col min="257" max="16384" width="8.88333333333333" style="68"/>
  </cols>
  <sheetData>
    <row r="1" ht="19.5" customHeight="1" spans="1:21">
      <c r="A1" s="325" t="s">
        <v>1417</v>
      </c>
      <c r="B1" s="325"/>
      <c r="C1" s="4"/>
      <c r="D1" s="4"/>
      <c r="E1" s="4"/>
      <c r="F1" s="4"/>
      <c r="G1" s="4"/>
      <c r="H1" s="4"/>
      <c r="I1" s="4"/>
      <c r="J1" s="507"/>
      <c r="K1" s="507"/>
      <c r="L1" s="507"/>
      <c r="M1" s="507"/>
      <c r="N1" s="507"/>
      <c r="O1" s="507"/>
      <c r="P1" s="507"/>
      <c r="Q1" s="507"/>
      <c r="R1" s="507"/>
      <c r="S1" s="4"/>
      <c r="T1" s="4"/>
      <c r="U1" s="4"/>
    </row>
    <row r="2" ht="33" customHeight="1" spans="1:34">
      <c r="A2" s="503" t="s">
        <v>1418</v>
      </c>
      <c r="B2" s="503"/>
      <c r="C2" s="503"/>
      <c r="D2" s="503"/>
      <c r="E2" s="503"/>
      <c r="F2" s="503"/>
      <c r="G2" s="503"/>
      <c r="H2" s="503"/>
      <c r="I2" s="503"/>
      <c r="J2" s="508"/>
      <c r="K2" s="508"/>
      <c r="L2" s="508"/>
      <c r="M2" s="508"/>
      <c r="N2" s="508"/>
      <c r="O2" s="508"/>
      <c r="P2" s="508"/>
      <c r="Q2" s="508"/>
      <c r="R2" s="508"/>
      <c r="S2" s="503"/>
      <c r="T2" s="503"/>
      <c r="U2" s="503"/>
      <c r="V2" s="503"/>
      <c r="W2" s="85"/>
      <c r="X2" s="85"/>
      <c r="Y2" s="85"/>
      <c r="Z2" s="85"/>
      <c r="AA2" s="85"/>
      <c r="AB2" s="85"/>
      <c r="AC2" s="85"/>
      <c r="AD2" s="85"/>
      <c r="AE2" s="85"/>
      <c r="AF2" s="85"/>
      <c r="AG2" s="85"/>
      <c r="AH2" s="85"/>
    </row>
    <row r="3" s="59" customFormat="1" ht="24" customHeight="1" spans="1:22">
      <c r="A3" s="109" t="s">
        <v>1419</v>
      </c>
      <c r="B3" s="110"/>
      <c r="C3" s="110"/>
      <c r="D3" s="504"/>
      <c r="E3" s="504"/>
      <c r="F3" s="504"/>
      <c r="G3" s="504"/>
      <c r="H3" s="504"/>
      <c r="I3" s="504"/>
      <c r="J3" s="509"/>
      <c r="K3" s="509"/>
      <c r="L3" s="509"/>
      <c r="M3" s="509"/>
      <c r="N3" s="509"/>
      <c r="O3" s="509"/>
      <c r="P3" s="509"/>
      <c r="Q3" s="509"/>
      <c r="R3" s="509"/>
      <c r="S3" s="504"/>
      <c r="T3" s="504"/>
      <c r="U3" s="125"/>
      <c r="V3" s="69"/>
    </row>
    <row r="4" s="501" customFormat="1" ht="21.75" customHeight="1" spans="1:22">
      <c r="A4" s="111" t="s">
        <v>3</v>
      </c>
      <c r="B4" s="111" t="s">
        <v>4</v>
      </c>
      <c r="C4" s="56" t="s">
        <v>1066</v>
      </c>
      <c r="D4" s="56" t="s">
        <v>6</v>
      </c>
      <c r="E4" s="56" t="s">
        <v>736</v>
      </c>
      <c r="F4" s="56" t="s">
        <v>737</v>
      </c>
      <c r="G4" s="56"/>
      <c r="H4" s="56" t="s">
        <v>11</v>
      </c>
      <c r="I4" s="56"/>
      <c r="J4" s="510" t="s">
        <v>12</v>
      </c>
      <c r="K4" s="510"/>
      <c r="L4" s="510"/>
      <c r="M4" s="510"/>
      <c r="N4" s="510" t="s">
        <v>13</v>
      </c>
      <c r="O4" s="510"/>
      <c r="P4" s="510"/>
      <c r="Q4" s="510"/>
      <c r="R4" s="510"/>
      <c r="S4" s="126" t="s">
        <v>18</v>
      </c>
      <c r="T4" s="127"/>
      <c r="U4" s="128" t="s">
        <v>19</v>
      </c>
      <c r="V4" s="56" t="s">
        <v>20</v>
      </c>
    </row>
    <row r="5" ht="34.5" customHeight="1" spans="1:22">
      <c r="A5" s="115"/>
      <c r="B5" s="115"/>
      <c r="C5" s="56"/>
      <c r="D5" s="112"/>
      <c r="E5" s="56"/>
      <c r="F5" s="56" t="s">
        <v>384</v>
      </c>
      <c r="G5" s="56" t="s">
        <v>147</v>
      </c>
      <c r="H5" s="56" t="s">
        <v>22</v>
      </c>
      <c r="I5" s="56" t="s">
        <v>23</v>
      </c>
      <c r="J5" s="138" t="s">
        <v>38</v>
      </c>
      <c r="K5" s="138" t="s">
        <v>591</v>
      </c>
      <c r="L5" s="138" t="s">
        <v>592</v>
      </c>
      <c r="M5" s="138" t="s">
        <v>593</v>
      </c>
      <c r="N5" s="138" t="s">
        <v>25</v>
      </c>
      <c r="O5" s="138" t="s">
        <v>26</v>
      </c>
      <c r="P5" s="138" t="s">
        <v>27</v>
      </c>
      <c r="Q5" s="138" t="s">
        <v>28</v>
      </c>
      <c r="R5" s="138" t="s">
        <v>29</v>
      </c>
      <c r="S5" s="129"/>
      <c r="T5" s="130"/>
      <c r="U5" s="131"/>
      <c r="V5" s="56"/>
    </row>
    <row r="6" ht="22.5" customHeight="1" spans="1:22">
      <c r="A6" s="116"/>
      <c r="B6" s="116"/>
      <c r="C6" s="56"/>
      <c r="D6" s="56">
        <v>1</v>
      </c>
      <c r="E6" s="56">
        <v>2</v>
      </c>
      <c r="F6" s="56">
        <v>3</v>
      </c>
      <c r="G6" s="56">
        <v>4</v>
      </c>
      <c r="H6" s="56">
        <v>5</v>
      </c>
      <c r="I6" s="56">
        <v>6</v>
      </c>
      <c r="J6" s="138" t="s">
        <v>740</v>
      </c>
      <c r="K6" s="175">
        <v>8</v>
      </c>
      <c r="L6" s="175">
        <v>9</v>
      </c>
      <c r="M6" s="175">
        <v>10</v>
      </c>
      <c r="N6" s="175">
        <v>11</v>
      </c>
      <c r="O6" s="175">
        <v>12</v>
      </c>
      <c r="P6" s="175">
        <v>13</v>
      </c>
      <c r="Q6" s="175">
        <v>14</v>
      </c>
      <c r="R6" s="175">
        <v>15</v>
      </c>
      <c r="S6" s="56">
        <v>16</v>
      </c>
      <c r="T6" s="56">
        <v>17</v>
      </c>
      <c r="U6" s="56">
        <v>18</v>
      </c>
      <c r="V6" s="56"/>
    </row>
    <row r="7" ht="23.25" customHeight="1" spans="1:22">
      <c r="A7" s="71">
        <v>0</v>
      </c>
      <c r="B7" s="71" t="s">
        <v>39</v>
      </c>
      <c r="C7" s="71" t="s">
        <v>320</v>
      </c>
      <c r="D7" s="71" t="s">
        <v>320</v>
      </c>
      <c r="E7" s="71"/>
      <c r="F7" s="71">
        <f t="shared" ref="F7:R7" si="0">F8+F40+F88+F132+F168+F220+F241+F268+F325</f>
        <v>16481</v>
      </c>
      <c r="G7" s="71">
        <f t="shared" si="0"/>
        <v>62567</v>
      </c>
      <c r="H7" s="71">
        <v>2018</v>
      </c>
      <c r="I7" s="71">
        <v>2020</v>
      </c>
      <c r="J7" s="86">
        <f t="shared" ref="J7:J38" si="1">K7+L7+M7</f>
        <v>16451.239909</v>
      </c>
      <c r="K7" s="86">
        <f t="shared" si="0"/>
        <v>6559.653</v>
      </c>
      <c r="L7" s="86">
        <f t="shared" si="0"/>
        <v>8252.623703</v>
      </c>
      <c r="M7" s="86">
        <f t="shared" si="0"/>
        <v>1638.963206</v>
      </c>
      <c r="N7" s="86">
        <f t="shared" si="0"/>
        <v>4487.7046</v>
      </c>
      <c r="O7" s="86">
        <f t="shared" si="0"/>
        <v>10439.198509</v>
      </c>
      <c r="P7" s="86">
        <f t="shared" si="0"/>
        <v>752.0094</v>
      </c>
      <c r="Q7" s="86">
        <f t="shared" si="0"/>
        <v>772.3274</v>
      </c>
      <c r="R7" s="86">
        <f t="shared" si="0"/>
        <v>0</v>
      </c>
      <c r="S7" s="71" t="s">
        <v>320</v>
      </c>
      <c r="T7" s="71" t="s">
        <v>320</v>
      </c>
      <c r="U7" s="71" t="s">
        <v>320</v>
      </c>
      <c r="V7" s="56"/>
    </row>
    <row r="8" ht="29.1" customHeight="1" spans="1:22">
      <c r="A8" s="71">
        <v>1</v>
      </c>
      <c r="B8" s="73" t="s">
        <v>742</v>
      </c>
      <c r="C8" s="71" t="s">
        <v>52</v>
      </c>
      <c r="D8" s="71" t="s">
        <v>384</v>
      </c>
      <c r="E8" s="71">
        <f t="shared" ref="E8:G8" si="2">E9+E11+E33</f>
        <v>1386</v>
      </c>
      <c r="F8" s="71">
        <f t="shared" si="2"/>
        <v>733</v>
      </c>
      <c r="G8" s="71">
        <f t="shared" si="2"/>
        <v>2714</v>
      </c>
      <c r="H8" s="71">
        <v>2018</v>
      </c>
      <c r="I8" s="71">
        <v>2019</v>
      </c>
      <c r="J8" s="86">
        <f t="shared" ref="J8:R8" si="3">J9+J11+J33</f>
        <v>3728.6</v>
      </c>
      <c r="K8" s="86">
        <f t="shared" si="3"/>
        <v>2202.8</v>
      </c>
      <c r="L8" s="86">
        <f t="shared" si="3"/>
        <v>1525.8</v>
      </c>
      <c r="M8" s="86">
        <f t="shared" si="3"/>
        <v>0</v>
      </c>
      <c r="N8" s="86">
        <f t="shared" si="3"/>
        <v>491.4</v>
      </c>
      <c r="O8" s="86">
        <f t="shared" si="3"/>
        <v>3159.8</v>
      </c>
      <c r="P8" s="86">
        <f t="shared" si="3"/>
        <v>77.4</v>
      </c>
      <c r="Q8" s="86">
        <f t="shared" si="3"/>
        <v>0</v>
      </c>
      <c r="R8" s="86">
        <f t="shared" si="3"/>
        <v>0</v>
      </c>
      <c r="S8" s="71"/>
      <c r="T8" s="71"/>
      <c r="U8" s="71"/>
      <c r="V8" s="56" t="s">
        <v>41</v>
      </c>
    </row>
    <row r="9" ht="27.95" customHeight="1" spans="1:22">
      <c r="A9" s="71">
        <v>2</v>
      </c>
      <c r="B9" s="73" t="s">
        <v>380</v>
      </c>
      <c r="C9" s="71" t="s">
        <v>52</v>
      </c>
      <c r="D9" s="71" t="s">
        <v>147</v>
      </c>
      <c r="E9" s="71">
        <f t="shared" ref="E9:G9" si="4">E10</f>
        <v>63</v>
      </c>
      <c r="F9" s="71">
        <f t="shared" si="4"/>
        <v>15</v>
      </c>
      <c r="G9" s="71">
        <f t="shared" si="4"/>
        <v>63</v>
      </c>
      <c r="H9" s="71">
        <v>2018</v>
      </c>
      <c r="I9" s="71">
        <v>2019</v>
      </c>
      <c r="J9" s="86">
        <f t="shared" ref="J9:R9" si="5">J10</f>
        <v>491.4</v>
      </c>
      <c r="K9" s="86">
        <f t="shared" si="5"/>
        <v>0</v>
      </c>
      <c r="L9" s="86">
        <f t="shared" si="5"/>
        <v>491.4</v>
      </c>
      <c r="M9" s="86">
        <f t="shared" si="5"/>
        <v>0</v>
      </c>
      <c r="N9" s="86">
        <f t="shared" si="5"/>
        <v>491.4</v>
      </c>
      <c r="O9" s="86">
        <f t="shared" si="5"/>
        <v>0</v>
      </c>
      <c r="P9" s="86">
        <f t="shared" si="5"/>
        <v>0</v>
      </c>
      <c r="Q9" s="86">
        <f t="shared" si="5"/>
        <v>0</v>
      </c>
      <c r="R9" s="86">
        <f t="shared" si="5"/>
        <v>0</v>
      </c>
      <c r="S9" s="512" t="s">
        <v>1420</v>
      </c>
      <c r="T9" s="512" t="s">
        <v>1421</v>
      </c>
      <c r="U9" s="86" t="s">
        <v>201</v>
      </c>
      <c r="V9" s="56" t="s">
        <v>41</v>
      </c>
    </row>
    <row r="10" ht="42.95" customHeight="1" spans="1:22">
      <c r="A10" s="71"/>
      <c r="B10" s="505" t="s">
        <v>1422</v>
      </c>
      <c r="C10" s="506" t="s">
        <v>52</v>
      </c>
      <c r="D10" s="506" t="s">
        <v>384</v>
      </c>
      <c r="E10" s="506">
        <v>63</v>
      </c>
      <c r="F10" s="506">
        <v>15</v>
      </c>
      <c r="G10" s="506">
        <v>63</v>
      </c>
      <c r="H10" s="506">
        <v>2018</v>
      </c>
      <c r="I10" s="506">
        <v>2019</v>
      </c>
      <c r="J10" s="511">
        <f t="shared" si="1"/>
        <v>491.4</v>
      </c>
      <c r="K10" s="511">
        <v>0</v>
      </c>
      <c r="L10" s="511">
        <v>491.4</v>
      </c>
      <c r="M10" s="511">
        <v>0</v>
      </c>
      <c r="N10" s="511">
        <v>491.4</v>
      </c>
      <c r="O10" s="512"/>
      <c r="P10" s="513"/>
      <c r="Q10" s="514"/>
      <c r="R10" s="511"/>
      <c r="S10" s="512" t="s">
        <v>1420</v>
      </c>
      <c r="T10" s="512" t="s">
        <v>1421</v>
      </c>
      <c r="U10" s="511" t="s">
        <v>201</v>
      </c>
      <c r="V10" s="56" t="s">
        <v>41</v>
      </c>
    </row>
    <row r="11" ht="23.25" customHeight="1" spans="1:22">
      <c r="A11" s="71">
        <v>3</v>
      </c>
      <c r="B11" s="73" t="s">
        <v>761</v>
      </c>
      <c r="C11" s="71" t="s">
        <v>52</v>
      </c>
      <c r="D11" s="71" t="s">
        <v>384</v>
      </c>
      <c r="E11" s="71">
        <f t="shared" ref="E11:G11" si="6">E12+E19+E26</f>
        <v>1280</v>
      </c>
      <c r="F11" s="71">
        <f t="shared" si="6"/>
        <v>718</v>
      </c>
      <c r="G11" s="71">
        <f t="shared" si="6"/>
        <v>2651</v>
      </c>
      <c r="H11" s="71">
        <v>2018</v>
      </c>
      <c r="I11" s="71">
        <v>2018</v>
      </c>
      <c r="J11" s="86">
        <f t="shared" ref="J11:R11" si="7">J12+J19+J26</f>
        <v>3159.8</v>
      </c>
      <c r="K11" s="86">
        <f t="shared" si="7"/>
        <v>2202.8</v>
      </c>
      <c r="L11" s="86">
        <f t="shared" si="7"/>
        <v>957</v>
      </c>
      <c r="M11" s="86">
        <f t="shared" si="7"/>
        <v>0</v>
      </c>
      <c r="N11" s="86">
        <f t="shared" si="7"/>
        <v>0</v>
      </c>
      <c r="O11" s="86">
        <f t="shared" si="7"/>
        <v>3159.8</v>
      </c>
      <c r="P11" s="86">
        <f t="shared" si="7"/>
        <v>0</v>
      </c>
      <c r="Q11" s="86">
        <f t="shared" si="7"/>
        <v>0</v>
      </c>
      <c r="R11" s="86">
        <f t="shared" si="7"/>
        <v>0</v>
      </c>
      <c r="S11" s="71" t="s">
        <v>1423</v>
      </c>
      <c r="T11" s="71" t="s">
        <v>1424</v>
      </c>
      <c r="U11" s="71" t="s">
        <v>320</v>
      </c>
      <c r="V11" s="56" t="s">
        <v>41</v>
      </c>
    </row>
    <row r="12" ht="23.25" customHeight="1" spans="1:22">
      <c r="A12" s="71">
        <v>4</v>
      </c>
      <c r="B12" s="73" t="s">
        <v>1072</v>
      </c>
      <c r="C12" s="71" t="s">
        <v>52</v>
      </c>
      <c r="D12" s="71" t="s">
        <v>384</v>
      </c>
      <c r="E12" s="71">
        <v>319</v>
      </c>
      <c r="F12" s="71">
        <v>214</v>
      </c>
      <c r="G12" s="71">
        <f>G13+G14+G15+G16+G17+G18</f>
        <v>941</v>
      </c>
      <c r="H12" s="71">
        <v>2018</v>
      </c>
      <c r="I12" s="71">
        <v>2018</v>
      </c>
      <c r="J12" s="86">
        <f t="shared" si="1"/>
        <v>957</v>
      </c>
      <c r="K12" s="86">
        <f>SUM(K13:K18)</f>
        <v>0</v>
      </c>
      <c r="L12" s="86">
        <f t="shared" ref="L12:R12" si="8">SUM(L13:L18)</f>
        <v>957</v>
      </c>
      <c r="M12" s="86">
        <f t="shared" si="8"/>
        <v>0</v>
      </c>
      <c r="N12" s="86">
        <f t="shared" si="8"/>
        <v>0</v>
      </c>
      <c r="O12" s="86">
        <f t="shared" si="8"/>
        <v>957</v>
      </c>
      <c r="P12" s="86">
        <f t="shared" si="8"/>
        <v>0</v>
      </c>
      <c r="Q12" s="86">
        <f t="shared" si="8"/>
        <v>0</v>
      </c>
      <c r="R12" s="86">
        <f t="shared" si="8"/>
        <v>0</v>
      </c>
      <c r="S12" s="71" t="s">
        <v>1423</v>
      </c>
      <c r="T12" s="71" t="s">
        <v>1424</v>
      </c>
      <c r="U12" s="86" t="s">
        <v>273</v>
      </c>
      <c r="V12" s="56" t="s">
        <v>41</v>
      </c>
    </row>
    <row r="13" ht="26.1" customHeight="1" spans="1:22">
      <c r="A13" s="71"/>
      <c r="B13" s="71" t="s">
        <v>1425</v>
      </c>
      <c r="C13" s="71" t="s">
        <v>52</v>
      </c>
      <c r="D13" s="71" t="s">
        <v>384</v>
      </c>
      <c r="E13" s="71">
        <v>28</v>
      </c>
      <c r="F13" s="71">
        <v>16</v>
      </c>
      <c r="G13" s="71">
        <v>79</v>
      </c>
      <c r="H13" s="71">
        <v>2018</v>
      </c>
      <c r="I13" s="71">
        <v>2018</v>
      </c>
      <c r="J13" s="86">
        <f t="shared" si="1"/>
        <v>84</v>
      </c>
      <c r="K13" s="86"/>
      <c r="L13" s="86">
        <v>84</v>
      </c>
      <c r="M13" s="86">
        <v>0</v>
      </c>
      <c r="N13" s="86"/>
      <c r="O13" s="86">
        <f t="shared" ref="O13:O19" si="9">J13</f>
        <v>84</v>
      </c>
      <c r="P13" s="86"/>
      <c r="Q13" s="86"/>
      <c r="R13" s="86"/>
      <c r="S13" s="86"/>
      <c r="T13" s="86"/>
      <c r="U13" s="86" t="s">
        <v>273</v>
      </c>
      <c r="V13" s="56" t="s">
        <v>41</v>
      </c>
    </row>
    <row r="14" ht="30.95" customHeight="1" spans="1:22">
      <c r="A14" s="71"/>
      <c r="B14" s="71" t="s">
        <v>1426</v>
      </c>
      <c r="C14" s="71" t="s">
        <v>52</v>
      </c>
      <c r="D14" s="71" t="s">
        <v>384</v>
      </c>
      <c r="E14" s="71">
        <v>69</v>
      </c>
      <c r="F14" s="71">
        <v>39</v>
      </c>
      <c r="G14" s="71">
        <v>176</v>
      </c>
      <c r="H14" s="71">
        <v>2018</v>
      </c>
      <c r="I14" s="71">
        <v>2018</v>
      </c>
      <c r="J14" s="86">
        <f t="shared" si="1"/>
        <v>207</v>
      </c>
      <c r="K14" s="86"/>
      <c r="L14" s="86">
        <v>207</v>
      </c>
      <c r="M14" s="86">
        <v>0</v>
      </c>
      <c r="N14" s="86"/>
      <c r="O14" s="86">
        <f t="shared" si="9"/>
        <v>207</v>
      </c>
      <c r="P14" s="86"/>
      <c r="Q14" s="86"/>
      <c r="R14" s="86"/>
      <c r="S14" s="86"/>
      <c r="T14" s="86"/>
      <c r="U14" s="86" t="s">
        <v>273</v>
      </c>
      <c r="V14" s="56" t="s">
        <v>41</v>
      </c>
    </row>
    <row r="15" ht="23.25" customHeight="1" spans="1:22">
      <c r="A15" s="71"/>
      <c r="B15" s="71" t="s">
        <v>1427</v>
      </c>
      <c r="C15" s="71" t="s">
        <v>52</v>
      </c>
      <c r="D15" s="71" t="s">
        <v>384</v>
      </c>
      <c r="E15" s="71">
        <v>35</v>
      </c>
      <c r="F15" s="71">
        <v>21</v>
      </c>
      <c r="G15" s="71">
        <v>90</v>
      </c>
      <c r="H15" s="71">
        <v>2018</v>
      </c>
      <c r="I15" s="71">
        <v>2018</v>
      </c>
      <c r="J15" s="86">
        <f t="shared" si="1"/>
        <v>105</v>
      </c>
      <c r="K15" s="86"/>
      <c r="L15" s="86">
        <v>105</v>
      </c>
      <c r="M15" s="86">
        <v>0</v>
      </c>
      <c r="N15" s="86"/>
      <c r="O15" s="86">
        <f t="shared" si="9"/>
        <v>105</v>
      </c>
      <c r="P15" s="86"/>
      <c r="Q15" s="86"/>
      <c r="R15" s="86"/>
      <c r="S15" s="86"/>
      <c r="T15" s="86"/>
      <c r="U15" s="86" t="s">
        <v>273</v>
      </c>
      <c r="V15" s="56" t="s">
        <v>41</v>
      </c>
    </row>
    <row r="16" ht="23.25" customHeight="1" spans="1:22">
      <c r="A16" s="71"/>
      <c r="B16" s="71" t="s">
        <v>1428</v>
      </c>
      <c r="C16" s="71" t="s">
        <v>52</v>
      </c>
      <c r="D16" s="71" t="s">
        <v>384</v>
      </c>
      <c r="E16" s="71">
        <v>143</v>
      </c>
      <c r="F16" s="71">
        <v>108</v>
      </c>
      <c r="G16" s="71">
        <v>468</v>
      </c>
      <c r="H16" s="71">
        <v>2018</v>
      </c>
      <c r="I16" s="71">
        <v>2018</v>
      </c>
      <c r="J16" s="86">
        <f t="shared" si="1"/>
        <v>429</v>
      </c>
      <c r="K16" s="86"/>
      <c r="L16" s="86">
        <v>429</v>
      </c>
      <c r="M16" s="86">
        <v>0</v>
      </c>
      <c r="N16" s="86"/>
      <c r="O16" s="86">
        <f t="shared" si="9"/>
        <v>429</v>
      </c>
      <c r="P16" s="86"/>
      <c r="Q16" s="86"/>
      <c r="R16" s="86"/>
      <c r="S16" s="86"/>
      <c r="T16" s="86"/>
      <c r="U16" s="86" t="s">
        <v>273</v>
      </c>
      <c r="V16" s="56" t="s">
        <v>41</v>
      </c>
    </row>
    <row r="17" ht="23.25" customHeight="1" spans="1:22">
      <c r="A17" s="71"/>
      <c r="B17" s="71" t="s">
        <v>1429</v>
      </c>
      <c r="C17" s="71" t="s">
        <v>52</v>
      </c>
      <c r="D17" s="71" t="s">
        <v>384</v>
      </c>
      <c r="E17" s="71">
        <v>25</v>
      </c>
      <c r="F17" s="71">
        <v>19</v>
      </c>
      <c r="G17" s="71">
        <v>84</v>
      </c>
      <c r="H17" s="71">
        <v>2018</v>
      </c>
      <c r="I17" s="71">
        <v>2018</v>
      </c>
      <c r="J17" s="86">
        <f t="shared" si="1"/>
        <v>75</v>
      </c>
      <c r="K17" s="86"/>
      <c r="L17" s="86">
        <v>75</v>
      </c>
      <c r="M17" s="86">
        <v>0</v>
      </c>
      <c r="N17" s="86"/>
      <c r="O17" s="86">
        <f t="shared" si="9"/>
        <v>75</v>
      </c>
      <c r="P17" s="86"/>
      <c r="Q17" s="86"/>
      <c r="R17" s="86"/>
      <c r="S17" s="86"/>
      <c r="T17" s="86"/>
      <c r="U17" s="86" t="s">
        <v>273</v>
      </c>
      <c r="V17" s="56" t="s">
        <v>41</v>
      </c>
    </row>
    <row r="18" ht="23.25" customHeight="1" spans="1:22">
      <c r="A18" s="71"/>
      <c r="B18" s="71" t="s">
        <v>1430</v>
      </c>
      <c r="C18" s="71" t="s">
        <v>52</v>
      </c>
      <c r="D18" s="71" t="s">
        <v>384</v>
      </c>
      <c r="E18" s="71">
        <v>19</v>
      </c>
      <c r="F18" s="71">
        <v>11</v>
      </c>
      <c r="G18" s="71">
        <v>44</v>
      </c>
      <c r="H18" s="71">
        <v>2018</v>
      </c>
      <c r="I18" s="71">
        <v>2018</v>
      </c>
      <c r="J18" s="86">
        <f t="shared" si="1"/>
        <v>57</v>
      </c>
      <c r="K18" s="86"/>
      <c r="L18" s="86">
        <v>57</v>
      </c>
      <c r="M18" s="86">
        <v>0</v>
      </c>
      <c r="N18" s="86"/>
      <c r="O18" s="86">
        <f t="shared" si="9"/>
        <v>57</v>
      </c>
      <c r="P18" s="86"/>
      <c r="Q18" s="86"/>
      <c r="R18" s="86"/>
      <c r="S18" s="86"/>
      <c r="T18" s="86"/>
      <c r="U18" s="86" t="s">
        <v>273</v>
      </c>
      <c r="V18" s="56" t="s">
        <v>41</v>
      </c>
    </row>
    <row r="19" ht="23.1" customHeight="1" spans="1:22">
      <c r="A19" s="71">
        <v>5</v>
      </c>
      <c r="B19" s="73" t="s">
        <v>1074</v>
      </c>
      <c r="C19" s="71" t="s">
        <v>52</v>
      </c>
      <c r="D19" s="71" t="s">
        <v>384</v>
      </c>
      <c r="E19" s="71">
        <v>746</v>
      </c>
      <c r="F19" s="71">
        <v>330</v>
      </c>
      <c r="G19" s="71">
        <f>G20+G21+G22+G23+G24+G25</f>
        <v>1325</v>
      </c>
      <c r="H19" s="71">
        <v>2018</v>
      </c>
      <c r="I19" s="71">
        <v>2018</v>
      </c>
      <c r="J19" s="86">
        <f t="shared" si="1"/>
        <v>1342.8</v>
      </c>
      <c r="K19" s="86">
        <f>E19*1.8</f>
        <v>1342.8</v>
      </c>
      <c r="L19" s="86">
        <f>L20+L22+L23+L24+L25</f>
        <v>0</v>
      </c>
      <c r="M19" s="86">
        <f>M20+M22+M23+M24+M25</f>
        <v>0</v>
      </c>
      <c r="N19" s="86"/>
      <c r="O19" s="86">
        <f t="shared" si="9"/>
        <v>1342.8</v>
      </c>
      <c r="P19" s="86"/>
      <c r="Q19" s="86"/>
      <c r="R19" s="86"/>
      <c r="S19" s="71" t="s">
        <v>1423</v>
      </c>
      <c r="T19" s="71" t="s">
        <v>1424</v>
      </c>
      <c r="U19" s="86" t="s">
        <v>273</v>
      </c>
      <c r="V19" s="56" t="s">
        <v>41</v>
      </c>
    </row>
    <row r="20" ht="24" customHeight="1" spans="1:22">
      <c r="A20" s="71"/>
      <c r="B20" s="71" t="s">
        <v>1425</v>
      </c>
      <c r="C20" s="71" t="s">
        <v>52</v>
      </c>
      <c r="D20" s="71" t="s">
        <v>384</v>
      </c>
      <c r="E20" s="71">
        <v>66</v>
      </c>
      <c r="F20" s="71">
        <v>25</v>
      </c>
      <c r="G20" s="71">
        <v>100</v>
      </c>
      <c r="H20" s="71">
        <v>2018</v>
      </c>
      <c r="I20" s="71">
        <v>2018</v>
      </c>
      <c r="J20" s="86">
        <f t="shared" si="1"/>
        <v>118.8</v>
      </c>
      <c r="K20" s="86">
        <f t="shared" ref="K20:K25" si="10">1.8*E20</f>
        <v>118.8</v>
      </c>
      <c r="L20" s="86">
        <v>0</v>
      </c>
      <c r="M20" s="86">
        <v>0</v>
      </c>
      <c r="N20" s="86"/>
      <c r="O20" s="86">
        <f t="shared" ref="O20:O25" si="11">K20</f>
        <v>118.8</v>
      </c>
      <c r="P20" s="86"/>
      <c r="Q20" s="86"/>
      <c r="R20" s="86"/>
      <c r="S20" s="86"/>
      <c r="T20" s="86"/>
      <c r="U20" s="86" t="s">
        <v>273</v>
      </c>
      <c r="V20" s="56" t="s">
        <v>41</v>
      </c>
    </row>
    <row r="21" ht="27.95" customHeight="1" spans="1:22">
      <c r="A21" s="71"/>
      <c r="B21" s="71" t="s">
        <v>1426</v>
      </c>
      <c r="C21" s="71" t="s">
        <v>52</v>
      </c>
      <c r="D21" s="71" t="s">
        <v>384</v>
      </c>
      <c r="E21" s="71">
        <v>218</v>
      </c>
      <c r="F21" s="71">
        <v>89</v>
      </c>
      <c r="G21" s="71">
        <v>339</v>
      </c>
      <c r="H21" s="71">
        <v>2018</v>
      </c>
      <c r="I21" s="71">
        <v>2018</v>
      </c>
      <c r="J21" s="86">
        <f t="shared" si="1"/>
        <v>392.4</v>
      </c>
      <c r="K21" s="86">
        <f t="shared" si="10"/>
        <v>392.4</v>
      </c>
      <c r="L21" s="86">
        <v>0</v>
      </c>
      <c r="M21" s="86">
        <v>0</v>
      </c>
      <c r="N21" s="86"/>
      <c r="O21" s="86">
        <f t="shared" si="11"/>
        <v>392.4</v>
      </c>
      <c r="P21" s="86"/>
      <c r="Q21" s="86"/>
      <c r="R21" s="86"/>
      <c r="S21" s="86"/>
      <c r="T21" s="86"/>
      <c r="U21" s="86" t="s">
        <v>273</v>
      </c>
      <c r="V21" s="56" t="s">
        <v>41</v>
      </c>
    </row>
    <row r="22" ht="23.1" customHeight="1" spans="1:22">
      <c r="A22" s="71"/>
      <c r="B22" s="71" t="s">
        <v>1427</v>
      </c>
      <c r="C22" s="71" t="s">
        <v>52</v>
      </c>
      <c r="D22" s="71" t="s">
        <v>384</v>
      </c>
      <c r="E22" s="71">
        <v>240</v>
      </c>
      <c r="F22" s="71">
        <v>112</v>
      </c>
      <c r="G22" s="71">
        <v>448</v>
      </c>
      <c r="H22" s="71">
        <v>2018</v>
      </c>
      <c r="I22" s="71">
        <v>2018</v>
      </c>
      <c r="J22" s="86">
        <f t="shared" si="1"/>
        <v>432</v>
      </c>
      <c r="K22" s="86">
        <f t="shared" si="10"/>
        <v>432</v>
      </c>
      <c r="L22" s="86">
        <v>0</v>
      </c>
      <c r="M22" s="86">
        <v>0</v>
      </c>
      <c r="N22" s="86"/>
      <c r="O22" s="86">
        <f t="shared" si="11"/>
        <v>432</v>
      </c>
      <c r="P22" s="86"/>
      <c r="Q22" s="86"/>
      <c r="R22" s="86"/>
      <c r="S22" s="86"/>
      <c r="T22" s="86"/>
      <c r="U22" s="86" t="s">
        <v>273</v>
      </c>
      <c r="V22" s="56" t="s">
        <v>41</v>
      </c>
    </row>
    <row r="23" ht="23.1" customHeight="1" spans="1:22">
      <c r="A23" s="71"/>
      <c r="B23" s="71" t="s">
        <v>1428</v>
      </c>
      <c r="C23" s="71" t="s">
        <v>52</v>
      </c>
      <c r="D23" s="71" t="s">
        <v>384</v>
      </c>
      <c r="E23" s="71">
        <v>67</v>
      </c>
      <c r="F23" s="71">
        <v>47</v>
      </c>
      <c r="G23" s="71">
        <v>197</v>
      </c>
      <c r="H23" s="71">
        <v>2018</v>
      </c>
      <c r="I23" s="71">
        <v>2018</v>
      </c>
      <c r="J23" s="86">
        <f t="shared" si="1"/>
        <v>120.6</v>
      </c>
      <c r="K23" s="86">
        <f t="shared" si="10"/>
        <v>120.6</v>
      </c>
      <c r="L23" s="86">
        <v>0</v>
      </c>
      <c r="M23" s="86">
        <v>0</v>
      </c>
      <c r="N23" s="86"/>
      <c r="O23" s="86">
        <f t="shared" si="11"/>
        <v>120.6</v>
      </c>
      <c r="P23" s="86"/>
      <c r="Q23" s="86"/>
      <c r="R23" s="86"/>
      <c r="S23" s="86"/>
      <c r="T23" s="86"/>
      <c r="U23" s="86" t="s">
        <v>273</v>
      </c>
      <c r="V23" s="56" t="s">
        <v>41</v>
      </c>
    </row>
    <row r="24" ht="23.1" customHeight="1" spans="1:22">
      <c r="A24" s="71"/>
      <c r="B24" s="71" t="s">
        <v>1429</v>
      </c>
      <c r="C24" s="71" t="s">
        <v>52</v>
      </c>
      <c r="D24" s="71" t="s">
        <v>384</v>
      </c>
      <c r="E24" s="71">
        <v>89</v>
      </c>
      <c r="F24" s="71">
        <v>34</v>
      </c>
      <c r="G24" s="71">
        <v>139</v>
      </c>
      <c r="H24" s="71">
        <v>2018</v>
      </c>
      <c r="I24" s="71">
        <v>2018</v>
      </c>
      <c r="J24" s="86">
        <f t="shared" si="1"/>
        <v>160.2</v>
      </c>
      <c r="K24" s="86">
        <f t="shared" si="10"/>
        <v>160.2</v>
      </c>
      <c r="L24" s="86">
        <v>0</v>
      </c>
      <c r="M24" s="86">
        <v>0</v>
      </c>
      <c r="N24" s="86"/>
      <c r="O24" s="86">
        <f t="shared" si="11"/>
        <v>160.2</v>
      </c>
      <c r="P24" s="86"/>
      <c r="Q24" s="86"/>
      <c r="R24" s="86"/>
      <c r="S24" s="86"/>
      <c r="T24" s="86"/>
      <c r="U24" s="86" t="s">
        <v>273</v>
      </c>
      <c r="V24" s="56" t="s">
        <v>41</v>
      </c>
    </row>
    <row r="25" ht="23.1" customHeight="1" spans="1:22">
      <c r="A25" s="71"/>
      <c r="B25" s="71" t="s">
        <v>1430</v>
      </c>
      <c r="C25" s="71" t="s">
        <v>52</v>
      </c>
      <c r="D25" s="71" t="s">
        <v>384</v>
      </c>
      <c r="E25" s="71">
        <v>66</v>
      </c>
      <c r="F25" s="71">
        <v>23</v>
      </c>
      <c r="G25" s="71">
        <v>102</v>
      </c>
      <c r="H25" s="71">
        <v>2018</v>
      </c>
      <c r="I25" s="71">
        <v>2018</v>
      </c>
      <c r="J25" s="86">
        <f t="shared" si="1"/>
        <v>118.8</v>
      </c>
      <c r="K25" s="86">
        <f t="shared" si="10"/>
        <v>118.8</v>
      </c>
      <c r="L25" s="86">
        <v>0</v>
      </c>
      <c r="M25" s="86">
        <v>0</v>
      </c>
      <c r="N25" s="86"/>
      <c r="O25" s="86">
        <f t="shared" si="11"/>
        <v>118.8</v>
      </c>
      <c r="P25" s="86"/>
      <c r="Q25" s="86"/>
      <c r="R25" s="86"/>
      <c r="S25" s="86"/>
      <c r="T25" s="86"/>
      <c r="U25" s="86" t="s">
        <v>273</v>
      </c>
      <c r="V25" s="56" t="s">
        <v>41</v>
      </c>
    </row>
    <row r="26" ht="30.95" customHeight="1" spans="1:22">
      <c r="A26" s="71">
        <v>6</v>
      </c>
      <c r="B26" s="74" t="s">
        <v>1075</v>
      </c>
      <c r="C26" s="71" t="s">
        <v>52</v>
      </c>
      <c r="D26" s="71" t="s">
        <v>384</v>
      </c>
      <c r="E26" s="71">
        <v>215</v>
      </c>
      <c r="F26" s="71">
        <v>174</v>
      </c>
      <c r="G26" s="71">
        <f>G27+G28+G29+G30+G31+G32</f>
        <v>385</v>
      </c>
      <c r="H26" s="71">
        <v>2018</v>
      </c>
      <c r="I26" s="71">
        <v>2018</v>
      </c>
      <c r="J26" s="86">
        <f t="shared" si="1"/>
        <v>860</v>
      </c>
      <c r="K26" s="86">
        <f>E26*4</f>
        <v>860</v>
      </c>
      <c r="L26" s="86">
        <f>L27+L28+L29+L30+L31+L32</f>
        <v>0</v>
      </c>
      <c r="M26" s="86">
        <f>M27+M28+M29+M30+M31+M32</f>
        <v>0</v>
      </c>
      <c r="N26" s="86"/>
      <c r="O26" s="86">
        <f>J26</f>
        <v>860</v>
      </c>
      <c r="P26" s="86"/>
      <c r="Q26" s="86"/>
      <c r="R26" s="86"/>
      <c r="S26" s="71" t="s">
        <v>1423</v>
      </c>
      <c r="T26" s="71" t="s">
        <v>1424</v>
      </c>
      <c r="U26" s="86" t="s">
        <v>273</v>
      </c>
      <c r="V26" s="56" t="s">
        <v>41</v>
      </c>
    </row>
    <row r="27" ht="23.25" customHeight="1" spans="1:22">
      <c r="A27" s="71"/>
      <c r="B27" s="71" t="s">
        <v>1425</v>
      </c>
      <c r="C27" s="71" t="s">
        <v>52</v>
      </c>
      <c r="D27" s="71" t="s">
        <v>384</v>
      </c>
      <c r="E27" s="71">
        <v>15</v>
      </c>
      <c r="F27" s="71">
        <v>11</v>
      </c>
      <c r="G27" s="71">
        <v>35</v>
      </c>
      <c r="H27" s="71">
        <v>2018</v>
      </c>
      <c r="I27" s="71">
        <v>2018</v>
      </c>
      <c r="J27" s="86">
        <f t="shared" si="1"/>
        <v>60</v>
      </c>
      <c r="K27" s="86">
        <f t="shared" ref="K27:K32" si="12">4*E27</f>
        <v>60</v>
      </c>
      <c r="L27" s="86">
        <v>0</v>
      </c>
      <c r="M27" s="86">
        <v>0</v>
      </c>
      <c r="N27" s="86"/>
      <c r="O27" s="86">
        <f t="shared" ref="O27:O32" si="13">K27</f>
        <v>60</v>
      </c>
      <c r="P27" s="86"/>
      <c r="Q27" s="86"/>
      <c r="R27" s="86"/>
      <c r="S27" s="86"/>
      <c r="T27" s="86"/>
      <c r="U27" s="86" t="s">
        <v>273</v>
      </c>
      <c r="V27" s="56" t="s">
        <v>41</v>
      </c>
    </row>
    <row r="28" ht="23.25" customHeight="1" spans="1:22">
      <c r="A28" s="71"/>
      <c r="B28" s="71" t="s">
        <v>1426</v>
      </c>
      <c r="C28" s="71" t="s">
        <v>52</v>
      </c>
      <c r="D28" s="71" t="s">
        <v>384</v>
      </c>
      <c r="E28" s="71">
        <v>61</v>
      </c>
      <c r="F28" s="71">
        <v>52</v>
      </c>
      <c r="G28" s="71">
        <v>124</v>
      </c>
      <c r="H28" s="71">
        <v>2018</v>
      </c>
      <c r="I28" s="71">
        <v>2018</v>
      </c>
      <c r="J28" s="86">
        <f t="shared" si="1"/>
        <v>244</v>
      </c>
      <c r="K28" s="86">
        <f t="shared" si="12"/>
        <v>244</v>
      </c>
      <c r="L28" s="86">
        <v>0</v>
      </c>
      <c r="M28" s="86">
        <v>0</v>
      </c>
      <c r="N28" s="86"/>
      <c r="O28" s="86">
        <f t="shared" si="13"/>
        <v>244</v>
      </c>
      <c r="P28" s="86"/>
      <c r="Q28" s="86"/>
      <c r="R28" s="86"/>
      <c r="S28" s="86"/>
      <c r="T28" s="86"/>
      <c r="U28" s="86" t="s">
        <v>273</v>
      </c>
      <c r="V28" s="56" t="s">
        <v>41</v>
      </c>
    </row>
    <row r="29" ht="23.25" customHeight="1" spans="1:22">
      <c r="A29" s="71"/>
      <c r="B29" s="71" t="s">
        <v>1427</v>
      </c>
      <c r="C29" s="71" t="s">
        <v>52</v>
      </c>
      <c r="D29" s="71" t="s">
        <v>384</v>
      </c>
      <c r="E29" s="71">
        <v>31</v>
      </c>
      <c r="F29" s="71">
        <v>29</v>
      </c>
      <c r="G29" s="71">
        <v>60</v>
      </c>
      <c r="H29" s="71">
        <v>2018</v>
      </c>
      <c r="I29" s="71">
        <v>2018</v>
      </c>
      <c r="J29" s="86">
        <f t="shared" si="1"/>
        <v>124</v>
      </c>
      <c r="K29" s="86">
        <f t="shared" si="12"/>
        <v>124</v>
      </c>
      <c r="L29" s="86">
        <v>0</v>
      </c>
      <c r="M29" s="86">
        <v>0</v>
      </c>
      <c r="N29" s="86"/>
      <c r="O29" s="86">
        <f t="shared" si="13"/>
        <v>124</v>
      </c>
      <c r="P29" s="86"/>
      <c r="Q29" s="86"/>
      <c r="R29" s="86"/>
      <c r="S29" s="86"/>
      <c r="T29" s="86"/>
      <c r="U29" s="86" t="s">
        <v>273</v>
      </c>
      <c r="V29" s="56" t="s">
        <v>41</v>
      </c>
    </row>
    <row r="30" ht="23.25" customHeight="1" spans="1:22">
      <c r="A30" s="71"/>
      <c r="B30" s="71" t="s">
        <v>1428</v>
      </c>
      <c r="C30" s="71" t="s">
        <v>52</v>
      </c>
      <c r="D30" s="71" t="s">
        <v>384</v>
      </c>
      <c r="E30" s="71">
        <v>54</v>
      </c>
      <c r="F30" s="71">
        <v>36</v>
      </c>
      <c r="G30" s="71">
        <v>72</v>
      </c>
      <c r="H30" s="71">
        <v>2018</v>
      </c>
      <c r="I30" s="71">
        <v>2018</v>
      </c>
      <c r="J30" s="86">
        <f t="shared" si="1"/>
        <v>216</v>
      </c>
      <c r="K30" s="86">
        <f t="shared" si="12"/>
        <v>216</v>
      </c>
      <c r="L30" s="86">
        <v>0</v>
      </c>
      <c r="M30" s="86">
        <v>0</v>
      </c>
      <c r="N30" s="86"/>
      <c r="O30" s="86">
        <f t="shared" si="13"/>
        <v>216</v>
      </c>
      <c r="P30" s="86"/>
      <c r="Q30" s="86"/>
      <c r="R30" s="86"/>
      <c r="S30" s="86"/>
      <c r="T30" s="86"/>
      <c r="U30" s="86" t="s">
        <v>273</v>
      </c>
      <c r="V30" s="56" t="s">
        <v>41</v>
      </c>
    </row>
    <row r="31" ht="23.25" customHeight="1" spans="1:22">
      <c r="A31" s="71"/>
      <c r="B31" s="71" t="s">
        <v>1429</v>
      </c>
      <c r="C31" s="71" t="s">
        <v>52</v>
      </c>
      <c r="D31" s="71" t="s">
        <v>384</v>
      </c>
      <c r="E31" s="71">
        <v>40</v>
      </c>
      <c r="F31" s="71">
        <v>36</v>
      </c>
      <c r="G31" s="71">
        <v>75</v>
      </c>
      <c r="H31" s="71">
        <v>2018</v>
      </c>
      <c r="I31" s="71">
        <v>2018</v>
      </c>
      <c r="J31" s="86">
        <f t="shared" si="1"/>
        <v>160</v>
      </c>
      <c r="K31" s="86">
        <f t="shared" si="12"/>
        <v>160</v>
      </c>
      <c r="L31" s="86">
        <v>0</v>
      </c>
      <c r="M31" s="86">
        <v>0</v>
      </c>
      <c r="N31" s="86"/>
      <c r="O31" s="86">
        <f t="shared" si="13"/>
        <v>160</v>
      </c>
      <c r="P31" s="86"/>
      <c r="Q31" s="86"/>
      <c r="R31" s="86"/>
      <c r="S31" s="86"/>
      <c r="T31" s="86"/>
      <c r="U31" s="86" t="s">
        <v>273</v>
      </c>
      <c r="V31" s="56" t="s">
        <v>41</v>
      </c>
    </row>
    <row r="32" ht="23.25" customHeight="1" spans="1:22">
      <c r="A32" s="71"/>
      <c r="B32" s="71" t="s">
        <v>1430</v>
      </c>
      <c r="C32" s="71" t="s">
        <v>52</v>
      </c>
      <c r="D32" s="71" t="s">
        <v>384</v>
      </c>
      <c r="E32" s="71">
        <v>14</v>
      </c>
      <c r="F32" s="71">
        <v>10</v>
      </c>
      <c r="G32" s="71">
        <v>19</v>
      </c>
      <c r="H32" s="71">
        <v>2018</v>
      </c>
      <c r="I32" s="71">
        <v>2018</v>
      </c>
      <c r="J32" s="86">
        <f t="shared" si="1"/>
        <v>56</v>
      </c>
      <c r="K32" s="86">
        <f t="shared" si="12"/>
        <v>56</v>
      </c>
      <c r="L32" s="86">
        <v>0</v>
      </c>
      <c r="M32" s="86">
        <v>0</v>
      </c>
      <c r="N32" s="86"/>
      <c r="O32" s="86">
        <f t="shared" si="13"/>
        <v>56</v>
      </c>
      <c r="P32" s="86"/>
      <c r="Q32" s="86"/>
      <c r="R32" s="86"/>
      <c r="S32" s="86"/>
      <c r="T32" s="86"/>
      <c r="U32" s="86" t="s">
        <v>273</v>
      </c>
      <c r="V32" s="56" t="s">
        <v>41</v>
      </c>
    </row>
    <row r="33" ht="26.1" customHeight="1" spans="1:22">
      <c r="A33" s="71">
        <v>7</v>
      </c>
      <c r="B33" s="73" t="s">
        <v>1076</v>
      </c>
      <c r="C33" s="71" t="s">
        <v>52</v>
      </c>
      <c r="D33" s="71" t="s">
        <v>384</v>
      </c>
      <c r="E33" s="71">
        <v>43</v>
      </c>
      <c r="F33" s="71"/>
      <c r="G33" s="71"/>
      <c r="H33" s="71">
        <v>2018</v>
      </c>
      <c r="I33" s="71">
        <v>2018</v>
      </c>
      <c r="J33" s="86">
        <f t="shared" si="1"/>
        <v>77.4</v>
      </c>
      <c r="K33" s="86"/>
      <c r="L33" s="86">
        <f>L34+L35+L36+L37+L38+L39</f>
        <v>77.4</v>
      </c>
      <c r="M33" s="86">
        <f t="shared" ref="M33:R33" si="14">M34+M35+M36+M37+M38+M39</f>
        <v>0</v>
      </c>
      <c r="N33" s="86">
        <f t="shared" si="14"/>
        <v>0</v>
      </c>
      <c r="O33" s="86">
        <f t="shared" si="14"/>
        <v>0</v>
      </c>
      <c r="P33" s="86">
        <f t="shared" si="14"/>
        <v>77.4</v>
      </c>
      <c r="Q33" s="86">
        <f t="shared" si="14"/>
        <v>0</v>
      </c>
      <c r="R33" s="86">
        <f t="shared" si="14"/>
        <v>0</v>
      </c>
      <c r="S33" s="71" t="s">
        <v>1423</v>
      </c>
      <c r="T33" s="71" t="s">
        <v>1424</v>
      </c>
      <c r="U33" s="86" t="s">
        <v>273</v>
      </c>
      <c r="V33" s="56" t="s">
        <v>41</v>
      </c>
    </row>
    <row r="34" ht="23.25" customHeight="1" spans="1:22">
      <c r="A34" s="71"/>
      <c r="B34" s="71" t="s">
        <v>1425</v>
      </c>
      <c r="C34" s="71" t="s">
        <v>52</v>
      </c>
      <c r="D34" s="71" t="s">
        <v>384</v>
      </c>
      <c r="E34" s="71">
        <v>8</v>
      </c>
      <c r="F34" s="71"/>
      <c r="G34" s="71"/>
      <c r="H34" s="71">
        <v>2018</v>
      </c>
      <c r="I34" s="71">
        <v>2018</v>
      </c>
      <c r="J34" s="86">
        <f t="shared" si="1"/>
        <v>14.4</v>
      </c>
      <c r="K34" s="86"/>
      <c r="L34" s="86">
        <v>14.4</v>
      </c>
      <c r="M34" s="86">
        <v>0</v>
      </c>
      <c r="N34" s="86"/>
      <c r="O34" s="86"/>
      <c r="P34" s="86">
        <f t="shared" ref="P34:P39" si="15">J34</f>
        <v>14.4</v>
      </c>
      <c r="Q34" s="86"/>
      <c r="R34" s="86"/>
      <c r="S34" s="86"/>
      <c r="T34" s="86"/>
      <c r="U34" s="86" t="s">
        <v>273</v>
      </c>
      <c r="V34" s="56" t="s">
        <v>41</v>
      </c>
    </row>
    <row r="35" ht="23.25" customHeight="1" spans="1:22">
      <c r="A35" s="71"/>
      <c r="B35" s="71" t="s">
        <v>1426</v>
      </c>
      <c r="C35" s="71" t="s">
        <v>52</v>
      </c>
      <c r="D35" s="71" t="s">
        <v>384</v>
      </c>
      <c r="E35" s="71">
        <v>11</v>
      </c>
      <c r="F35" s="71"/>
      <c r="G35" s="71"/>
      <c r="H35" s="71">
        <v>2018</v>
      </c>
      <c r="I35" s="71">
        <v>2018</v>
      </c>
      <c r="J35" s="86">
        <f t="shared" si="1"/>
        <v>19.8</v>
      </c>
      <c r="K35" s="86"/>
      <c r="L35" s="86">
        <v>19.8</v>
      </c>
      <c r="M35" s="86">
        <v>0</v>
      </c>
      <c r="N35" s="86"/>
      <c r="O35" s="86"/>
      <c r="P35" s="86">
        <f t="shared" si="15"/>
        <v>19.8</v>
      </c>
      <c r="Q35" s="86"/>
      <c r="R35" s="86"/>
      <c r="S35" s="86"/>
      <c r="T35" s="86"/>
      <c r="U35" s="86" t="s">
        <v>273</v>
      </c>
      <c r="V35" s="56" t="s">
        <v>41</v>
      </c>
    </row>
    <row r="36" ht="23.25" customHeight="1" spans="1:22">
      <c r="A36" s="71"/>
      <c r="B36" s="71" t="s">
        <v>1427</v>
      </c>
      <c r="C36" s="71" t="s">
        <v>52</v>
      </c>
      <c r="D36" s="71" t="s">
        <v>384</v>
      </c>
      <c r="E36" s="71">
        <v>18</v>
      </c>
      <c r="F36" s="71"/>
      <c r="G36" s="71"/>
      <c r="H36" s="71">
        <v>2018</v>
      </c>
      <c r="I36" s="71">
        <v>2018</v>
      </c>
      <c r="J36" s="86">
        <f t="shared" si="1"/>
        <v>32.4</v>
      </c>
      <c r="K36" s="86"/>
      <c r="L36" s="86">
        <v>32.4</v>
      </c>
      <c r="M36" s="86">
        <v>0</v>
      </c>
      <c r="N36" s="86"/>
      <c r="O36" s="86"/>
      <c r="P36" s="86">
        <f t="shared" si="15"/>
        <v>32.4</v>
      </c>
      <c r="Q36" s="86"/>
      <c r="R36" s="86"/>
      <c r="S36" s="86"/>
      <c r="T36" s="86"/>
      <c r="U36" s="86" t="s">
        <v>273</v>
      </c>
      <c r="V36" s="56" t="s">
        <v>41</v>
      </c>
    </row>
    <row r="37" ht="23.25" customHeight="1" spans="1:22">
      <c r="A37" s="71"/>
      <c r="B37" s="71" t="s">
        <v>1428</v>
      </c>
      <c r="C37" s="71" t="s">
        <v>52</v>
      </c>
      <c r="D37" s="71" t="s">
        <v>384</v>
      </c>
      <c r="E37" s="71">
        <v>3</v>
      </c>
      <c r="F37" s="71"/>
      <c r="G37" s="71"/>
      <c r="H37" s="71">
        <v>2018</v>
      </c>
      <c r="I37" s="71">
        <v>2018</v>
      </c>
      <c r="J37" s="86">
        <f t="shared" si="1"/>
        <v>5.4</v>
      </c>
      <c r="K37" s="86"/>
      <c r="L37" s="86">
        <v>5.4</v>
      </c>
      <c r="M37" s="86">
        <v>0</v>
      </c>
      <c r="N37" s="86"/>
      <c r="O37" s="86"/>
      <c r="P37" s="86">
        <f t="shared" si="15"/>
        <v>5.4</v>
      </c>
      <c r="Q37" s="86"/>
      <c r="R37" s="86"/>
      <c r="S37" s="86"/>
      <c r="T37" s="86"/>
      <c r="U37" s="86" t="s">
        <v>273</v>
      </c>
      <c r="V37" s="56" t="s">
        <v>41</v>
      </c>
    </row>
    <row r="38" ht="23.25" customHeight="1" spans="1:22">
      <c r="A38" s="71"/>
      <c r="B38" s="71" t="s">
        <v>1429</v>
      </c>
      <c r="C38" s="71" t="s">
        <v>52</v>
      </c>
      <c r="D38" s="71" t="s">
        <v>384</v>
      </c>
      <c r="E38" s="71">
        <v>2</v>
      </c>
      <c r="F38" s="71"/>
      <c r="G38" s="71"/>
      <c r="H38" s="71">
        <v>2018</v>
      </c>
      <c r="I38" s="71">
        <v>2018</v>
      </c>
      <c r="J38" s="86">
        <f t="shared" si="1"/>
        <v>3.6</v>
      </c>
      <c r="K38" s="86"/>
      <c r="L38" s="86">
        <v>3.6</v>
      </c>
      <c r="M38" s="86">
        <v>0</v>
      </c>
      <c r="N38" s="86"/>
      <c r="O38" s="86"/>
      <c r="P38" s="86">
        <f t="shared" si="15"/>
        <v>3.6</v>
      </c>
      <c r="Q38" s="86"/>
      <c r="R38" s="86"/>
      <c r="S38" s="86"/>
      <c r="T38" s="86"/>
      <c r="U38" s="86" t="s">
        <v>273</v>
      </c>
      <c r="V38" s="56" t="s">
        <v>41</v>
      </c>
    </row>
    <row r="39" ht="23.25" customHeight="1" spans="1:22">
      <c r="A39" s="71"/>
      <c r="B39" s="71" t="s">
        <v>1430</v>
      </c>
      <c r="C39" s="71" t="s">
        <v>52</v>
      </c>
      <c r="D39" s="71" t="s">
        <v>384</v>
      </c>
      <c r="E39" s="71">
        <v>1</v>
      </c>
      <c r="F39" s="71"/>
      <c r="G39" s="71"/>
      <c r="H39" s="71">
        <v>2018</v>
      </c>
      <c r="I39" s="71">
        <v>2018</v>
      </c>
      <c r="J39" s="86">
        <v>1.8</v>
      </c>
      <c r="K39" s="86"/>
      <c r="L39" s="86">
        <v>1.8</v>
      </c>
      <c r="M39" s="86">
        <v>0</v>
      </c>
      <c r="N39" s="86"/>
      <c r="O39" s="86"/>
      <c r="P39" s="86">
        <f t="shared" si="15"/>
        <v>1.8</v>
      </c>
      <c r="Q39" s="86"/>
      <c r="R39" s="86"/>
      <c r="S39" s="86"/>
      <c r="T39" s="86"/>
      <c r="U39" s="86"/>
      <c r="V39" s="56"/>
    </row>
    <row r="40" ht="23.25" customHeight="1" spans="1:22">
      <c r="A40" s="71">
        <v>8</v>
      </c>
      <c r="B40" s="73" t="s">
        <v>779</v>
      </c>
      <c r="C40" s="71" t="s">
        <v>320</v>
      </c>
      <c r="D40" s="71" t="s">
        <v>320</v>
      </c>
      <c r="E40" s="71">
        <f t="shared" ref="E40:G40" si="16">SUM(E41,E44,E51,E58,E65,E87)</f>
        <v>356</v>
      </c>
      <c r="F40" s="71">
        <f t="shared" si="16"/>
        <v>305</v>
      </c>
      <c r="G40" s="71">
        <f t="shared" si="16"/>
        <v>305</v>
      </c>
      <c r="H40" s="71">
        <v>2018</v>
      </c>
      <c r="I40" s="71">
        <v>2020</v>
      </c>
      <c r="J40" s="86">
        <f t="shared" ref="J40:R40" si="17">J44+J51+J58+J65</f>
        <v>443.175</v>
      </c>
      <c r="K40" s="86">
        <f t="shared" si="17"/>
        <v>147.725</v>
      </c>
      <c r="L40" s="86">
        <f t="shared" si="17"/>
        <v>147.725</v>
      </c>
      <c r="M40" s="86">
        <f t="shared" si="17"/>
        <v>147.725</v>
      </c>
      <c r="N40" s="86">
        <f t="shared" si="17"/>
        <v>229.2</v>
      </c>
      <c r="O40" s="86">
        <f t="shared" si="17"/>
        <v>108</v>
      </c>
      <c r="P40" s="86">
        <f t="shared" si="17"/>
        <v>105.975</v>
      </c>
      <c r="Q40" s="86">
        <f t="shared" si="17"/>
        <v>0</v>
      </c>
      <c r="R40" s="86">
        <f t="shared" si="17"/>
        <v>0</v>
      </c>
      <c r="S40" s="86" t="s">
        <v>1431</v>
      </c>
      <c r="T40" s="86" t="s">
        <v>1432</v>
      </c>
      <c r="U40" s="71" t="s">
        <v>320</v>
      </c>
      <c r="V40" s="56" t="s">
        <v>41</v>
      </c>
    </row>
    <row r="41" ht="51" customHeight="1" spans="1:22">
      <c r="A41" s="71">
        <v>9</v>
      </c>
      <c r="B41" s="73" t="s">
        <v>295</v>
      </c>
      <c r="C41" s="71" t="s">
        <v>320</v>
      </c>
      <c r="D41" s="71" t="s">
        <v>147</v>
      </c>
      <c r="E41" s="71">
        <v>0</v>
      </c>
      <c r="F41" s="71">
        <v>0</v>
      </c>
      <c r="G41" s="71">
        <v>0</v>
      </c>
      <c r="H41" s="71"/>
      <c r="I41" s="71"/>
      <c r="J41" s="86">
        <v>0</v>
      </c>
      <c r="K41" s="86">
        <v>0</v>
      </c>
      <c r="L41" s="86">
        <v>0</v>
      </c>
      <c r="M41" s="86">
        <v>0</v>
      </c>
      <c r="N41" s="86"/>
      <c r="O41" s="86"/>
      <c r="P41" s="86"/>
      <c r="Q41" s="86"/>
      <c r="R41" s="86"/>
      <c r="S41" s="71"/>
      <c r="T41" s="71"/>
      <c r="U41" s="86" t="s">
        <v>294</v>
      </c>
      <c r="V41" s="56" t="s">
        <v>41</v>
      </c>
    </row>
    <row r="42" ht="31.5" customHeight="1" spans="1:22">
      <c r="A42" s="71"/>
      <c r="B42" s="73" t="s">
        <v>783</v>
      </c>
      <c r="C42" s="71" t="s">
        <v>320</v>
      </c>
      <c r="D42" s="71" t="s">
        <v>147</v>
      </c>
      <c r="E42" s="71"/>
      <c r="F42" s="71"/>
      <c r="G42" s="71"/>
      <c r="H42" s="71"/>
      <c r="I42" s="71"/>
      <c r="J42" s="86"/>
      <c r="K42" s="86"/>
      <c r="L42" s="86"/>
      <c r="M42" s="86"/>
      <c r="N42" s="86"/>
      <c r="O42" s="86"/>
      <c r="P42" s="86"/>
      <c r="Q42" s="86"/>
      <c r="R42" s="86"/>
      <c r="S42" s="71"/>
      <c r="T42" s="71"/>
      <c r="U42" s="86" t="s">
        <v>294</v>
      </c>
      <c r="V42" s="56" t="s">
        <v>41</v>
      </c>
    </row>
    <row r="43" ht="31.5" customHeight="1" spans="1:22">
      <c r="A43" s="71"/>
      <c r="B43" s="73" t="s">
        <v>784</v>
      </c>
      <c r="C43" s="71" t="s">
        <v>320</v>
      </c>
      <c r="D43" s="71" t="s">
        <v>147</v>
      </c>
      <c r="E43" s="71"/>
      <c r="F43" s="71"/>
      <c r="G43" s="71"/>
      <c r="H43" s="71"/>
      <c r="I43" s="71"/>
      <c r="J43" s="86"/>
      <c r="K43" s="86"/>
      <c r="L43" s="86"/>
      <c r="M43" s="86"/>
      <c r="N43" s="86"/>
      <c r="O43" s="86"/>
      <c r="P43" s="86"/>
      <c r="Q43" s="86"/>
      <c r="R43" s="86"/>
      <c r="S43" s="71"/>
      <c r="T43" s="71"/>
      <c r="U43" s="86" t="s">
        <v>294</v>
      </c>
      <c r="V43" s="56" t="s">
        <v>41</v>
      </c>
    </row>
    <row r="44" ht="26.1" customHeight="1" spans="1:22">
      <c r="A44" s="71">
        <v>10</v>
      </c>
      <c r="B44" s="73" t="s">
        <v>319</v>
      </c>
      <c r="C44" s="71" t="s">
        <v>320</v>
      </c>
      <c r="D44" s="71" t="s">
        <v>147</v>
      </c>
      <c r="E44" s="71">
        <v>69</v>
      </c>
      <c r="F44" s="71">
        <v>18</v>
      </c>
      <c r="G44" s="71">
        <v>18</v>
      </c>
      <c r="H44" s="71">
        <v>2018</v>
      </c>
      <c r="I44" s="71">
        <v>2020</v>
      </c>
      <c r="J44" s="86">
        <v>8.625</v>
      </c>
      <c r="K44" s="86">
        <v>2.875</v>
      </c>
      <c r="L44" s="86">
        <v>2.875</v>
      </c>
      <c r="M44" s="86">
        <v>2.875</v>
      </c>
      <c r="N44" s="86"/>
      <c r="O44" s="86"/>
      <c r="P44" s="86">
        <v>8.625</v>
      </c>
      <c r="Q44" s="86"/>
      <c r="R44" s="86"/>
      <c r="S44" s="86" t="s">
        <v>1431</v>
      </c>
      <c r="T44" s="86" t="s">
        <v>1432</v>
      </c>
      <c r="U44" s="86" t="s">
        <v>294</v>
      </c>
      <c r="V44" s="56" t="s">
        <v>41</v>
      </c>
    </row>
    <row r="45" ht="23.25" customHeight="1" spans="1:22">
      <c r="A45" s="71"/>
      <c r="B45" s="71" t="s">
        <v>1425</v>
      </c>
      <c r="C45" s="71" t="s">
        <v>320</v>
      </c>
      <c r="D45" s="71" t="s">
        <v>147</v>
      </c>
      <c r="E45" s="71">
        <v>14</v>
      </c>
      <c r="F45" s="71">
        <v>3</v>
      </c>
      <c r="G45" s="71">
        <v>3</v>
      </c>
      <c r="H45" s="71">
        <v>2018</v>
      </c>
      <c r="I45" s="71">
        <v>2020</v>
      </c>
      <c r="J45" s="86">
        <f t="shared" ref="J45:J64" si="18">K45+L45+M45</f>
        <v>1.78</v>
      </c>
      <c r="K45" s="86">
        <v>0.61</v>
      </c>
      <c r="L45" s="86">
        <v>0.585</v>
      </c>
      <c r="M45" s="86">
        <v>0.585</v>
      </c>
      <c r="N45" s="86"/>
      <c r="O45" s="86"/>
      <c r="P45" s="86">
        <v>1.78</v>
      </c>
      <c r="Q45" s="86"/>
      <c r="R45" s="86"/>
      <c r="S45" s="56"/>
      <c r="T45" s="515"/>
      <c r="U45" s="86" t="s">
        <v>294</v>
      </c>
      <c r="V45" s="56" t="s">
        <v>41</v>
      </c>
    </row>
    <row r="46" ht="23.25" customHeight="1" spans="1:22">
      <c r="A46" s="71"/>
      <c r="B46" s="71" t="s">
        <v>1426</v>
      </c>
      <c r="C46" s="71" t="s">
        <v>320</v>
      </c>
      <c r="D46" s="71" t="s">
        <v>147</v>
      </c>
      <c r="E46" s="71">
        <v>16</v>
      </c>
      <c r="F46" s="71">
        <v>5</v>
      </c>
      <c r="G46" s="71">
        <v>5</v>
      </c>
      <c r="H46" s="71">
        <v>2018</v>
      </c>
      <c r="I46" s="71">
        <v>2020</v>
      </c>
      <c r="J46" s="86">
        <f t="shared" si="18"/>
        <v>2.026</v>
      </c>
      <c r="K46" s="86">
        <v>0.694</v>
      </c>
      <c r="L46" s="86">
        <v>0.666</v>
      </c>
      <c r="M46" s="86">
        <v>0.666</v>
      </c>
      <c r="N46" s="86"/>
      <c r="O46" s="86"/>
      <c r="P46" s="86">
        <v>2.026</v>
      </c>
      <c r="Q46" s="86"/>
      <c r="R46" s="86"/>
      <c r="S46" s="515"/>
      <c r="T46" s="515"/>
      <c r="U46" s="86" t="s">
        <v>294</v>
      </c>
      <c r="V46" s="56" t="s">
        <v>41</v>
      </c>
    </row>
    <row r="47" ht="23.25" customHeight="1" spans="1:22">
      <c r="A47" s="71"/>
      <c r="B47" s="71" t="s">
        <v>1427</v>
      </c>
      <c r="C47" s="71" t="s">
        <v>320</v>
      </c>
      <c r="D47" s="71" t="s">
        <v>147</v>
      </c>
      <c r="E47" s="71">
        <v>12</v>
      </c>
      <c r="F47" s="71">
        <v>2</v>
      </c>
      <c r="G47" s="71">
        <v>2</v>
      </c>
      <c r="H47" s="71">
        <v>2018</v>
      </c>
      <c r="I47" s="71">
        <v>2020</v>
      </c>
      <c r="J47" s="86">
        <f t="shared" si="18"/>
        <v>1.518</v>
      </c>
      <c r="K47" s="86">
        <v>0.52</v>
      </c>
      <c r="L47" s="86">
        <v>0.499</v>
      </c>
      <c r="M47" s="86">
        <v>0.499</v>
      </c>
      <c r="N47" s="86"/>
      <c r="O47" s="86"/>
      <c r="P47" s="86">
        <v>1.518</v>
      </c>
      <c r="Q47" s="86"/>
      <c r="R47" s="86"/>
      <c r="S47" s="515"/>
      <c r="T47" s="515"/>
      <c r="U47" s="86" t="s">
        <v>294</v>
      </c>
      <c r="V47" s="56" t="s">
        <v>41</v>
      </c>
    </row>
    <row r="48" ht="23.25" customHeight="1" spans="1:22">
      <c r="A48" s="71"/>
      <c r="B48" s="71" t="s">
        <v>1428</v>
      </c>
      <c r="C48" s="71" t="s">
        <v>320</v>
      </c>
      <c r="D48" s="71" t="s">
        <v>147</v>
      </c>
      <c r="E48" s="71">
        <v>15</v>
      </c>
      <c r="F48" s="71">
        <v>4</v>
      </c>
      <c r="G48" s="71">
        <v>4</v>
      </c>
      <c r="H48" s="71">
        <v>2018</v>
      </c>
      <c r="I48" s="71">
        <v>2020</v>
      </c>
      <c r="J48" s="86">
        <f t="shared" si="18"/>
        <v>1.9</v>
      </c>
      <c r="K48" s="86">
        <v>0.65</v>
      </c>
      <c r="L48" s="86">
        <v>0.625</v>
      </c>
      <c r="M48" s="86">
        <v>0.625</v>
      </c>
      <c r="N48" s="86"/>
      <c r="O48" s="86"/>
      <c r="P48" s="86">
        <v>1.9</v>
      </c>
      <c r="Q48" s="86"/>
      <c r="R48" s="86"/>
      <c r="S48" s="515"/>
      <c r="T48" s="515"/>
      <c r="U48" s="86" t="s">
        <v>294</v>
      </c>
      <c r="V48" s="56" t="s">
        <v>41</v>
      </c>
    </row>
    <row r="49" ht="23.25" customHeight="1" spans="1:22">
      <c r="A49" s="71"/>
      <c r="B49" s="71" t="s">
        <v>1429</v>
      </c>
      <c r="C49" s="71" t="s">
        <v>320</v>
      </c>
      <c r="D49" s="71" t="s">
        <v>147</v>
      </c>
      <c r="E49" s="71">
        <v>9</v>
      </c>
      <c r="F49" s="71">
        <v>3</v>
      </c>
      <c r="G49" s="71">
        <v>3</v>
      </c>
      <c r="H49" s="71">
        <v>2018</v>
      </c>
      <c r="I49" s="71">
        <v>2020</v>
      </c>
      <c r="J49" s="86">
        <f t="shared" si="18"/>
        <v>1.156</v>
      </c>
      <c r="K49" s="86">
        <v>0.406</v>
      </c>
      <c r="L49" s="86">
        <v>0.375</v>
      </c>
      <c r="M49" s="86">
        <v>0.375</v>
      </c>
      <c r="N49" s="86"/>
      <c r="O49" s="86"/>
      <c r="P49" s="86">
        <v>1.156</v>
      </c>
      <c r="Q49" s="86"/>
      <c r="R49" s="86"/>
      <c r="S49" s="515"/>
      <c r="T49" s="515"/>
      <c r="U49" s="86" t="s">
        <v>294</v>
      </c>
      <c r="V49" s="56" t="s">
        <v>41</v>
      </c>
    </row>
    <row r="50" ht="23.25" customHeight="1" spans="1:22">
      <c r="A50" s="71"/>
      <c r="B50" s="71" t="s">
        <v>1430</v>
      </c>
      <c r="C50" s="71" t="s">
        <v>320</v>
      </c>
      <c r="D50" s="71" t="s">
        <v>147</v>
      </c>
      <c r="E50" s="71">
        <v>3</v>
      </c>
      <c r="F50" s="71">
        <v>1</v>
      </c>
      <c r="G50" s="71">
        <v>1</v>
      </c>
      <c r="H50" s="71">
        <v>2018</v>
      </c>
      <c r="I50" s="71">
        <v>2020</v>
      </c>
      <c r="J50" s="86">
        <f t="shared" si="18"/>
        <v>0.245</v>
      </c>
      <c r="K50" s="86">
        <v>0</v>
      </c>
      <c r="L50" s="86">
        <v>0.12</v>
      </c>
      <c r="M50" s="86">
        <v>0.125</v>
      </c>
      <c r="N50" s="86"/>
      <c r="O50" s="86"/>
      <c r="P50" s="86">
        <v>0.25</v>
      </c>
      <c r="Q50" s="86"/>
      <c r="R50" s="86"/>
      <c r="S50" s="515"/>
      <c r="T50" s="515"/>
      <c r="U50" s="86" t="s">
        <v>294</v>
      </c>
      <c r="V50" s="56" t="s">
        <v>41</v>
      </c>
    </row>
    <row r="51" ht="23.25" customHeight="1" spans="1:22">
      <c r="A51" s="71">
        <v>11</v>
      </c>
      <c r="B51" s="73" t="s">
        <v>321</v>
      </c>
      <c r="C51" s="71" t="s">
        <v>320</v>
      </c>
      <c r="D51" s="71" t="s">
        <v>147</v>
      </c>
      <c r="E51" s="71">
        <f>E52+E53+E54+E55+E56+E57</f>
        <v>112</v>
      </c>
      <c r="F51" s="71">
        <v>112</v>
      </c>
      <c r="G51" s="71">
        <v>112</v>
      </c>
      <c r="H51" s="71">
        <v>2018</v>
      </c>
      <c r="I51" s="71">
        <v>2020</v>
      </c>
      <c r="J51" s="86">
        <f t="shared" si="18"/>
        <v>184.8</v>
      </c>
      <c r="K51" s="86">
        <f t="shared" ref="K51:O51" si="19">K52+K53+K54+K55+K56+K57</f>
        <v>61.6</v>
      </c>
      <c r="L51" s="86">
        <f t="shared" si="19"/>
        <v>61.6</v>
      </c>
      <c r="M51" s="86">
        <f t="shared" si="19"/>
        <v>61.6</v>
      </c>
      <c r="N51" s="86">
        <f t="shared" si="19"/>
        <v>142.8</v>
      </c>
      <c r="O51" s="86">
        <f t="shared" si="19"/>
        <v>0</v>
      </c>
      <c r="P51" s="86">
        <v>42</v>
      </c>
      <c r="Q51" s="86"/>
      <c r="R51" s="86"/>
      <c r="S51" s="86" t="s">
        <v>1431</v>
      </c>
      <c r="T51" s="86" t="s">
        <v>1432</v>
      </c>
      <c r="U51" s="86" t="s">
        <v>294</v>
      </c>
      <c r="V51" s="56" t="s">
        <v>41</v>
      </c>
    </row>
    <row r="52" ht="23.25" customHeight="1" spans="1:22">
      <c r="A52" s="71"/>
      <c r="B52" s="71" t="s">
        <v>1425</v>
      </c>
      <c r="C52" s="71" t="s">
        <v>320</v>
      </c>
      <c r="D52" s="71" t="s">
        <v>147</v>
      </c>
      <c r="E52" s="71">
        <v>16</v>
      </c>
      <c r="F52" s="71">
        <v>16</v>
      </c>
      <c r="G52" s="71">
        <v>16</v>
      </c>
      <c r="H52" s="71">
        <v>2018</v>
      </c>
      <c r="I52" s="71">
        <v>2020</v>
      </c>
      <c r="J52" s="86">
        <f t="shared" si="18"/>
        <v>26.4</v>
      </c>
      <c r="K52" s="86">
        <f t="shared" ref="K52:M52" si="20">0.55*E52</f>
        <v>8.8</v>
      </c>
      <c r="L52" s="86">
        <f t="shared" si="20"/>
        <v>8.8</v>
      </c>
      <c r="M52" s="86">
        <f t="shared" si="20"/>
        <v>8.8</v>
      </c>
      <c r="N52" s="86">
        <v>20.4</v>
      </c>
      <c r="O52" s="86"/>
      <c r="P52" s="86">
        <v>6</v>
      </c>
      <c r="Q52" s="86"/>
      <c r="R52" s="86"/>
      <c r="S52" s="56"/>
      <c r="T52" s="515"/>
      <c r="U52" s="86" t="s">
        <v>294</v>
      </c>
      <c r="V52" s="56" t="s">
        <v>41</v>
      </c>
    </row>
    <row r="53" ht="23.25" customHeight="1" spans="1:22">
      <c r="A53" s="71"/>
      <c r="B53" s="71" t="s">
        <v>1426</v>
      </c>
      <c r="C53" s="71" t="s">
        <v>320</v>
      </c>
      <c r="D53" s="71" t="s">
        <v>147</v>
      </c>
      <c r="E53" s="71">
        <v>20</v>
      </c>
      <c r="F53" s="71">
        <v>20</v>
      </c>
      <c r="G53" s="71">
        <v>20</v>
      </c>
      <c r="H53" s="71">
        <v>2018</v>
      </c>
      <c r="I53" s="71">
        <v>2020</v>
      </c>
      <c r="J53" s="86">
        <f t="shared" si="18"/>
        <v>33</v>
      </c>
      <c r="K53" s="86">
        <f t="shared" ref="K53:M53" si="21">0.55*E53</f>
        <v>11</v>
      </c>
      <c r="L53" s="86">
        <f t="shared" si="21"/>
        <v>11</v>
      </c>
      <c r="M53" s="86">
        <f t="shared" si="21"/>
        <v>11</v>
      </c>
      <c r="N53" s="86">
        <v>25.5</v>
      </c>
      <c r="O53" s="86"/>
      <c r="P53" s="86">
        <v>7.5</v>
      </c>
      <c r="Q53" s="86"/>
      <c r="R53" s="86"/>
      <c r="S53" s="515"/>
      <c r="T53" s="515"/>
      <c r="U53" s="86" t="s">
        <v>294</v>
      </c>
      <c r="V53" s="56" t="s">
        <v>41</v>
      </c>
    </row>
    <row r="54" ht="23.25" customHeight="1" spans="1:22">
      <c r="A54" s="71"/>
      <c r="B54" s="71" t="s">
        <v>1427</v>
      </c>
      <c r="C54" s="71" t="s">
        <v>320</v>
      </c>
      <c r="D54" s="71" t="s">
        <v>147</v>
      </c>
      <c r="E54" s="71">
        <v>27</v>
      </c>
      <c r="F54" s="71">
        <v>27</v>
      </c>
      <c r="G54" s="71">
        <v>27</v>
      </c>
      <c r="H54" s="71">
        <v>2018</v>
      </c>
      <c r="I54" s="71">
        <v>2020</v>
      </c>
      <c r="J54" s="86">
        <f t="shared" si="18"/>
        <v>44.55</v>
      </c>
      <c r="K54" s="86">
        <f t="shared" ref="K54:M54" si="22">0.55*E54</f>
        <v>14.85</v>
      </c>
      <c r="L54" s="86">
        <f t="shared" si="22"/>
        <v>14.85</v>
      </c>
      <c r="M54" s="86">
        <f t="shared" si="22"/>
        <v>14.85</v>
      </c>
      <c r="N54" s="86">
        <v>34.425</v>
      </c>
      <c r="O54" s="86"/>
      <c r="P54" s="86">
        <v>10.125</v>
      </c>
      <c r="Q54" s="86"/>
      <c r="R54" s="86"/>
      <c r="S54" s="515"/>
      <c r="T54" s="515"/>
      <c r="U54" s="86" t="s">
        <v>294</v>
      </c>
      <c r="V54" s="56" t="s">
        <v>41</v>
      </c>
    </row>
    <row r="55" ht="23.25" customHeight="1" spans="1:22">
      <c r="A55" s="71"/>
      <c r="B55" s="71" t="s">
        <v>1428</v>
      </c>
      <c r="C55" s="71" t="s">
        <v>320</v>
      </c>
      <c r="D55" s="71" t="s">
        <v>147</v>
      </c>
      <c r="E55" s="71">
        <v>21</v>
      </c>
      <c r="F55" s="71">
        <v>21</v>
      </c>
      <c r="G55" s="71">
        <v>21</v>
      </c>
      <c r="H55" s="71">
        <v>2018</v>
      </c>
      <c r="I55" s="71">
        <v>2020</v>
      </c>
      <c r="J55" s="86">
        <f t="shared" si="18"/>
        <v>34.65</v>
      </c>
      <c r="K55" s="86">
        <f t="shared" ref="K55:M55" si="23">0.55*E55</f>
        <v>11.55</v>
      </c>
      <c r="L55" s="86">
        <f t="shared" si="23"/>
        <v>11.55</v>
      </c>
      <c r="M55" s="86">
        <f t="shared" si="23"/>
        <v>11.55</v>
      </c>
      <c r="N55" s="86">
        <v>26.775</v>
      </c>
      <c r="O55" s="86"/>
      <c r="P55" s="86">
        <v>7.875</v>
      </c>
      <c r="Q55" s="86"/>
      <c r="R55" s="86"/>
      <c r="S55" s="515"/>
      <c r="T55" s="515"/>
      <c r="U55" s="86" t="s">
        <v>294</v>
      </c>
      <c r="V55" s="56" t="s">
        <v>41</v>
      </c>
    </row>
    <row r="56" ht="23.25" customHeight="1" spans="1:22">
      <c r="A56" s="71"/>
      <c r="B56" s="71" t="s">
        <v>1429</v>
      </c>
      <c r="C56" s="71" t="s">
        <v>320</v>
      </c>
      <c r="D56" s="71" t="s">
        <v>147</v>
      </c>
      <c r="E56" s="71">
        <v>18</v>
      </c>
      <c r="F56" s="71">
        <v>18</v>
      </c>
      <c r="G56" s="71">
        <v>18</v>
      </c>
      <c r="H56" s="71">
        <v>2018</v>
      </c>
      <c r="I56" s="71">
        <v>2020</v>
      </c>
      <c r="J56" s="86">
        <f t="shared" si="18"/>
        <v>29.7</v>
      </c>
      <c r="K56" s="86">
        <f t="shared" ref="K56:M56" si="24">0.55*E56</f>
        <v>9.9</v>
      </c>
      <c r="L56" s="86">
        <f t="shared" si="24"/>
        <v>9.9</v>
      </c>
      <c r="M56" s="86">
        <f t="shared" si="24"/>
        <v>9.9</v>
      </c>
      <c r="N56" s="86">
        <v>22.95</v>
      </c>
      <c r="O56" s="86"/>
      <c r="P56" s="86">
        <v>6.75</v>
      </c>
      <c r="Q56" s="86"/>
      <c r="R56" s="86"/>
      <c r="S56" s="515"/>
      <c r="T56" s="515"/>
      <c r="U56" s="86" t="s">
        <v>294</v>
      </c>
      <c r="V56" s="56" t="s">
        <v>41</v>
      </c>
    </row>
    <row r="57" ht="23.25" customHeight="1" spans="1:22">
      <c r="A57" s="71"/>
      <c r="B57" s="71" t="s">
        <v>1430</v>
      </c>
      <c r="C57" s="71" t="s">
        <v>320</v>
      </c>
      <c r="D57" s="71" t="s">
        <v>147</v>
      </c>
      <c r="E57" s="71">
        <v>10</v>
      </c>
      <c r="F57" s="71">
        <v>10</v>
      </c>
      <c r="G57" s="71">
        <v>10</v>
      </c>
      <c r="H57" s="71">
        <v>2018</v>
      </c>
      <c r="I57" s="71">
        <v>2020</v>
      </c>
      <c r="J57" s="86">
        <f t="shared" si="18"/>
        <v>16.5</v>
      </c>
      <c r="K57" s="86">
        <f t="shared" ref="K57:M57" si="25">0.55*E57</f>
        <v>5.5</v>
      </c>
      <c r="L57" s="86">
        <f t="shared" si="25"/>
        <v>5.5</v>
      </c>
      <c r="M57" s="86">
        <f t="shared" si="25"/>
        <v>5.5</v>
      </c>
      <c r="N57" s="86">
        <v>12.75</v>
      </c>
      <c r="O57" s="86"/>
      <c r="P57" s="86">
        <v>3.75</v>
      </c>
      <c r="Q57" s="86"/>
      <c r="R57" s="86"/>
      <c r="S57" s="516"/>
      <c r="T57" s="138"/>
      <c r="U57" s="86" t="s">
        <v>294</v>
      </c>
      <c r="V57" s="56" t="s">
        <v>41</v>
      </c>
    </row>
    <row r="58" ht="23.25" customHeight="1" spans="1:22">
      <c r="A58" s="71">
        <v>12</v>
      </c>
      <c r="B58" s="73" t="s">
        <v>322</v>
      </c>
      <c r="C58" s="71" t="s">
        <v>320</v>
      </c>
      <c r="D58" s="71" t="s">
        <v>147</v>
      </c>
      <c r="E58" s="71">
        <f t="shared" ref="E58:G58" si="26">E59+E60+E61+E62+E63+E64</f>
        <v>78</v>
      </c>
      <c r="F58" s="71">
        <f t="shared" si="26"/>
        <v>78</v>
      </c>
      <c r="G58" s="71">
        <f t="shared" si="26"/>
        <v>78</v>
      </c>
      <c r="H58" s="71">
        <v>2018</v>
      </c>
      <c r="I58" s="71">
        <v>2020</v>
      </c>
      <c r="J58" s="86">
        <f t="shared" si="18"/>
        <v>128.7</v>
      </c>
      <c r="K58" s="86">
        <f t="shared" ref="K58:M58" si="27">K59+K60+K61+K62+K63+K64</f>
        <v>42.9</v>
      </c>
      <c r="L58" s="86">
        <f t="shared" si="27"/>
        <v>42.9</v>
      </c>
      <c r="M58" s="86">
        <f t="shared" si="27"/>
        <v>42.9</v>
      </c>
      <c r="N58" s="86">
        <v>46.8</v>
      </c>
      <c r="O58" s="86">
        <v>70.2</v>
      </c>
      <c r="P58" s="86">
        <v>11.7</v>
      </c>
      <c r="Q58" s="86">
        <f>Q59+Q60+Q61+Q62+Q63+Q64</f>
        <v>0</v>
      </c>
      <c r="R58" s="86">
        <f>R59+R60+R61+R62+R63+R64</f>
        <v>0</v>
      </c>
      <c r="S58" s="86" t="s">
        <v>1431</v>
      </c>
      <c r="T58" s="86" t="s">
        <v>1432</v>
      </c>
      <c r="U58" s="86" t="s">
        <v>294</v>
      </c>
      <c r="V58" s="56" t="s">
        <v>41</v>
      </c>
    </row>
    <row r="59" ht="23.25" customHeight="1" spans="1:22">
      <c r="A59" s="71"/>
      <c r="B59" s="71" t="s">
        <v>1425</v>
      </c>
      <c r="C59" s="71" t="s">
        <v>320</v>
      </c>
      <c r="D59" s="71" t="s">
        <v>147</v>
      </c>
      <c r="E59" s="71">
        <v>11</v>
      </c>
      <c r="F59" s="71">
        <v>11</v>
      </c>
      <c r="G59" s="71">
        <v>11</v>
      </c>
      <c r="H59" s="71">
        <v>2018</v>
      </c>
      <c r="I59" s="71">
        <v>2020</v>
      </c>
      <c r="J59" s="86">
        <f t="shared" si="18"/>
        <v>18.15</v>
      </c>
      <c r="K59" s="86">
        <f t="shared" ref="K59:M59" si="28">0.55*E59</f>
        <v>6.05</v>
      </c>
      <c r="L59" s="86">
        <f t="shared" si="28"/>
        <v>6.05</v>
      </c>
      <c r="M59" s="86">
        <f t="shared" si="28"/>
        <v>6.05</v>
      </c>
      <c r="N59" s="86">
        <v>6.6</v>
      </c>
      <c r="O59" s="86">
        <v>9.9</v>
      </c>
      <c r="P59" s="86">
        <v>1.65</v>
      </c>
      <c r="Q59" s="86"/>
      <c r="R59" s="86"/>
      <c r="S59" s="56"/>
      <c r="T59" s="515"/>
      <c r="U59" s="86" t="s">
        <v>294</v>
      </c>
      <c r="V59" s="56" t="s">
        <v>41</v>
      </c>
    </row>
    <row r="60" ht="23.25" customHeight="1" spans="1:22">
      <c r="A60" s="71"/>
      <c r="B60" s="71" t="s">
        <v>1426</v>
      </c>
      <c r="C60" s="71" t="s">
        <v>320</v>
      </c>
      <c r="D60" s="71" t="s">
        <v>147</v>
      </c>
      <c r="E60" s="71">
        <v>16</v>
      </c>
      <c r="F60" s="71">
        <v>16</v>
      </c>
      <c r="G60" s="71">
        <v>16</v>
      </c>
      <c r="H60" s="71">
        <v>2018</v>
      </c>
      <c r="I60" s="71">
        <v>2020</v>
      </c>
      <c r="J60" s="86">
        <f t="shared" si="18"/>
        <v>26.4</v>
      </c>
      <c r="K60" s="86">
        <f t="shared" ref="K60:M60" si="29">0.55*E60</f>
        <v>8.8</v>
      </c>
      <c r="L60" s="86">
        <f t="shared" si="29"/>
        <v>8.8</v>
      </c>
      <c r="M60" s="86">
        <f t="shared" si="29"/>
        <v>8.8</v>
      </c>
      <c r="N60" s="86">
        <v>9.6</v>
      </c>
      <c r="O60" s="86">
        <v>14.4</v>
      </c>
      <c r="P60" s="86">
        <v>2.4</v>
      </c>
      <c r="Q60" s="86"/>
      <c r="R60" s="86"/>
      <c r="S60" s="515"/>
      <c r="T60" s="515"/>
      <c r="U60" s="86" t="s">
        <v>294</v>
      </c>
      <c r="V60" s="56" t="s">
        <v>41</v>
      </c>
    </row>
    <row r="61" ht="23.25" customHeight="1" spans="1:22">
      <c r="A61" s="71"/>
      <c r="B61" s="71" t="s">
        <v>1427</v>
      </c>
      <c r="C61" s="71" t="s">
        <v>320</v>
      </c>
      <c r="D61" s="71" t="s">
        <v>147</v>
      </c>
      <c r="E61" s="71">
        <v>15</v>
      </c>
      <c r="F61" s="71">
        <v>15</v>
      </c>
      <c r="G61" s="71">
        <v>15</v>
      </c>
      <c r="H61" s="71">
        <v>2018</v>
      </c>
      <c r="I61" s="71">
        <v>2020</v>
      </c>
      <c r="J61" s="86">
        <f t="shared" si="18"/>
        <v>24.75</v>
      </c>
      <c r="K61" s="86">
        <f t="shared" ref="K61:M61" si="30">0.55*E61</f>
        <v>8.25</v>
      </c>
      <c r="L61" s="86">
        <f t="shared" si="30"/>
        <v>8.25</v>
      </c>
      <c r="M61" s="86">
        <f t="shared" si="30"/>
        <v>8.25</v>
      </c>
      <c r="N61" s="86">
        <v>9</v>
      </c>
      <c r="O61" s="86">
        <v>13.5</v>
      </c>
      <c r="P61" s="86">
        <v>2.25</v>
      </c>
      <c r="Q61" s="86"/>
      <c r="R61" s="86"/>
      <c r="S61" s="515"/>
      <c r="T61" s="515"/>
      <c r="U61" s="86" t="s">
        <v>294</v>
      </c>
      <c r="V61" s="56" t="s">
        <v>41</v>
      </c>
    </row>
    <row r="62" ht="23.25" customHeight="1" spans="1:22">
      <c r="A62" s="71"/>
      <c r="B62" s="71" t="s">
        <v>1428</v>
      </c>
      <c r="C62" s="71" t="s">
        <v>320</v>
      </c>
      <c r="D62" s="71" t="s">
        <v>147</v>
      </c>
      <c r="E62" s="71">
        <v>14</v>
      </c>
      <c r="F62" s="71">
        <v>14</v>
      </c>
      <c r="G62" s="71">
        <v>14</v>
      </c>
      <c r="H62" s="71">
        <v>2018</v>
      </c>
      <c r="I62" s="71">
        <v>2020</v>
      </c>
      <c r="J62" s="86">
        <f t="shared" si="18"/>
        <v>23.1</v>
      </c>
      <c r="K62" s="86">
        <f t="shared" ref="K62:M62" si="31">0.55*E62</f>
        <v>7.7</v>
      </c>
      <c r="L62" s="86">
        <f t="shared" si="31"/>
        <v>7.7</v>
      </c>
      <c r="M62" s="86">
        <f t="shared" si="31"/>
        <v>7.7</v>
      </c>
      <c r="N62" s="86">
        <v>8.4</v>
      </c>
      <c r="O62" s="86">
        <v>12.6</v>
      </c>
      <c r="P62" s="86">
        <v>2.1</v>
      </c>
      <c r="Q62" s="86"/>
      <c r="R62" s="86"/>
      <c r="S62" s="515"/>
      <c r="T62" s="515"/>
      <c r="U62" s="86" t="s">
        <v>294</v>
      </c>
      <c r="V62" s="56" t="s">
        <v>41</v>
      </c>
    </row>
    <row r="63" ht="23.25" customHeight="1" spans="1:22">
      <c r="A63" s="71"/>
      <c r="B63" s="71" t="s">
        <v>1429</v>
      </c>
      <c r="C63" s="71" t="s">
        <v>320</v>
      </c>
      <c r="D63" s="71" t="s">
        <v>147</v>
      </c>
      <c r="E63" s="71">
        <v>13</v>
      </c>
      <c r="F63" s="71">
        <v>13</v>
      </c>
      <c r="G63" s="71">
        <v>13</v>
      </c>
      <c r="H63" s="71">
        <v>2018</v>
      </c>
      <c r="I63" s="71">
        <v>2020</v>
      </c>
      <c r="J63" s="86">
        <f t="shared" si="18"/>
        <v>21.45</v>
      </c>
      <c r="K63" s="86">
        <f t="shared" ref="K63:M63" si="32">0.55*E63</f>
        <v>7.15</v>
      </c>
      <c r="L63" s="86">
        <f t="shared" si="32"/>
        <v>7.15</v>
      </c>
      <c r="M63" s="86">
        <f t="shared" si="32"/>
        <v>7.15</v>
      </c>
      <c r="N63" s="86">
        <v>7.8</v>
      </c>
      <c r="O63" s="86">
        <v>11.7</v>
      </c>
      <c r="P63" s="86">
        <v>1.95</v>
      </c>
      <c r="Q63" s="86"/>
      <c r="R63" s="86"/>
      <c r="S63" s="515"/>
      <c r="T63" s="515"/>
      <c r="U63" s="86" t="s">
        <v>294</v>
      </c>
      <c r="V63" s="56" t="s">
        <v>41</v>
      </c>
    </row>
    <row r="64" ht="23.25" customHeight="1" spans="1:22">
      <c r="A64" s="71"/>
      <c r="B64" s="71" t="s">
        <v>1430</v>
      </c>
      <c r="C64" s="71" t="s">
        <v>320</v>
      </c>
      <c r="D64" s="71" t="s">
        <v>147</v>
      </c>
      <c r="E64" s="71">
        <v>9</v>
      </c>
      <c r="F64" s="71">
        <v>9</v>
      </c>
      <c r="G64" s="71">
        <v>9</v>
      </c>
      <c r="H64" s="71">
        <v>2018</v>
      </c>
      <c r="I64" s="71">
        <v>2020</v>
      </c>
      <c r="J64" s="86">
        <f t="shared" si="18"/>
        <v>14.85</v>
      </c>
      <c r="K64" s="86">
        <f t="shared" ref="K64:M64" si="33">0.55*E64</f>
        <v>4.95</v>
      </c>
      <c r="L64" s="86">
        <f t="shared" si="33"/>
        <v>4.95</v>
      </c>
      <c r="M64" s="86">
        <f t="shared" si="33"/>
        <v>4.95</v>
      </c>
      <c r="N64" s="86">
        <v>5.4</v>
      </c>
      <c r="O64" s="86">
        <v>8.1</v>
      </c>
      <c r="P64" s="86">
        <v>1.35</v>
      </c>
      <c r="Q64" s="86"/>
      <c r="R64" s="86"/>
      <c r="S64" s="516"/>
      <c r="T64" s="138"/>
      <c r="U64" s="86" t="s">
        <v>294</v>
      </c>
      <c r="V64" s="56" t="s">
        <v>41</v>
      </c>
    </row>
    <row r="65" ht="23.25" customHeight="1" spans="1:22">
      <c r="A65" s="71">
        <v>13</v>
      </c>
      <c r="B65" s="73" t="s">
        <v>323</v>
      </c>
      <c r="C65" s="71" t="s">
        <v>320</v>
      </c>
      <c r="D65" s="71" t="s">
        <v>147</v>
      </c>
      <c r="E65" s="71">
        <f t="shared" ref="E65:G65" si="34">E66+E73+E80</f>
        <v>97</v>
      </c>
      <c r="F65" s="71">
        <f t="shared" si="34"/>
        <v>97</v>
      </c>
      <c r="G65" s="71">
        <f t="shared" si="34"/>
        <v>97</v>
      </c>
      <c r="H65" s="71">
        <v>2018</v>
      </c>
      <c r="I65" s="71">
        <v>2020</v>
      </c>
      <c r="J65" s="86">
        <f t="shared" ref="J65:M65" si="35">J66+J73+J80</f>
        <v>121.05</v>
      </c>
      <c r="K65" s="86">
        <f t="shared" si="35"/>
        <v>40.35</v>
      </c>
      <c r="L65" s="86">
        <f t="shared" si="35"/>
        <v>40.35</v>
      </c>
      <c r="M65" s="86">
        <f t="shared" si="35"/>
        <v>40.35</v>
      </c>
      <c r="N65" s="86">
        <v>39.6</v>
      </c>
      <c r="O65" s="86">
        <v>37.8</v>
      </c>
      <c r="P65" s="86">
        <v>43.65</v>
      </c>
      <c r="Q65" s="86">
        <f>Q66+Q73+Q80</f>
        <v>0</v>
      </c>
      <c r="R65" s="86">
        <f>R66+R73+R80</f>
        <v>0</v>
      </c>
      <c r="S65" s="86" t="s">
        <v>1431</v>
      </c>
      <c r="T65" s="86" t="s">
        <v>1432</v>
      </c>
      <c r="U65" s="86" t="s">
        <v>294</v>
      </c>
      <c r="V65" s="56" t="s">
        <v>41</v>
      </c>
    </row>
    <row r="66" ht="23.25" customHeight="1" spans="1:22">
      <c r="A66" s="71"/>
      <c r="B66" s="73" t="s">
        <v>1433</v>
      </c>
      <c r="C66" s="71"/>
      <c r="D66" s="71"/>
      <c r="E66" s="71">
        <f t="shared" ref="E66:G66" si="36">E67+E68+E69+E70+E71+E72</f>
        <v>15</v>
      </c>
      <c r="F66" s="71">
        <f t="shared" si="36"/>
        <v>15</v>
      </c>
      <c r="G66" s="71">
        <f t="shared" si="36"/>
        <v>15</v>
      </c>
      <c r="H66" s="71">
        <v>2018</v>
      </c>
      <c r="I66" s="71">
        <v>2020</v>
      </c>
      <c r="J66" s="86">
        <f t="shared" ref="J66:J86" si="37">K66+L66+M66</f>
        <v>27</v>
      </c>
      <c r="K66" s="86">
        <f t="shared" ref="K66:P66" si="38">K67+K68+K69+K70+K71+K72</f>
        <v>9</v>
      </c>
      <c r="L66" s="86">
        <f t="shared" si="38"/>
        <v>9</v>
      </c>
      <c r="M66" s="86">
        <f t="shared" si="38"/>
        <v>9</v>
      </c>
      <c r="N66" s="86">
        <f t="shared" si="38"/>
        <v>6.75</v>
      </c>
      <c r="O66" s="86">
        <f t="shared" si="38"/>
        <v>13.5</v>
      </c>
      <c r="P66" s="86">
        <f t="shared" si="38"/>
        <v>6.75</v>
      </c>
      <c r="Q66" s="86"/>
      <c r="R66" s="86"/>
      <c r="S66" s="86" t="s">
        <v>1431</v>
      </c>
      <c r="T66" s="86" t="s">
        <v>1432</v>
      </c>
      <c r="U66" s="86" t="s">
        <v>294</v>
      </c>
      <c r="V66" s="56"/>
    </row>
    <row r="67" ht="23.25" customHeight="1" spans="1:22">
      <c r="A67" s="71"/>
      <c r="B67" s="71" t="s">
        <v>1425</v>
      </c>
      <c r="C67" s="71" t="s">
        <v>320</v>
      </c>
      <c r="D67" s="71" t="s">
        <v>147</v>
      </c>
      <c r="E67" s="71">
        <v>6</v>
      </c>
      <c r="F67" s="71">
        <v>6</v>
      </c>
      <c r="G67" s="71">
        <v>6</v>
      </c>
      <c r="H67" s="71">
        <v>2018</v>
      </c>
      <c r="I67" s="71">
        <v>2020</v>
      </c>
      <c r="J67" s="86">
        <f t="shared" si="37"/>
        <v>10.8</v>
      </c>
      <c r="K67" s="86">
        <f t="shared" ref="K67:M67" si="39">0.6*E67</f>
        <v>3.6</v>
      </c>
      <c r="L67" s="86">
        <f t="shared" si="39"/>
        <v>3.6</v>
      </c>
      <c r="M67" s="86">
        <f t="shared" si="39"/>
        <v>3.6</v>
      </c>
      <c r="N67" s="86">
        <v>2.7</v>
      </c>
      <c r="O67" s="86">
        <v>5.4</v>
      </c>
      <c r="P67" s="86">
        <v>2.7</v>
      </c>
      <c r="Q67" s="86"/>
      <c r="R67" s="86"/>
      <c r="S67" s="56"/>
      <c r="T67" s="515"/>
      <c r="U67" s="86" t="s">
        <v>294</v>
      </c>
      <c r="V67" s="56" t="s">
        <v>41</v>
      </c>
    </row>
    <row r="68" ht="23.25" customHeight="1" spans="1:22">
      <c r="A68" s="71"/>
      <c r="B68" s="71" t="s">
        <v>1426</v>
      </c>
      <c r="C68" s="71" t="s">
        <v>320</v>
      </c>
      <c r="D68" s="71" t="s">
        <v>147</v>
      </c>
      <c r="E68" s="71">
        <v>4</v>
      </c>
      <c r="F68" s="71">
        <v>4</v>
      </c>
      <c r="G68" s="71">
        <v>4</v>
      </c>
      <c r="H68" s="71">
        <v>2018</v>
      </c>
      <c r="I68" s="71">
        <v>2020</v>
      </c>
      <c r="J68" s="86">
        <f t="shared" si="37"/>
        <v>7.2</v>
      </c>
      <c r="K68" s="86">
        <f t="shared" ref="K68:M68" si="40">0.6*E68</f>
        <v>2.4</v>
      </c>
      <c r="L68" s="86">
        <f t="shared" si="40"/>
        <v>2.4</v>
      </c>
      <c r="M68" s="86">
        <f t="shared" si="40"/>
        <v>2.4</v>
      </c>
      <c r="N68" s="86">
        <v>1.8</v>
      </c>
      <c r="O68" s="86">
        <v>3.6</v>
      </c>
      <c r="P68" s="86">
        <v>1.8</v>
      </c>
      <c r="Q68" s="86"/>
      <c r="R68" s="86"/>
      <c r="S68" s="515"/>
      <c r="T68" s="515"/>
      <c r="U68" s="86" t="s">
        <v>294</v>
      </c>
      <c r="V68" s="56" t="s">
        <v>41</v>
      </c>
    </row>
    <row r="69" ht="23.25" customHeight="1" spans="1:22">
      <c r="A69" s="71"/>
      <c r="B69" s="71" t="s">
        <v>1427</v>
      </c>
      <c r="C69" s="71" t="s">
        <v>320</v>
      </c>
      <c r="D69" s="71" t="s">
        <v>147</v>
      </c>
      <c r="E69" s="71">
        <v>1</v>
      </c>
      <c r="F69" s="71">
        <v>1</v>
      </c>
      <c r="G69" s="71">
        <v>1</v>
      </c>
      <c r="H69" s="71">
        <v>2018</v>
      </c>
      <c r="I69" s="71">
        <v>2020</v>
      </c>
      <c r="J69" s="86">
        <f t="shared" si="37"/>
        <v>1.8</v>
      </c>
      <c r="K69" s="86">
        <f t="shared" ref="K69:M69" si="41">0.6*E69</f>
        <v>0.6</v>
      </c>
      <c r="L69" s="86">
        <f t="shared" si="41"/>
        <v>0.6</v>
      </c>
      <c r="M69" s="86">
        <f t="shared" si="41"/>
        <v>0.6</v>
      </c>
      <c r="N69" s="86">
        <v>0.45</v>
      </c>
      <c r="O69" s="86">
        <v>0.9</v>
      </c>
      <c r="P69" s="86">
        <v>0.45</v>
      </c>
      <c r="Q69" s="86"/>
      <c r="R69" s="86"/>
      <c r="S69" s="515"/>
      <c r="T69" s="515"/>
      <c r="U69" s="86" t="s">
        <v>294</v>
      </c>
      <c r="V69" s="56" t="s">
        <v>41</v>
      </c>
    </row>
    <row r="70" ht="23.25" customHeight="1" spans="1:22">
      <c r="A70" s="71"/>
      <c r="B70" s="71" t="s">
        <v>1428</v>
      </c>
      <c r="C70" s="71" t="s">
        <v>320</v>
      </c>
      <c r="D70" s="71" t="s">
        <v>147</v>
      </c>
      <c r="E70" s="71">
        <v>2</v>
      </c>
      <c r="F70" s="71">
        <v>2</v>
      </c>
      <c r="G70" s="71">
        <v>2</v>
      </c>
      <c r="H70" s="71">
        <v>2018</v>
      </c>
      <c r="I70" s="71">
        <v>2020</v>
      </c>
      <c r="J70" s="86">
        <f t="shared" si="37"/>
        <v>3.6</v>
      </c>
      <c r="K70" s="86">
        <f t="shared" ref="K70:M70" si="42">0.6*E70</f>
        <v>1.2</v>
      </c>
      <c r="L70" s="86">
        <f t="shared" si="42"/>
        <v>1.2</v>
      </c>
      <c r="M70" s="86">
        <f t="shared" si="42"/>
        <v>1.2</v>
      </c>
      <c r="N70" s="86">
        <v>0.9</v>
      </c>
      <c r="O70" s="86">
        <v>1.8</v>
      </c>
      <c r="P70" s="86">
        <v>0.9</v>
      </c>
      <c r="Q70" s="86"/>
      <c r="R70" s="86"/>
      <c r="S70" s="515"/>
      <c r="T70" s="515"/>
      <c r="U70" s="86" t="s">
        <v>294</v>
      </c>
      <c r="V70" s="56" t="s">
        <v>41</v>
      </c>
    </row>
    <row r="71" ht="23.25" customHeight="1" spans="1:22">
      <c r="A71" s="71"/>
      <c r="B71" s="71" t="s">
        <v>1429</v>
      </c>
      <c r="C71" s="71" t="s">
        <v>320</v>
      </c>
      <c r="D71" s="71" t="s">
        <v>147</v>
      </c>
      <c r="E71" s="71">
        <v>0</v>
      </c>
      <c r="F71" s="71">
        <v>0</v>
      </c>
      <c r="G71" s="71">
        <v>0</v>
      </c>
      <c r="H71" s="71">
        <v>2018</v>
      </c>
      <c r="I71" s="71">
        <v>2020</v>
      </c>
      <c r="J71" s="86">
        <f t="shared" si="37"/>
        <v>0</v>
      </c>
      <c r="K71" s="86">
        <f t="shared" ref="K71:M71" si="43">0.6*E71</f>
        <v>0</v>
      </c>
      <c r="L71" s="86">
        <f t="shared" si="43"/>
        <v>0</v>
      </c>
      <c r="M71" s="86">
        <f t="shared" si="43"/>
        <v>0</v>
      </c>
      <c r="N71" s="86">
        <v>0</v>
      </c>
      <c r="O71" s="86">
        <v>0</v>
      </c>
      <c r="P71" s="86">
        <v>0</v>
      </c>
      <c r="Q71" s="86"/>
      <c r="R71" s="86"/>
      <c r="S71" s="515"/>
      <c r="T71" s="515"/>
      <c r="U71" s="86" t="s">
        <v>294</v>
      </c>
      <c r="V71" s="56" t="s">
        <v>41</v>
      </c>
    </row>
    <row r="72" ht="23.25" customHeight="1" spans="1:22">
      <c r="A72" s="71"/>
      <c r="B72" s="71" t="s">
        <v>1430</v>
      </c>
      <c r="C72" s="71" t="s">
        <v>320</v>
      </c>
      <c r="D72" s="71" t="s">
        <v>147</v>
      </c>
      <c r="E72" s="71">
        <v>2</v>
      </c>
      <c r="F72" s="71">
        <v>2</v>
      </c>
      <c r="G72" s="71">
        <v>2</v>
      </c>
      <c r="H72" s="71">
        <v>2018</v>
      </c>
      <c r="I72" s="71">
        <v>2020</v>
      </c>
      <c r="J72" s="86">
        <f t="shared" si="37"/>
        <v>3.6</v>
      </c>
      <c r="K72" s="86">
        <f t="shared" ref="K72:M72" si="44">0.6*E72</f>
        <v>1.2</v>
      </c>
      <c r="L72" s="86">
        <f t="shared" si="44"/>
        <v>1.2</v>
      </c>
      <c r="M72" s="86">
        <f t="shared" si="44"/>
        <v>1.2</v>
      </c>
      <c r="N72" s="86">
        <v>0.9</v>
      </c>
      <c r="O72" s="86">
        <v>1.8</v>
      </c>
      <c r="P72" s="86">
        <v>0.9</v>
      </c>
      <c r="Q72" s="86"/>
      <c r="R72" s="86"/>
      <c r="S72" s="516"/>
      <c r="T72" s="138"/>
      <c r="U72" s="86" t="s">
        <v>294</v>
      </c>
      <c r="V72" s="56" t="s">
        <v>41</v>
      </c>
    </row>
    <row r="73" ht="23.25" customHeight="1" spans="1:22">
      <c r="A73" s="71"/>
      <c r="B73" s="73" t="s">
        <v>1434</v>
      </c>
      <c r="C73" s="71"/>
      <c r="D73" s="71"/>
      <c r="E73" s="71">
        <f t="shared" ref="E73:G73" si="45">E74+E75+E76+E77+E78+E79</f>
        <v>27</v>
      </c>
      <c r="F73" s="71">
        <f t="shared" si="45"/>
        <v>27</v>
      </c>
      <c r="G73" s="71">
        <f t="shared" si="45"/>
        <v>27</v>
      </c>
      <c r="H73" s="71">
        <v>2018</v>
      </c>
      <c r="I73" s="71">
        <v>2020</v>
      </c>
      <c r="J73" s="86">
        <f t="shared" si="37"/>
        <v>44.55</v>
      </c>
      <c r="K73" s="86">
        <f t="shared" ref="K73:P73" si="46">K74+K75+K76+K77+K78+K79</f>
        <v>14.85</v>
      </c>
      <c r="L73" s="86">
        <f t="shared" si="46"/>
        <v>14.85</v>
      </c>
      <c r="M73" s="86">
        <f t="shared" si="46"/>
        <v>14.85</v>
      </c>
      <c r="N73" s="86">
        <f t="shared" si="46"/>
        <v>8.1</v>
      </c>
      <c r="O73" s="86">
        <f t="shared" si="46"/>
        <v>24.3</v>
      </c>
      <c r="P73" s="86">
        <f t="shared" si="46"/>
        <v>12.15</v>
      </c>
      <c r="Q73" s="86"/>
      <c r="R73" s="86"/>
      <c r="S73" s="86" t="s">
        <v>1431</v>
      </c>
      <c r="T73" s="86" t="s">
        <v>1432</v>
      </c>
      <c r="U73" s="86" t="s">
        <v>294</v>
      </c>
      <c r="V73" s="56" t="s">
        <v>41</v>
      </c>
    </row>
    <row r="74" ht="23.25" customHeight="1" spans="1:22">
      <c r="A74" s="71"/>
      <c r="B74" s="71" t="s">
        <v>1425</v>
      </c>
      <c r="C74" s="71" t="s">
        <v>320</v>
      </c>
      <c r="D74" s="71" t="s">
        <v>147</v>
      </c>
      <c r="E74" s="71">
        <v>0</v>
      </c>
      <c r="F74" s="71">
        <v>0</v>
      </c>
      <c r="G74" s="71">
        <v>0</v>
      </c>
      <c r="H74" s="71">
        <v>2018</v>
      </c>
      <c r="I74" s="71">
        <v>2020</v>
      </c>
      <c r="J74" s="86">
        <f t="shared" si="37"/>
        <v>0</v>
      </c>
      <c r="K74" s="86">
        <f t="shared" ref="K74:M74" si="47">0.55*E74</f>
        <v>0</v>
      </c>
      <c r="L74" s="86">
        <f t="shared" si="47"/>
        <v>0</v>
      </c>
      <c r="M74" s="86">
        <f t="shared" si="47"/>
        <v>0</v>
      </c>
      <c r="N74" s="86">
        <v>0</v>
      </c>
      <c r="O74" s="86">
        <v>0</v>
      </c>
      <c r="P74" s="86">
        <v>0</v>
      </c>
      <c r="Q74" s="86"/>
      <c r="R74" s="86"/>
      <c r="S74" s="56"/>
      <c r="T74" s="515"/>
      <c r="U74" s="86" t="s">
        <v>294</v>
      </c>
      <c r="V74" s="56" t="s">
        <v>41</v>
      </c>
    </row>
    <row r="75" ht="23.25" customHeight="1" spans="1:22">
      <c r="A75" s="71"/>
      <c r="B75" s="71" t="s">
        <v>1426</v>
      </c>
      <c r="C75" s="71" t="s">
        <v>320</v>
      </c>
      <c r="D75" s="71" t="s">
        <v>147</v>
      </c>
      <c r="E75" s="71">
        <v>0</v>
      </c>
      <c r="F75" s="71">
        <v>0</v>
      </c>
      <c r="G75" s="71">
        <v>0</v>
      </c>
      <c r="H75" s="71">
        <v>2018</v>
      </c>
      <c r="I75" s="71">
        <v>2020</v>
      </c>
      <c r="J75" s="86">
        <f t="shared" si="37"/>
        <v>0</v>
      </c>
      <c r="K75" s="86">
        <f t="shared" ref="K75:M75" si="48">0.55*E75</f>
        <v>0</v>
      </c>
      <c r="L75" s="86">
        <f t="shared" si="48"/>
        <v>0</v>
      </c>
      <c r="M75" s="86">
        <f t="shared" si="48"/>
        <v>0</v>
      </c>
      <c r="N75" s="86">
        <v>0</v>
      </c>
      <c r="O75" s="86">
        <v>0</v>
      </c>
      <c r="P75" s="86">
        <v>0</v>
      </c>
      <c r="Q75" s="86"/>
      <c r="R75" s="86"/>
      <c r="S75" s="515"/>
      <c r="T75" s="515"/>
      <c r="U75" s="86" t="s">
        <v>294</v>
      </c>
      <c r="V75" s="56" t="s">
        <v>41</v>
      </c>
    </row>
    <row r="76" ht="23.25" customHeight="1" spans="1:22">
      <c r="A76" s="71"/>
      <c r="B76" s="71" t="s">
        <v>1427</v>
      </c>
      <c r="C76" s="71" t="s">
        <v>320</v>
      </c>
      <c r="D76" s="71" t="s">
        <v>147</v>
      </c>
      <c r="E76" s="71">
        <v>16</v>
      </c>
      <c r="F76" s="71">
        <v>16</v>
      </c>
      <c r="G76" s="71">
        <v>16</v>
      </c>
      <c r="H76" s="71">
        <v>2018</v>
      </c>
      <c r="I76" s="71">
        <v>2020</v>
      </c>
      <c r="J76" s="86">
        <f t="shared" si="37"/>
        <v>26.4</v>
      </c>
      <c r="K76" s="86">
        <f t="shared" ref="K76:M76" si="49">0.55*E76</f>
        <v>8.8</v>
      </c>
      <c r="L76" s="86">
        <f t="shared" si="49"/>
        <v>8.8</v>
      </c>
      <c r="M76" s="86">
        <f t="shared" si="49"/>
        <v>8.8</v>
      </c>
      <c r="N76" s="86">
        <v>4.8</v>
      </c>
      <c r="O76" s="86">
        <v>14.4</v>
      </c>
      <c r="P76" s="86">
        <v>7.2</v>
      </c>
      <c r="Q76" s="86"/>
      <c r="R76" s="86"/>
      <c r="S76" s="515"/>
      <c r="T76" s="515"/>
      <c r="U76" s="86" t="s">
        <v>294</v>
      </c>
      <c r="V76" s="56" t="s">
        <v>41</v>
      </c>
    </row>
    <row r="77" ht="23.25" customHeight="1" spans="1:22">
      <c r="A77" s="71"/>
      <c r="B77" s="71" t="s">
        <v>1428</v>
      </c>
      <c r="C77" s="71" t="s">
        <v>320</v>
      </c>
      <c r="D77" s="71" t="s">
        <v>147</v>
      </c>
      <c r="E77" s="71">
        <v>7</v>
      </c>
      <c r="F77" s="71">
        <v>7</v>
      </c>
      <c r="G77" s="71">
        <v>7</v>
      </c>
      <c r="H77" s="71">
        <v>2018</v>
      </c>
      <c r="I77" s="71">
        <v>2020</v>
      </c>
      <c r="J77" s="86">
        <f t="shared" si="37"/>
        <v>11.55</v>
      </c>
      <c r="K77" s="86">
        <f t="shared" ref="K77:M77" si="50">0.55*E77</f>
        <v>3.85</v>
      </c>
      <c r="L77" s="86">
        <f t="shared" si="50"/>
        <v>3.85</v>
      </c>
      <c r="M77" s="86">
        <f t="shared" si="50"/>
        <v>3.85</v>
      </c>
      <c r="N77" s="86">
        <v>2.1</v>
      </c>
      <c r="O77" s="86">
        <v>6.3</v>
      </c>
      <c r="P77" s="86">
        <v>3.15</v>
      </c>
      <c r="Q77" s="86"/>
      <c r="R77" s="86"/>
      <c r="S77" s="515"/>
      <c r="T77" s="515"/>
      <c r="U77" s="86" t="s">
        <v>294</v>
      </c>
      <c r="V77" s="56" t="s">
        <v>41</v>
      </c>
    </row>
    <row r="78" ht="23.25" customHeight="1" spans="1:22">
      <c r="A78" s="71"/>
      <c r="B78" s="71" t="s">
        <v>1429</v>
      </c>
      <c r="C78" s="71" t="s">
        <v>320</v>
      </c>
      <c r="D78" s="71" t="s">
        <v>147</v>
      </c>
      <c r="E78" s="71">
        <v>4</v>
      </c>
      <c r="F78" s="71">
        <v>4</v>
      </c>
      <c r="G78" s="71">
        <v>4</v>
      </c>
      <c r="H78" s="71">
        <v>2018</v>
      </c>
      <c r="I78" s="71">
        <v>2020</v>
      </c>
      <c r="J78" s="86">
        <f t="shared" si="37"/>
        <v>6.6</v>
      </c>
      <c r="K78" s="86">
        <f t="shared" ref="K78:M78" si="51">0.55*E78</f>
        <v>2.2</v>
      </c>
      <c r="L78" s="86">
        <f t="shared" si="51"/>
        <v>2.2</v>
      </c>
      <c r="M78" s="86">
        <f t="shared" si="51"/>
        <v>2.2</v>
      </c>
      <c r="N78" s="86">
        <v>1.2</v>
      </c>
      <c r="O78" s="86">
        <v>3.6</v>
      </c>
      <c r="P78" s="86">
        <v>1.8</v>
      </c>
      <c r="Q78" s="86"/>
      <c r="R78" s="86"/>
      <c r="S78" s="515"/>
      <c r="T78" s="515"/>
      <c r="U78" s="86" t="s">
        <v>294</v>
      </c>
      <c r="V78" s="56" t="s">
        <v>41</v>
      </c>
    </row>
    <row r="79" ht="23.25" customHeight="1" spans="1:22">
      <c r="A79" s="71"/>
      <c r="B79" s="71" t="s">
        <v>1430</v>
      </c>
      <c r="C79" s="71" t="s">
        <v>320</v>
      </c>
      <c r="D79" s="71" t="s">
        <v>147</v>
      </c>
      <c r="E79" s="71">
        <v>0</v>
      </c>
      <c r="F79" s="71">
        <v>0</v>
      </c>
      <c r="G79" s="71">
        <v>0</v>
      </c>
      <c r="H79" s="71">
        <v>2018</v>
      </c>
      <c r="I79" s="71">
        <v>2020</v>
      </c>
      <c r="J79" s="86">
        <f t="shared" si="37"/>
        <v>0</v>
      </c>
      <c r="K79" s="86">
        <f t="shared" ref="K79:M79" si="52">0.55*E79</f>
        <v>0</v>
      </c>
      <c r="L79" s="86">
        <f t="shared" si="52"/>
        <v>0</v>
      </c>
      <c r="M79" s="86">
        <f t="shared" si="52"/>
        <v>0</v>
      </c>
      <c r="N79" s="86">
        <v>0</v>
      </c>
      <c r="O79" s="86">
        <v>0</v>
      </c>
      <c r="P79" s="86">
        <v>0</v>
      </c>
      <c r="Q79" s="86"/>
      <c r="R79" s="86"/>
      <c r="S79" s="516"/>
      <c r="T79" s="138"/>
      <c r="U79" s="86" t="s">
        <v>294</v>
      </c>
      <c r="V79" s="56" t="s">
        <v>41</v>
      </c>
    </row>
    <row r="80" ht="23.25" customHeight="1" spans="1:22">
      <c r="A80" s="71"/>
      <c r="B80" s="73" t="s">
        <v>1435</v>
      </c>
      <c r="C80" s="71"/>
      <c r="D80" s="71"/>
      <c r="E80" s="71">
        <f t="shared" ref="E80:G80" si="53">E81+E82+E83+E84+E85+E86</f>
        <v>55</v>
      </c>
      <c r="F80" s="71">
        <f t="shared" si="53"/>
        <v>55</v>
      </c>
      <c r="G80" s="71">
        <f t="shared" si="53"/>
        <v>55</v>
      </c>
      <c r="H80" s="71"/>
      <c r="I80" s="71"/>
      <c r="J80" s="86">
        <f t="shared" si="37"/>
        <v>49.5</v>
      </c>
      <c r="K80" s="86">
        <f t="shared" ref="K80:P80" si="54">K81+K82+K83+K84+K85+K86</f>
        <v>16.5</v>
      </c>
      <c r="L80" s="86">
        <f t="shared" si="54"/>
        <v>16.5</v>
      </c>
      <c r="M80" s="86">
        <f t="shared" si="54"/>
        <v>16.5</v>
      </c>
      <c r="N80" s="86">
        <f t="shared" si="54"/>
        <v>24.75</v>
      </c>
      <c r="O80" s="86">
        <f t="shared" si="54"/>
        <v>0</v>
      </c>
      <c r="P80" s="86">
        <f t="shared" si="54"/>
        <v>24.75</v>
      </c>
      <c r="Q80" s="86"/>
      <c r="R80" s="86"/>
      <c r="S80" s="86" t="s">
        <v>1431</v>
      </c>
      <c r="T80" s="86" t="s">
        <v>1432</v>
      </c>
      <c r="U80" s="86" t="s">
        <v>294</v>
      </c>
      <c r="V80" s="56" t="s">
        <v>41</v>
      </c>
    </row>
    <row r="81" ht="23.25" customHeight="1" spans="1:22">
      <c r="A81" s="71"/>
      <c r="B81" s="71" t="s">
        <v>1425</v>
      </c>
      <c r="C81" s="71" t="s">
        <v>320</v>
      </c>
      <c r="D81" s="71" t="s">
        <v>147</v>
      </c>
      <c r="E81" s="71">
        <v>9</v>
      </c>
      <c r="F81" s="71">
        <v>9</v>
      </c>
      <c r="G81" s="71">
        <v>9</v>
      </c>
      <c r="H81" s="71">
        <v>2018</v>
      </c>
      <c r="I81" s="71">
        <v>2020</v>
      </c>
      <c r="J81" s="86">
        <f t="shared" si="37"/>
        <v>8.1</v>
      </c>
      <c r="K81" s="86">
        <f t="shared" ref="K81:M81" si="55">0.3*E81</f>
        <v>2.7</v>
      </c>
      <c r="L81" s="86">
        <f t="shared" si="55"/>
        <v>2.7</v>
      </c>
      <c r="M81" s="86">
        <f t="shared" si="55"/>
        <v>2.7</v>
      </c>
      <c r="N81" s="86">
        <v>4.05</v>
      </c>
      <c r="O81" s="86"/>
      <c r="P81" s="86">
        <v>4.05</v>
      </c>
      <c r="Q81" s="86"/>
      <c r="R81" s="86"/>
      <c r="S81" s="56"/>
      <c r="T81" s="515"/>
      <c r="U81" s="86" t="s">
        <v>294</v>
      </c>
      <c r="V81" s="56" t="s">
        <v>41</v>
      </c>
    </row>
    <row r="82" ht="23.25" customHeight="1" spans="1:22">
      <c r="A82" s="71"/>
      <c r="B82" s="71" t="s">
        <v>1426</v>
      </c>
      <c r="C82" s="71" t="s">
        <v>320</v>
      </c>
      <c r="D82" s="71" t="s">
        <v>147</v>
      </c>
      <c r="E82" s="71">
        <v>7</v>
      </c>
      <c r="F82" s="71">
        <v>7</v>
      </c>
      <c r="G82" s="71">
        <v>7</v>
      </c>
      <c r="H82" s="71">
        <v>2018</v>
      </c>
      <c r="I82" s="71">
        <v>2020</v>
      </c>
      <c r="J82" s="86">
        <f t="shared" si="37"/>
        <v>6.3</v>
      </c>
      <c r="K82" s="86">
        <f t="shared" ref="K82:M82" si="56">0.3*E82</f>
        <v>2.1</v>
      </c>
      <c r="L82" s="86">
        <f t="shared" si="56"/>
        <v>2.1</v>
      </c>
      <c r="M82" s="86">
        <f t="shared" si="56"/>
        <v>2.1</v>
      </c>
      <c r="N82" s="86">
        <v>3.15</v>
      </c>
      <c r="O82" s="86"/>
      <c r="P82" s="86">
        <v>3.15</v>
      </c>
      <c r="Q82" s="86"/>
      <c r="R82" s="86"/>
      <c r="S82" s="515"/>
      <c r="T82" s="515"/>
      <c r="U82" s="86" t="s">
        <v>294</v>
      </c>
      <c r="V82" s="56" t="s">
        <v>41</v>
      </c>
    </row>
    <row r="83" ht="23.25" customHeight="1" spans="1:22">
      <c r="A83" s="71"/>
      <c r="B83" s="71" t="s">
        <v>1427</v>
      </c>
      <c r="C83" s="71" t="s">
        <v>320</v>
      </c>
      <c r="D83" s="71" t="s">
        <v>147</v>
      </c>
      <c r="E83" s="71">
        <v>11</v>
      </c>
      <c r="F83" s="71">
        <v>11</v>
      </c>
      <c r="G83" s="71">
        <v>11</v>
      </c>
      <c r="H83" s="71">
        <v>2018</v>
      </c>
      <c r="I83" s="71">
        <v>2020</v>
      </c>
      <c r="J83" s="86">
        <f t="shared" si="37"/>
        <v>9.9</v>
      </c>
      <c r="K83" s="86">
        <f t="shared" ref="K83:M83" si="57">0.3*E83</f>
        <v>3.3</v>
      </c>
      <c r="L83" s="86">
        <f t="shared" si="57"/>
        <v>3.3</v>
      </c>
      <c r="M83" s="86">
        <f t="shared" si="57"/>
        <v>3.3</v>
      </c>
      <c r="N83" s="86">
        <v>4.95</v>
      </c>
      <c r="O83" s="86"/>
      <c r="P83" s="86">
        <v>4.95</v>
      </c>
      <c r="Q83" s="86"/>
      <c r="R83" s="86"/>
      <c r="S83" s="515"/>
      <c r="T83" s="515"/>
      <c r="U83" s="86" t="s">
        <v>294</v>
      </c>
      <c r="V83" s="56" t="s">
        <v>41</v>
      </c>
    </row>
    <row r="84" ht="23.25" customHeight="1" spans="1:22">
      <c r="A84" s="71"/>
      <c r="B84" s="71" t="s">
        <v>1428</v>
      </c>
      <c r="C84" s="71" t="s">
        <v>320</v>
      </c>
      <c r="D84" s="71" t="s">
        <v>147</v>
      </c>
      <c r="E84" s="71">
        <v>13</v>
      </c>
      <c r="F84" s="71">
        <v>13</v>
      </c>
      <c r="G84" s="71">
        <v>13</v>
      </c>
      <c r="H84" s="71">
        <v>2018</v>
      </c>
      <c r="I84" s="71">
        <v>2020</v>
      </c>
      <c r="J84" s="86">
        <f t="shared" si="37"/>
        <v>11.7</v>
      </c>
      <c r="K84" s="86">
        <f t="shared" ref="K84:M84" si="58">0.3*E84</f>
        <v>3.9</v>
      </c>
      <c r="L84" s="86">
        <f t="shared" si="58"/>
        <v>3.9</v>
      </c>
      <c r="M84" s="86">
        <f t="shared" si="58"/>
        <v>3.9</v>
      </c>
      <c r="N84" s="86">
        <v>5.85</v>
      </c>
      <c r="O84" s="86"/>
      <c r="P84" s="86">
        <v>5.85</v>
      </c>
      <c r="Q84" s="86"/>
      <c r="R84" s="86"/>
      <c r="S84" s="515"/>
      <c r="T84" s="515"/>
      <c r="U84" s="86" t="s">
        <v>294</v>
      </c>
      <c r="V84" s="56" t="s">
        <v>41</v>
      </c>
    </row>
    <row r="85" ht="23.25" customHeight="1" spans="1:22">
      <c r="A85" s="71"/>
      <c r="B85" s="71" t="s">
        <v>1429</v>
      </c>
      <c r="C85" s="71" t="s">
        <v>320</v>
      </c>
      <c r="D85" s="71" t="s">
        <v>147</v>
      </c>
      <c r="E85" s="71">
        <v>12</v>
      </c>
      <c r="F85" s="71">
        <v>12</v>
      </c>
      <c r="G85" s="71">
        <v>12</v>
      </c>
      <c r="H85" s="71">
        <v>2018</v>
      </c>
      <c r="I85" s="71">
        <v>2020</v>
      </c>
      <c r="J85" s="86">
        <f t="shared" si="37"/>
        <v>10.8</v>
      </c>
      <c r="K85" s="86">
        <f t="shared" ref="K85:M85" si="59">0.3*E85</f>
        <v>3.6</v>
      </c>
      <c r="L85" s="86">
        <f t="shared" si="59"/>
        <v>3.6</v>
      </c>
      <c r="M85" s="86">
        <f t="shared" si="59"/>
        <v>3.6</v>
      </c>
      <c r="N85" s="86">
        <v>5.4</v>
      </c>
      <c r="O85" s="86"/>
      <c r="P85" s="86">
        <v>5.4</v>
      </c>
      <c r="Q85" s="86"/>
      <c r="R85" s="86"/>
      <c r="S85" s="515"/>
      <c r="T85" s="515"/>
      <c r="U85" s="86" t="s">
        <v>294</v>
      </c>
      <c r="V85" s="56" t="s">
        <v>41</v>
      </c>
    </row>
    <row r="86" ht="23.25" customHeight="1" spans="1:22">
      <c r="A86" s="71"/>
      <c r="B86" s="71" t="s">
        <v>1430</v>
      </c>
      <c r="C86" s="71" t="s">
        <v>320</v>
      </c>
      <c r="D86" s="71" t="s">
        <v>147</v>
      </c>
      <c r="E86" s="71">
        <v>3</v>
      </c>
      <c r="F86" s="71">
        <v>3</v>
      </c>
      <c r="G86" s="71">
        <v>3</v>
      </c>
      <c r="H86" s="71">
        <v>2018</v>
      </c>
      <c r="I86" s="71">
        <v>2020</v>
      </c>
      <c r="J86" s="86">
        <f t="shared" si="37"/>
        <v>2.7</v>
      </c>
      <c r="K86" s="86">
        <f t="shared" ref="K86:M86" si="60">0.3*E86</f>
        <v>0.9</v>
      </c>
      <c r="L86" s="86">
        <f t="shared" si="60"/>
        <v>0.9</v>
      </c>
      <c r="M86" s="86">
        <f t="shared" si="60"/>
        <v>0.9</v>
      </c>
      <c r="N86" s="86">
        <v>1.35</v>
      </c>
      <c r="O86" s="86"/>
      <c r="P86" s="86">
        <v>1.35</v>
      </c>
      <c r="Q86" s="86"/>
      <c r="R86" s="86"/>
      <c r="S86" s="516"/>
      <c r="T86" s="138"/>
      <c r="U86" s="86" t="s">
        <v>294</v>
      </c>
      <c r="V86" s="56" t="s">
        <v>41</v>
      </c>
    </row>
    <row r="87" ht="24" customHeight="1" spans="1:22">
      <c r="A87" s="71">
        <v>14</v>
      </c>
      <c r="B87" s="73" t="s">
        <v>324</v>
      </c>
      <c r="C87" s="71" t="s">
        <v>320</v>
      </c>
      <c r="D87" s="71" t="s">
        <v>147</v>
      </c>
      <c r="E87" s="71"/>
      <c r="F87" s="71"/>
      <c r="G87" s="71"/>
      <c r="H87" s="71"/>
      <c r="I87" s="71"/>
      <c r="J87" s="86"/>
      <c r="K87" s="86"/>
      <c r="L87" s="86"/>
      <c r="M87" s="86"/>
      <c r="N87" s="86"/>
      <c r="O87" s="86"/>
      <c r="P87" s="86"/>
      <c r="Q87" s="86"/>
      <c r="R87" s="86"/>
      <c r="S87" s="86"/>
      <c r="T87" s="86"/>
      <c r="U87" s="86" t="s">
        <v>294</v>
      </c>
      <c r="V87" s="56" t="s">
        <v>41</v>
      </c>
    </row>
    <row r="88" ht="23.25" customHeight="1" spans="1:22">
      <c r="A88" s="71">
        <v>15</v>
      </c>
      <c r="B88" s="73" t="s">
        <v>802</v>
      </c>
      <c r="C88" s="71" t="s">
        <v>320</v>
      </c>
      <c r="D88" s="71" t="s">
        <v>320</v>
      </c>
      <c r="E88" s="71">
        <f t="shared" ref="E88:G88" si="61">SUM(E89,E104,E111,E118,E125)</f>
        <v>15548</v>
      </c>
      <c r="F88" s="71">
        <f t="shared" si="61"/>
        <v>3102</v>
      </c>
      <c r="G88" s="71">
        <f t="shared" si="61"/>
        <v>15548</v>
      </c>
      <c r="H88" s="71">
        <v>2018</v>
      </c>
      <c r="I88" s="71">
        <v>2020</v>
      </c>
      <c r="J88" s="86">
        <f t="shared" ref="J88:R88" si="62">J89+J111+J125</f>
        <v>440.486</v>
      </c>
      <c r="K88" s="86">
        <f t="shared" si="62"/>
        <v>143.222</v>
      </c>
      <c r="L88" s="86">
        <f t="shared" si="62"/>
        <v>146.712</v>
      </c>
      <c r="M88" s="86">
        <f t="shared" si="62"/>
        <v>150.552</v>
      </c>
      <c r="N88" s="86">
        <f t="shared" si="62"/>
        <v>303.5906</v>
      </c>
      <c r="O88" s="86">
        <f t="shared" si="62"/>
        <v>0</v>
      </c>
      <c r="P88" s="86">
        <f t="shared" si="62"/>
        <v>136.8954</v>
      </c>
      <c r="Q88" s="86">
        <f t="shared" si="62"/>
        <v>0</v>
      </c>
      <c r="R88" s="86">
        <f t="shared" si="62"/>
        <v>0</v>
      </c>
      <c r="S88" s="86" t="s">
        <v>1431</v>
      </c>
      <c r="T88" s="86" t="s">
        <v>1436</v>
      </c>
      <c r="U88" s="71" t="s">
        <v>320</v>
      </c>
      <c r="V88" s="56" t="s">
        <v>41</v>
      </c>
    </row>
    <row r="89" ht="23.25" customHeight="1" spans="1:22">
      <c r="A89" s="71">
        <v>16</v>
      </c>
      <c r="B89" s="73" t="s">
        <v>327</v>
      </c>
      <c r="C89" s="71" t="s">
        <v>320</v>
      </c>
      <c r="D89" s="71" t="s">
        <v>147</v>
      </c>
      <c r="E89" s="71">
        <v>6019</v>
      </c>
      <c r="F89" s="71">
        <v>1551</v>
      </c>
      <c r="G89" s="71">
        <v>6019</v>
      </c>
      <c r="H89" s="71">
        <v>2018</v>
      </c>
      <c r="I89" s="71">
        <v>2020</v>
      </c>
      <c r="J89" s="86">
        <f t="shared" ref="J89:R89" si="63">J90+J97</f>
        <v>325.026</v>
      </c>
      <c r="K89" s="86">
        <f t="shared" si="63"/>
        <v>108.342</v>
      </c>
      <c r="L89" s="86">
        <f t="shared" si="63"/>
        <v>108.342</v>
      </c>
      <c r="M89" s="86">
        <f t="shared" si="63"/>
        <v>108.342</v>
      </c>
      <c r="N89" s="86">
        <f t="shared" si="63"/>
        <v>188.1306</v>
      </c>
      <c r="O89" s="86">
        <f t="shared" si="63"/>
        <v>0</v>
      </c>
      <c r="P89" s="86">
        <f t="shared" si="63"/>
        <v>136.8954</v>
      </c>
      <c r="Q89" s="86">
        <f t="shared" si="63"/>
        <v>0</v>
      </c>
      <c r="R89" s="86">
        <f t="shared" si="63"/>
        <v>0</v>
      </c>
      <c r="S89" s="86" t="s">
        <v>1431</v>
      </c>
      <c r="T89" s="86" t="s">
        <v>1436</v>
      </c>
      <c r="U89" s="86" t="s">
        <v>195</v>
      </c>
      <c r="V89" s="56" t="s">
        <v>41</v>
      </c>
    </row>
    <row r="90" ht="23.25" customHeight="1" spans="1:22">
      <c r="A90" s="71"/>
      <c r="B90" s="73" t="s">
        <v>1437</v>
      </c>
      <c r="C90" s="71"/>
      <c r="D90" s="71"/>
      <c r="E90" s="71">
        <f t="shared" ref="E90:G90" si="64">E91+E92+E93+E94+E95+E96</f>
        <v>3647</v>
      </c>
      <c r="F90" s="71">
        <f t="shared" si="64"/>
        <v>863</v>
      </c>
      <c r="G90" s="71">
        <f t="shared" si="64"/>
        <v>3647</v>
      </c>
      <c r="H90" s="71">
        <v>2018</v>
      </c>
      <c r="I90" s="71">
        <v>2020</v>
      </c>
      <c r="J90" s="86">
        <f t="shared" ref="J90:J103" si="65">K90+L90+M90</f>
        <v>196.938</v>
      </c>
      <c r="K90" s="86">
        <f t="shared" ref="K90:N90" si="66">K91+K92+K93+K94+K95+K96</f>
        <v>65.646</v>
      </c>
      <c r="L90" s="86">
        <f t="shared" si="66"/>
        <v>65.646</v>
      </c>
      <c r="M90" s="86">
        <f t="shared" si="66"/>
        <v>65.646</v>
      </c>
      <c r="N90" s="86">
        <f t="shared" si="66"/>
        <v>98.469</v>
      </c>
      <c r="O90" s="86"/>
      <c r="P90" s="86">
        <f>P91+P92+P93+P94+P95+P96</f>
        <v>98.469</v>
      </c>
      <c r="Q90" s="86"/>
      <c r="R90" s="86"/>
      <c r="S90" s="86" t="s">
        <v>1431</v>
      </c>
      <c r="T90" s="86" t="s">
        <v>1436</v>
      </c>
      <c r="U90" s="86"/>
      <c r="V90" s="56"/>
    </row>
    <row r="91" ht="23.25" customHeight="1" spans="1:22">
      <c r="A91" s="71"/>
      <c r="B91" s="71" t="s">
        <v>1425</v>
      </c>
      <c r="C91" s="71" t="s">
        <v>320</v>
      </c>
      <c r="D91" s="71" t="s">
        <v>147</v>
      </c>
      <c r="E91" s="71">
        <v>532</v>
      </c>
      <c r="F91" s="71">
        <v>127</v>
      </c>
      <c r="G91" s="71">
        <v>532</v>
      </c>
      <c r="H91" s="71">
        <v>2018</v>
      </c>
      <c r="I91" s="71">
        <v>2020</v>
      </c>
      <c r="J91" s="86">
        <f t="shared" si="65"/>
        <v>28.728</v>
      </c>
      <c r="K91" s="86">
        <f t="shared" ref="K91:K96" si="67">0.018*E91</f>
        <v>9.576</v>
      </c>
      <c r="L91" s="86">
        <f t="shared" ref="L91:L96" si="68">0.018*E91</f>
        <v>9.576</v>
      </c>
      <c r="M91" s="86">
        <f t="shared" ref="M91:M96" si="69">0.018*E91</f>
        <v>9.576</v>
      </c>
      <c r="N91" s="86">
        <f t="shared" ref="N91:N96" si="70">J91-P91</f>
        <v>14.364</v>
      </c>
      <c r="O91" s="86"/>
      <c r="P91" s="86">
        <f t="shared" ref="P91:P96" si="71">0.009*3*E91</f>
        <v>14.364</v>
      </c>
      <c r="Q91" s="86"/>
      <c r="R91" s="86"/>
      <c r="S91" s="86"/>
      <c r="T91" s="86"/>
      <c r="U91" s="86" t="s">
        <v>195</v>
      </c>
      <c r="V91" s="56" t="s">
        <v>41</v>
      </c>
    </row>
    <row r="92" ht="23.25" customHeight="1" spans="1:22">
      <c r="A92" s="71"/>
      <c r="B92" s="71" t="s">
        <v>1426</v>
      </c>
      <c r="C92" s="71" t="s">
        <v>320</v>
      </c>
      <c r="D92" s="71" t="s">
        <v>147</v>
      </c>
      <c r="E92" s="71">
        <v>683</v>
      </c>
      <c r="F92" s="71">
        <v>158</v>
      </c>
      <c r="G92" s="71">
        <v>683</v>
      </c>
      <c r="H92" s="71">
        <v>2018</v>
      </c>
      <c r="I92" s="71">
        <v>2020</v>
      </c>
      <c r="J92" s="86">
        <f t="shared" si="65"/>
        <v>36.882</v>
      </c>
      <c r="K92" s="86">
        <f t="shared" si="67"/>
        <v>12.294</v>
      </c>
      <c r="L92" s="86">
        <f t="shared" si="68"/>
        <v>12.294</v>
      </c>
      <c r="M92" s="86">
        <f t="shared" si="69"/>
        <v>12.294</v>
      </c>
      <c r="N92" s="86">
        <f t="shared" si="70"/>
        <v>18.441</v>
      </c>
      <c r="O92" s="86"/>
      <c r="P92" s="86">
        <f t="shared" si="71"/>
        <v>18.441</v>
      </c>
      <c r="Q92" s="86"/>
      <c r="R92" s="86"/>
      <c r="S92" s="86"/>
      <c r="T92" s="86"/>
      <c r="U92" s="86" t="s">
        <v>195</v>
      </c>
      <c r="V92" s="56" t="s">
        <v>41</v>
      </c>
    </row>
    <row r="93" ht="23.25" customHeight="1" spans="1:22">
      <c r="A93" s="71"/>
      <c r="B93" s="71" t="s">
        <v>1427</v>
      </c>
      <c r="C93" s="71" t="s">
        <v>320</v>
      </c>
      <c r="D93" s="71" t="s">
        <v>147</v>
      </c>
      <c r="E93" s="71">
        <v>860</v>
      </c>
      <c r="F93" s="71">
        <v>202</v>
      </c>
      <c r="G93" s="71">
        <v>860</v>
      </c>
      <c r="H93" s="71">
        <v>2018</v>
      </c>
      <c r="I93" s="71">
        <v>2020</v>
      </c>
      <c r="J93" s="86">
        <f t="shared" si="65"/>
        <v>46.44</v>
      </c>
      <c r="K93" s="86">
        <f t="shared" si="67"/>
        <v>15.48</v>
      </c>
      <c r="L93" s="86">
        <f t="shared" si="68"/>
        <v>15.48</v>
      </c>
      <c r="M93" s="86">
        <f t="shared" si="69"/>
        <v>15.48</v>
      </c>
      <c r="N93" s="86">
        <f t="shared" si="70"/>
        <v>23.22</v>
      </c>
      <c r="O93" s="86"/>
      <c r="P93" s="86">
        <f t="shared" si="71"/>
        <v>23.22</v>
      </c>
      <c r="Q93" s="86"/>
      <c r="R93" s="86"/>
      <c r="S93" s="86"/>
      <c r="T93" s="86"/>
      <c r="U93" s="86" t="s">
        <v>195</v>
      </c>
      <c r="V93" s="56" t="s">
        <v>41</v>
      </c>
    </row>
    <row r="94" ht="23.25" customHeight="1" spans="1:22">
      <c r="A94" s="71"/>
      <c r="B94" s="71" t="s">
        <v>1428</v>
      </c>
      <c r="C94" s="71" t="s">
        <v>320</v>
      </c>
      <c r="D94" s="71" t="s">
        <v>147</v>
      </c>
      <c r="E94" s="71">
        <v>683</v>
      </c>
      <c r="F94" s="71">
        <v>159</v>
      </c>
      <c r="G94" s="71">
        <v>683</v>
      </c>
      <c r="H94" s="71">
        <v>2018</v>
      </c>
      <c r="I94" s="71">
        <v>2020</v>
      </c>
      <c r="J94" s="86">
        <f t="shared" si="65"/>
        <v>36.882</v>
      </c>
      <c r="K94" s="86">
        <f t="shared" si="67"/>
        <v>12.294</v>
      </c>
      <c r="L94" s="86">
        <f t="shared" si="68"/>
        <v>12.294</v>
      </c>
      <c r="M94" s="86">
        <f t="shared" si="69"/>
        <v>12.294</v>
      </c>
      <c r="N94" s="86">
        <f t="shared" si="70"/>
        <v>18.441</v>
      </c>
      <c r="O94" s="86"/>
      <c r="P94" s="86">
        <f t="shared" si="71"/>
        <v>18.441</v>
      </c>
      <c r="Q94" s="86"/>
      <c r="R94" s="86"/>
      <c r="S94" s="86"/>
      <c r="T94" s="86"/>
      <c r="U94" s="86" t="s">
        <v>195</v>
      </c>
      <c r="V94" s="56" t="s">
        <v>41</v>
      </c>
    </row>
    <row r="95" ht="23.25" customHeight="1" spans="1:22">
      <c r="A95" s="71"/>
      <c r="B95" s="71" t="s">
        <v>1429</v>
      </c>
      <c r="C95" s="71" t="s">
        <v>320</v>
      </c>
      <c r="D95" s="71" t="s">
        <v>147</v>
      </c>
      <c r="E95" s="71">
        <v>449</v>
      </c>
      <c r="F95" s="71">
        <v>101</v>
      </c>
      <c r="G95" s="71">
        <v>449</v>
      </c>
      <c r="H95" s="71">
        <v>2018</v>
      </c>
      <c r="I95" s="71">
        <v>2020</v>
      </c>
      <c r="J95" s="86">
        <f t="shared" si="65"/>
        <v>24.246</v>
      </c>
      <c r="K95" s="86">
        <f t="shared" si="67"/>
        <v>8.082</v>
      </c>
      <c r="L95" s="86">
        <f t="shared" si="68"/>
        <v>8.082</v>
      </c>
      <c r="M95" s="86">
        <f t="shared" si="69"/>
        <v>8.082</v>
      </c>
      <c r="N95" s="86">
        <f t="shared" si="70"/>
        <v>12.123</v>
      </c>
      <c r="O95" s="86"/>
      <c r="P95" s="86">
        <f t="shared" si="71"/>
        <v>12.123</v>
      </c>
      <c r="Q95" s="86"/>
      <c r="R95" s="86"/>
      <c r="S95" s="86"/>
      <c r="T95" s="86"/>
      <c r="U95" s="86" t="s">
        <v>195</v>
      </c>
      <c r="V95" s="56" t="s">
        <v>41</v>
      </c>
    </row>
    <row r="96" ht="23.25" customHeight="1" spans="1:22">
      <c r="A96" s="71"/>
      <c r="B96" s="71" t="s">
        <v>1430</v>
      </c>
      <c r="C96" s="71" t="s">
        <v>320</v>
      </c>
      <c r="D96" s="71" t="s">
        <v>147</v>
      </c>
      <c r="E96" s="71">
        <v>440</v>
      </c>
      <c r="F96" s="71">
        <v>116</v>
      </c>
      <c r="G96" s="71">
        <v>440</v>
      </c>
      <c r="H96" s="71">
        <v>2018</v>
      </c>
      <c r="I96" s="71">
        <v>2020</v>
      </c>
      <c r="J96" s="86">
        <f t="shared" si="65"/>
        <v>23.76</v>
      </c>
      <c r="K96" s="86">
        <f t="shared" si="67"/>
        <v>7.92</v>
      </c>
      <c r="L96" s="86">
        <f t="shared" si="68"/>
        <v>7.92</v>
      </c>
      <c r="M96" s="86">
        <f t="shared" si="69"/>
        <v>7.92</v>
      </c>
      <c r="N96" s="86">
        <f t="shared" si="70"/>
        <v>11.88</v>
      </c>
      <c r="O96" s="86"/>
      <c r="P96" s="86">
        <f t="shared" si="71"/>
        <v>11.88</v>
      </c>
      <c r="Q96" s="86"/>
      <c r="R96" s="86"/>
      <c r="S96" s="86"/>
      <c r="T96" s="86"/>
      <c r="U96" s="86" t="s">
        <v>195</v>
      </c>
      <c r="V96" s="56" t="s">
        <v>41</v>
      </c>
    </row>
    <row r="97" ht="23.25" customHeight="1" spans="1:22">
      <c r="A97" s="71"/>
      <c r="B97" s="71" t="s">
        <v>1438</v>
      </c>
      <c r="C97" s="71"/>
      <c r="D97" s="71"/>
      <c r="E97" s="71">
        <f t="shared" ref="E97:G97" si="72">E98+E99+E100+E101+E102+E103</f>
        <v>2372</v>
      </c>
      <c r="F97" s="71">
        <f t="shared" si="72"/>
        <v>688</v>
      </c>
      <c r="G97" s="71">
        <f t="shared" si="72"/>
        <v>2372</v>
      </c>
      <c r="H97" s="71">
        <v>2018</v>
      </c>
      <c r="I97" s="71">
        <v>2020</v>
      </c>
      <c r="J97" s="86">
        <f t="shared" si="65"/>
        <v>128.088</v>
      </c>
      <c r="K97" s="86">
        <f t="shared" ref="K97:P97" si="73">K98+K99+K100+K101+K102+K103</f>
        <v>42.696</v>
      </c>
      <c r="L97" s="86">
        <f t="shared" si="73"/>
        <v>42.696</v>
      </c>
      <c r="M97" s="86">
        <f t="shared" si="73"/>
        <v>42.696</v>
      </c>
      <c r="N97" s="86">
        <f t="shared" si="73"/>
        <v>89.6616</v>
      </c>
      <c r="O97" s="86">
        <f t="shared" si="73"/>
        <v>0</v>
      </c>
      <c r="P97" s="86">
        <f t="shared" si="73"/>
        <v>38.4264</v>
      </c>
      <c r="Q97" s="86">
        <v>0</v>
      </c>
      <c r="R97" s="86">
        <v>0</v>
      </c>
      <c r="S97" s="86" t="s">
        <v>1431</v>
      </c>
      <c r="T97" s="86" t="s">
        <v>1436</v>
      </c>
      <c r="U97" s="86"/>
      <c r="V97" s="56"/>
    </row>
    <row r="98" ht="23.25" customHeight="1" spans="1:22">
      <c r="A98" s="71"/>
      <c r="B98" s="71" t="s">
        <v>1425</v>
      </c>
      <c r="C98" s="71" t="s">
        <v>320</v>
      </c>
      <c r="D98" s="71" t="s">
        <v>147</v>
      </c>
      <c r="E98" s="71">
        <v>329</v>
      </c>
      <c r="F98" s="71">
        <v>91</v>
      </c>
      <c r="G98" s="71">
        <v>329</v>
      </c>
      <c r="H98" s="71">
        <v>2018</v>
      </c>
      <c r="I98" s="71">
        <v>2020</v>
      </c>
      <c r="J98" s="86">
        <f t="shared" si="65"/>
        <v>17.766</v>
      </c>
      <c r="K98" s="86">
        <f t="shared" ref="K98:K103" si="74">0.018*E98</f>
        <v>5.922</v>
      </c>
      <c r="L98" s="86">
        <f t="shared" ref="L98:L103" si="75">0.018*E98</f>
        <v>5.922</v>
      </c>
      <c r="M98" s="86">
        <f t="shared" ref="M98:M103" si="76">0.018*E98</f>
        <v>5.922</v>
      </c>
      <c r="N98" s="86">
        <f t="shared" ref="N98:N103" si="77">J98-P98</f>
        <v>12.4362</v>
      </c>
      <c r="O98" s="86"/>
      <c r="P98" s="86">
        <f t="shared" ref="P98:P103" si="78">0.0054*3*E98</f>
        <v>5.3298</v>
      </c>
      <c r="Q98" s="86"/>
      <c r="R98" s="86"/>
      <c r="S98" s="86"/>
      <c r="T98" s="86"/>
      <c r="U98" s="86" t="s">
        <v>195</v>
      </c>
      <c r="V98" s="56" t="s">
        <v>41</v>
      </c>
    </row>
    <row r="99" ht="23.25" customHeight="1" spans="1:22">
      <c r="A99" s="71"/>
      <c r="B99" s="71" t="s">
        <v>1426</v>
      </c>
      <c r="C99" s="71" t="s">
        <v>320</v>
      </c>
      <c r="D99" s="71" t="s">
        <v>147</v>
      </c>
      <c r="E99" s="71">
        <v>776</v>
      </c>
      <c r="F99" s="71">
        <v>221</v>
      </c>
      <c r="G99" s="71">
        <v>776</v>
      </c>
      <c r="H99" s="71">
        <v>2018</v>
      </c>
      <c r="I99" s="71">
        <v>2020</v>
      </c>
      <c r="J99" s="86">
        <f t="shared" si="65"/>
        <v>41.904</v>
      </c>
      <c r="K99" s="86">
        <f t="shared" si="74"/>
        <v>13.968</v>
      </c>
      <c r="L99" s="86">
        <f t="shared" si="75"/>
        <v>13.968</v>
      </c>
      <c r="M99" s="86">
        <f t="shared" si="76"/>
        <v>13.968</v>
      </c>
      <c r="N99" s="86">
        <f t="shared" si="77"/>
        <v>29.3328</v>
      </c>
      <c r="O99" s="86"/>
      <c r="P99" s="86">
        <f t="shared" si="78"/>
        <v>12.5712</v>
      </c>
      <c r="Q99" s="86"/>
      <c r="R99" s="86"/>
      <c r="S99" s="86"/>
      <c r="T99" s="86"/>
      <c r="U99" s="86" t="s">
        <v>195</v>
      </c>
      <c r="V99" s="56" t="s">
        <v>41</v>
      </c>
    </row>
    <row r="100" ht="23.25" customHeight="1" spans="1:22">
      <c r="A100" s="71"/>
      <c r="B100" s="71" t="s">
        <v>1427</v>
      </c>
      <c r="C100" s="71" t="s">
        <v>320</v>
      </c>
      <c r="D100" s="71" t="s">
        <v>147</v>
      </c>
      <c r="E100" s="71">
        <v>293</v>
      </c>
      <c r="F100" s="71">
        <v>82</v>
      </c>
      <c r="G100" s="71">
        <v>293</v>
      </c>
      <c r="H100" s="71">
        <v>2018</v>
      </c>
      <c r="I100" s="71">
        <v>2020</v>
      </c>
      <c r="J100" s="86">
        <f t="shared" si="65"/>
        <v>15.822</v>
      </c>
      <c r="K100" s="86">
        <f t="shared" si="74"/>
        <v>5.274</v>
      </c>
      <c r="L100" s="86">
        <f t="shared" si="75"/>
        <v>5.274</v>
      </c>
      <c r="M100" s="86">
        <f t="shared" si="76"/>
        <v>5.274</v>
      </c>
      <c r="N100" s="86">
        <f t="shared" si="77"/>
        <v>11.0754</v>
      </c>
      <c r="O100" s="86"/>
      <c r="P100" s="86">
        <f t="shared" si="78"/>
        <v>4.7466</v>
      </c>
      <c r="Q100" s="86"/>
      <c r="R100" s="86"/>
      <c r="S100" s="86"/>
      <c r="T100" s="86"/>
      <c r="U100" s="86" t="s">
        <v>195</v>
      </c>
      <c r="V100" s="56" t="s">
        <v>41</v>
      </c>
    </row>
    <row r="101" ht="23.25" customHeight="1" spans="1:22">
      <c r="A101" s="71"/>
      <c r="B101" s="71" t="s">
        <v>1428</v>
      </c>
      <c r="C101" s="71" t="s">
        <v>320</v>
      </c>
      <c r="D101" s="71" t="s">
        <v>147</v>
      </c>
      <c r="E101" s="71">
        <v>523</v>
      </c>
      <c r="F101" s="71">
        <v>163</v>
      </c>
      <c r="G101" s="71">
        <v>523</v>
      </c>
      <c r="H101" s="71">
        <v>2018</v>
      </c>
      <c r="I101" s="71">
        <v>2020</v>
      </c>
      <c r="J101" s="86">
        <f t="shared" si="65"/>
        <v>28.242</v>
      </c>
      <c r="K101" s="86">
        <f t="shared" si="74"/>
        <v>9.414</v>
      </c>
      <c r="L101" s="86">
        <f t="shared" si="75"/>
        <v>9.414</v>
      </c>
      <c r="M101" s="86">
        <f t="shared" si="76"/>
        <v>9.414</v>
      </c>
      <c r="N101" s="86">
        <f t="shared" si="77"/>
        <v>19.7694</v>
      </c>
      <c r="O101" s="86"/>
      <c r="P101" s="86">
        <f t="shared" si="78"/>
        <v>8.4726</v>
      </c>
      <c r="Q101" s="86"/>
      <c r="R101" s="86"/>
      <c r="S101" s="86"/>
      <c r="T101" s="86"/>
      <c r="U101" s="86" t="s">
        <v>195</v>
      </c>
      <c r="V101" s="56" t="s">
        <v>41</v>
      </c>
    </row>
    <row r="102" ht="23.25" customHeight="1" spans="1:22">
      <c r="A102" s="71"/>
      <c r="B102" s="71" t="s">
        <v>1429</v>
      </c>
      <c r="C102" s="71" t="s">
        <v>320</v>
      </c>
      <c r="D102" s="71" t="s">
        <v>147</v>
      </c>
      <c r="E102" s="71">
        <v>402</v>
      </c>
      <c r="F102" s="71">
        <v>112</v>
      </c>
      <c r="G102" s="71">
        <v>402</v>
      </c>
      <c r="H102" s="71">
        <v>2018</v>
      </c>
      <c r="I102" s="71">
        <v>2020</v>
      </c>
      <c r="J102" s="86">
        <f t="shared" si="65"/>
        <v>21.708</v>
      </c>
      <c r="K102" s="86">
        <f t="shared" si="74"/>
        <v>7.236</v>
      </c>
      <c r="L102" s="86">
        <f t="shared" si="75"/>
        <v>7.236</v>
      </c>
      <c r="M102" s="86">
        <f t="shared" si="76"/>
        <v>7.236</v>
      </c>
      <c r="N102" s="86">
        <f t="shared" si="77"/>
        <v>15.1956</v>
      </c>
      <c r="O102" s="86"/>
      <c r="P102" s="86">
        <f t="shared" si="78"/>
        <v>6.5124</v>
      </c>
      <c r="Q102" s="86"/>
      <c r="R102" s="86"/>
      <c r="S102" s="86"/>
      <c r="T102" s="86"/>
      <c r="U102" s="86" t="s">
        <v>195</v>
      </c>
      <c r="V102" s="56" t="s">
        <v>41</v>
      </c>
    </row>
    <row r="103" ht="23.25" customHeight="1" spans="1:22">
      <c r="A103" s="71"/>
      <c r="B103" s="71" t="s">
        <v>1430</v>
      </c>
      <c r="C103" s="71" t="s">
        <v>320</v>
      </c>
      <c r="D103" s="71" t="s">
        <v>147</v>
      </c>
      <c r="E103" s="71">
        <v>49</v>
      </c>
      <c r="F103" s="71">
        <v>19</v>
      </c>
      <c r="G103" s="71">
        <v>49</v>
      </c>
      <c r="H103" s="71">
        <v>2018</v>
      </c>
      <c r="I103" s="71">
        <v>2020</v>
      </c>
      <c r="J103" s="86">
        <f t="shared" si="65"/>
        <v>2.646</v>
      </c>
      <c r="K103" s="86">
        <f t="shared" si="74"/>
        <v>0.882</v>
      </c>
      <c r="L103" s="86">
        <f t="shared" si="75"/>
        <v>0.882</v>
      </c>
      <c r="M103" s="86">
        <f t="shared" si="76"/>
        <v>0.882</v>
      </c>
      <c r="N103" s="86">
        <f t="shared" si="77"/>
        <v>1.8522</v>
      </c>
      <c r="O103" s="86"/>
      <c r="P103" s="86">
        <f t="shared" si="78"/>
        <v>0.7938</v>
      </c>
      <c r="Q103" s="86"/>
      <c r="R103" s="86"/>
      <c r="S103" s="86"/>
      <c r="T103" s="86"/>
      <c r="U103" s="86" t="s">
        <v>195</v>
      </c>
      <c r="V103" s="56" t="s">
        <v>41</v>
      </c>
    </row>
    <row r="104" ht="23.25" customHeight="1" spans="1:22">
      <c r="A104" s="71">
        <v>17</v>
      </c>
      <c r="B104" s="73" t="s">
        <v>332</v>
      </c>
      <c r="C104" s="71" t="s">
        <v>320</v>
      </c>
      <c r="D104" s="71" t="s">
        <v>147</v>
      </c>
      <c r="E104" s="71">
        <v>6019</v>
      </c>
      <c r="F104" s="71">
        <v>1551</v>
      </c>
      <c r="G104" s="71">
        <v>6019</v>
      </c>
      <c r="H104" s="71">
        <v>2018</v>
      </c>
      <c r="I104" s="71">
        <v>2020</v>
      </c>
      <c r="J104" s="86"/>
      <c r="K104" s="86"/>
      <c r="L104" s="86"/>
      <c r="M104" s="86"/>
      <c r="N104" s="86"/>
      <c r="O104" s="86"/>
      <c r="P104" s="86"/>
      <c r="Q104" s="86"/>
      <c r="R104" s="86"/>
      <c r="S104" s="86" t="s">
        <v>1431</v>
      </c>
      <c r="T104" s="86" t="s">
        <v>1436</v>
      </c>
      <c r="U104" s="86" t="s">
        <v>195</v>
      </c>
      <c r="V104" s="56" t="s">
        <v>41</v>
      </c>
    </row>
    <row r="105" ht="23.25" customHeight="1" spans="1:22">
      <c r="A105" s="71"/>
      <c r="B105" s="71" t="s">
        <v>1425</v>
      </c>
      <c r="C105" s="71" t="s">
        <v>320</v>
      </c>
      <c r="D105" s="71" t="s">
        <v>147</v>
      </c>
      <c r="E105" s="71">
        <v>861</v>
      </c>
      <c r="F105" s="71">
        <v>218</v>
      </c>
      <c r="G105" s="71">
        <v>861</v>
      </c>
      <c r="H105" s="71">
        <v>2018</v>
      </c>
      <c r="I105" s="71">
        <v>2020</v>
      </c>
      <c r="J105" s="86"/>
      <c r="K105" s="86"/>
      <c r="L105" s="86"/>
      <c r="M105" s="86"/>
      <c r="N105" s="86"/>
      <c r="O105" s="86"/>
      <c r="P105" s="86"/>
      <c r="Q105" s="86"/>
      <c r="R105" s="86"/>
      <c r="S105" s="86"/>
      <c r="T105" s="86"/>
      <c r="U105" s="86" t="s">
        <v>195</v>
      </c>
      <c r="V105" s="56" t="s">
        <v>41</v>
      </c>
    </row>
    <row r="106" ht="23.25" customHeight="1" spans="1:22">
      <c r="A106" s="71"/>
      <c r="B106" s="71" t="s">
        <v>1426</v>
      </c>
      <c r="C106" s="71" t="s">
        <v>320</v>
      </c>
      <c r="D106" s="71" t="s">
        <v>147</v>
      </c>
      <c r="E106" s="71">
        <v>1459</v>
      </c>
      <c r="F106" s="71">
        <v>379</v>
      </c>
      <c r="G106" s="71">
        <v>1459</v>
      </c>
      <c r="H106" s="71">
        <v>2018</v>
      </c>
      <c r="I106" s="71">
        <v>2020</v>
      </c>
      <c r="J106" s="86"/>
      <c r="K106" s="86"/>
      <c r="L106" s="86"/>
      <c r="M106" s="86"/>
      <c r="N106" s="86"/>
      <c r="O106" s="86"/>
      <c r="P106" s="86"/>
      <c r="Q106" s="86"/>
      <c r="R106" s="86"/>
      <c r="S106" s="86"/>
      <c r="T106" s="86"/>
      <c r="U106" s="86" t="s">
        <v>195</v>
      </c>
      <c r="V106" s="56" t="s">
        <v>41</v>
      </c>
    </row>
    <row r="107" ht="23.25" customHeight="1" spans="1:22">
      <c r="A107" s="71"/>
      <c r="B107" s="71" t="s">
        <v>1427</v>
      </c>
      <c r="C107" s="71" t="s">
        <v>320</v>
      </c>
      <c r="D107" s="71" t="s">
        <v>147</v>
      </c>
      <c r="E107" s="71">
        <v>1153</v>
      </c>
      <c r="F107" s="71">
        <v>284</v>
      </c>
      <c r="G107" s="71">
        <v>1153</v>
      </c>
      <c r="H107" s="71">
        <v>2018</v>
      </c>
      <c r="I107" s="71">
        <v>2020</v>
      </c>
      <c r="J107" s="86"/>
      <c r="K107" s="86"/>
      <c r="L107" s="86"/>
      <c r="M107" s="86"/>
      <c r="N107" s="86"/>
      <c r="O107" s="86"/>
      <c r="P107" s="86"/>
      <c r="Q107" s="86"/>
      <c r="R107" s="86"/>
      <c r="S107" s="86"/>
      <c r="T107" s="86"/>
      <c r="U107" s="86" t="s">
        <v>195</v>
      </c>
      <c r="V107" s="56" t="s">
        <v>41</v>
      </c>
    </row>
    <row r="108" ht="23.25" customHeight="1" spans="1:22">
      <c r="A108" s="71"/>
      <c r="B108" s="71" t="s">
        <v>1428</v>
      </c>
      <c r="C108" s="71" t="s">
        <v>320</v>
      </c>
      <c r="D108" s="71" t="s">
        <v>147</v>
      </c>
      <c r="E108" s="71">
        <v>1206</v>
      </c>
      <c r="F108" s="71">
        <v>322</v>
      </c>
      <c r="G108" s="71">
        <v>1206</v>
      </c>
      <c r="H108" s="71">
        <v>2018</v>
      </c>
      <c r="I108" s="71">
        <v>2020</v>
      </c>
      <c r="J108" s="86"/>
      <c r="K108" s="86"/>
      <c r="L108" s="86"/>
      <c r="M108" s="86"/>
      <c r="N108" s="86"/>
      <c r="O108" s="86"/>
      <c r="P108" s="86"/>
      <c r="Q108" s="86"/>
      <c r="R108" s="86"/>
      <c r="S108" s="86"/>
      <c r="T108" s="86"/>
      <c r="U108" s="86" t="s">
        <v>195</v>
      </c>
      <c r="V108" s="56" t="s">
        <v>41</v>
      </c>
    </row>
    <row r="109" ht="23.25" customHeight="1" spans="1:22">
      <c r="A109" s="71"/>
      <c r="B109" s="71" t="s">
        <v>1429</v>
      </c>
      <c r="C109" s="71" t="s">
        <v>320</v>
      </c>
      <c r="D109" s="71" t="s">
        <v>147</v>
      </c>
      <c r="E109" s="71">
        <v>851</v>
      </c>
      <c r="F109" s="71">
        <v>213</v>
      </c>
      <c r="G109" s="71">
        <v>851</v>
      </c>
      <c r="H109" s="71">
        <v>2018</v>
      </c>
      <c r="I109" s="71">
        <v>2020</v>
      </c>
      <c r="J109" s="86"/>
      <c r="K109" s="86"/>
      <c r="L109" s="86"/>
      <c r="M109" s="86"/>
      <c r="N109" s="86"/>
      <c r="O109" s="86"/>
      <c r="P109" s="86"/>
      <c r="Q109" s="86"/>
      <c r="R109" s="86"/>
      <c r="S109" s="86"/>
      <c r="T109" s="86"/>
      <c r="U109" s="86" t="s">
        <v>195</v>
      </c>
      <c r="V109" s="56" t="s">
        <v>41</v>
      </c>
    </row>
    <row r="110" ht="23.25" customHeight="1" spans="1:22">
      <c r="A110" s="71"/>
      <c r="B110" s="71" t="s">
        <v>1430</v>
      </c>
      <c r="C110" s="71" t="s">
        <v>320</v>
      </c>
      <c r="D110" s="71" t="s">
        <v>147</v>
      </c>
      <c r="E110" s="71">
        <v>489</v>
      </c>
      <c r="F110" s="71">
        <v>135</v>
      </c>
      <c r="G110" s="71">
        <v>489</v>
      </c>
      <c r="H110" s="71">
        <v>2018</v>
      </c>
      <c r="I110" s="71">
        <v>2020</v>
      </c>
      <c r="J110" s="86"/>
      <c r="K110" s="86"/>
      <c r="L110" s="86"/>
      <c r="M110" s="86"/>
      <c r="N110" s="86"/>
      <c r="O110" s="86"/>
      <c r="P110" s="86"/>
      <c r="Q110" s="86"/>
      <c r="R110" s="86"/>
      <c r="S110" s="86"/>
      <c r="T110" s="86"/>
      <c r="U110" s="86" t="s">
        <v>195</v>
      </c>
      <c r="V110" s="56" t="s">
        <v>41</v>
      </c>
    </row>
    <row r="111" ht="24.95" customHeight="1" spans="1:22">
      <c r="A111" s="71">
        <v>18</v>
      </c>
      <c r="B111" s="73" t="s">
        <v>335</v>
      </c>
      <c r="C111" s="71" t="s">
        <v>320</v>
      </c>
      <c r="D111" s="71" t="s">
        <v>147</v>
      </c>
      <c r="E111" s="71">
        <v>1806</v>
      </c>
      <c r="F111" s="71"/>
      <c r="G111" s="71">
        <v>1806</v>
      </c>
      <c r="H111" s="71">
        <v>2018</v>
      </c>
      <c r="I111" s="71">
        <v>2020</v>
      </c>
      <c r="J111" s="86">
        <v>90.93</v>
      </c>
      <c r="K111" s="86">
        <v>27.47</v>
      </c>
      <c r="L111" s="86">
        <v>30.22</v>
      </c>
      <c r="M111" s="86">
        <v>33.24</v>
      </c>
      <c r="N111" s="86">
        <v>90.93</v>
      </c>
      <c r="O111" s="86"/>
      <c r="P111" s="86"/>
      <c r="Q111" s="86"/>
      <c r="R111" s="86"/>
      <c r="S111" s="86" t="s">
        <v>1431</v>
      </c>
      <c r="T111" s="86" t="s">
        <v>1436</v>
      </c>
      <c r="U111" s="86" t="s">
        <v>358</v>
      </c>
      <c r="V111" s="56" t="s">
        <v>41</v>
      </c>
    </row>
    <row r="112" ht="23.25" customHeight="1" spans="1:22">
      <c r="A112" s="71"/>
      <c r="B112" s="71" t="s">
        <v>1425</v>
      </c>
      <c r="C112" s="71" t="s">
        <v>320</v>
      </c>
      <c r="D112" s="71" t="s">
        <v>147</v>
      </c>
      <c r="E112" s="71">
        <v>226</v>
      </c>
      <c r="F112" s="71"/>
      <c r="G112" s="71">
        <v>226</v>
      </c>
      <c r="H112" s="71">
        <v>2018</v>
      </c>
      <c r="I112" s="71">
        <v>2020</v>
      </c>
      <c r="J112" s="86">
        <f t="shared" ref="J112:J117" si="79">K112+L112+M112</f>
        <v>11.02</v>
      </c>
      <c r="K112" s="86">
        <v>3.33</v>
      </c>
      <c r="L112" s="86">
        <v>3.66</v>
      </c>
      <c r="M112" s="86">
        <v>4.03</v>
      </c>
      <c r="N112" s="86">
        <v>11.02</v>
      </c>
      <c r="O112" s="86"/>
      <c r="P112" s="86"/>
      <c r="Q112" s="86"/>
      <c r="R112" s="86"/>
      <c r="S112" s="86"/>
      <c r="T112" s="86"/>
      <c r="U112" s="86" t="s">
        <v>358</v>
      </c>
      <c r="V112" s="56" t="s">
        <v>41</v>
      </c>
    </row>
    <row r="113" ht="23.25" customHeight="1" spans="1:22">
      <c r="A113" s="71"/>
      <c r="B113" s="71" t="s">
        <v>1426</v>
      </c>
      <c r="C113" s="71" t="s">
        <v>320</v>
      </c>
      <c r="D113" s="71" t="s">
        <v>147</v>
      </c>
      <c r="E113" s="71">
        <v>393</v>
      </c>
      <c r="F113" s="71"/>
      <c r="G113" s="71">
        <v>393</v>
      </c>
      <c r="H113" s="71">
        <v>2018</v>
      </c>
      <c r="I113" s="71">
        <v>2020</v>
      </c>
      <c r="J113" s="86">
        <f t="shared" si="79"/>
        <v>20.07</v>
      </c>
      <c r="K113" s="86">
        <v>6.06</v>
      </c>
      <c r="L113" s="86">
        <v>6.67</v>
      </c>
      <c r="M113" s="86">
        <v>7.34</v>
      </c>
      <c r="N113" s="86">
        <v>20.07</v>
      </c>
      <c r="O113" s="86"/>
      <c r="P113" s="86"/>
      <c r="Q113" s="86"/>
      <c r="R113" s="86"/>
      <c r="S113" s="86"/>
      <c r="T113" s="86"/>
      <c r="U113" s="86" t="s">
        <v>358</v>
      </c>
      <c r="V113" s="56" t="s">
        <v>41</v>
      </c>
    </row>
    <row r="114" ht="23.25" customHeight="1" spans="1:22">
      <c r="A114" s="71"/>
      <c r="B114" s="71" t="s">
        <v>1427</v>
      </c>
      <c r="C114" s="71" t="s">
        <v>320</v>
      </c>
      <c r="D114" s="71" t="s">
        <v>147</v>
      </c>
      <c r="E114" s="71">
        <v>478</v>
      </c>
      <c r="F114" s="71"/>
      <c r="G114" s="71">
        <v>478</v>
      </c>
      <c r="H114" s="71">
        <v>2018</v>
      </c>
      <c r="I114" s="71">
        <v>2020</v>
      </c>
      <c r="J114" s="86">
        <f t="shared" si="79"/>
        <v>23.47</v>
      </c>
      <c r="K114" s="86">
        <v>7.09</v>
      </c>
      <c r="L114" s="86">
        <v>7.8</v>
      </c>
      <c r="M114" s="86">
        <v>8.58</v>
      </c>
      <c r="N114" s="86">
        <v>23.47</v>
      </c>
      <c r="O114" s="86"/>
      <c r="P114" s="86"/>
      <c r="Q114" s="86"/>
      <c r="R114" s="86"/>
      <c r="S114" s="86"/>
      <c r="T114" s="86"/>
      <c r="U114" s="86" t="s">
        <v>358</v>
      </c>
      <c r="V114" s="56" t="s">
        <v>41</v>
      </c>
    </row>
    <row r="115" ht="23.25" customHeight="1" spans="1:22">
      <c r="A115" s="71"/>
      <c r="B115" s="71" t="s">
        <v>1428</v>
      </c>
      <c r="C115" s="71" t="s">
        <v>320</v>
      </c>
      <c r="D115" s="71" t="s">
        <v>147</v>
      </c>
      <c r="E115" s="71">
        <v>341</v>
      </c>
      <c r="F115" s="71"/>
      <c r="G115" s="71">
        <v>341</v>
      </c>
      <c r="H115" s="71">
        <v>2018</v>
      </c>
      <c r="I115" s="71">
        <v>2020</v>
      </c>
      <c r="J115" s="86">
        <f t="shared" si="79"/>
        <v>16.91</v>
      </c>
      <c r="K115" s="86">
        <v>5.11</v>
      </c>
      <c r="L115" s="86">
        <v>5.62</v>
      </c>
      <c r="M115" s="86">
        <v>6.18</v>
      </c>
      <c r="N115" s="86">
        <v>16.91</v>
      </c>
      <c r="O115" s="86"/>
      <c r="P115" s="86"/>
      <c r="Q115" s="86"/>
      <c r="R115" s="86"/>
      <c r="S115" s="86"/>
      <c r="T115" s="86"/>
      <c r="U115" s="86" t="s">
        <v>358</v>
      </c>
      <c r="V115" s="56" t="s">
        <v>41</v>
      </c>
    </row>
    <row r="116" ht="23.25" customHeight="1" spans="1:22">
      <c r="A116" s="71"/>
      <c r="B116" s="71" t="s">
        <v>1429</v>
      </c>
      <c r="C116" s="71" t="s">
        <v>320</v>
      </c>
      <c r="D116" s="71" t="s">
        <v>147</v>
      </c>
      <c r="E116" s="71">
        <v>171</v>
      </c>
      <c r="F116" s="71"/>
      <c r="G116" s="71">
        <v>171</v>
      </c>
      <c r="H116" s="71">
        <v>2018</v>
      </c>
      <c r="I116" s="71">
        <v>2020</v>
      </c>
      <c r="J116" s="86">
        <f t="shared" si="79"/>
        <v>10.1</v>
      </c>
      <c r="K116" s="86">
        <v>3.05</v>
      </c>
      <c r="L116" s="86">
        <v>3.36</v>
      </c>
      <c r="M116" s="86">
        <v>3.69</v>
      </c>
      <c r="N116" s="86">
        <v>10.1</v>
      </c>
      <c r="O116" s="86"/>
      <c r="P116" s="86"/>
      <c r="Q116" s="86"/>
      <c r="R116" s="86"/>
      <c r="S116" s="86"/>
      <c r="T116" s="86"/>
      <c r="U116" s="86" t="s">
        <v>358</v>
      </c>
      <c r="V116" s="56" t="s">
        <v>41</v>
      </c>
    </row>
    <row r="117" ht="23.25" customHeight="1" spans="1:22">
      <c r="A117" s="71"/>
      <c r="B117" s="71" t="s">
        <v>1430</v>
      </c>
      <c r="C117" s="71" t="s">
        <v>320</v>
      </c>
      <c r="D117" s="71" t="s">
        <v>147</v>
      </c>
      <c r="E117" s="71">
        <v>197</v>
      </c>
      <c r="F117" s="71"/>
      <c r="G117" s="71">
        <v>197</v>
      </c>
      <c r="H117" s="71">
        <v>2018</v>
      </c>
      <c r="I117" s="71">
        <v>2020</v>
      </c>
      <c r="J117" s="86">
        <f t="shared" si="79"/>
        <v>9.36</v>
      </c>
      <c r="K117" s="86">
        <v>2.83</v>
      </c>
      <c r="L117" s="86">
        <v>3.11</v>
      </c>
      <c r="M117" s="86">
        <v>3.42</v>
      </c>
      <c r="N117" s="86">
        <v>9.36</v>
      </c>
      <c r="O117" s="86"/>
      <c r="P117" s="86"/>
      <c r="Q117" s="86"/>
      <c r="R117" s="86"/>
      <c r="S117" s="86"/>
      <c r="T117" s="86"/>
      <c r="U117" s="86" t="s">
        <v>358</v>
      </c>
      <c r="V117" s="56" t="s">
        <v>41</v>
      </c>
    </row>
    <row r="118" ht="24.95" customHeight="1" spans="1:22">
      <c r="A118" s="71">
        <v>19</v>
      </c>
      <c r="B118" s="73" t="s">
        <v>355</v>
      </c>
      <c r="C118" s="71" t="s">
        <v>320</v>
      </c>
      <c r="D118" s="71" t="s">
        <v>147</v>
      </c>
      <c r="E118" s="71">
        <v>81</v>
      </c>
      <c r="F118" s="71"/>
      <c r="G118" s="71">
        <v>81</v>
      </c>
      <c r="H118" s="71">
        <v>2018</v>
      </c>
      <c r="I118" s="71">
        <v>2020</v>
      </c>
      <c r="J118" s="86"/>
      <c r="K118" s="86"/>
      <c r="L118" s="86"/>
      <c r="M118" s="86"/>
      <c r="N118" s="86"/>
      <c r="O118" s="86"/>
      <c r="P118" s="86"/>
      <c r="Q118" s="86"/>
      <c r="R118" s="86"/>
      <c r="S118" s="86" t="s">
        <v>1431</v>
      </c>
      <c r="T118" s="86" t="s">
        <v>1436</v>
      </c>
      <c r="U118" s="86" t="s">
        <v>358</v>
      </c>
      <c r="V118" s="56" t="s">
        <v>41</v>
      </c>
    </row>
    <row r="119" ht="23.25" customHeight="1" spans="1:22">
      <c r="A119" s="71"/>
      <c r="B119" s="71" t="s">
        <v>1425</v>
      </c>
      <c r="C119" s="71" t="s">
        <v>320</v>
      </c>
      <c r="D119" s="71" t="s">
        <v>147</v>
      </c>
      <c r="E119" s="71">
        <v>13</v>
      </c>
      <c r="F119" s="71"/>
      <c r="G119" s="71">
        <v>13</v>
      </c>
      <c r="H119" s="71">
        <v>2018</v>
      </c>
      <c r="I119" s="71">
        <v>2020</v>
      </c>
      <c r="J119" s="86"/>
      <c r="K119" s="86"/>
      <c r="L119" s="86"/>
      <c r="M119" s="86"/>
      <c r="N119" s="86"/>
      <c r="O119" s="86"/>
      <c r="P119" s="86"/>
      <c r="Q119" s="86"/>
      <c r="R119" s="86"/>
      <c r="S119" s="86"/>
      <c r="T119" s="86"/>
      <c r="U119" s="86" t="s">
        <v>358</v>
      </c>
      <c r="V119" s="56" t="s">
        <v>41</v>
      </c>
    </row>
    <row r="120" ht="23.25" customHeight="1" spans="1:22">
      <c r="A120" s="71"/>
      <c r="B120" s="71" t="s">
        <v>1426</v>
      </c>
      <c r="C120" s="71" t="s">
        <v>320</v>
      </c>
      <c r="D120" s="71" t="s">
        <v>147</v>
      </c>
      <c r="E120" s="71">
        <v>13</v>
      </c>
      <c r="F120" s="71"/>
      <c r="G120" s="71">
        <v>13</v>
      </c>
      <c r="H120" s="71">
        <v>2018</v>
      </c>
      <c r="I120" s="71">
        <v>2020</v>
      </c>
      <c r="J120" s="86"/>
      <c r="K120" s="86"/>
      <c r="L120" s="86"/>
      <c r="M120" s="86"/>
      <c r="N120" s="86"/>
      <c r="O120" s="86"/>
      <c r="P120" s="86"/>
      <c r="Q120" s="86"/>
      <c r="R120" s="86"/>
      <c r="S120" s="86"/>
      <c r="T120" s="86"/>
      <c r="U120" s="86" t="s">
        <v>358</v>
      </c>
      <c r="V120" s="56" t="s">
        <v>41</v>
      </c>
    </row>
    <row r="121" ht="23.25" customHeight="1" spans="1:22">
      <c r="A121" s="71"/>
      <c r="B121" s="71" t="s">
        <v>1427</v>
      </c>
      <c r="C121" s="71" t="s">
        <v>320</v>
      </c>
      <c r="D121" s="71" t="s">
        <v>147</v>
      </c>
      <c r="E121" s="71">
        <v>16</v>
      </c>
      <c r="F121" s="71"/>
      <c r="G121" s="71">
        <v>16</v>
      </c>
      <c r="H121" s="71">
        <v>2018</v>
      </c>
      <c r="I121" s="71">
        <v>2020</v>
      </c>
      <c r="J121" s="86"/>
      <c r="K121" s="86"/>
      <c r="L121" s="86"/>
      <c r="M121" s="86"/>
      <c r="N121" s="86"/>
      <c r="O121" s="86"/>
      <c r="P121" s="86"/>
      <c r="Q121" s="86"/>
      <c r="R121" s="86"/>
      <c r="S121" s="86"/>
      <c r="T121" s="86"/>
      <c r="U121" s="86" t="s">
        <v>358</v>
      </c>
      <c r="V121" s="56" t="s">
        <v>41</v>
      </c>
    </row>
    <row r="122" ht="23.25" customHeight="1" spans="1:22">
      <c r="A122" s="71"/>
      <c r="B122" s="71" t="s">
        <v>1428</v>
      </c>
      <c r="C122" s="71" t="s">
        <v>320</v>
      </c>
      <c r="D122" s="71" t="s">
        <v>147</v>
      </c>
      <c r="E122" s="71">
        <v>16</v>
      </c>
      <c r="F122" s="71"/>
      <c r="G122" s="71">
        <v>16</v>
      </c>
      <c r="H122" s="71">
        <v>2018</v>
      </c>
      <c r="I122" s="71">
        <v>2020</v>
      </c>
      <c r="J122" s="86"/>
      <c r="K122" s="86"/>
      <c r="L122" s="86"/>
      <c r="M122" s="86"/>
      <c r="N122" s="86"/>
      <c r="O122" s="86"/>
      <c r="P122" s="86"/>
      <c r="Q122" s="86"/>
      <c r="R122" s="86"/>
      <c r="S122" s="86"/>
      <c r="T122" s="86"/>
      <c r="U122" s="86" t="s">
        <v>358</v>
      </c>
      <c r="V122" s="56" t="s">
        <v>41</v>
      </c>
    </row>
    <row r="123" ht="23.25" customHeight="1" spans="1:22">
      <c r="A123" s="71"/>
      <c r="B123" s="71" t="s">
        <v>1429</v>
      </c>
      <c r="C123" s="71" t="s">
        <v>320</v>
      </c>
      <c r="D123" s="71" t="s">
        <v>147</v>
      </c>
      <c r="E123" s="71">
        <v>9</v>
      </c>
      <c r="F123" s="71"/>
      <c r="G123" s="71">
        <v>9</v>
      </c>
      <c r="H123" s="71">
        <v>2018</v>
      </c>
      <c r="I123" s="71">
        <v>2020</v>
      </c>
      <c r="J123" s="86"/>
      <c r="K123" s="86"/>
      <c r="L123" s="86"/>
      <c r="M123" s="86"/>
      <c r="N123" s="86"/>
      <c r="O123" s="86"/>
      <c r="P123" s="86"/>
      <c r="Q123" s="86"/>
      <c r="R123" s="86"/>
      <c r="S123" s="86"/>
      <c r="T123" s="86"/>
      <c r="U123" s="86" t="s">
        <v>358</v>
      </c>
      <c r="V123" s="56" t="s">
        <v>41</v>
      </c>
    </row>
    <row r="124" ht="23.25" customHeight="1" spans="1:22">
      <c r="A124" s="71"/>
      <c r="B124" s="71" t="s">
        <v>1430</v>
      </c>
      <c r="C124" s="71" t="s">
        <v>320</v>
      </c>
      <c r="D124" s="71" t="s">
        <v>147</v>
      </c>
      <c r="E124" s="71">
        <v>14</v>
      </c>
      <c r="F124" s="71"/>
      <c r="G124" s="71">
        <v>14</v>
      </c>
      <c r="H124" s="71">
        <v>2018</v>
      </c>
      <c r="I124" s="71">
        <v>2020</v>
      </c>
      <c r="J124" s="86"/>
      <c r="K124" s="86"/>
      <c r="L124" s="86"/>
      <c r="M124" s="86"/>
      <c r="N124" s="86"/>
      <c r="O124" s="86"/>
      <c r="P124" s="86"/>
      <c r="Q124" s="86"/>
      <c r="R124" s="86"/>
      <c r="S124" s="86"/>
      <c r="T124" s="86"/>
      <c r="U124" s="86" t="s">
        <v>358</v>
      </c>
      <c r="V124" s="56" t="s">
        <v>41</v>
      </c>
    </row>
    <row r="125" ht="24.95" customHeight="1" spans="1:29">
      <c r="A125" s="71">
        <v>20</v>
      </c>
      <c r="B125" s="73" t="s">
        <v>370</v>
      </c>
      <c r="C125" s="71" t="s">
        <v>320</v>
      </c>
      <c r="D125" s="71" t="s">
        <v>147</v>
      </c>
      <c r="E125" s="71">
        <v>1623</v>
      </c>
      <c r="F125" s="71"/>
      <c r="G125" s="71">
        <v>1623</v>
      </c>
      <c r="H125" s="71">
        <v>2018</v>
      </c>
      <c r="I125" s="71">
        <v>2020</v>
      </c>
      <c r="J125" s="86">
        <v>24.53</v>
      </c>
      <c r="K125" s="86">
        <v>7.41</v>
      </c>
      <c r="L125" s="86">
        <v>8.15</v>
      </c>
      <c r="M125" s="86">
        <v>8.97</v>
      </c>
      <c r="N125" s="86">
        <v>24.53</v>
      </c>
      <c r="O125" s="86"/>
      <c r="P125" s="86"/>
      <c r="Q125" s="86"/>
      <c r="R125" s="86"/>
      <c r="S125" s="86" t="s">
        <v>1431</v>
      </c>
      <c r="T125" s="86" t="s">
        <v>1436</v>
      </c>
      <c r="U125" s="86" t="s">
        <v>358</v>
      </c>
      <c r="V125" s="56" t="s">
        <v>41</v>
      </c>
      <c r="Y125" s="517"/>
      <c r="Z125" s="517"/>
      <c r="AA125" s="517"/>
      <c r="AB125" s="517"/>
      <c r="AC125" s="518"/>
    </row>
    <row r="126" ht="23.25" customHeight="1" spans="1:29">
      <c r="A126" s="71"/>
      <c r="B126" s="71" t="s">
        <v>1425</v>
      </c>
      <c r="C126" s="71" t="s">
        <v>320</v>
      </c>
      <c r="D126" s="71" t="s">
        <v>147</v>
      </c>
      <c r="E126" s="101">
        <v>240</v>
      </c>
      <c r="F126" s="71"/>
      <c r="G126" s="101">
        <v>240</v>
      </c>
      <c r="H126" s="71">
        <v>2018</v>
      </c>
      <c r="I126" s="71">
        <v>2020</v>
      </c>
      <c r="J126" s="86">
        <f t="shared" ref="J126:J131" si="80">K126+L126+M126</f>
        <v>3.703</v>
      </c>
      <c r="K126" s="86">
        <v>1.12</v>
      </c>
      <c r="L126" s="86">
        <v>1.23</v>
      </c>
      <c r="M126" s="86">
        <v>1.353</v>
      </c>
      <c r="N126" s="86">
        <v>3.703</v>
      </c>
      <c r="O126" s="86"/>
      <c r="P126" s="86"/>
      <c r="Q126" s="86"/>
      <c r="R126" s="86"/>
      <c r="S126" s="86"/>
      <c r="T126" s="86"/>
      <c r="U126" s="86" t="s">
        <v>358</v>
      </c>
      <c r="V126" s="56" t="s">
        <v>41</v>
      </c>
      <c r="Y126" s="517"/>
      <c r="Z126" s="517"/>
      <c r="AA126" s="517"/>
      <c r="AB126" s="517"/>
      <c r="AC126" s="167"/>
    </row>
    <row r="127" ht="23.25" customHeight="1" spans="1:29">
      <c r="A127" s="71"/>
      <c r="B127" s="71" t="s">
        <v>1426</v>
      </c>
      <c r="C127" s="71" t="s">
        <v>320</v>
      </c>
      <c r="D127" s="71" t="s">
        <v>147</v>
      </c>
      <c r="E127" s="101">
        <v>386</v>
      </c>
      <c r="F127" s="71"/>
      <c r="G127" s="101">
        <v>386</v>
      </c>
      <c r="H127" s="71">
        <v>2018</v>
      </c>
      <c r="I127" s="71">
        <v>2020</v>
      </c>
      <c r="J127" s="86">
        <f t="shared" si="80"/>
        <v>4.996</v>
      </c>
      <c r="K127" s="86">
        <v>1.51</v>
      </c>
      <c r="L127" s="86">
        <v>1.66</v>
      </c>
      <c r="M127" s="86">
        <v>1.826</v>
      </c>
      <c r="N127" s="86">
        <v>4.996</v>
      </c>
      <c r="O127" s="86"/>
      <c r="P127" s="86"/>
      <c r="Q127" s="86"/>
      <c r="R127" s="86"/>
      <c r="S127" s="86"/>
      <c r="T127" s="86"/>
      <c r="U127" s="86" t="s">
        <v>358</v>
      </c>
      <c r="V127" s="56" t="s">
        <v>41</v>
      </c>
      <c r="Y127" s="517"/>
      <c r="Z127" s="517"/>
      <c r="AA127" s="517"/>
      <c r="AB127" s="517"/>
      <c r="AC127" s="167"/>
    </row>
    <row r="128" ht="23.25" customHeight="1" spans="1:29">
      <c r="A128" s="71"/>
      <c r="B128" s="71" t="s">
        <v>1427</v>
      </c>
      <c r="C128" s="71" t="s">
        <v>320</v>
      </c>
      <c r="D128" s="71" t="s">
        <v>147</v>
      </c>
      <c r="E128" s="101">
        <v>367</v>
      </c>
      <c r="F128" s="71"/>
      <c r="G128" s="101">
        <v>367</v>
      </c>
      <c r="H128" s="71">
        <v>2018</v>
      </c>
      <c r="I128" s="71">
        <v>2020</v>
      </c>
      <c r="J128" s="86">
        <f t="shared" si="80"/>
        <v>3.91</v>
      </c>
      <c r="K128" s="86">
        <v>1.18</v>
      </c>
      <c r="L128" s="86">
        <v>1.3</v>
      </c>
      <c r="M128" s="86">
        <v>1.43</v>
      </c>
      <c r="N128" s="86">
        <v>3.91</v>
      </c>
      <c r="O128" s="86"/>
      <c r="P128" s="86"/>
      <c r="Q128" s="86"/>
      <c r="R128" s="86"/>
      <c r="S128" s="86"/>
      <c r="T128" s="86"/>
      <c r="U128" s="86" t="s">
        <v>358</v>
      </c>
      <c r="V128" s="56" t="s">
        <v>41</v>
      </c>
      <c r="Y128" s="517"/>
      <c r="Z128" s="517"/>
      <c r="AA128" s="517"/>
      <c r="AB128" s="517"/>
      <c r="AC128" s="167"/>
    </row>
    <row r="129" ht="23.25" customHeight="1" spans="1:29">
      <c r="A129" s="71"/>
      <c r="B129" s="71" t="s">
        <v>1428</v>
      </c>
      <c r="C129" s="71" t="s">
        <v>320</v>
      </c>
      <c r="D129" s="71" t="s">
        <v>147</v>
      </c>
      <c r="E129" s="101">
        <v>304</v>
      </c>
      <c r="F129" s="71"/>
      <c r="G129" s="101">
        <v>304</v>
      </c>
      <c r="H129" s="71">
        <v>2018</v>
      </c>
      <c r="I129" s="71">
        <v>2020</v>
      </c>
      <c r="J129" s="86">
        <f t="shared" si="80"/>
        <v>6.858</v>
      </c>
      <c r="K129" s="86">
        <v>2.07</v>
      </c>
      <c r="L129" s="86">
        <v>2.28</v>
      </c>
      <c r="M129" s="86">
        <v>2.508</v>
      </c>
      <c r="N129" s="86">
        <v>6.858</v>
      </c>
      <c r="O129" s="86"/>
      <c r="P129" s="86"/>
      <c r="Q129" s="86"/>
      <c r="R129" s="86"/>
      <c r="S129" s="86"/>
      <c r="T129" s="86"/>
      <c r="U129" s="86" t="s">
        <v>358</v>
      </c>
      <c r="V129" s="56" t="s">
        <v>41</v>
      </c>
      <c r="Y129" s="517"/>
      <c r="Z129" s="517"/>
      <c r="AA129" s="517"/>
      <c r="AB129" s="517"/>
      <c r="AC129" s="167"/>
    </row>
    <row r="130" ht="23.25" customHeight="1" spans="1:29">
      <c r="A130" s="71"/>
      <c r="B130" s="71" t="s">
        <v>1429</v>
      </c>
      <c r="C130" s="71" t="s">
        <v>320</v>
      </c>
      <c r="D130" s="71" t="s">
        <v>147</v>
      </c>
      <c r="E130" s="101">
        <v>137</v>
      </c>
      <c r="F130" s="71"/>
      <c r="G130" s="101">
        <v>137</v>
      </c>
      <c r="H130" s="71">
        <v>2018</v>
      </c>
      <c r="I130" s="71">
        <v>2020</v>
      </c>
      <c r="J130" s="86">
        <f t="shared" si="80"/>
        <v>1.231</v>
      </c>
      <c r="K130" s="86">
        <v>0.37</v>
      </c>
      <c r="L130" s="86">
        <v>0.41</v>
      </c>
      <c r="M130" s="86">
        <v>0.451</v>
      </c>
      <c r="N130" s="86">
        <v>1.231</v>
      </c>
      <c r="O130" s="86"/>
      <c r="P130" s="86"/>
      <c r="Q130" s="86"/>
      <c r="R130" s="86"/>
      <c r="S130" s="86"/>
      <c r="T130" s="86"/>
      <c r="U130" s="86" t="s">
        <v>358</v>
      </c>
      <c r="V130" s="56" t="s">
        <v>41</v>
      </c>
      <c r="Y130" s="517"/>
      <c r="Z130" s="517"/>
      <c r="AA130" s="517"/>
      <c r="AB130" s="517"/>
      <c r="AC130" s="167"/>
    </row>
    <row r="131" ht="23.25" customHeight="1" spans="1:22">
      <c r="A131" s="71"/>
      <c r="B131" s="71" t="s">
        <v>1430</v>
      </c>
      <c r="C131" s="71" t="s">
        <v>320</v>
      </c>
      <c r="D131" s="71" t="s">
        <v>147</v>
      </c>
      <c r="E131" s="101">
        <v>189</v>
      </c>
      <c r="F131" s="71"/>
      <c r="G131" s="101">
        <v>189</v>
      </c>
      <c r="H131" s="71">
        <v>2018</v>
      </c>
      <c r="I131" s="71">
        <v>2020</v>
      </c>
      <c r="J131" s="86">
        <f t="shared" si="80"/>
        <v>3.827</v>
      </c>
      <c r="K131" s="86">
        <v>1.16</v>
      </c>
      <c r="L131" s="86">
        <v>1.27</v>
      </c>
      <c r="M131" s="86">
        <v>1.397</v>
      </c>
      <c r="N131" s="86">
        <v>3.827</v>
      </c>
      <c r="O131" s="86"/>
      <c r="P131" s="86"/>
      <c r="Q131" s="86"/>
      <c r="R131" s="86"/>
      <c r="S131" s="86"/>
      <c r="T131" s="86"/>
      <c r="U131" s="86" t="s">
        <v>358</v>
      </c>
      <c r="V131" s="56" t="s">
        <v>41</v>
      </c>
    </row>
    <row r="132" ht="23.25" customHeight="1" spans="1:22">
      <c r="A132" s="71">
        <v>21</v>
      </c>
      <c r="B132" s="90" t="s">
        <v>819</v>
      </c>
      <c r="C132" s="71" t="s">
        <v>320</v>
      </c>
      <c r="D132" s="71"/>
      <c r="E132" s="71">
        <f t="shared" ref="E132:G132" si="81">SUM(E133,E138,E139)</f>
        <v>3322</v>
      </c>
      <c r="F132" s="71">
        <f t="shared" si="81"/>
        <v>2581</v>
      </c>
      <c r="G132" s="71">
        <f t="shared" si="81"/>
        <v>7480</v>
      </c>
      <c r="H132" s="71">
        <v>2018</v>
      </c>
      <c r="I132" s="71">
        <v>2020</v>
      </c>
      <c r="J132" s="86">
        <f t="shared" ref="J132:Q132" si="82">J139</f>
        <v>254.1864</v>
      </c>
      <c r="K132" s="86">
        <f t="shared" si="82"/>
        <v>10.692</v>
      </c>
      <c r="L132" s="86">
        <f t="shared" si="82"/>
        <v>121.7472</v>
      </c>
      <c r="M132" s="86">
        <f t="shared" si="82"/>
        <v>121.7472</v>
      </c>
      <c r="N132" s="86">
        <f t="shared" si="82"/>
        <v>7.2</v>
      </c>
      <c r="O132" s="86">
        <f t="shared" si="82"/>
        <v>0</v>
      </c>
      <c r="P132" s="86">
        <f t="shared" si="82"/>
        <v>7.659</v>
      </c>
      <c r="Q132" s="86">
        <f t="shared" si="82"/>
        <v>239.3274</v>
      </c>
      <c r="R132" s="86">
        <f>R133+R138+R139</f>
        <v>0</v>
      </c>
      <c r="S132" s="56" t="s">
        <v>1431</v>
      </c>
      <c r="T132" s="120" t="s">
        <v>1439</v>
      </c>
      <c r="U132" s="71" t="s">
        <v>320</v>
      </c>
      <c r="V132" s="56" t="s">
        <v>41</v>
      </c>
    </row>
    <row r="133" ht="26.1" customHeight="1" spans="1:22">
      <c r="A133" s="71">
        <v>22</v>
      </c>
      <c r="B133" s="73" t="s">
        <v>239</v>
      </c>
      <c r="C133" s="71" t="s">
        <v>320</v>
      </c>
      <c r="D133" s="71" t="s">
        <v>147</v>
      </c>
      <c r="E133" s="71">
        <v>1264</v>
      </c>
      <c r="F133" s="71">
        <v>833</v>
      </c>
      <c r="G133" s="71">
        <v>1264</v>
      </c>
      <c r="H133" s="71">
        <v>2018</v>
      </c>
      <c r="I133" s="71">
        <v>2018</v>
      </c>
      <c r="J133" s="86"/>
      <c r="K133" s="86"/>
      <c r="L133" s="86"/>
      <c r="M133" s="86"/>
      <c r="N133" s="86"/>
      <c r="O133" s="86"/>
      <c r="P133" s="86"/>
      <c r="Q133" s="86"/>
      <c r="R133" s="86"/>
      <c r="S133" s="56" t="s">
        <v>1431</v>
      </c>
      <c r="T133" s="120" t="s">
        <v>1439</v>
      </c>
      <c r="U133" s="71" t="s">
        <v>320</v>
      </c>
      <c r="V133" s="56" t="s">
        <v>41</v>
      </c>
    </row>
    <row r="134" ht="23.25" customHeight="1" spans="1:22">
      <c r="A134" s="71">
        <v>23</v>
      </c>
      <c r="B134" s="73" t="s">
        <v>241</v>
      </c>
      <c r="C134" s="71" t="s">
        <v>320</v>
      </c>
      <c r="D134" s="71" t="s">
        <v>147</v>
      </c>
      <c r="E134" s="71">
        <v>104</v>
      </c>
      <c r="F134" s="71">
        <v>75</v>
      </c>
      <c r="G134" s="71">
        <v>104</v>
      </c>
      <c r="H134" s="71">
        <v>2018</v>
      </c>
      <c r="I134" s="71">
        <v>2018</v>
      </c>
      <c r="J134" s="86"/>
      <c r="K134" s="86"/>
      <c r="L134" s="86"/>
      <c r="M134" s="86"/>
      <c r="N134" s="86"/>
      <c r="O134" s="86"/>
      <c r="P134" s="86"/>
      <c r="Q134" s="86"/>
      <c r="R134" s="86"/>
      <c r="S134" s="89"/>
      <c r="T134" s="89"/>
      <c r="U134" s="89" t="s">
        <v>195</v>
      </c>
      <c r="V134" s="56" t="s">
        <v>41</v>
      </c>
    </row>
    <row r="135" ht="23.25" customHeight="1" spans="1:22">
      <c r="A135" s="71">
        <v>24</v>
      </c>
      <c r="B135" s="73" t="s">
        <v>264</v>
      </c>
      <c r="C135" s="71" t="s">
        <v>320</v>
      </c>
      <c r="D135" s="71" t="s">
        <v>147</v>
      </c>
      <c r="E135" s="71">
        <v>161</v>
      </c>
      <c r="F135" s="71">
        <v>117</v>
      </c>
      <c r="G135" s="71">
        <v>161</v>
      </c>
      <c r="H135" s="71">
        <v>2018</v>
      </c>
      <c r="I135" s="71">
        <v>2018</v>
      </c>
      <c r="J135" s="86"/>
      <c r="K135" s="86"/>
      <c r="L135" s="86"/>
      <c r="M135" s="86"/>
      <c r="N135" s="86"/>
      <c r="O135" s="86"/>
      <c r="P135" s="86"/>
      <c r="Q135" s="86"/>
      <c r="R135" s="86"/>
      <c r="S135" s="89"/>
      <c r="T135" s="89"/>
      <c r="U135" s="89" t="s">
        <v>195</v>
      </c>
      <c r="V135" s="56" t="s">
        <v>41</v>
      </c>
    </row>
    <row r="136" ht="23.25" customHeight="1" spans="1:22">
      <c r="A136" s="71">
        <v>25</v>
      </c>
      <c r="B136" s="73" t="s">
        <v>265</v>
      </c>
      <c r="C136" s="71" t="s">
        <v>320</v>
      </c>
      <c r="D136" s="71" t="s">
        <v>147</v>
      </c>
      <c r="E136" s="71">
        <v>999</v>
      </c>
      <c r="F136" s="71">
        <v>641</v>
      </c>
      <c r="G136" s="71">
        <v>999</v>
      </c>
      <c r="H136" s="71">
        <v>2018</v>
      </c>
      <c r="I136" s="71">
        <v>2018</v>
      </c>
      <c r="J136" s="86"/>
      <c r="K136" s="86"/>
      <c r="L136" s="86"/>
      <c r="M136" s="86"/>
      <c r="N136" s="86"/>
      <c r="O136" s="86"/>
      <c r="P136" s="86"/>
      <c r="Q136" s="86"/>
      <c r="R136" s="86"/>
      <c r="S136" s="89"/>
      <c r="T136" s="89"/>
      <c r="U136" s="89" t="s">
        <v>195</v>
      </c>
      <c r="V136" s="56" t="s">
        <v>41</v>
      </c>
    </row>
    <row r="137" ht="23.25" customHeight="1" spans="1:22">
      <c r="A137" s="71">
        <v>26</v>
      </c>
      <c r="B137" s="73" t="s">
        <v>266</v>
      </c>
      <c r="C137" s="71" t="s">
        <v>320</v>
      </c>
      <c r="D137" s="71" t="s">
        <v>147</v>
      </c>
      <c r="E137" s="71"/>
      <c r="F137" s="71"/>
      <c r="G137" s="71"/>
      <c r="H137" s="71">
        <v>2018</v>
      </c>
      <c r="I137" s="71">
        <v>2018</v>
      </c>
      <c r="J137" s="86"/>
      <c r="K137" s="86"/>
      <c r="L137" s="86"/>
      <c r="M137" s="86"/>
      <c r="N137" s="86"/>
      <c r="O137" s="86"/>
      <c r="P137" s="86"/>
      <c r="Q137" s="86"/>
      <c r="R137" s="86"/>
      <c r="S137" s="89"/>
      <c r="T137" s="89"/>
      <c r="U137" s="89" t="s">
        <v>195</v>
      </c>
      <c r="V137" s="56" t="s">
        <v>41</v>
      </c>
    </row>
    <row r="138" ht="23.25" customHeight="1" spans="1:22">
      <c r="A138" s="71">
        <v>27</v>
      </c>
      <c r="B138" s="73" t="s">
        <v>267</v>
      </c>
      <c r="C138" s="71" t="s">
        <v>52</v>
      </c>
      <c r="D138" s="71" t="s">
        <v>194</v>
      </c>
      <c r="E138" s="71">
        <v>1850</v>
      </c>
      <c r="F138" s="71">
        <v>1551</v>
      </c>
      <c r="G138" s="71">
        <v>6019</v>
      </c>
      <c r="H138" s="71">
        <v>2018</v>
      </c>
      <c r="I138" s="71">
        <v>2020</v>
      </c>
      <c r="J138" s="86"/>
      <c r="K138" s="86"/>
      <c r="L138" s="86"/>
      <c r="M138" s="86"/>
      <c r="N138" s="86"/>
      <c r="O138" s="86"/>
      <c r="P138" s="86"/>
      <c r="Q138" s="86"/>
      <c r="R138" s="86"/>
      <c r="S138" s="89"/>
      <c r="T138" s="89"/>
      <c r="U138" s="89" t="s">
        <v>195</v>
      </c>
      <c r="V138" s="56" t="s">
        <v>41</v>
      </c>
    </row>
    <row r="139" ht="23.25" customHeight="1" spans="1:22">
      <c r="A139" s="71">
        <v>28</v>
      </c>
      <c r="B139" s="73" t="s">
        <v>268</v>
      </c>
      <c r="C139" s="71" t="s">
        <v>320</v>
      </c>
      <c r="D139" s="71" t="s">
        <v>147</v>
      </c>
      <c r="E139" s="71">
        <f t="shared" ref="E139:G139" si="83">E142+E157+E162</f>
        <v>208</v>
      </c>
      <c r="F139" s="71">
        <f t="shared" si="83"/>
        <v>197</v>
      </c>
      <c r="G139" s="71">
        <f t="shared" si="83"/>
        <v>197</v>
      </c>
      <c r="H139" s="71">
        <v>2018</v>
      </c>
      <c r="I139" s="71">
        <v>2020</v>
      </c>
      <c r="J139" s="86">
        <f t="shared" ref="J139:R139" si="84">J143+J150+J157+J162</f>
        <v>254.1864</v>
      </c>
      <c r="K139" s="86">
        <f t="shared" si="84"/>
        <v>10.692</v>
      </c>
      <c r="L139" s="86">
        <f t="shared" si="84"/>
        <v>121.7472</v>
      </c>
      <c r="M139" s="86">
        <f t="shared" si="84"/>
        <v>121.7472</v>
      </c>
      <c r="N139" s="86">
        <f t="shared" si="84"/>
        <v>7.2</v>
      </c>
      <c r="O139" s="86">
        <f t="shared" si="84"/>
        <v>0</v>
      </c>
      <c r="P139" s="86">
        <f t="shared" si="84"/>
        <v>7.659</v>
      </c>
      <c r="Q139" s="86">
        <f t="shared" si="84"/>
        <v>239.3274</v>
      </c>
      <c r="R139" s="86">
        <f t="shared" si="84"/>
        <v>0</v>
      </c>
      <c r="S139" s="56" t="s">
        <v>1431</v>
      </c>
      <c r="T139" s="120" t="s">
        <v>1439</v>
      </c>
      <c r="U139" s="71" t="s">
        <v>320</v>
      </c>
      <c r="V139" s="56" t="s">
        <v>41</v>
      </c>
    </row>
    <row r="140" ht="23.25" customHeight="1" spans="1:22">
      <c r="A140" s="71">
        <v>29</v>
      </c>
      <c r="B140" s="73" t="s">
        <v>269</v>
      </c>
      <c r="C140" s="71" t="s">
        <v>320</v>
      </c>
      <c r="D140" s="71" t="s">
        <v>147</v>
      </c>
      <c r="E140" s="71"/>
      <c r="F140" s="71"/>
      <c r="G140" s="71"/>
      <c r="H140" s="71"/>
      <c r="I140" s="71"/>
      <c r="J140" s="86"/>
      <c r="K140" s="86"/>
      <c r="L140" s="86"/>
      <c r="M140" s="86"/>
      <c r="N140" s="86"/>
      <c r="O140" s="86"/>
      <c r="P140" s="86"/>
      <c r="Q140" s="86"/>
      <c r="R140" s="86"/>
      <c r="S140" s="89"/>
      <c r="T140" s="89"/>
      <c r="U140" s="89" t="s">
        <v>201</v>
      </c>
      <c r="V140" s="56" t="s">
        <v>41</v>
      </c>
    </row>
    <row r="141" ht="23.25" customHeight="1" spans="1:22">
      <c r="A141" s="71">
        <v>30</v>
      </c>
      <c r="B141" s="73" t="s">
        <v>270</v>
      </c>
      <c r="C141" s="71" t="s">
        <v>320</v>
      </c>
      <c r="D141" s="71" t="s">
        <v>147</v>
      </c>
      <c r="E141" s="71"/>
      <c r="F141" s="71"/>
      <c r="G141" s="71"/>
      <c r="H141" s="71"/>
      <c r="I141" s="71"/>
      <c r="J141" s="86"/>
      <c r="K141" s="86"/>
      <c r="L141" s="86"/>
      <c r="M141" s="86"/>
      <c r="N141" s="86"/>
      <c r="O141" s="86"/>
      <c r="P141" s="86"/>
      <c r="Q141" s="86"/>
      <c r="R141" s="86"/>
      <c r="S141" s="89"/>
      <c r="T141" s="89"/>
      <c r="U141" s="89" t="s">
        <v>271</v>
      </c>
      <c r="V141" s="56" t="s">
        <v>41</v>
      </c>
    </row>
    <row r="142" ht="23.25" customHeight="1" spans="1:22">
      <c r="A142" s="71">
        <v>31</v>
      </c>
      <c r="B142" s="73"/>
      <c r="C142" s="71" t="s">
        <v>320</v>
      </c>
      <c r="D142" s="71" t="s">
        <v>147</v>
      </c>
      <c r="E142" s="71">
        <f t="shared" ref="E142:G142" si="85">E143+E150</f>
        <v>181</v>
      </c>
      <c r="F142" s="71">
        <f t="shared" si="85"/>
        <v>181</v>
      </c>
      <c r="G142" s="71">
        <f t="shared" si="85"/>
        <v>181</v>
      </c>
      <c r="H142" s="71">
        <v>2018</v>
      </c>
      <c r="I142" s="71">
        <v>2020</v>
      </c>
      <c r="J142" s="86"/>
      <c r="K142" s="86"/>
      <c r="L142" s="86"/>
      <c r="M142" s="86"/>
      <c r="N142" s="86"/>
      <c r="O142" s="86"/>
      <c r="P142" s="86"/>
      <c r="Q142" s="86"/>
      <c r="R142" s="86"/>
      <c r="S142" s="56" t="s">
        <v>1431</v>
      </c>
      <c r="T142" s="120" t="s">
        <v>1439</v>
      </c>
      <c r="U142" s="71" t="s">
        <v>273</v>
      </c>
      <c r="V142" s="56" t="s">
        <v>41</v>
      </c>
    </row>
    <row r="143" ht="23.25" customHeight="1" spans="1:22">
      <c r="A143" s="71"/>
      <c r="B143" s="73" t="s">
        <v>272</v>
      </c>
      <c r="C143" s="71"/>
      <c r="D143" s="71"/>
      <c r="E143" s="71">
        <f t="shared" ref="E143:G143" si="86">E144+E145+E146+E147+E148+E149</f>
        <v>136</v>
      </c>
      <c r="F143" s="71">
        <f t="shared" si="86"/>
        <v>136</v>
      </c>
      <c r="G143" s="71">
        <f t="shared" si="86"/>
        <v>136</v>
      </c>
      <c r="H143" s="71">
        <v>2018</v>
      </c>
      <c r="I143" s="71">
        <v>2020</v>
      </c>
      <c r="J143" s="86">
        <f t="shared" ref="J143:M143" si="87">J144+J145+J146+J147+J148+J149</f>
        <v>169.0752</v>
      </c>
      <c r="K143" s="86"/>
      <c r="L143" s="86">
        <f t="shared" si="87"/>
        <v>84.5376</v>
      </c>
      <c r="M143" s="86">
        <f t="shared" si="87"/>
        <v>84.5376</v>
      </c>
      <c r="N143" s="86"/>
      <c r="O143" s="86"/>
      <c r="P143" s="86">
        <f>P144+P145+P146+P147+P148+P149</f>
        <v>5.8752</v>
      </c>
      <c r="Q143" s="86">
        <f>Q144+Q145+Q146+Q147+Q148+Q149</f>
        <v>163.2</v>
      </c>
      <c r="R143" s="86"/>
      <c r="S143" s="56" t="s">
        <v>1431</v>
      </c>
      <c r="T143" s="120" t="s">
        <v>1439</v>
      </c>
      <c r="U143" s="71" t="s">
        <v>273</v>
      </c>
      <c r="V143" s="56" t="s">
        <v>41</v>
      </c>
    </row>
    <row r="144" ht="23.25" customHeight="1" spans="1:22">
      <c r="A144" s="71"/>
      <c r="B144" s="71" t="s">
        <v>1425</v>
      </c>
      <c r="C144" s="71" t="s">
        <v>320</v>
      </c>
      <c r="D144" s="71" t="s">
        <v>147</v>
      </c>
      <c r="E144" s="71">
        <v>24</v>
      </c>
      <c r="F144" s="71">
        <v>24</v>
      </c>
      <c r="G144" s="71">
        <v>24</v>
      </c>
      <c r="H144" s="71">
        <v>2018</v>
      </c>
      <c r="I144" s="71">
        <v>2020</v>
      </c>
      <c r="J144" s="86">
        <f t="shared" ref="J144:J149" si="88">K144+L144+M144</f>
        <v>29.8368</v>
      </c>
      <c r="K144" s="86"/>
      <c r="L144" s="86">
        <f t="shared" ref="L144:L149" si="89">0.6216*F144</f>
        <v>14.9184</v>
      </c>
      <c r="M144" s="86">
        <f t="shared" ref="M144:M149" si="90">0.6216*G144</f>
        <v>14.9184</v>
      </c>
      <c r="N144" s="527"/>
      <c r="O144" s="527"/>
      <c r="P144" s="527">
        <f t="shared" ref="P144:P149" si="91">0.0216*2*E144</f>
        <v>1.0368</v>
      </c>
      <c r="Q144" s="527">
        <f t="shared" ref="Q144:Q149" si="92">0.6*2*E144</f>
        <v>28.8</v>
      </c>
      <c r="R144" s="527"/>
      <c r="S144" s="86"/>
      <c r="T144" s="86"/>
      <c r="U144" s="71" t="s">
        <v>273</v>
      </c>
      <c r="V144" s="56" t="s">
        <v>41</v>
      </c>
    </row>
    <row r="145" ht="23.25" customHeight="1" spans="1:22">
      <c r="A145" s="71"/>
      <c r="B145" s="71" t="s">
        <v>1426</v>
      </c>
      <c r="C145" s="71" t="s">
        <v>320</v>
      </c>
      <c r="D145" s="71" t="s">
        <v>147</v>
      </c>
      <c r="E145" s="71">
        <v>25</v>
      </c>
      <c r="F145" s="71">
        <v>25</v>
      </c>
      <c r="G145" s="71">
        <v>25</v>
      </c>
      <c r="H145" s="71">
        <v>2018</v>
      </c>
      <c r="I145" s="71">
        <v>2020</v>
      </c>
      <c r="J145" s="86">
        <f t="shared" si="88"/>
        <v>31.08</v>
      </c>
      <c r="K145" s="86"/>
      <c r="L145" s="86">
        <f t="shared" si="89"/>
        <v>15.54</v>
      </c>
      <c r="M145" s="86">
        <f t="shared" si="90"/>
        <v>15.54</v>
      </c>
      <c r="N145" s="86"/>
      <c r="O145" s="86"/>
      <c r="P145" s="527">
        <f t="shared" si="91"/>
        <v>1.08</v>
      </c>
      <c r="Q145" s="527">
        <f t="shared" si="92"/>
        <v>30</v>
      </c>
      <c r="R145" s="86"/>
      <c r="S145" s="86"/>
      <c r="T145" s="86"/>
      <c r="U145" s="71" t="s">
        <v>273</v>
      </c>
      <c r="V145" s="56" t="s">
        <v>41</v>
      </c>
    </row>
    <row r="146" ht="23.25" customHeight="1" spans="1:22">
      <c r="A146" s="71"/>
      <c r="B146" s="71" t="s">
        <v>1427</v>
      </c>
      <c r="C146" s="71" t="s">
        <v>320</v>
      </c>
      <c r="D146" s="71" t="s">
        <v>147</v>
      </c>
      <c r="E146" s="71">
        <v>29</v>
      </c>
      <c r="F146" s="71">
        <v>29</v>
      </c>
      <c r="G146" s="71">
        <v>29</v>
      </c>
      <c r="H146" s="71">
        <v>2018</v>
      </c>
      <c r="I146" s="71">
        <v>2020</v>
      </c>
      <c r="J146" s="86">
        <f t="shared" si="88"/>
        <v>36.0528</v>
      </c>
      <c r="K146" s="86"/>
      <c r="L146" s="86">
        <f t="shared" si="89"/>
        <v>18.0264</v>
      </c>
      <c r="M146" s="86">
        <f t="shared" si="90"/>
        <v>18.0264</v>
      </c>
      <c r="N146" s="86"/>
      <c r="O146" s="86"/>
      <c r="P146" s="527">
        <f t="shared" si="91"/>
        <v>1.2528</v>
      </c>
      <c r="Q146" s="527">
        <f t="shared" si="92"/>
        <v>34.8</v>
      </c>
      <c r="R146" s="86"/>
      <c r="S146" s="86"/>
      <c r="T146" s="86"/>
      <c r="U146" s="71" t="s">
        <v>273</v>
      </c>
      <c r="V146" s="56" t="s">
        <v>41</v>
      </c>
    </row>
    <row r="147" ht="23.25" customHeight="1" spans="1:22">
      <c r="A147" s="71"/>
      <c r="B147" s="71" t="s">
        <v>1428</v>
      </c>
      <c r="C147" s="71" t="s">
        <v>320</v>
      </c>
      <c r="D147" s="71" t="s">
        <v>147</v>
      </c>
      <c r="E147" s="71">
        <v>29</v>
      </c>
      <c r="F147" s="71">
        <v>29</v>
      </c>
      <c r="G147" s="71">
        <v>29</v>
      </c>
      <c r="H147" s="71">
        <v>2018</v>
      </c>
      <c r="I147" s="71">
        <v>2020</v>
      </c>
      <c r="J147" s="86">
        <f t="shared" si="88"/>
        <v>36.0528</v>
      </c>
      <c r="K147" s="86"/>
      <c r="L147" s="86">
        <f t="shared" si="89"/>
        <v>18.0264</v>
      </c>
      <c r="M147" s="86">
        <f t="shared" si="90"/>
        <v>18.0264</v>
      </c>
      <c r="N147" s="86"/>
      <c r="O147" s="86"/>
      <c r="P147" s="527">
        <f t="shared" si="91"/>
        <v>1.2528</v>
      </c>
      <c r="Q147" s="527">
        <f t="shared" si="92"/>
        <v>34.8</v>
      </c>
      <c r="R147" s="86"/>
      <c r="S147" s="86"/>
      <c r="T147" s="86"/>
      <c r="U147" s="71" t="s">
        <v>273</v>
      </c>
      <c r="V147" s="56" t="s">
        <v>41</v>
      </c>
    </row>
    <row r="148" ht="23.25" customHeight="1" spans="1:22">
      <c r="A148" s="71"/>
      <c r="B148" s="71" t="s">
        <v>1429</v>
      </c>
      <c r="C148" s="71" t="s">
        <v>320</v>
      </c>
      <c r="D148" s="71" t="s">
        <v>147</v>
      </c>
      <c r="E148" s="71">
        <v>17</v>
      </c>
      <c r="F148" s="71">
        <v>17</v>
      </c>
      <c r="G148" s="71">
        <v>17</v>
      </c>
      <c r="H148" s="71">
        <v>2018</v>
      </c>
      <c r="I148" s="71">
        <v>2020</v>
      </c>
      <c r="J148" s="86">
        <f t="shared" si="88"/>
        <v>21.1344</v>
      </c>
      <c r="K148" s="86"/>
      <c r="L148" s="86">
        <f t="shared" si="89"/>
        <v>10.5672</v>
      </c>
      <c r="M148" s="86">
        <f t="shared" si="90"/>
        <v>10.5672</v>
      </c>
      <c r="N148" s="86"/>
      <c r="O148" s="86"/>
      <c r="P148" s="527">
        <f t="shared" si="91"/>
        <v>0.7344</v>
      </c>
      <c r="Q148" s="527">
        <f t="shared" si="92"/>
        <v>20.4</v>
      </c>
      <c r="R148" s="86"/>
      <c r="S148" s="86"/>
      <c r="T148" s="86"/>
      <c r="U148" s="71" t="s">
        <v>273</v>
      </c>
      <c r="V148" s="56" t="s">
        <v>41</v>
      </c>
    </row>
    <row r="149" ht="23.25" customHeight="1" spans="1:22">
      <c r="A149" s="71"/>
      <c r="B149" s="71" t="s">
        <v>1430</v>
      </c>
      <c r="C149" s="71" t="s">
        <v>320</v>
      </c>
      <c r="D149" s="71" t="s">
        <v>147</v>
      </c>
      <c r="E149" s="71">
        <v>12</v>
      </c>
      <c r="F149" s="71">
        <v>12</v>
      </c>
      <c r="G149" s="71">
        <v>12</v>
      </c>
      <c r="H149" s="71">
        <v>2018</v>
      </c>
      <c r="I149" s="71">
        <v>2020</v>
      </c>
      <c r="J149" s="86">
        <f t="shared" si="88"/>
        <v>14.9184</v>
      </c>
      <c r="K149" s="86"/>
      <c r="L149" s="86">
        <f t="shared" si="89"/>
        <v>7.4592</v>
      </c>
      <c r="M149" s="86">
        <f t="shared" si="90"/>
        <v>7.4592</v>
      </c>
      <c r="N149" s="86"/>
      <c r="O149" s="86"/>
      <c r="P149" s="527">
        <f t="shared" si="91"/>
        <v>0.5184</v>
      </c>
      <c r="Q149" s="527">
        <f t="shared" si="92"/>
        <v>14.4</v>
      </c>
      <c r="R149" s="86"/>
      <c r="S149" s="86"/>
      <c r="T149" s="86"/>
      <c r="U149" s="71" t="s">
        <v>273</v>
      </c>
      <c r="V149" s="56" t="s">
        <v>41</v>
      </c>
    </row>
    <row r="150" ht="23.25" customHeight="1" spans="1:22">
      <c r="A150" s="71"/>
      <c r="B150" s="519" t="s">
        <v>1440</v>
      </c>
      <c r="C150" s="520" t="s">
        <v>320</v>
      </c>
      <c r="D150" s="520" t="s">
        <v>147</v>
      </c>
      <c r="E150" s="520">
        <v>45</v>
      </c>
      <c r="F150" s="520">
        <v>45</v>
      </c>
      <c r="G150" s="520">
        <v>45</v>
      </c>
      <c r="H150" s="520">
        <v>2018</v>
      </c>
      <c r="I150" s="520">
        <v>2018</v>
      </c>
      <c r="J150" s="528">
        <v>62.487</v>
      </c>
      <c r="K150" s="528">
        <v>6.543</v>
      </c>
      <c r="L150" s="528">
        <v>27.972</v>
      </c>
      <c r="M150" s="528">
        <v>27.972</v>
      </c>
      <c r="N150" s="528"/>
      <c r="O150" s="528"/>
      <c r="P150" s="528">
        <v>1.2096</v>
      </c>
      <c r="Q150" s="528">
        <v>61.2774</v>
      </c>
      <c r="R150" s="528"/>
      <c r="S150" s="534" t="s">
        <v>1431</v>
      </c>
      <c r="T150" s="534" t="s">
        <v>1439</v>
      </c>
      <c r="U150" s="520" t="s">
        <v>273</v>
      </c>
      <c r="V150" s="535" t="s">
        <v>1441</v>
      </c>
    </row>
    <row r="151" ht="23.25" customHeight="1" spans="1:22">
      <c r="A151" s="71"/>
      <c r="B151" s="520" t="s">
        <v>1425</v>
      </c>
      <c r="C151" s="520" t="s">
        <v>320</v>
      </c>
      <c r="D151" s="520" t="s">
        <v>147</v>
      </c>
      <c r="E151" s="520">
        <v>7</v>
      </c>
      <c r="F151" s="520">
        <v>7</v>
      </c>
      <c r="G151" s="520">
        <v>7</v>
      </c>
      <c r="H151" s="520">
        <v>2018</v>
      </c>
      <c r="I151" s="520">
        <v>2018</v>
      </c>
      <c r="J151" s="528">
        <v>9.7902</v>
      </c>
      <c r="K151" s="528">
        <v>1.0878</v>
      </c>
      <c r="L151" s="528">
        <v>4.3512</v>
      </c>
      <c r="M151" s="528">
        <v>4.3512</v>
      </c>
      <c r="N151" s="528"/>
      <c r="O151" s="528"/>
      <c r="P151" s="528">
        <v>0.2</v>
      </c>
      <c r="Q151" s="528">
        <v>9.59</v>
      </c>
      <c r="R151" s="528"/>
      <c r="S151" s="534"/>
      <c r="T151" s="534"/>
      <c r="U151" s="520"/>
      <c r="V151" s="535" t="s">
        <v>1441</v>
      </c>
    </row>
    <row r="152" ht="23.25" customHeight="1" spans="1:22">
      <c r="A152" s="71"/>
      <c r="B152" s="520" t="s">
        <v>1426</v>
      </c>
      <c r="C152" s="520" t="s">
        <v>320</v>
      </c>
      <c r="D152" s="520" t="s">
        <v>147</v>
      </c>
      <c r="E152" s="520">
        <v>8</v>
      </c>
      <c r="F152" s="520">
        <v>8</v>
      </c>
      <c r="G152" s="520">
        <v>8</v>
      </c>
      <c r="H152" s="520">
        <v>2018</v>
      </c>
      <c r="I152" s="520">
        <v>2018</v>
      </c>
      <c r="J152" s="528">
        <v>11.0388</v>
      </c>
      <c r="K152" s="528">
        <v>1.0932</v>
      </c>
      <c r="L152" s="528">
        <v>4.9728</v>
      </c>
      <c r="M152" s="528">
        <v>4.9728</v>
      </c>
      <c r="N152" s="528"/>
      <c r="O152" s="528"/>
      <c r="P152" s="528">
        <v>0.2</v>
      </c>
      <c r="Q152" s="528">
        <v>10.84</v>
      </c>
      <c r="R152" s="528"/>
      <c r="S152" s="534"/>
      <c r="T152" s="534"/>
      <c r="U152" s="520"/>
      <c r="V152" s="535" t="s">
        <v>1441</v>
      </c>
    </row>
    <row r="153" ht="23.25" customHeight="1" spans="1:22">
      <c r="A153" s="71"/>
      <c r="B153" s="520" t="s">
        <v>1427</v>
      </c>
      <c r="C153" s="520" t="s">
        <v>320</v>
      </c>
      <c r="D153" s="520" t="s">
        <v>147</v>
      </c>
      <c r="E153" s="520">
        <v>7</v>
      </c>
      <c r="F153" s="520">
        <v>7</v>
      </c>
      <c r="G153" s="520">
        <v>7</v>
      </c>
      <c r="H153" s="520">
        <v>2018</v>
      </c>
      <c r="I153" s="520">
        <v>2018</v>
      </c>
      <c r="J153" s="528">
        <v>9.7902</v>
      </c>
      <c r="K153" s="528">
        <v>1.0878</v>
      </c>
      <c r="L153" s="528">
        <v>4.3512</v>
      </c>
      <c r="M153" s="528">
        <v>4.3512</v>
      </c>
      <c r="N153" s="528"/>
      <c r="O153" s="528"/>
      <c r="P153" s="528">
        <v>0.2</v>
      </c>
      <c r="Q153" s="528">
        <v>9.59</v>
      </c>
      <c r="R153" s="528"/>
      <c r="S153" s="534"/>
      <c r="T153" s="534"/>
      <c r="U153" s="520"/>
      <c r="V153" s="535" t="s">
        <v>1441</v>
      </c>
    </row>
    <row r="154" ht="23.25" customHeight="1" spans="1:22">
      <c r="A154" s="71"/>
      <c r="B154" s="520" t="s">
        <v>1428</v>
      </c>
      <c r="C154" s="520" t="s">
        <v>320</v>
      </c>
      <c r="D154" s="520" t="s">
        <v>147</v>
      </c>
      <c r="E154" s="520">
        <v>8</v>
      </c>
      <c r="F154" s="520">
        <v>8</v>
      </c>
      <c r="G154" s="520">
        <v>8</v>
      </c>
      <c r="H154" s="520">
        <v>2018</v>
      </c>
      <c r="I154" s="520">
        <v>2018</v>
      </c>
      <c r="J154" s="528">
        <v>11.0388</v>
      </c>
      <c r="K154" s="528">
        <v>1.0932</v>
      </c>
      <c r="L154" s="528">
        <v>4.9728</v>
      </c>
      <c r="M154" s="528">
        <v>4.9728</v>
      </c>
      <c r="N154" s="528"/>
      <c r="O154" s="528"/>
      <c r="P154" s="528">
        <v>0.2</v>
      </c>
      <c r="Q154" s="528">
        <v>10.84</v>
      </c>
      <c r="R154" s="528"/>
      <c r="S154" s="534"/>
      <c r="T154" s="534"/>
      <c r="U154" s="520"/>
      <c r="V154" s="535" t="s">
        <v>1441</v>
      </c>
    </row>
    <row r="155" ht="23.25" customHeight="1" spans="1:22">
      <c r="A155" s="71"/>
      <c r="B155" s="520" t="s">
        <v>1429</v>
      </c>
      <c r="C155" s="520" t="s">
        <v>320</v>
      </c>
      <c r="D155" s="520" t="s">
        <v>147</v>
      </c>
      <c r="E155" s="520">
        <v>8</v>
      </c>
      <c r="F155" s="520">
        <v>8</v>
      </c>
      <c r="G155" s="520">
        <v>8</v>
      </c>
      <c r="H155" s="520">
        <v>2018</v>
      </c>
      <c r="I155" s="520">
        <v>2018</v>
      </c>
      <c r="J155" s="528">
        <v>11.0388</v>
      </c>
      <c r="K155" s="528">
        <v>1.0932</v>
      </c>
      <c r="L155" s="528">
        <v>4.9728</v>
      </c>
      <c r="M155" s="528">
        <v>4.9728</v>
      </c>
      <c r="N155" s="528"/>
      <c r="O155" s="528"/>
      <c r="P155" s="528">
        <v>0.2</v>
      </c>
      <c r="Q155" s="528">
        <v>10.84</v>
      </c>
      <c r="R155" s="528"/>
      <c r="S155" s="534"/>
      <c r="T155" s="534"/>
      <c r="U155" s="520"/>
      <c r="V155" s="535" t="s">
        <v>1441</v>
      </c>
    </row>
    <row r="156" ht="23.25" customHeight="1" spans="1:22">
      <c r="A156" s="71"/>
      <c r="B156" s="520" t="s">
        <v>1430</v>
      </c>
      <c r="C156" s="520" t="s">
        <v>320</v>
      </c>
      <c r="D156" s="520" t="s">
        <v>147</v>
      </c>
      <c r="E156" s="520">
        <v>7</v>
      </c>
      <c r="F156" s="520">
        <v>7</v>
      </c>
      <c r="G156" s="520">
        <v>7</v>
      </c>
      <c r="H156" s="520">
        <v>2018</v>
      </c>
      <c r="I156" s="520">
        <v>2018</v>
      </c>
      <c r="J156" s="528">
        <v>9.7902</v>
      </c>
      <c r="K156" s="528">
        <v>1.0878</v>
      </c>
      <c r="L156" s="528">
        <v>4.3512</v>
      </c>
      <c r="M156" s="528">
        <v>4.3512</v>
      </c>
      <c r="N156" s="528"/>
      <c r="O156" s="528"/>
      <c r="P156" s="528">
        <v>0.21</v>
      </c>
      <c r="Q156" s="528">
        <v>9.58</v>
      </c>
      <c r="R156" s="528"/>
      <c r="S156" s="534"/>
      <c r="T156" s="534"/>
      <c r="U156" s="520"/>
      <c r="V156" s="535" t="s">
        <v>1441</v>
      </c>
    </row>
    <row r="157" ht="23.25" customHeight="1" spans="1:22">
      <c r="A157" s="71">
        <v>32</v>
      </c>
      <c r="B157" s="521" t="s">
        <v>1442</v>
      </c>
      <c r="C157" s="522" t="s">
        <v>320</v>
      </c>
      <c r="D157" s="522" t="s">
        <v>147</v>
      </c>
      <c r="E157" s="522">
        <v>11</v>
      </c>
      <c r="F157" s="522">
        <v>11</v>
      </c>
      <c r="G157" s="522">
        <v>11</v>
      </c>
      <c r="H157" s="522">
        <v>2018</v>
      </c>
      <c r="I157" s="522">
        <v>2018</v>
      </c>
      <c r="J157" s="529">
        <v>15.4242</v>
      </c>
      <c r="K157" s="529">
        <v>1.749</v>
      </c>
      <c r="L157" s="529">
        <v>6.8376</v>
      </c>
      <c r="M157" s="529">
        <v>6.8376</v>
      </c>
      <c r="N157" s="529"/>
      <c r="O157" s="529"/>
      <c r="P157" s="529">
        <v>0.5742</v>
      </c>
      <c r="Q157" s="529">
        <v>14.85</v>
      </c>
      <c r="R157" s="529"/>
      <c r="S157" s="536" t="s">
        <v>1423</v>
      </c>
      <c r="T157" s="536" t="s">
        <v>1443</v>
      </c>
      <c r="U157" s="537" t="s">
        <v>275</v>
      </c>
      <c r="V157" s="538" t="s">
        <v>1441</v>
      </c>
    </row>
    <row r="158" ht="23.25" customHeight="1" spans="1:22">
      <c r="A158" s="71"/>
      <c r="B158" s="522" t="s">
        <v>1425</v>
      </c>
      <c r="C158" s="522" t="s">
        <v>320</v>
      </c>
      <c r="D158" s="522" t="s">
        <v>147</v>
      </c>
      <c r="E158" s="522">
        <v>5</v>
      </c>
      <c r="F158" s="522">
        <v>5</v>
      </c>
      <c r="G158" s="522">
        <v>5</v>
      </c>
      <c r="H158" s="522">
        <v>2018</v>
      </c>
      <c r="I158" s="522">
        <v>2018</v>
      </c>
      <c r="J158" s="529">
        <v>7.011</v>
      </c>
      <c r="K158" s="529">
        <v>0.795</v>
      </c>
      <c r="L158" s="529">
        <v>3.108</v>
      </c>
      <c r="M158" s="529">
        <v>3.108</v>
      </c>
      <c r="N158" s="529"/>
      <c r="O158" s="529"/>
      <c r="P158" s="529">
        <v>0.26</v>
      </c>
      <c r="Q158" s="529">
        <v>6.75</v>
      </c>
      <c r="R158" s="529"/>
      <c r="S158" s="537"/>
      <c r="T158" s="537"/>
      <c r="U158" s="537"/>
      <c r="V158" s="538" t="s">
        <v>1441</v>
      </c>
    </row>
    <row r="159" ht="23.25" customHeight="1" spans="1:22">
      <c r="A159" s="71"/>
      <c r="B159" s="522" t="s">
        <v>1426</v>
      </c>
      <c r="C159" s="522" t="s">
        <v>320</v>
      </c>
      <c r="D159" s="522" t="s">
        <v>147</v>
      </c>
      <c r="E159" s="522">
        <v>3</v>
      </c>
      <c r="F159" s="522">
        <v>3</v>
      </c>
      <c r="G159" s="522">
        <v>3</v>
      </c>
      <c r="H159" s="522">
        <v>2018</v>
      </c>
      <c r="I159" s="522">
        <v>2018</v>
      </c>
      <c r="J159" s="529">
        <v>4.2066</v>
      </c>
      <c r="K159" s="529">
        <v>0.477</v>
      </c>
      <c r="L159" s="529">
        <v>1.8648</v>
      </c>
      <c r="M159" s="529">
        <v>1.8648</v>
      </c>
      <c r="N159" s="529"/>
      <c r="O159" s="529"/>
      <c r="P159" s="529">
        <v>0.16</v>
      </c>
      <c r="Q159" s="529">
        <v>4.05</v>
      </c>
      <c r="R159" s="529"/>
      <c r="S159" s="537"/>
      <c r="T159" s="537"/>
      <c r="U159" s="537"/>
      <c r="V159" s="538" t="s">
        <v>1441</v>
      </c>
    </row>
    <row r="160" ht="23.25" customHeight="1" spans="1:22">
      <c r="A160" s="71"/>
      <c r="B160" s="522" t="s">
        <v>1427</v>
      </c>
      <c r="C160" s="522" t="s">
        <v>320</v>
      </c>
      <c r="D160" s="522" t="s">
        <v>147</v>
      </c>
      <c r="E160" s="522">
        <v>2</v>
      </c>
      <c r="F160" s="522">
        <v>2</v>
      </c>
      <c r="G160" s="522">
        <v>2</v>
      </c>
      <c r="H160" s="522">
        <v>2018</v>
      </c>
      <c r="I160" s="522">
        <v>2018</v>
      </c>
      <c r="J160" s="529">
        <v>2.8044</v>
      </c>
      <c r="K160" s="529">
        <v>0.318</v>
      </c>
      <c r="L160" s="529">
        <v>1.2432</v>
      </c>
      <c r="M160" s="529">
        <v>1.2432</v>
      </c>
      <c r="N160" s="529"/>
      <c r="O160" s="529"/>
      <c r="P160" s="529">
        <v>0.1</v>
      </c>
      <c r="Q160" s="529">
        <v>2.7</v>
      </c>
      <c r="R160" s="529"/>
      <c r="S160" s="537"/>
      <c r="T160" s="537"/>
      <c r="U160" s="537"/>
      <c r="V160" s="538" t="s">
        <v>1441</v>
      </c>
    </row>
    <row r="161" ht="23.25" customHeight="1" spans="1:22">
      <c r="A161" s="71"/>
      <c r="B161" s="522" t="s">
        <v>1428</v>
      </c>
      <c r="C161" s="522" t="s">
        <v>320</v>
      </c>
      <c r="D161" s="522" t="s">
        <v>147</v>
      </c>
      <c r="E161" s="522">
        <v>1</v>
      </c>
      <c r="F161" s="522">
        <v>1</v>
      </c>
      <c r="G161" s="522">
        <v>1</v>
      </c>
      <c r="H161" s="522">
        <v>2018</v>
      </c>
      <c r="I161" s="522">
        <v>2018</v>
      </c>
      <c r="J161" s="529">
        <v>1.4022</v>
      </c>
      <c r="K161" s="529">
        <v>0.159</v>
      </c>
      <c r="L161" s="529">
        <v>0.6216</v>
      </c>
      <c r="M161" s="529">
        <v>0.6216</v>
      </c>
      <c r="N161" s="529"/>
      <c r="O161" s="529"/>
      <c r="P161" s="529">
        <v>0.05</v>
      </c>
      <c r="Q161" s="529">
        <v>1.35</v>
      </c>
      <c r="R161" s="529"/>
      <c r="S161" s="537"/>
      <c r="T161" s="537"/>
      <c r="U161" s="537"/>
      <c r="V161" s="538" t="s">
        <v>1441</v>
      </c>
    </row>
    <row r="162" ht="23.25" customHeight="1" spans="1:22">
      <c r="A162" s="71">
        <v>33</v>
      </c>
      <c r="B162" s="73" t="s">
        <v>276</v>
      </c>
      <c r="C162" s="71" t="s">
        <v>320</v>
      </c>
      <c r="D162" s="71" t="s">
        <v>147</v>
      </c>
      <c r="E162" s="71">
        <v>16</v>
      </c>
      <c r="F162" s="71">
        <v>5</v>
      </c>
      <c r="G162" s="71">
        <v>5</v>
      </c>
      <c r="H162" s="71">
        <v>2018</v>
      </c>
      <c r="I162" s="71">
        <v>2020</v>
      </c>
      <c r="J162" s="86">
        <f t="shared" ref="J162:J167" si="93">K162+L162+M162</f>
        <v>7.2</v>
      </c>
      <c r="K162" s="86">
        <v>2.4</v>
      </c>
      <c r="L162" s="86">
        <v>2.4</v>
      </c>
      <c r="M162" s="86">
        <v>2.4</v>
      </c>
      <c r="N162" s="86">
        <v>7.2</v>
      </c>
      <c r="O162" s="86">
        <v>0</v>
      </c>
      <c r="P162" s="86">
        <f>P163+P164+P165+P166+P167</f>
        <v>0</v>
      </c>
      <c r="Q162" s="86">
        <f>Q163+Q164+Q165+Q166+Q167</f>
        <v>0</v>
      </c>
      <c r="R162" s="86">
        <v>0</v>
      </c>
      <c r="S162" s="120" t="s">
        <v>1444</v>
      </c>
      <c r="T162" s="120" t="s">
        <v>1445</v>
      </c>
      <c r="U162" s="89" t="s">
        <v>277</v>
      </c>
      <c r="V162" s="56" t="s">
        <v>41</v>
      </c>
    </row>
    <row r="163" ht="23.25" customHeight="1" spans="1:22">
      <c r="A163" s="71"/>
      <c r="B163" s="71" t="s">
        <v>1425</v>
      </c>
      <c r="C163" s="71" t="s">
        <v>320</v>
      </c>
      <c r="D163" s="71" t="s">
        <v>147</v>
      </c>
      <c r="E163" s="71">
        <v>6</v>
      </c>
      <c r="F163" s="71">
        <v>2</v>
      </c>
      <c r="G163" s="71">
        <v>2</v>
      </c>
      <c r="H163" s="71">
        <v>2018</v>
      </c>
      <c r="I163" s="71">
        <v>2020</v>
      </c>
      <c r="J163" s="86">
        <f t="shared" si="93"/>
        <v>2.7</v>
      </c>
      <c r="K163" s="86">
        <v>0.9</v>
      </c>
      <c r="L163" s="86">
        <v>0.9</v>
      </c>
      <c r="M163" s="86">
        <v>0.9</v>
      </c>
      <c r="N163" s="86">
        <v>2.7</v>
      </c>
      <c r="O163" s="530"/>
      <c r="P163" s="530"/>
      <c r="Q163" s="530"/>
      <c r="R163" s="530"/>
      <c r="S163" s="86"/>
      <c r="T163" s="86"/>
      <c r="U163" s="89" t="s">
        <v>277</v>
      </c>
      <c r="V163" s="56" t="s">
        <v>41</v>
      </c>
    </row>
    <row r="164" ht="23.25" customHeight="1" spans="1:22">
      <c r="A164" s="71"/>
      <c r="B164" s="71" t="s">
        <v>1426</v>
      </c>
      <c r="C164" s="71" t="s">
        <v>320</v>
      </c>
      <c r="D164" s="71" t="s">
        <v>147</v>
      </c>
      <c r="E164" s="71">
        <v>2</v>
      </c>
      <c r="F164" s="71">
        <v>1</v>
      </c>
      <c r="G164" s="71">
        <v>1</v>
      </c>
      <c r="H164" s="71">
        <v>2018</v>
      </c>
      <c r="I164" s="71">
        <v>2020</v>
      </c>
      <c r="J164" s="86">
        <f t="shared" si="93"/>
        <v>0.9</v>
      </c>
      <c r="K164" s="86">
        <v>0.3</v>
      </c>
      <c r="L164" s="86">
        <v>0.3</v>
      </c>
      <c r="M164" s="86">
        <v>0.3</v>
      </c>
      <c r="N164" s="86">
        <v>0.9</v>
      </c>
      <c r="O164" s="530"/>
      <c r="P164" s="530"/>
      <c r="Q164" s="530"/>
      <c r="R164" s="530"/>
      <c r="S164" s="86"/>
      <c r="T164" s="86"/>
      <c r="U164" s="89" t="s">
        <v>277</v>
      </c>
      <c r="V164" s="56" t="s">
        <v>41</v>
      </c>
    </row>
    <row r="165" ht="23.25" customHeight="1" spans="1:22">
      <c r="A165" s="71"/>
      <c r="B165" s="71" t="s">
        <v>1427</v>
      </c>
      <c r="C165" s="71" t="s">
        <v>320</v>
      </c>
      <c r="D165" s="71" t="s">
        <v>147</v>
      </c>
      <c r="E165" s="71">
        <v>2</v>
      </c>
      <c r="F165" s="71">
        <v>0</v>
      </c>
      <c r="G165" s="71">
        <v>0</v>
      </c>
      <c r="H165" s="71">
        <v>2018</v>
      </c>
      <c r="I165" s="71">
        <v>2020</v>
      </c>
      <c r="J165" s="86">
        <f t="shared" si="93"/>
        <v>0.9</v>
      </c>
      <c r="K165" s="86">
        <v>0.3</v>
      </c>
      <c r="L165" s="86">
        <v>0.3</v>
      </c>
      <c r="M165" s="86">
        <v>0.3</v>
      </c>
      <c r="N165" s="86">
        <v>0.9</v>
      </c>
      <c r="O165" s="86"/>
      <c r="P165" s="530"/>
      <c r="Q165" s="530"/>
      <c r="R165" s="86"/>
      <c r="S165" s="86"/>
      <c r="T165" s="86"/>
      <c r="U165" s="89" t="s">
        <v>277</v>
      </c>
      <c r="V165" s="56" t="s">
        <v>41</v>
      </c>
    </row>
    <row r="166" ht="23.25" customHeight="1" spans="1:22">
      <c r="A166" s="71"/>
      <c r="B166" s="71" t="s">
        <v>1429</v>
      </c>
      <c r="C166" s="71" t="s">
        <v>320</v>
      </c>
      <c r="D166" s="71" t="s">
        <v>147</v>
      </c>
      <c r="E166" s="71">
        <v>4</v>
      </c>
      <c r="F166" s="71">
        <v>1</v>
      </c>
      <c r="G166" s="71">
        <v>1</v>
      </c>
      <c r="H166" s="71">
        <v>2018</v>
      </c>
      <c r="I166" s="71">
        <v>2020</v>
      </c>
      <c r="J166" s="86">
        <f t="shared" si="93"/>
        <v>1.8</v>
      </c>
      <c r="K166" s="86">
        <v>0.6</v>
      </c>
      <c r="L166" s="86">
        <v>0.6</v>
      </c>
      <c r="M166" s="86">
        <v>0.6</v>
      </c>
      <c r="N166" s="86">
        <v>1.8</v>
      </c>
      <c r="O166" s="86"/>
      <c r="P166" s="530"/>
      <c r="Q166" s="530"/>
      <c r="R166" s="86"/>
      <c r="S166" s="86"/>
      <c r="T166" s="86"/>
      <c r="U166" s="89" t="s">
        <v>277</v>
      </c>
      <c r="V166" s="56" t="s">
        <v>41</v>
      </c>
    </row>
    <row r="167" ht="23.25" customHeight="1" spans="1:22">
      <c r="A167" s="71"/>
      <c r="B167" s="71" t="s">
        <v>1430</v>
      </c>
      <c r="C167" s="71" t="s">
        <v>320</v>
      </c>
      <c r="D167" s="71" t="s">
        <v>147</v>
      </c>
      <c r="E167" s="71">
        <v>2</v>
      </c>
      <c r="F167" s="71">
        <v>1</v>
      </c>
      <c r="G167" s="71">
        <v>1</v>
      </c>
      <c r="H167" s="71">
        <v>2018</v>
      </c>
      <c r="I167" s="71">
        <v>2020</v>
      </c>
      <c r="J167" s="86">
        <f t="shared" si="93"/>
        <v>0.9</v>
      </c>
      <c r="K167" s="86">
        <v>0.3</v>
      </c>
      <c r="L167" s="86">
        <v>0.3</v>
      </c>
      <c r="M167" s="86">
        <v>0.3</v>
      </c>
      <c r="N167" s="86">
        <v>0.9</v>
      </c>
      <c r="O167" s="86"/>
      <c r="P167" s="530"/>
      <c r="Q167" s="530"/>
      <c r="R167" s="86"/>
      <c r="S167" s="86"/>
      <c r="T167" s="86"/>
      <c r="U167" s="89" t="s">
        <v>277</v>
      </c>
      <c r="V167" s="56" t="s">
        <v>41</v>
      </c>
    </row>
    <row r="168" ht="23.25" customHeight="1" spans="1:22">
      <c r="A168" s="71">
        <v>34</v>
      </c>
      <c r="B168" s="73" t="s">
        <v>857</v>
      </c>
      <c r="C168" s="71" t="s">
        <v>320</v>
      </c>
      <c r="D168" s="71" t="s">
        <v>320</v>
      </c>
      <c r="E168" s="71">
        <f>E169+E183+E192+E199+E208</f>
        <v>424979.1696</v>
      </c>
      <c r="F168" s="71">
        <f>SUM(F169,F183,F190,F192,F199,F206,F208)</f>
        <v>6352</v>
      </c>
      <c r="G168" s="71">
        <f>SUM(G169,G183,G190,G192,G199,G206,G208)</f>
        <v>23961</v>
      </c>
      <c r="H168" s="71">
        <v>2018</v>
      </c>
      <c r="I168" s="71">
        <v>2020</v>
      </c>
      <c r="J168" s="86">
        <f t="shared" ref="J168:N168" si="94">J169+J183+J192+J199+J206+J208+J190</f>
        <v>5629.493509</v>
      </c>
      <c r="K168" s="86">
        <f t="shared" ref="K168:R168" si="95">K169+K183+K192+K199+K206+K208</f>
        <v>827.04</v>
      </c>
      <c r="L168" s="86">
        <f t="shared" si="94"/>
        <v>4761.314503</v>
      </c>
      <c r="M168" s="86">
        <f t="shared" si="95"/>
        <v>41.139006</v>
      </c>
      <c r="N168" s="86">
        <f t="shared" si="94"/>
        <v>16.8</v>
      </c>
      <c r="O168" s="86">
        <f t="shared" si="95"/>
        <v>5212.693509</v>
      </c>
      <c r="P168" s="86">
        <f t="shared" si="95"/>
        <v>0</v>
      </c>
      <c r="Q168" s="86">
        <f t="shared" si="95"/>
        <v>400</v>
      </c>
      <c r="R168" s="86">
        <f t="shared" si="95"/>
        <v>0</v>
      </c>
      <c r="S168" s="138" t="s">
        <v>1446</v>
      </c>
      <c r="T168" s="138" t="s">
        <v>1447</v>
      </c>
      <c r="U168" s="71" t="s">
        <v>320</v>
      </c>
      <c r="V168" s="56" t="s">
        <v>41</v>
      </c>
    </row>
    <row r="169" ht="23.25" customHeight="1" spans="1:22">
      <c r="A169" s="71">
        <v>35</v>
      </c>
      <c r="B169" s="73" t="s">
        <v>42</v>
      </c>
      <c r="C169" s="71"/>
      <c r="D169" s="71"/>
      <c r="E169" s="71">
        <f t="shared" ref="E169:G169" si="96">E170+E182</f>
        <v>12955.98</v>
      </c>
      <c r="F169" s="71">
        <f t="shared" si="96"/>
        <v>1391</v>
      </c>
      <c r="G169" s="71">
        <f t="shared" si="96"/>
        <v>5612</v>
      </c>
      <c r="H169" s="71">
        <v>2018</v>
      </c>
      <c r="I169" s="71">
        <v>2018</v>
      </c>
      <c r="J169" s="86">
        <f t="shared" ref="J169:R169" si="97">J170+J182</f>
        <v>350</v>
      </c>
      <c r="K169" s="86">
        <f t="shared" si="97"/>
        <v>50</v>
      </c>
      <c r="L169" s="86">
        <f t="shared" si="97"/>
        <v>300</v>
      </c>
      <c r="M169" s="86">
        <f t="shared" si="97"/>
        <v>0</v>
      </c>
      <c r="N169" s="86">
        <f t="shared" si="97"/>
        <v>0</v>
      </c>
      <c r="O169" s="86">
        <f t="shared" si="97"/>
        <v>300</v>
      </c>
      <c r="P169" s="86">
        <f t="shared" si="97"/>
        <v>0</v>
      </c>
      <c r="Q169" s="86">
        <f t="shared" si="97"/>
        <v>50</v>
      </c>
      <c r="R169" s="86">
        <f t="shared" si="97"/>
        <v>0</v>
      </c>
      <c r="S169" s="86"/>
      <c r="T169" s="86"/>
      <c r="U169" s="71"/>
      <c r="V169" s="56" t="s">
        <v>41</v>
      </c>
    </row>
    <row r="170" ht="23.25" customHeight="1" spans="1:22">
      <c r="A170" s="71">
        <v>36</v>
      </c>
      <c r="B170" s="73" t="s">
        <v>1114</v>
      </c>
      <c r="C170" s="71" t="s">
        <v>52</v>
      </c>
      <c r="D170" s="71" t="s">
        <v>45</v>
      </c>
      <c r="E170" s="523">
        <f t="shared" ref="E170:G170" si="98">SUM(E171:E180)</f>
        <v>12855.98</v>
      </c>
      <c r="F170" s="523">
        <f t="shared" si="98"/>
        <v>1231</v>
      </c>
      <c r="G170" s="523">
        <f t="shared" si="98"/>
        <v>5012</v>
      </c>
      <c r="H170" s="71">
        <v>2018</v>
      </c>
      <c r="I170" s="71">
        <v>2018</v>
      </c>
      <c r="J170" s="86">
        <f>J171+J175+J178+J179+J180</f>
        <v>300</v>
      </c>
      <c r="K170" s="86">
        <f>K171+K172+K173+K174+K175+K176+K177</f>
        <v>0</v>
      </c>
      <c r="L170" s="86">
        <f>L171</f>
        <v>300</v>
      </c>
      <c r="M170" s="86"/>
      <c r="N170" s="86"/>
      <c r="O170" s="86">
        <v>300</v>
      </c>
      <c r="P170" s="86"/>
      <c r="Q170" s="86"/>
      <c r="R170" s="86"/>
      <c r="S170" s="138" t="s">
        <v>1446</v>
      </c>
      <c r="T170" s="138" t="s">
        <v>1447</v>
      </c>
      <c r="U170" s="71"/>
      <c r="V170" s="56" t="s">
        <v>41</v>
      </c>
    </row>
    <row r="171" ht="66" customHeight="1" spans="1:22">
      <c r="A171" s="71"/>
      <c r="B171" s="524" t="s">
        <v>1448</v>
      </c>
      <c r="C171" s="523" t="s">
        <v>52</v>
      </c>
      <c r="D171" s="523" t="s">
        <v>45</v>
      </c>
      <c r="E171" s="523">
        <v>5000</v>
      </c>
      <c r="F171" s="523">
        <v>112</v>
      </c>
      <c r="G171" s="523">
        <v>459</v>
      </c>
      <c r="H171" s="523">
        <v>2019</v>
      </c>
      <c r="I171" s="523">
        <v>2020</v>
      </c>
      <c r="J171" s="531">
        <f t="shared" ref="J171:J173" si="99">K171+L171+M171</f>
        <v>300</v>
      </c>
      <c r="K171" s="531">
        <v>0</v>
      </c>
      <c r="L171" s="531">
        <v>300</v>
      </c>
      <c r="M171" s="531">
        <v>0</v>
      </c>
      <c r="N171" s="532"/>
      <c r="O171" s="532">
        <f t="shared" ref="O171:O173" si="100">L171</f>
        <v>300</v>
      </c>
      <c r="P171" s="531"/>
      <c r="Q171" s="532"/>
      <c r="R171" s="531"/>
      <c r="S171" s="532" t="s">
        <v>1446</v>
      </c>
      <c r="T171" s="532" t="s">
        <v>1449</v>
      </c>
      <c r="U171" s="531" t="s">
        <v>43</v>
      </c>
      <c r="V171" s="56" t="s">
        <v>41</v>
      </c>
    </row>
    <row r="172" ht="66" customHeight="1" spans="1:22">
      <c r="A172" s="71"/>
      <c r="B172" s="524" t="s">
        <v>1450</v>
      </c>
      <c r="C172" s="523" t="s">
        <v>52</v>
      </c>
      <c r="D172" s="523" t="s">
        <v>45</v>
      </c>
      <c r="E172" s="523">
        <v>2500</v>
      </c>
      <c r="F172" s="523">
        <v>53</v>
      </c>
      <c r="G172" s="523">
        <v>204</v>
      </c>
      <c r="H172" s="523">
        <v>2019</v>
      </c>
      <c r="I172" s="523">
        <v>2020</v>
      </c>
      <c r="J172" s="531">
        <f t="shared" si="99"/>
        <v>150</v>
      </c>
      <c r="K172" s="531">
        <v>0</v>
      </c>
      <c r="L172" s="531">
        <v>150</v>
      </c>
      <c r="M172" s="531">
        <v>0</v>
      </c>
      <c r="N172" s="532"/>
      <c r="O172" s="532">
        <f t="shared" si="100"/>
        <v>150</v>
      </c>
      <c r="P172" s="531"/>
      <c r="Q172" s="532"/>
      <c r="R172" s="531"/>
      <c r="S172" s="532"/>
      <c r="T172" s="532"/>
      <c r="U172" s="531"/>
      <c r="V172" s="56" t="s">
        <v>41</v>
      </c>
    </row>
    <row r="173" ht="57" customHeight="1" spans="1:22">
      <c r="A173" s="71"/>
      <c r="B173" s="524" t="s">
        <v>1451</v>
      </c>
      <c r="C173" s="523" t="s">
        <v>52</v>
      </c>
      <c r="D173" s="523" t="s">
        <v>45</v>
      </c>
      <c r="E173" s="523">
        <v>2500</v>
      </c>
      <c r="F173" s="523">
        <v>24</v>
      </c>
      <c r="G173" s="523">
        <v>103</v>
      </c>
      <c r="H173" s="523">
        <v>2019</v>
      </c>
      <c r="I173" s="523">
        <v>2020</v>
      </c>
      <c r="J173" s="531">
        <f t="shared" si="99"/>
        <v>150</v>
      </c>
      <c r="K173" s="531">
        <v>0</v>
      </c>
      <c r="L173" s="531">
        <v>150</v>
      </c>
      <c r="M173" s="531">
        <v>0</v>
      </c>
      <c r="N173" s="532"/>
      <c r="O173" s="532">
        <f t="shared" si="100"/>
        <v>150</v>
      </c>
      <c r="P173" s="531"/>
      <c r="Q173" s="532"/>
      <c r="R173" s="531"/>
      <c r="S173" s="532"/>
      <c r="T173" s="532"/>
      <c r="U173" s="531"/>
      <c r="V173" s="56" t="s">
        <v>41</v>
      </c>
    </row>
    <row r="174" ht="11.1" customHeight="1" spans="1:22">
      <c r="A174" s="71"/>
      <c r="B174" s="524"/>
      <c r="C174" s="523"/>
      <c r="D174" s="523"/>
      <c r="E174" s="523"/>
      <c r="F174" s="523"/>
      <c r="G174" s="523"/>
      <c r="H174" s="523"/>
      <c r="I174" s="523"/>
      <c r="J174" s="531"/>
      <c r="K174" s="531"/>
      <c r="L174" s="531"/>
      <c r="M174" s="531"/>
      <c r="N174" s="532"/>
      <c r="O174" s="532"/>
      <c r="P174" s="531"/>
      <c r="Q174" s="532"/>
      <c r="R174" s="531"/>
      <c r="S174" s="532"/>
      <c r="T174" s="532"/>
      <c r="U174" s="531"/>
      <c r="V174" s="56"/>
    </row>
    <row r="175" ht="66" customHeight="1" spans="1:22">
      <c r="A175" s="71"/>
      <c r="B175" s="524" t="s">
        <v>1452</v>
      </c>
      <c r="C175" s="523" t="s">
        <v>52</v>
      </c>
      <c r="D175" s="523" t="s">
        <v>45</v>
      </c>
      <c r="E175" s="523">
        <v>350</v>
      </c>
      <c r="F175" s="523">
        <v>47</v>
      </c>
      <c r="G175" s="523">
        <v>218</v>
      </c>
      <c r="H175" s="523">
        <v>2018</v>
      </c>
      <c r="I175" s="523">
        <v>2019</v>
      </c>
      <c r="J175" s="531"/>
      <c r="K175" s="531"/>
      <c r="L175" s="531"/>
      <c r="M175" s="531"/>
      <c r="N175" s="532"/>
      <c r="O175" s="531"/>
      <c r="P175" s="531"/>
      <c r="Q175" s="532"/>
      <c r="R175" s="531"/>
      <c r="S175" s="532" t="s">
        <v>1446</v>
      </c>
      <c r="T175" s="532" t="s">
        <v>1449</v>
      </c>
      <c r="U175" s="531"/>
      <c r="V175" s="56" t="s">
        <v>41</v>
      </c>
    </row>
    <row r="176" ht="57" customHeight="1" spans="1:22">
      <c r="A176" s="71"/>
      <c r="B176" s="524" t="s">
        <v>1453</v>
      </c>
      <c r="C176" s="523" t="s">
        <v>52</v>
      </c>
      <c r="D176" s="523" t="s">
        <v>45</v>
      </c>
      <c r="E176" s="523">
        <v>300</v>
      </c>
      <c r="F176" s="523">
        <v>37</v>
      </c>
      <c r="G176" s="523">
        <v>158</v>
      </c>
      <c r="H176" s="523">
        <v>2018</v>
      </c>
      <c r="I176" s="523">
        <v>2019</v>
      </c>
      <c r="J176" s="531"/>
      <c r="K176" s="531"/>
      <c r="L176" s="531"/>
      <c r="M176" s="531"/>
      <c r="N176" s="532"/>
      <c r="O176" s="531"/>
      <c r="P176" s="531"/>
      <c r="Q176" s="532"/>
      <c r="R176" s="531"/>
      <c r="S176" s="532"/>
      <c r="T176" s="532"/>
      <c r="U176" s="531"/>
      <c r="V176" s="56" t="s">
        <v>41</v>
      </c>
    </row>
    <row r="177" ht="57" customHeight="1" spans="1:22">
      <c r="A177" s="71"/>
      <c r="B177" s="524" t="s">
        <v>1454</v>
      </c>
      <c r="C177" s="523" t="s">
        <v>52</v>
      </c>
      <c r="D177" s="523" t="s">
        <v>45</v>
      </c>
      <c r="E177" s="523">
        <v>50</v>
      </c>
      <c r="F177" s="523">
        <v>10</v>
      </c>
      <c r="G177" s="523">
        <v>60</v>
      </c>
      <c r="H177" s="523">
        <v>2018</v>
      </c>
      <c r="I177" s="523">
        <v>2019</v>
      </c>
      <c r="J177" s="531"/>
      <c r="K177" s="531"/>
      <c r="L177" s="531"/>
      <c r="M177" s="531"/>
      <c r="N177" s="532"/>
      <c r="O177" s="531"/>
      <c r="P177" s="531"/>
      <c r="Q177" s="532"/>
      <c r="R177" s="531"/>
      <c r="S177" s="532"/>
      <c r="T177" s="532"/>
      <c r="U177" s="531"/>
      <c r="V177" s="56" t="s">
        <v>41</v>
      </c>
    </row>
    <row r="178" ht="23.25" customHeight="1" spans="1:22">
      <c r="A178" s="71"/>
      <c r="B178" s="73" t="s">
        <v>860</v>
      </c>
      <c r="C178" s="71"/>
      <c r="D178" s="71" t="s">
        <v>45</v>
      </c>
      <c r="E178" s="71">
        <v>493.98</v>
      </c>
      <c r="F178" s="71">
        <v>276</v>
      </c>
      <c r="G178" s="71">
        <v>1264</v>
      </c>
      <c r="H178" s="71">
        <v>2018</v>
      </c>
      <c r="I178" s="71">
        <v>2018</v>
      </c>
      <c r="J178" s="86"/>
      <c r="K178" s="86"/>
      <c r="L178" s="86"/>
      <c r="M178" s="86"/>
      <c r="N178" s="86"/>
      <c r="O178" s="86"/>
      <c r="P178" s="86"/>
      <c r="Q178" s="86"/>
      <c r="R178" s="86"/>
      <c r="S178" s="86"/>
      <c r="T178" s="86"/>
      <c r="U178" s="71"/>
      <c r="V178" s="56" t="s">
        <v>41</v>
      </c>
    </row>
    <row r="179" ht="23.25" customHeight="1" spans="1:22">
      <c r="A179" s="71"/>
      <c r="B179" s="68" t="s">
        <v>861</v>
      </c>
      <c r="C179" s="71"/>
      <c r="D179" s="71" t="s">
        <v>45</v>
      </c>
      <c r="E179" s="71">
        <v>1652</v>
      </c>
      <c r="F179" s="71">
        <v>669</v>
      </c>
      <c r="G179" s="71">
        <v>2538</v>
      </c>
      <c r="H179" s="71">
        <v>2018</v>
      </c>
      <c r="I179" s="71">
        <v>2018</v>
      </c>
      <c r="J179" s="86"/>
      <c r="K179" s="86"/>
      <c r="L179" s="86"/>
      <c r="M179" s="86"/>
      <c r="N179" s="86"/>
      <c r="O179" s="86"/>
      <c r="P179" s="86"/>
      <c r="Q179" s="86"/>
      <c r="R179" s="86"/>
      <c r="S179" s="86"/>
      <c r="T179" s="86"/>
      <c r="U179" s="71"/>
      <c r="V179" s="56" t="s">
        <v>41</v>
      </c>
    </row>
    <row r="180" ht="23.25" customHeight="1" spans="1:22">
      <c r="A180" s="71"/>
      <c r="B180" s="73" t="s">
        <v>862</v>
      </c>
      <c r="C180" s="71"/>
      <c r="D180" s="71" t="s">
        <v>45</v>
      </c>
      <c r="E180" s="71">
        <v>10</v>
      </c>
      <c r="F180" s="71">
        <v>3</v>
      </c>
      <c r="G180" s="71">
        <v>8</v>
      </c>
      <c r="H180" s="71">
        <v>2018</v>
      </c>
      <c r="I180" s="71">
        <v>2018</v>
      </c>
      <c r="J180" s="86"/>
      <c r="K180" s="86"/>
      <c r="L180" s="86"/>
      <c r="M180" s="86"/>
      <c r="N180" s="86"/>
      <c r="O180" s="86"/>
      <c r="P180" s="86"/>
      <c r="Q180" s="86"/>
      <c r="R180" s="86"/>
      <c r="S180" s="86"/>
      <c r="T180" s="86"/>
      <c r="U180" s="71"/>
      <c r="V180" s="56" t="s">
        <v>41</v>
      </c>
    </row>
    <row r="181" ht="26.1" customHeight="1" spans="1:22">
      <c r="A181" s="71">
        <v>37</v>
      </c>
      <c r="B181" s="524" t="s">
        <v>1123</v>
      </c>
      <c r="C181" s="523" t="s">
        <v>1124</v>
      </c>
      <c r="D181" s="523" t="s">
        <v>45</v>
      </c>
      <c r="E181" s="523">
        <v>0</v>
      </c>
      <c r="F181" s="523">
        <v>0</v>
      </c>
      <c r="G181" s="523">
        <v>0</v>
      </c>
      <c r="H181" s="523"/>
      <c r="I181" s="523"/>
      <c r="J181" s="531"/>
      <c r="K181" s="531"/>
      <c r="L181" s="531"/>
      <c r="M181" s="531"/>
      <c r="N181" s="531"/>
      <c r="O181" s="531"/>
      <c r="P181" s="531"/>
      <c r="Q181" s="531"/>
      <c r="R181" s="531"/>
      <c r="S181" s="531"/>
      <c r="T181" s="531"/>
      <c r="U181" s="531" t="s">
        <v>43</v>
      </c>
      <c r="V181" s="56" t="s">
        <v>41</v>
      </c>
    </row>
    <row r="182" ht="26.1" customHeight="1" spans="1:22">
      <c r="A182" s="71"/>
      <c r="B182" s="73" t="s">
        <v>1455</v>
      </c>
      <c r="C182" s="71" t="s">
        <v>52</v>
      </c>
      <c r="D182" s="71" t="s">
        <v>45</v>
      </c>
      <c r="E182" s="71">
        <v>100</v>
      </c>
      <c r="F182" s="71">
        <v>160</v>
      </c>
      <c r="G182" s="71">
        <v>600</v>
      </c>
      <c r="H182" s="71">
        <v>2018</v>
      </c>
      <c r="I182" s="71">
        <v>2019</v>
      </c>
      <c r="J182" s="86">
        <v>50</v>
      </c>
      <c r="K182" s="86">
        <v>50</v>
      </c>
      <c r="L182" s="86">
        <v>0</v>
      </c>
      <c r="M182" s="86">
        <v>0</v>
      </c>
      <c r="N182" s="71"/>
      <c r="O182" s="71"/>
      <c r="P182" s="71"/>
      <c r="Q182" s="86">
        <v>50</v>
      </c>
      <c r="R182" s="71"/>
      <c r="S182" s="86" t="s">
        <v>1456</v>
      </c>
      <c r="T182" s="86" t="s">
        <v>1421</v>
      </c>
      <c r="U182" s="86" t="s">
        <v>43</v>
      </c>
      <c r="V182" s="56" t="s">
        <v>41</v>
      </c>
    </row>
    <row r="183" ht="23.25" customHeight="1" spans="1:22">
      <c r="A183" s="71">
        <v>38</v>
      </c>
      <c r="B183" s="73" t="s">
        <v>130</v>
      </c>
      <c r="C183" s="71"/>
      <c r="D183" s="71"/>
      <c r="E183" s="71">
        <f t="shared" ref="E183:G183" si="101">E184+E189</f>
        <v>8144</v>
      </c>
      <c r="F183" s="71">
        <f t="shared" si="101"/>
        <v>1575</v>
      </c>
      <c r="G183" s="71">
        <f t="shared" si="101"/>
        <v>5395</v>
      </c>
      <c r="H183" s="71">
        <v>2018</v>
      </c>
      <c r="I183" s="71">
        <v>2018</v>
      </c>
      <c r="J183" s="86">
        <f t="shared" ref="J183:U183" si="102">J189</f>
        <v>50</v>
      </c>
      <c r="K183" s="86">
        <f t="shared" si="102"/>
        <v>50</v>
      </c>
      <c r="L183" s="86">
        <f t="shared" si="102"/>
        <v>0</v>
      </c>
      <c r="M183" s="86">
        <f t="shared" si="102"/>
        <v>0</v>
      </c>
      <c r="N183" s="86">
        <f t="shared" si="102"/>
        <v>0</v>
      </c>
      <c r="O183" s="86">
        <f t="shared" si="102"/>
        <v>0</v>
      </c>
      <c r="P183" s="86">
        <f t="shared" si="102"/>
        <v>0</v>
      </c>
      <c r="Q183" s="86">
        <f t="shared" si="102"/>
        <v>50</v>
      </c>
      <c r="R183" s="86">
        <f t="shared" si="102"/>
        <v>0</v>
      </c>
      <c r="S183" s="86" t="str">
        <f t="shared" si="102"/>
        <v>罗治旭</v>
      </c>
      <c r="T183" s="86" t="str">
        <f t="shared" si="102"/>
        <v>田优</v>
      </c>
      <c r="U183" s="86" t="str">
        <f t="shared" si="102"/>
        <v>农业</v>
      </c>
      <c r="V183" s="56" t="s">
        <v>41</v>
      </c>
    </row>
    <row r="184" ht="25.9" customHeight="1" spans="1:22">
      <c r="A184" s="71">
        <v>39</v>
      </c>
      <c r="B184" s="73" t="s">
        <v>1125</v>
      </c>
      <c r="C184" s="71" t="s">
        <v>52</v>
      </c>
      <c r="D184" s="71" t="s">
        <v>131</v>
      </c>
      <c r="E184" s="71">
        <v>8044</v>
      </c>
      <c r="F184" s="71">
        <v>1415</v>
      </c>
      <c r="G184" s="71">
        <v>4796</v>
      </c>
      <c r="H184" s="71">
        <v>2018</v>
      </c>
      <c r="I184" s="71">
        <v>2018</v>
      </c>
      <c r="J184" s="86"/>
      <c r="K184" s="86"/>
      <c r="L184" s="86"/>
      <c r="M184" s="86"/>
      <c r="N184" s="86"/>
      <c r="O184" s="86"/>
      <c r="P184" s="86"/>
      <c r="Q184" s="86"/>
      <c r="R184" s="86"/>
      <c r="S184" s="86"/>
      <c r="T184" s="86"/>
      <c r="U184" s="86"/>
      <c r="V184" s="56" t="s">
        <v>41</v>
      </c>
    </row>
    <row r="185" ht="23.25" customHeight="1" spans="1:22">
      <c r="A185" s="71"/>
      <c r="B185" s="73" t="s">
        <v>876</v>
      </c>
      <c r="C185" s="71"/>
      <c r="D185" s="71" t="s">
        <v>131</v>
      </c>
      <c r="E185" s="71">
        <v>6741</v>
      </c>
      <c r="F185" s="71">
        <v>560</v>
      </c>
      <c r="G185" s="71">
        <v>2006</v>
      </c>
      <c r="H185" s="71">
        <v>2018</v>
      </c>
      <c r="I185" s="71">
        <v>2018</v>
      </c>
      <c r="J185" s="86"/>
      <c r="K185" s="86"/>
      <c r="L185" s="86"/>
      <c r="M185" s="86"/>
      <c r="N185" s="86"/>
      <c r="O185" s="86"/>
      <c r="P185" s="86"/>
      <c r="Q185" s="86"/>
      <c r="R185" s="86"/>
      <c r="S185" s="86"/>
      <c r="T185" s="86"/>
      <c r="U185" s="86"/>
      <c r="V185" s="56" t="s">
        <v>41</v>
      </c>
    </row>
    <row r="186" ht="23.25" customHeight="1" spans="1:22">
      <c r="A186" s="71"/>
      <c r="B186" s="73" t="s">
        <v>878</v>
      </c>
      <c r="C186" s="71"/>
      <c r="D186" s="71" t="s">
        <v>131</v>
      </c>
      <c r="E186" s="71">
        <v>1184</v>
      </c>
      <c r="F186" s="71">
        <v>769</v>
      </c>
      <c r="G186" s="71">
        <v>2646</v>
      </c>
      <c r="H186" s="71">
        <v>2018</v>
      </c>
      <c r="I186" s="71">
        <v>2018</v>
      </c>
      <c r="J186" s="86"/>
      <c r="K186" s="86"/>
      <c r="L186" s="86"/>
      <c r="M186" s="86"/>
      <c r="N186" s="86"/>
      <c r="O186" s="86"/>
      <c r="P186" s="86"/>
      <c r="Q186" s="86"/>
      <c r="R186" s="86"/>
      <c r="S186" s="86"/>
      <c r="T186" s="86"/>
      <c r="U186" s="86"/>
      <c r="V186" s="56" t="s">
        <v>41</v>
      </c>
    </row>
    <row r="187" ht="23.25" customHeight="1" spans="1:22">
      <c r="A187" s="71"/>
      <c r="B187" s="73" t="s">
        <v>879</v>
      </c>
      <c r="C187" s="71"/>
      <c r="D187" s="71" t="s">
        <v>131</v>
      </c>
      <c r="E187" s="71">
        <v>119</v>
      </c>
      <c r="F187" s="71">
        <v>86</v>
      </c>
      <c r="G187" s="71">
        <v>144</v>
      </c>
      <c r="H187" s="71">
        <v>2018</v>
      </c>
      <c r="I187" s="71">
        <v>2018</v>
      </c>
      <c r="J187" s="86"/>
      <c r="K187" s="86"/>
      <c r="L187" s="86"/>
      <c r="M187" s="86"/>
      <c r="N187" s="530"/>
      <c r="O187" s="530"/>
      <c r="P187" s="530"/>
      <c r="Q187" s="530"/>
      <c r="R187" s="530"/>
      <c r="S187" s="86"/>
      <c r="T187" s="86"/>
      <c r="U187" s="86"/>
      <c r="V187" s="56" t="s">
        <v>41</v>
      </c>
    </row>
    <row r="188" ht="41.25" customHeight="1" spans="1:22">
      <c r="A188" s="71">
        <v>40</v>
      </c>
      <c r="B188" s="73" t="s">
        <v>1129</v>
      </c>
      <c r="C188" s="71" t="s">
        <v>1124</v>
      </c>
      <c r="D188" s="71" t="s">
        <v>1130</v>
      </c>
      <c r="E188" s="71"/>
      <c r="F188" s="71"/>
      <c r="G188" s="71"/>
      <c r="H188" s="71">
        <v>2018</v>
      </c>
      <c r="I188" s="71">
        <v>2020</v>
      </c>
      <c r="J188" s="86"/>
      <c r="K188" s="86"/>
      <c r="L188" s="86"/>
      <c r="M188" s="86"/>
      <c r="N188" s="530"/>
      <c r="O188" s="530"/>
      <c r="P188" s="530"/>
      <c r="Q188" s="530"/>
      <c r="R188" s="530"/>
      <c r="S188" s="86"/>
      <c r="T188" s="86"/>
      <c r="U188" s="86" t="s">
        <v>43</v>
      </c>
      <c r="V188" s="56"/>
    </row>
    <row r="189" ht="41.25" customHeight="1" spans="1:22">
      <c r="A189" s="71"/>
      <c r="B189" s="73" t="s">
        <v>1457</v>
      </c>
      <c r="C189" s="71" t="s">
        <v>52</v>
      </c>
      <c r="D189" s="71" t="s">
        <v>45</v>
      </c>
      <c r="E189" s="71">
        <v>100</v>
      </c>
      <c r="F189" s="71">
        <v>160</v>
      </c>
      <c r="G189" s="71">
        <v>599</v>
      </c>
      <c r="H189" s="71">
        <v>2018</v>
      </c>
      <c r="I189" s="71">
        <v>2018</v>
      </c>
      <c r="J189" s="86">
        <v>50</v>
      </c>
      <c r="K189" s="86">
        <v>50</v>
      </c>
      <c r="L189" s="86">
        <v>0</v>
      </c>
      <c r="M189" s="86">
        <v>0</v>
      </c>
      <c r="N189" s="530"/>
      <c r="O189" s="530"/>
      <c r="P189" s="530"/>
      <c r="Q189" s="530">
        <v>50</v>
      </c>
      <c r="R189" s="530"/>
      <c r="S189" s="86" t="s">
        <v>1420</v>
      </c>
      <c r="T189" s="86" t="s">
        <v>1421</v>
      </c>
      <c r="U189" s="86" t="s">
        <v>43</v>
      </c>
      <c r="V189" s="56" t="s">
        <v>41</v>
      </c>
    </row>
    <row r="190" ht="49.5" customHeight="1" spans="1:22">
      <c r="A190" s="71">
        <v>41</v>
      </c>
      <c r="B190" s="73" t="s">
        <v>146</v>
      </c>
      <c r="C190" s="71" t="s">
        <v>52</v>
      </c>
      <c r="D190" s="71" t="s">
        <v>1130</v>
      </c>
      <c r="E190" s="71">
        <v>150</v>
      </c>
      <c r="F190" s="71">
        <v>20</v>
      </c>
      <c r="G190" s="71">
        <v>20</v>
      </c>
      <c r="H190" s="71">
        <v>2019</v>
      </c>
      <c r="I190" s="71">
        <v>2019</v>
      </c>
      <c r="J190" s="86">
        <f>K190+L190+M190</f>
        <v>16.8</v>
      </c>
      <c r="K190" s="86">
        <v>0</v>
      </c>
      <c r="L190" s="86">
        <v>16.8</v>
      </c>
      <c r="M190" s="86">
        <v>0</v>
      </c>
      <c r="N190" s="530">
        <v>16.8</v>
      </c>
      <c r="O190" s="530"/>
      <c r="P190" s="530"/>
      <c r="Q190" s="530"/>
      <c r="R190" s="530"/>
      <c r="S190" s="86"/>
      <c r="T190" s="86"/>
      <c r="U190" s="86" t="s">
        <v>1133</v>
      </c>
      <c r="V190" s="56" t="s">
        <v>41</v>
      </c>
    </row>
    <row r="191" ht="49.5" customHeight="1" spans="1:22">
      <c r="A191" s="71"/>
      <c r="B191" s="73" t="s">
        <v>1458</v>
      </c>
      <c r="C191" s="71" t="s">
        <v>52</v>
      </c>
      <c r="D191" s="71" t="s">
        <v>150</v>
      </c>
      <c r="E191" s="71">
        <v>150</v>
      </c>
      <c r="F191" s="71">
        <v>20</v>
      </c>
      <c r="G191" s="71">
        <v>20</v>
      </c>
      <c r="H191" s="71">
        <v>2019</v>
      </c>
      <c r="I191" s="71">
        <v>2019</v>
      </c>
      <c r="J191" s="86">
        <f>K191+L191+M191</f>
        <v>16.8</v>
      </c>
      <c r="K191" s="86">
        <v>0</v>
      </c>
      <c r="L191" s="86">
        <v>16.8</v>
      </c>
      <c r="M191" s="86">
        <v>0</v>
      </c>
      <c r="N191" s="530">
        <v>16.8</v>
      </c>
      <c r="O191" s="530"/>
      <c r="P191" s="530"/>
      <c r="Q191" s="530"/>
      <c r="R191" s="530"/>
      <c r="S191" s="86" t="s">
        <v>1431</v>
      </c>
      <c r="T191" s="86" t="s">
        <v>1439</v>
      </c>
      <c r="U191" s="86" t="s">
        <v>195</v>
      </c>
      <c r="V191" s="56" t="s">
        <v>41</v>
      </c>
    </row>
    <row r="192" ht="33" customHeight="1" spans="1:22">
      <c r="A192" s="71">
        <v>42</v>
      </c>
      <c r="B192" s="525" t="s">
        <v>893</v>
      </c>
      <c r="C192" s="526" t="s">
        <v>52</v>
      </c>
      <c r="D192" s="526" t="s">
        <v>150</v>
      </c>
      <c r="E192" s="526">
        <f t="shared" ref="E192:G192" si="103">E193+E194+E195+E196+E197+E198</f>
        <v>1470</v>
      </c>
      <c r="F192" s="526">
        <f t="shared" si="103"/>
        <v>1470</v>
      </c>
      <c r="G192" s="526">
        <f t="shared" si="103"/>
        <v>5734</v>
      </c>
      <c r="H192" s="526">
        <v>2019</v>
      </c>
      <c r="I192" s="526">
        <v>2020</v>
      </c>
      <c r="J192" s="533">
        <f t="shared" ref="J192:R192" si="104">J193+J194+J195+J196+J197+J198</f>
        <v>441.3</v>
      </c>
      <c r="K192" s="533">
        <f t="shared" si="104"/>
        <v>101.4</v>
      </c>
      <c r="L192" s="533">
        <f t="shared" si="104"/>
        <v>339.9</v>
      </c>
      <c r="M192" s="533">
        <f t="shared" si="104"/>
        <v>0</v>
      </c>
      <c r="N192" s="533">
        <f t="shared" si="104"/>
        <v>0</v>
      </c>
      <c r="O192" s="533">
        <f t="shared" si="104"/>
        <v>441.3</v>
      </c>
      <c r="P192" s="533">
        <f t="shared" si="104"/>
        <v>0</v>
      </c>
      <c r="Q192" s="533">
        <f t="shared" si="104"/>
        <v>0</v>
      </c>
      <c r="R192" s="533">
        <f t="shared" si="104"/>
        <v>0</v>
      </c>
      <c r="S192" s="539" t="s">
        <v>1446</v>
      </c>
      <c r="T192" s="539"/>
      <c r="U192" s="533" t="s">
        <v>43</v>
      </c>
      <c r="V192" s="540"/>
    </row>
    <row r="193" ht="33" customHeight="1" spans="1:22">
      <c r="A193" s="71"/>
      <c r="B193" s="526" t="s">
        <v>1459</v>
      </c>
      <c r="C193" s="526" t="s">
        <v>52</v>
      </c>
      <c r="D193" s="526" t="s">
        <v>150</v>
      </c>
      <c r="E193" s="526">
        <v>218</v>
      </c>
      <c r="F193" s="526">
        <v>218</v>
      </c>
      <c r="G193" s="526">
        <v>861</v>
      </c>
      <c r="H193" s="526">
        <v>2019</v>
      </c>
      <c r="I193" s="526">
        <v>2020</v>
      </c>
      <c r="J193" s="533">
        <v>65.4</v>
      </c>
      <c r="K193" s="533">
        <v>0</v>
      </c>
      <c r="L193" s="533">
        <v>65.4</v>
      </c>
      <c r="M193" s="533">
        <v>0</v>
      </c>
      <c r="N193" s="533"/>
      <c r="O193" s="533">
        <v>65.4</v>
      </c>
      <c r="P193" s="533"/>
      <c r="Q193" s="533"/>
      <c r="R193" s="533"/>
      <c r="S193" s="539"/>
      <c r="T193" s="539"/>
      <c r="U193" s="533" t="s">
        <v>43</v>
      </c>
      <c r="V193" s="540" t="s">
        <v>1460</v>
      </c>
    </row>
    <row r="194" ht="33" customHeight="1" spans="1:22">
      <c r="A194" s="71"/>
      <c r="B194" s="526" t="s">
        <v>1461</v>
      </c>
      <c r="C194" s="526" t="s">
        <v>52</v>
      </c>
      <c r="D194" s="526" t="s">
        <v>150</v>
      </c>
      <c r="E194" s="526">
        <v>379</v>
      </c>
      <c r="F194" s="526">
        <v>379</v>
      </c>
      <c r="G194" s="526">
        <v>1472</v>
      </c>
      <c r="H194" s="526">
        <v>2019</v>
      </c>
      <c r="I194" s="526">
        <v>2020</v>
      </c>
      <c r="J194" s="533">
        <v>113.7</v>
      </c>
      <c r="K194" s="533">
        <v>0</v>
      </c>
      <c r="L194" s="533">
        <v>113.7</v>
      </c>
      <c r="M194" s="533">
        <v>0</v>
      </c>
      <c r="N194" s="533"/>
      <c r="O194" s="533">
        <v>113.7</v>
      </c>
      <c r="P194" s="533"/>
      <c r="Q194" s="533"/>
      <c r="R194" s="533"/>
      <c r="S194" s="539"/>
      <c r="T194" s="539"/>
      <c r="U194" s="533" t="s">
        <v>43</v>
      </c>
      <c r="V194" s="540" t="s">
        <v>1460</v>
      </c>
    </row>
    <row r="195" ht="33" customHeight="1" spans="1:22">
      <c r="A195" s="71"/>
      <c r="B195" s="526" t="s">
        <v>1462</v>
      </c>
      <c r="C195" s="526" t="s">
        <v>52</v>
      </c>
      <c r="D195" s="526" t="s">
        <v>150</v>
      </c>
      <c r="E195" s="526">
        <v>284</v>
      </c>
      <c r="F195" s="526">
        <v>284</v>
      </c>
      <c r="G195" s="526">
        <v>1153</v>
      </c>
      <c r="H195" s="526">
        <v>2018</v>
      </c>
      <c r="I195" s="526">
        <v>2020</v>
      </c>
      <c r="J195" s="533">
        <v>85.2</v>
      </c>
      <c r="K195" s="533">
        <v>85.2</v>
      </c>
      <c r="L195" s="533">
        <v>0</v>
      </c>
      <c r="M195" s="533">
        <v>0</v>
      </c>
      <c r="N195" s="533"/>
      <c r="O195" s="533">
        <v>85.2</v>
      </c>
      <c r="P195" s="533"/>
      <c r="Q195" s="533"/>
      <c r="R195" s="533"/>
      <c r="S195" s="539"/>
      <c r="T195" s="539"/>
      <c r="U195" s="533" t="s">
        <v>43</v>
      </c>
      <c r="V195" s="540" t="s">
        <v>1463</v>
      </c>
    </row>
    <row r="196" ht="33" customHeight="1" spans="1:22">
      <c r="A196" s="71"/>
      <c r="B196" s="526" t="s">
        <v>1464</v>
      </c>
      <c r="C196" s="526" t="s">
        <v>52</v>
      </c>
      <c r="D196" s="526" t="s">
        <v>150</v>
      </c>
      <c r="E196" s="526">
        <v>322</v>
      </c>
      <c r="F196" s="526">
        <v>322</v>
      </c>
      <c r="G196" s="526">
        <v>1206</v>
      </c>
      <c r="H196" s="526">
        <v>2019</v>
      </c>
      <c r="I196" s="526">
        <v>2020</v>
      </c>
      <c r="J196" s="533">
        <v>96.6</v>
      </c>
      <c r="K196" s="533">
        <v>0</v>
      </c>
      <c r="L196" s="533">
        <v>96.6</v>
      </c>
      <c r="M196" s="533">
        <v>0</v>
      </c>
      <c r="N196" s="533"/>
      <c r="O196" s="533">
        <v>96.6</v>
      </c>
      <c r="P196" s="533"/>
      <c r="Q196" s="533"/>
      <c r="R196" s="533"/>
      <c r="S196" s="539"/>
      <c r="T196" s="539"/>
      <c r="U196" s="533" t="s">
        <v>43</v>
      </c>
      <c r="V196" s="540" t="s">
        <v>1460</v>
      </c>
    </row>
    <row r="197" ht="33" customHeight="1" spans="1:22">
      <c r="A197" s="71"/>
      <c r="B197" s="526" t="s">
        <v>1465</v>
      </c>
      <c r="C197" s="526" t="s">
        <v>52</v>
      </c>
      <c r="D197" s="526" t="s">
        <v>150</v>
      </c>
      <c r="E197" s="526">
        <v>213</v>
      </c>
      <c r="F197" s="526">
        <v>213</v>
      </c>
      <c r="G197" s="526">
        <v>843</v>
      </c>
      <c r="H197" s="526">
        <v>2019</v>
      </c>
      <c r="I197" s="526">
        <v>2020</v>
      </c>
      <c r="J197" s="533">
        <v>64.2</v>
      </c>
      <c r="K197" s="533">
        <v>0</v>
      </c>
      <c r="L197" s="533">
        <v>64.2</v>
      </c>
      <c r="M197" s="533">
        <v>0</v>
      </c>
      <c r="N197" s="533"/>
      <c r="O197" s="533">
        <v>64.2</v>
      </c>
      <c r="P197" s="533"/>
      <c r="Q197" s="533"/>
      <c r="R197" s="533"/>
      <c r="S197" s="539"/>
      <c r="T197" s="539"/>
      <c r="U197" s="533" t="s">
        <v>43</v>
      </c>
      <c r="V197" s="540" t="s">
        <v>1460</v>
      </c>
    </row>
    <row r="198" ht="33" customHeight="1" spans="1:22">
      <c r="A198" s="71"/>
      <c r="B198" s="526" t="s">
        <v>1466</v>
      </c>
      <c r="C198" s="526" t="s">
        <v>52</v>
      </c>
      <c r="D198" s="526" t="s">
        <v>150</v>
      </c>
      <c r="E198" s="526">
        <v>54</v>
      </c>
      <c r="F198" s="526">
        <v>54</v>
      </c>
      <c r="G198" s="526">
        <v>199</v>
      </c>
      <c r="H198" s="526">
        <v>2018</v>
      </c>
      <c r="I198" s="526">
        <v>2020</v>
      </c>
      <c r="J198" s="533">
        <v>16.2</v>
      </c>
      <c r="K198" s="533">
        <v>16.2</v>
      </c>
      <c r="L198" s="533">
        <v>0</v>
      </c>
      <c r="M198" s="533">
        <v>0</v>
      </c>
      <c r="N198" s="533"/>
      <c r="O198" s="533">
        <v>16.2</v>
      </c>
      <c r="P198" s="533"/>
      <c r="Q198" s="533"/>
      <c r="R198" s="533"/>
      <c r="S198" s="539"/>
      <c r="T198" s="539"/>
      <c r="U198" s="533" t="s">
        <v>43</v>
      </c>
      <c r="V198" s="540" t="s">
        <v>1463</v>
      </c>
    </row>
    <row r="199" ht="23.25" customHeight="1" spans="1:22">
      <c r="A199" s="71">
        <v>43</v>
      </c>
      <c r="B199" s="90" t="s">
        <v>158</v>
      </c>
      <c r="C199" s="71" t="s">
        <v>52</v>
      </c>
      <c r="D199" s="71" t="s">
        <v>163</v>
      </c>
      <c r="E199" s="533">
        <v>1070.1896</v>
      </c>
      <c r="F199" s="526">
        <v>281</v>
      </c>
      <c r="G199" s="526">
        <v>984</v>
      </c>
      <c r="H199" s="71">
        <v>2018</v>
      </c>
      <c r="I199" s="71">
        <v>2020</v>
      </c>
      <c r="J199" s="86">
        <v>89.203509</v>
      </c>
      <c r="K199" s="86">
        <v>18.33</v>
      </c>
      <c r="L199" s="86">
        <v>29.734503</v>
      </c>
      <c r="M199" s="86">
        <v>41.139006</v>
      </c>
      <c r="N199" s="530">
        <v>0</v>
      </c>
      <c r="O199" s="86">
        <v>89.203509</v>
      </c>
      <c r="P199" s="530">
        <v>0</v>
      </c>
      <c r="Q199" s="86">
        <f>Q200+Q201+Q202+Q203+Q204+Q205</f>
        <v>0</v>
      </c>
      <c r="R199" s="86">
        <f>R200+R201+R202+R203+R204+R205</f>
        <v>0</v>
      </c>
      <c r="S199" s="89" t="s">
        <v>1446</v>
      </c>
      <c r="T199" s="89" t="s">
        <v>1467</v>
      </c>
      <c r="U199" s="86" t="s">
        <v>160</v>
      </c>
      <c r="V199" s="56" t="s">
        <v>41</v>
      </c>
    </row>
    <row r="200" ht="23.25" customHeight="1" spans="1:22">
      <c r="A200" s="71"/>
      <c r="B200" s="71" t="s">
        <v>1425</v>
      </c>
      <c r="C200" s="71" t="s">
        <v>52</v>
      </c>
      <c r="D200" s="71" t="s">
        <v>163</v>
      </c>
      <c r="E200" s="71">
        <v>102.49</v>
      </c>
      <c r="F200" s="71">
        <v>24</v>
      </c>
      <c r="G200" s="71">
        <v>84</v>
      </c>
      <c r="H200" s="71">
        <v>2018</v>
      </c>
      <c r="I200" s="71">
        <v>2020</v>
      </c>
      <c r="J200" s="86">
        <v>11.498862</v>
      </c>
      <c r="K200" s="86">
        <v>2.23</v>
      </c>
      <c r="L200" s="86">
        <v>3.832954</v>
      </c>
      <c r="M200" s="86">
        <v>5.435908</v>
      </c>
      <c r="N200" s="530"/>
      <c r="O200" s="86">
        <v>11.498862</v>
      </c>
      <c r="P200" s="530"/>
      <c r="Q200" s="530"/>
      <c r="R200" s="530"/>
      <c r="S200" s="86"/>
      <c r="T200" s="86"/>
      <c r="U200" s="86" t="s">
        <v>160</v>
      </c>
      <c r="V200" s="56" t="s">
        <v>41</v>
      </c>
    </row>
    <row r="201" ht="23.25" customHeight="1" spans="1:22">
      <c r="A201" s="71"/>
      <c r="B201" s="71" t="s">
        <v>1426</v>
      </c>
      <c r="C201" s="71" t="s">
        <v>52</v>
      </c>
      <c r="D201" s="71" t="s">
        <v>163</v>
      </c>
      <c r="E201" s="71">
        <v>254.34</v>
      </c>
      <c r="F201" s="71">
        <v>78</v>
      </c>
      <c r="G201" s="71">
        <v>274</v>
      </c>
      <c r="H201" s="71">
        <v>2018</v>
      </c>
      <c r="I201" s="71">
        <v>2020</v>
      </c>
      <c r="J201" s="86">
        <v>14.180361</v>
      </c>
      <c r="K201" s="86">
        <v>1.94</v>
      </c>
      <c r="L201" s="86">
        <v>4.726787</v>
      </c>
      <c r="M201" s="86">
        <v>7.513574</v>
      </c>
      <c r="N201" s="530"/>
      <c r="O201" s="86">
        <v>14.180361</v>
      </c>
      <c r="P201" s="530"/>
      <c r="Q201" s="530"/>
      <c r="R201" s="530"/>
      <c r="S201" s="86"/>
      <c r="T201" s="86"/>
      <c r="U201" s="86" t="s">
        <v>160</v>
      </c>
      <c r="V201" s="56" t="s">
        <v>41</v>
      </c>
    </row>
    <row r="202" ht="23.25" customHeight="1" spans="1:22">
      <c r="A202" s="71"/>
      <c r="B202" s="71" t="s">
        <v>1427</v>
      </c>
      <c r="C202" s="71" t="s">
        <v>52</v>
      </c>
      <c r="D202" s="71" t="s">
        <v>163</v>
      </c>
      <c r="E202" s="71">
        <v>162.93</v>
      </c>
      <c r="F202" s="71">
        <v>37</v>
      </c>
      <c r="G202" s="71">
        <v>129</v>
      </c>
      <c r="H202" s="71">
        <v>2018</v>
      </c>
      <c r="I202" s="71">
        <v>2020</v>
      </c>
      <c r="J202" s="86">
        <v>20.154756</v>
      </c>
      <c r="K202" s="86">
        <v>4.63</v>
      </c>
      <c r="L202" s="86">
        <v>6.718252</v>
      </c>
      <c r="M202" s="86">
        <v>8.806504</v>
      </c>
      <c r="N202" s="530"/>
      <c r="O202" s="86">
        <v>20.154756</v>
      </c>
      <c r="P202" s="530"/>
      <c r="Q202" s="530"/>
      <c r="R202" s="530"/>
      <c r="S202" s="86"/>
      <c r="T202" s="86"/>
      <c r="U202" s="86" t="s">
        <v>160</v>
      </c>
      <c r="V202" s="56" t="s">
        <v>41</v>
      </c>
    </row>
    <row r="203" ht="23.25" customHeight="1" spans="1:22">
      <c r="A203" s="71"/>
      <c r="B203" s="71" t="s">
        <v>1428</v>
      </c>
      <c r="C203" s="71" t="s">
        <v>52</v>
      </c>
      <c r="D203" s="71" t="s">
        <v>163</v>
      </c>
      <c r="E203" s="71">
        <v>277.29</v>
      </c>
      <c r="F203" s="71">
        <v>68</v>
      </c>
      <c r="G203" s="71">
        <v>238</v>
      </c>
      <c r="H203" s="71">
        <v>2018</v>
      </c>
      <c r="I203" s="71">
        <v>2020</v>
      </c>
      <c r="J203" s="86">
        <v>18.802998</v>
      </c>
      <c r="K203" s="86">
        <v>3.9</v>
      </c>
      <c r="L203" s="86">
        <v>6.267666</v>
      </c>
      <c r="M203" s="86">
        <v>8.635332</v>
      </c>
      <c r="N203" s="530"/>
      <c r="O203" s="86">
        <v>18.802998</v>
      </c>
      <c r="P203" s="530"/>
      <c r="Q203" s="530"/>
      <c r="R203" s="530"/>
      <c r="S203" s="86"/>
      <c r="T203" s="86"/>
      <c r="U203" s="86" t="s">
        <v>160</v>
      </c>
      <c r="V203" s="56" t="s">
        <v>41</v>
      </c>
    </row>
    <row r="204" ht="23.25" customHeight="1" spans="1:22">
      <c r="A204" s="71"/>
      <c r="B204" s="71" t="s">
        <v>1429</v>
      </c>
      <c r="C204" s="71" t="s">
        <v>52</v>
      </c>
      <c r="D204" s="71" t="s">
        <v>163</v>
      </c>
      <c r="E204" s="71">
        <v>163.84</v>
      </c>
      <c r="F204" s="71">
        <v>39</v>
      </c>
      <c r="G204" s="71">
        <v>135</v>
      </c>
      <c r="H204" s="71">
        <v>2018</v>
      </c>
      <c r="I204" s="71">
        <v>2020</v>
      </c>
      <c r="J204" s="86">
        <v>14.148567</v>
      </c>
      <c r="K204" s="86">
        <v>3.15</v>
      </c>
      <c r="L204" s="86">
        <v>4.716189</v>
      </c>
      <c r="M204" s="86">
        <v>6.282378</v>
      </c>
      <c r="N204" s="530"/>
      <c r="O204" s="86">
        <v>14.148567</v>
      </c>
      <c r="P204" s="530"/>
      <c r="Q204" s="530"/>
      <c r="R204" s="530"/>
      <c r="S204" s="86"/>
      <c r="T204" s="86"/>
      <c r="U204" s="86" t="s">
        <v>160</v>
      </c>
      <c r="V204" s="56" t="s">
        <v>41</v>
      </c>
    </row>
    <row r="205" ht="23.25" customHeight="1" spans="1:22">
      <c r="A205" s="71"/>
      <c r="B205" s="71" t="s">
        <v>1430</v>
      </c>
      <c r="C205" s="71" t="s">
        <v>52</v>
      </c>
      <c r="D205" s="71" t="s">
        <v>163</v>
      </c>
      <c r="E205" s="71">
        <v>109.3</v>
      </c>
      <c r="F205" s="71">
        <v>35</v>
      </c>
      <c r="G205" s="71">
        <v>124</v>
      </c>
      <c r="H205" s="71">
        <v>2018</v>
      </c>
      <c r="I205" s="71">
        <v>2020</v>
      </c>
      <c r="J205" s="86">
        <v>10.417965</v>
      </c>
      <c r="K205" s="86">
        <v>2.48</v>
      </c>
      <c r="L205" s="86">
        <v>3.472655</v>
      </c>
      <c r="M205" s="86">
        <v>4.46531</v>
      </c>
      <c r="N205" s="530"/>
      <c r="O205" s="86">
        <v>10.417965</v>
      </c>
      <c r="P205" s="530"/>
      <c r="Q205" s="530"/>
      <c r="R205" s="530"/>
      <c r="S205" s="86"/>
      <c r="T205" s="86"/>
      <c r="U205" s="86" t="s">
        <v>160</v>
      </c>
      <c r="V205" s="56" t="s">
        <v>41</v>
      </c>
    </row>
    <row r="206" ht="23.25" customHeight="1" spans="1:22">
      <c r="A206" s="71"/>
      <c r="B206" s="541" t="s">
        <v>190</v>
      </c>
      <c r="C206" s="542"/>
      <c r="D206" s="542"/>
      <c r="E206" s="542"/>
      <c r="F206" s="542">
        <v>64</v>
      </c>
      <c r="G206" s="542">
        <v>197</v>
      </c>
      <c r="H206" s="542">
        <f t="shared" ref="H206:R206" si="105">H207</f>
        <v>2017</v>
      </c>
      <c r="I206" s="542">
        <f t="shared" si="105"/>
        <v>2019</v>
      </c>
      <c r="J206" s="542">
        <f t="shared" si="105"/>
        <v>608</v>
      </c>
      <c r="K206" s="542">
        <f t="shared" si="105"/>
        <v>200</v>
      </c>
      <c r="L206" s="542">
        <f t="shared" si="105"/>
        <v>408</v>
      </c>
      <c r="M206" s="542">
        <f t="shared" si="105"/>
        <v>0</v>
      </c>
      <c r="N206" s="542">
        <f t="shared" si="105"/>
        <v>0</v>
      </c>
      <c r="O206" s="542">
        <f t="shared" si="105"/>
        <v>608</v>
      </c>
      <c r="P206" s="542">
        <f t="shared" si="105"/>
        <v>0</v>
      </c>
      <c r="Q206" s="542">
        <f t="shared" si="105"/>
        <v>0</v>
      </c>
      <c r="R206" s="542">
        <f t="shared" si="105"/>
        <v>0</v>
      </c>
      <c r="S206" s="543" t="s">
        <v>1420</v>
      </c>
      <c r="T206" s="543" t="s">
        <v>1421</v>
      </c>
      <c r="U206" s="551"/>
      <c r="V206" s="552"/>
    </row>
    <row r="207" ht="87.95" customHeight="1" spans="1:22">
      <c r="A207" s="71"/>
      <c r="B207" s="542" t="s">
        <v>1468</v>
      </c>
      <c r="C207" s="541" t="s">
        <v>1124</v>
      </c>
      <c r="D207" s="543" t="s">
        <v>192</v>
      </c>
      <c r="E207" s="544" t="s">
        <v>1469</v>
      </c>
      <c r="F207" s="543">
        <v>64</v>
      </c>
      <c r="G207" s="543">
        <v>197</v>
      </c>
      <c r="H207" s="543">
        <v>2017</v>
      </c>
      <c r="I207" s="543">
        <v>2019</v>
      </c>
      <c r="J207" s="548">
        <v>608</v>
      </c>
      <c r="K207" s="548">
        <v>200</v>
      </c>
      <c r="L207" s="548">
        <v>408</v>
      </c>
      <c r="M207" s="548">
        <v>0</v>
      </c>
      <c r="N207" s="548"/>
      <c r="O207" s="548">
        <f t="shared" ref="O207:O213" si="106">J207</f>
        <v>608</v>
      </c>
      <c r="P207" s="548"/>
      <c r="Q207" s="548"/>
      <c r="R207" s="548"/>
      <c r="S207" s="543" t="s">
        <v>1420</v>
      </c>
      <c r="T207" s="543" t="s">
        <v>1421</v>
      </c>
      <c r="U207" s="541"/>
      <c r="V207" s="541" t="s">
        <v>1441</v>
      </c>
    </row>
    <row r="208" ht="30.95" customHeight="1" spans="1:22">
      <c r="A208" s="71"/>
      <c r="B208" s="542" t="s">
        <v>1470</v>
      </c>
      <c r="C208" s="541"/>
      <c r="D208" s="543"/>
      <c r="E208" s="544">
        <f>E209+E216</f>
        <v>401339</v>
      </c>
      <c r="F208" s="543">
        <v>1551</v>
      </c>
      <c r="G208" s="543">
        <v>6019</v>
      </c>
      <c r="H208" s="543">
        <v>2018</v>
      </c>
      <c r="I208" s="543">
        <v>2020</v>
      </c>
      <c r="J208" s="548">
        <f t="shared" ref="J208:R208" si="107">J209+J216</f>
        <v>4074.19</v>
      </c>
      <c r="K208" s="548">
        <f t="shared" si="107"/>
        <v>407.31</v>
      </c>
      <c r="L208" s="548">
        <f t="shared" si="107"/>
        <v>3666.88</v>
      </c>
      <c r="M208" s="548">
        <f t="shared" si="107"/>
        <v>0</v>
      </c>
      <c r="N208" s="548">
        <f t="shared" si="107"/>
        <v>0</v>
      </c>
      <c r="O208" s="548">
        <f t="shared" si="107"/>
        <v>3774.19</v>
      </c>
      <c r="P208" s="548">
        <f t="shared" si="107"/>
        <v>0</v>
      </c>
      <c r="Q208" s="548">
        <f t="shared" si="107"/>
        <v>300</v>
      </c>
      <c r="R208" s="548">
        <f t="shared" si="107"/>
        <v>0</v>
      </c>
      <c r="S208" s="543" t="s">
        <v>1420</v>
      </c>
      <c r="T208" s="543" t="s">
        <v>1421</v>
      </c>
      <c r="U208" s="541"/>
      <c r="V208" s="541"/>
    </row>
    <row r="209" ht="60" customHeight="1" spans="1:22">
      <c r="A209" s="71">
        <v>63</v>
      </c>
      <c r="B209" s="90" t="s">
        <v>1151</v>
      </c>
      <c r="C209" s="71" t="s">
        <v>1124</v>
      </c>
      <c r="D209" s="71" t="s">
        <v>560</v>
      </c>
      <c r="E209" s="71">
        <f t="shared" ref="E209:G209" si="108">E210+E211+E212+E213+E214+E215</f>
        <v>393488</v>
      </c>
      <c r="F209" s="71">
        <f t="shared" si="108"/>
        <v>1551</v>
      </c>
      <c r="G209" s="71">
        <f t="shared" si="108"/>
        <v>6019</v>
      </c>
      <c r="H209" s="71">
        <v>2019</v>
      </c>
      <c r="I209" s="71">
        <v>2020</v>
      </c>
      <c r="J209" s="86">
        <f t="shared" ref="J209:Q209" si="109">SUM(J210:J215)</f>
        <v>3934.88</v>
      </c>
      <c r="K209" s="86">
        <f t="shared" si="109"/>
        <v>268</v>
      </c>
      <c r="L209" s="86">
        <f t="shared" si="109"/>
        <v>3666.88</v>
      </c>
      <c r="M209" s="86">
        <f t="shared" si="109"/>
        <v>0</v>
      </c>
      <c r="N209" s="86">
        <f t="shared" si="109"/>
        <v>0</v>
      </c>
      <c r="O209" s="86">
        <f t="shared" si="109"/>
        <v>3634.88</v>
      </c>
      <c r="P209" s="86">
        <f t="shared" si="109"/>
        <v>0</v>
      </c>
      <c r="Q209" s="86">
        <f t="shared" si="109"/>
        <v>300</v>
      </c>
      <c r="R209" s="86">
        <f>R210+R211+R212+R213+R214+R215</f>
        <v>0</v>
      </c>
      <c r="S209" s="543" t="s">
        <v>1420</v>
      </c>
      <c r="T209" s="543" t="s">
        <v>1421</v>
      </c>
      <c r="U209" s="86" t="s">
        <v>1153</v>
      </c>
      <c r="V209" s="56" t="s">
        <v>41</v>
      </c>
    </row>
    <row r="210" ht="30" customHeight="1" spans="1:22">
      <c r="A210" s="71"/>
      <c r="B210" s="71" t="s">
        <v>1471</v>
      </c>
      <c r="C210" s="71" t="s">
        <v>1124</v>
      </c>
      <c r="D210" s="71" t="s">
        <v>560</v>
      </c>
      <c r="E210" s="71">
        <v>70000</v>
      </c>
      <c r="F210" s="71">
        <v>218</v>
      </c>
      <c r="G210" s="71">
        <v>861</v>
      </c>
      <c r="H210" s="71">
        <v>2019</v>
      </c>
      <c r="I210" s="71">
        <v>2020</v>
      </c>
      <c r="J210" s="86">
        <f t="shared" ref="J210:J213" si="110">L210</f>
        <v>700</v>
      </c>
      <c r="K210" s="86">
        <v>0</v>
      </c>
      <c r="L210" s="86">
        <v>700</v>
      </c>
      <c r="M210" s="86">
        <v>0</v>
      </c>
      <c r="N210" s="392"/>
      <c r="O210" s="392">
        <f t="shared" si="106"/>
        <v>700</v>
      </c>
      <c r="P210" s="392"/>
      <c r="Q210" s="392"/>
      <c r="R210" s="392"/>
      <c r="S210" s="86"/>
      <c r="T210" s="86"/>
      <c r="U210" s="86" t="s">
        <v>1153</v>
      </c>
      <c r="V210" s="56" t="s">
        <v>41</v>
      </c>
    </row>
    <row r="211" ht="30" customHeight="1" spans="1:22">
      <c r="A211" s="71"/>
      <c r="B211" s="71" t="s">
        <v>1472</v>
      </c>
      <c r="C211" s="71" t="s">
        <v>1124</v>
      </c>
      <c r="D211" s="71" t="s">
        <v>560</v>
      </c>
      <c r="E211" s="71">
        <v>110000</v>
      </c>
      <c r="F211" s="71">
        <v>379</v>
      </c>
      <c r="G211" s="71">
        <v>1459</v>
      </c>
      <c r="H211" s="71">
        <v>2019</v>
      </c>
      <c r="I211" s="71">
        <v>2020</v>
      </c>
      <c r="J211" s="86">
        <f t="shared" si="110"/>
        <v>1100</v>
      </c>
      <c r="K211" s="86">
        <v>0</v>
      </c>
      <c r="L211" s="86">
        <v>1100</v>
      </c>
      <c r="M211" s="86">
        <v>0</v>
      </c>
      <c r="N211" s="392"/>
      <c r="O211" s="392">
        <f t="shared" si="106"/>
        <v>1100</v>
      </c>
      <c r="P211" s="392"/>
      <c r="Q211" s="392"/>
      <c r="R211" s="392"/>
      <c r="S211" s="86"/>
      <c r="T211" s="86"/>
      <c r="U211" s="86" t="s">
        <v>1153</v>
      </c>
      <c r="V211" s="56" t="s">
        <v>41</v>
      </c>
    </row>
    <row r="212" ht="30" customHeight="1" spans="1:22">
      <c r="A212" s="71"/>
      <c r="B212" s="71" t="s">
        <v>1473</v>
      </c>
      <c r="C212" s="71" t="s">
        <v>1124</v>
      </c>
      <c r="D212" s="71" t="s">
        <v>560</v>
      </c>
      <c r="E212" s="71">
        <v>68488</v>
      </c>
      <c r="F212" s="71">
        <v>284</v>
      </c>
      <c r="G212" s="71">
        <v>1153</v>
      </c>
      <c r="H212" s="71">
        <v>2018</v>
      </c>
      <c r="I212" s="71">
        <v>2020</v>
      </c>
      <c r="J212" s="86">
        <v>684.88</v>
      </c>
      <c r="K212" s="86">
        <v>128</v>
      </c>
      <c r="L212" s="86">
        <v>556.88</v>
      </c>
      <c r="M212" s="86">
        <v>0</v>
      </c>
      <c r="N212" s="392"/>
      <c r="O212" s="392">
        <f t="shared" si="106"/>
        <v>684.88</v>
      </c>
      <c r="P212" s="392"/>
      <c r="Q212" s="392"/>
      <c r="R212" s="392"/>
      <c r="S212" s="86"/>
      <c r="T212" s="86"/>
      <c r="U212" s="86" t="s">
        <v>1153</v>
      </c>
      <c r="V212" s="56" t="s">
        <v>1474</v>
      </c>
    </row>
    <row r="213" ht="30" customHeight="1" spans="1:22">
      <c r="A213" s="71"/>
      <c r="B213" s="71" t="s">
        <v>1475</v>
      </c>
      <c r="C213" s="71" t="s">
        <v>1124</v>
      </c>
      <c r="D213" s="71" t="s">
        <v>560</v>
      </c>
      <c r="E213" s="71">
        <v>50000</v>
      </c>
      <c r="F213" s="71">
        <v>322</v>
      </c>
      <c r="G213" s="71">
        <v>1206</v>
      </c>
      <c r="H213" s="71">
        <v>2019</v>
      </c>
      <c r="I213" s="71">
        <v>2020</v>
      </c>
      <c r="J213" s="86">
        <f t="shared" si="110"/>
        <v>500</v>
      </c>
      <c r="K213" s="86">
        <v>0</v>
      </c>
      <c r="L213" s="86">
        <v>500</v>
      </c>
      <c r="M213" s="86">
        <v>0</v>
      </c>
      <c r="N213" s="392"/>
      <c r="O213" s="392">
        <f t="shared" si="106"/>
        <v>500</v>
      </c>
      <c r="P213" s="392"/>
      <c r="Q213" s="392"/>
      <c r="R213" s="392"/>
      <c r="S213" s="86"/>
      <c r="T213" s="86"/>
      <c r="U213" s="86" t="s">
        <v>1153</v>
      </c>
      <c r="V213" s="56" t="s">
        <v>41</v>
      </c>
    </row>
    <row r="214" ht="30" customHeight="1" spans="1:22">
      <c r="A214" s="71"/>
      <c r="B214" s="71" t="s">
        <v>1476</v>
      </c>
      <c r="C214" s="71" t="s">
        <v>1124</v>
      </c>
      <c r="D214" s="71" t="s">
        <v>560</v>
      </c>
      <c r="E214" s="71">
        <v>65000</v>
      </c>
      <c r="F214" s="71">
        <v>213</v>
      </c>
      <c r="G214" s="71">
        <v>851</v>
      </c>
      <c r="H214" s="71">
        <v>2019</v>
      </c>
      <c r="I214" s="71">
        <v>2020</v>
      </c>
      <c r="J214" s="86">
        <v>650</v>
      </c>
      <c r="K214" s="86">
        <v>100</v>
      </c>
      <c r="L214" s="86">
        <v>550</v>
      </c>
      <c r="M214" s="86">
        <v>0</v>
      </c>
      <c r="N214" s="392"/>
      <c r="O214" s="392">
        <f>J214-Q214</f>
        <v>350</v>
      </c>
      <c r="P214" s="392"/>
      <c r="Q214" s="392">
        <v>300</v>
      </c>
      <c r="R214" s="392"/>
      <c r="S214" s="86"/>
      <c r="T214" s="86"/>
      <c r="U214" s="86" t="s">
        <v>1153</v>
      </c>
      <c r="V214" s="56" t="s">
        <v>41</v>
      </c>
    </row>
    <row r="215" ht="30" customHeight="1" spans="1:22">
      <c r="A215" s="71"/>
      <c r="B215" s="71" t="s">
        <v>1477</v>
      </c>
      <c r="C215" s="71" t="s">
        <v>1124</v>
      </c>
      <c r="D215" s="71" t="s">
        <v>560</v>
      </c>
      <c r="E215" s="71">
        <v>30000</v>
      </c>
      <c r="F215" s="71">
        <v>135</v>
      </c>
      <c r="G215" s="71">
        <v>489</v>
      </c>
      <c r="H215" s="71">
        <v>2018</v>
      </c>
      <c r="I215" s="71">
        <v>2020</v>
      </c>
      <c r="J215" s="86">
        <v>300</v>
      </c>
      <c r="K215" s="86">
        <v>40</v>
      </c>
      <c r="L215" s="86">
        <v>260</v>
      </c>
      <c r="M215" s="86">
        <v>0</v>
      </c>
      <c r="N215" s="392"/>
      <c r="O215" s="392">
        <f>J215</f>
        <v>300</v>
      </c>
      <c r="P215" s="392"/>
      <c r="Q215" s="392"/>
      <c r="R215" s="392"/>
      <c r="S215" s="86"/>
      <c r="T215" s="86"/>
      <c r="U215" s="86" t="s">
        <v>1153</v>
      </c>
      <c r="V215" s="56" t="s">
        <v>1474</v>
      </c>
    </row>
    <row r="216" ht="24.95" customHeight="1" spans="1:22">
      <c r="A216" s="71"/>
      <c r="B216" s="542" t="s">
        <v>1478</v>
      </c>
      <c r="C216" s="541"/>
      <c r="D216" s="543"/>
      <c r="E216" s="544">
        <f t="shared" ref="E216:R216" si="111">E217+E218+E219</f>
        <v>7851</v>
      </c>
      <c r="F216" s="543">
        <f t="shared" si="111"/>
        <v>43</v>
      </c>
      <c r="G216" s="543">
        <f t="shared" si="111"/>
        <v>164</v>
      </c>
      <c r="H216" s="543">
        <f t="shared" si="111"/>
        <v>6054</v>
      </c>
      <c r="I216" s="543">
        <f t="shared" si="111"/>
        <v>6054</v>
      </c>
      <c r="J216" s="548">
        <f t="shared" si="111"/>
        <v>139.31</v>
      </c>
      <c r="K216" s="548">
        <f t="shared" si="111"/>
        <v>139.31</v>
      </c>
      <c r="L216" s="548">
        <f t="shared" si="111"/>
        <v>0</v>
      </c>
      <c r="M216" s="548">
        <f t="shared" si="111"/>
        <v>0</v>
      </c>
      <c r="N216" s="548">
        <f t="shared" si="111"/>
        <v>0</v>
      </c>
      <c r="O216" s="548">
        <f t="shared" si="111"/>
        <v>139.31</v>
      </c>
      <c r="P216" s="548">
        <f t="shared" si="111"/>
        <v>0</v>
      </c>
      <c r="Q216" s="548">
        <f t="shared" si="111"/>
        <v>0</v>
      </c>
      <c r="R216" s="548">
        <f t="shared" si="111"/>
        <v>0</v>
      </c>
      <c r="S216" s="543" t="s">
        <v>1420</v>
      </c>
      <c r="T216" s="543" t="s">
        <v>1421</v>
      </c>
      <c r="U216" s="541"/>
      <c r="V216" s="541"/>
    </row>
    <row r="217" ht="36.95" customHeight="1" spans="1:22">
      <c r="A217" s="71"/>
      <c r="B217" s="545" t="s">
        <v>1479</v>
      </c>
      <c r="C217" s="546" t="s">
        <v>1124</v>
      </c>
      <c r="D217" s="546" t="s">
        <v>192</v>
      </c>
      <c r="E217" s="546">
        <v>1</v>
      </c>
      <c r="F217" s="546">
        <v>35</v>
      </c>
      <c r="G217" s="546">
        <v>132</v>
      </c>
      <c r="H217" s="546">
        <v>2018</v>
      </c>
      <c r="I217" s="546">
        <v>2018</v>
      </c>
      <c r="J217" s="549">
        <v>39.6</v>
      </c>
      <c r="K217" s="549">
        <v>39.6</v>
      </c>
      <c r="L217" s="549">
        <v>0</v>
      </c>
      <c r="M217" s="549">
        <v>0</v>
      </c>
      <c r="N217" s="549"/>
      <c r="O217" s="549">
        <v>39.6</v>
      </c>
      <c r="P217" s="549"/>
      <c r="Q217" s="549"/>
      <c r="R217" s="549"/>
      <c r="S217" s="547" t="s">
        <v>1420</v>
      </c>
      <c r="T217" s="547" t="s">
        <v>1421</v>
      </c>
      <c r="U217" s="549" t="s">
        <v>1480</v>
      </c>
      <c r="V217" s="553" t="s">
        <v>1441</v>
      </c>
    </row>
    <row r="218" ht="36.95" customHeight="1" spans="1:22">
      <c r="A218" s="71"/>
      <c r="B218" s="545" t="s">
        <v>1481</v>
      </c>
      <c r="C218" s="546" t="s">
        <v>1124</v>
      </c>
      <c r="D218" s="546" t="s">
        <v>560</v>
      </c>
      <c r="E218" s="546">
        <v>1350</v>
      </c>
      <c r="F218" s="546">
        <v>7</v>
      </c>
      <c r="G218" s="546">
        <v>30</v>
      </c>
      <c r="H218" s="546">
        <v>2018</v>
      </c>
      <c r="I218" s="546">
        <v>2018</v>
      </c>
      <c r="J218" s="549">
        <v>17.16</v>
      </c>
      <c r="K218" s="549">
        <v>17.16</v>
      </c>
      <c r="L218" s="549">
        <v>0</v>
      </c>
      <c r="M218" s="549">
        <v>0</v>
      </c>
      <c r="N218" s="549"/>
      <c r="O218" s="549">
        <v>17.16</v>
      </c>
      <c r="P218" s="549"/>
      <c r="Q218" s="549"/>
      <c r="R218" s="549"/>
      <c r="S218" s="547" t="s">
        <v>1420</v>
      </c>
      <c r="T218" s="547" t="s">
        <v>1421</v>
      </c>
      <c r="U218" s="549" t="s">
        <v>1482</v>
      </c>
      <c r="V218" s="553" t="s">
        <v>1441</v>
      </c>
    </row>
    <row r="219" ht="36.95" customHeight="1" spans="1:22">
      <c r="A219" s="71"/>
      <c r="B219" s="545" t="s">
        <v>1483</v>
      </c>
      <c r="C219" s="545" t="s">
        <v>1124</v>
      </c>
      <c r="D219" s="547" t="s">
        <v>560</v>
      </c>
      <c r="E219" s="547">
        <v>6500</v>
      </c>
      <c r="F219" s="547">
        <v>1</v>
      </c>
      <c r="G219" s="547">
        <v>2</v>
      </c>
      <c r="H219" s="547">
        <v>2018</v>
      </c>
      <c r="I219" s="547">
        <v>2018</v>
      </c>
      <c r="J219" s="550">
        <v>82.55</v>
      </c>
      <c r="K219" s="550">
        <v>82.55</v>
      </c>
      <c r="L219" s="550">
        <v>0</v>
      </c>
      <c r="M219" s="550">
        <v>0</v>
      </c>
      <c r="N219" s="550"/>
      <c r="O219" s="550">
        <v>82.55</v>
      </c>
      <c r="P219" s="550"/>
      <c r="Q219" s="550"/>
      <c r="R219" s="550"/>
      <c r="S219" s="547" t="s">
        <v>1420</v>
      </c>
      <c r="T219" s="547" t="s">
        <v>1421</v>
      </c>
      <c r="U219" s="549" t="s">
        <v>1482</v>
      </c>
      <c r="V219" s="553" t="s">
        <v>1441</v>
      </c>
    </row>
    <row r="220" ht="23.25" customHeight="1" spans="1:22">
      <c r="A220" s="71">
        <v>44</v>
      </c>
      <c r="B220" s="73" t="s">
        <v>916</v>
      </c>
      <c r="C220" s="71" t="s">
        <v>320</v>
      </c>
      <c r="D220" s="71" t="s">
        <v>320</v>
      </c>
      <c r="E220" s="71">
        <f t="shared" ref="E220:G220" si="112">SUM(E221,E228,E232,E239,E240)</f>
        <v>16347</v>
      </c>
      <c r="F220" s="71">
        <f t="shared" si="112"/>
        <v>47</v>
      </c>
      <c r="G220" s="71">
        <f t="shared" si="112"/>
        <v>47</v>
      </c>
      <c r="H220" s="71">
        <v>2018</v>
      </c>
      <c r="I220" s="71">
        <v>2020</v>
      </c>
      <c r="J220" s="86">
        <f t="shared" ref="J220:R220" si="113">J221+J228+J232</f>
        <v>2702.8</v>
      </c>
      <c r="K220" s="86">
        <f t="shared" si="113"/>
        <v>867.6</v>
      </c>
      <c r="L220" s="86">
        <f t="shared" si="113"/>
        <v>837.6</v>
      </c>
      <c r="M220" s="86">
        <f t="shared" si="113"/>
        <v>997.6</v>
      </c>
      <c r="N220" s="86">
        <f t="shared" si="113"/>
        <v>2702.8</v>
      </c>
      <c r="O220" s="86">
        <f t="shared" si="113"/>
        <v>0</v>
      </c>
      <c r="P220" s="86">
        <f t="shared" si="113"/>
        <v>0</v>
      </c>
      <c r="Q220" s="86">
        <f t="shared" si="113"/>
        <v>0</v>
      </c>
      <c r="R220" s="86">
        <f t="shared" si="113"/>
        <v>0</v>
      </c>
      <c r="S220" s="120" t="s">
        <v>1446</v>
      </c>
      <c r="T220" s="138" t="s">
        <v>1484</v>
      </c>
      <c r="U220" s="71" t="s">
        <v>320</v>
      </c>
      <c r="V220" s="56" t="s">
        <v>41</v>
      </c>
    </row>
    <row r="221" ht="23.25" customHeight="1" spans="1:22">
      <c r="A221" s="71">
        <v>45</v>
      </c>
      <c r="B221" s="73" t="s">
        <v>917</v>
      </c>
      <c r="C221" s="71" t="s">
        <v>320</v>
      </c>
      <c r="D221" s="71" t="s">
        <v>45</v>
      </c>
      <c r="E221" s="71">
        <v>16000</v>
      </c>
      <c r="F221" s="71"/>
      <c r="G221" s="71"/>
      <c r="H221" s="71">
        <v>2018</v>
      </c>
      <c r="I221" s="71">
        <v>2020</v>
      </c>
      <c r="J221" s="86">
        <f>K221+L221+M221</f>
        <v>2560</v>
      </c>
      <c r="K221" s="86">
        <f>K222+K223+K224+K225+K226+K227</f>
        <v>800</v>
      </c>
      <c r="L221" s="86">
        <v>800</v>
      </c>
      <c r="M221" s="86">
        <v>960</v>
      </c>
      <c r="N221" s="530">
        <v>2560</v>
      </c>
      <c r="O221" s="530"/>
      <c r="P221" s="530"/>
      <c r="Q221" s="530"/>
      <c r="R221" s="530"/>
      <c r="S221" s="120" t="s">
        <v>1446</v>
      </c>
      <c r="T221" s="138" t="s">
        <v>1485</v>
      </c>
      <c r="U221" s="86" t="s">
        <v>417</v>
      </c>
      <c r="V221" s="56" t="s">
        <v>41</v>
      </c>
    </row>
    <row r="222" ht="23.25" customHeight="1" spans="1:22">
      <c r="A222" s="71"/>
      <c r="B222" s="71" t="s">
        <v>1425</v>
      </c>
      <c r="C222" s="71" t="s">
        <v>320</v>
      </c>
      <c r="D222" s="71" t="s">
        <v>45</v>
      </c>
      <c r="E222" s="71">
        <v>4000</v>
      </c>
      <c r="F222" s="71"/>
      <c r="G222" s="71"/>
      <c r="H222" s="71">
        <v>2018</v>
      </c>
      <c r="I222" s="71">
        <v>2020</v>
      </c>
      <c r="J222" s="86">
        <v>640</v>
      </c>
      <c r="K222" s="86">
        <v>80</v>
      </c>
      <c r="L222" s="86">
        <v>280</v>
      </c>
      <c r="M222" s="86">
        <v>280</v>
      </c>
      <c r="N222" s="530">
        <v>640</v>
      </c>
      <c r="O222" s="530"/>
      <c r="P222" s="530"/>
      <c r="Q222" s="530"/>
      <c r="R222" s="530"/>
      <c r="S222" s="86"/>
      <c r="T222" s="86"/>
      <c r="U222" s="86" t="s">
        <v>417</v>
      </c>
      <c r="V222" s="56" t="s">
        <v>41</v>
      </c>
    </row>
    <row r="223" ht="23.25" customHeight="1" spans="1:22">
      <c r="A223" s="71"/>
      <c r="B223" s="71" t="s">
        <v>1426</v>
      </c>
      <c r="C223" s="71" t="s">
        <v>320</v>
      </c>
      <c r="D223" s="71" t="s">
        <v>45</v>
      </c>
      <c r="E223" s="71">
        <v>4000</v>
      </c>
      <c r="F223" s="71"/>
      <c r="G223" s="71"/>
      <c r="H223" s="71">
        <v>2018</v>
      </c>
      <c r="I223" s="71">
        <v>2020</v>
      </c>
      <c r="J223" s="86">
        <v>640</v>
      </c>
      <c r="K223" s="86">
        <v>400</v>
      </c>
      <c r="L223" s="86">
        <v>120</v>
      </c>
      <c r="M223" s="86">
        <v>120</v>
      </c>
      <c r="N223" s="530">
        <v>640</v>
      </c>
      <c r="O223" s="530"/>
      <c r="P223" s="530"/>
      <c r="Q223" s="530"/>
      <c r="R223" s="530"/>
      <c r="S223" s="86"/>
      <c r="T223" s="86"/>
      <c r="U223" s="86" t="s">
        <v>417</v>
      </c>
      <c r="V223" s="56" t="s">
        <v>41</v>
      </c>
    </row>
    <row r="224" ht="23.25" customHeight="1" spans="1:22">
      <c r="A224" s="71"/>
      <c r="B224" s="71" t="s">
        <v>1427</v>
      </c>
      <c r="C224" s="71" t="s">
        <v>320</v>
      </c>
      <c r="D224" s="71" t="s">
        <v>45</v>
      </c>
      <c r="E224" s="71">
        <v>2000</v>
      </c>
      <c r="F224" s="71"/>
      <c r="G224" s="71"/>
      <c r="H224" s="71">
        <v>2018</v>
      </c>
      <c r="I224" s="71">
        <v>2020</v>
      </c>
      <c r="J224" s="86">
        <v>320</v>
      </c>
      <c r="K224" s="86">
        <v>80</v>
      </c>
      <c r="L224" s="86">
        <v>100</v>
      </c>
      <c r="M224" s="86">
        <v>140</v>
      </c>
      <c r="N224" s="530">
        <v>320</v>
      </c>
      <c r="O224" s="530"/>
      <c r="P224" s="530"/>
      <c r="Q224" s="530"/>
      <c r="R224" s="530"/>
      <c r="S224" s="86"/>
      <c r="T224" s="86"/>
      <c r="U224" s="86" t="s">
        <v>417</v>
      </c>
      <c r="V224" s="56" t="s">
        <v>41</v>
      </c>
    </row>
    <row r="225" ht="23.25" customHeight="1" spans="1:22">
      <c r="A225" s="71"/>
      <c r="B225" s="71" t="s">
        <v>1428</v>
      </c>
      <c r="C225" s="71" t="s">
        <v>320</v>
      </c>
      <c r="D225" s="71" t="s">
        <v>45</v>
      </c>
      <c r="E225" s="71">
        <v>3000</v>
      </c>
      <c r="F225" s="71"/>
      <c r="G225" s="71"/>
      <c r="H225" s="71">
        <v>2018</v>
      </c>
      <c r="I225" s="71">
        <v>2020</v>
      </c>
      <c r="J225" s="86">
        <v>480</v>
      </c>
      <c r="K225" s="86">
        <v>80</v>
      </c>
      <c r="L225" s="86">
        <v>160</v>
      </c>
      <c r="M225" s="86">
        <v>240</v>
      </c>
      <c r="N225" s="530">
        <v>480</v>
      </c>
      <c r="O225" s="530"/>
      <c r="P225" s="530"/>
      <c r="Q225" s="530"/>
      <c r="R225" s="530"/>
      <c r="S225" s="86"/>
      <c r="T225" s="86"/>
      <c r="U225" s="86" t="s">
        <v>417</v>
      </c>
      <c r="V225" s="56" t="s">
        <v>41</v>
      </c>
    </row>
    <row r="226" ht="23.25" customHeight="1" spans="1:22">
      <c r="A226" s="71"/>
      <c r="B226" s="71" t="s">
        <v>1429</v>
      </c>
      <c r="C226" s="71" t="s">
        <v>320</v>
      </c>
      <c r="D226" s="71" t="s">
        <v>45</v>
      </c>
      <c r="E226" s="71">
        <v>2000</v>
      </c>
      <c r="F226" s="71"/>
      <c r="G226" s="71"/>
      <c r="H226" s="71">
        <v>2018</v>
      </c>
      <c r="I226" s="71">
        <v>2020</v>
      </c>
      <c r="J226" s="86">
        <v>320</v>
      </c>
      <c r="K226" s="86">
        <v>80</v>
      </c>
      <c r="L226" s="86">
        <v>100</v>
      </c>
      <c r="M226" s="86">
        <v>140</v>
      </c>
      <c r="N226" s="530">
        <v>320</v>
      </c>
      <c r="O226" s="530"/>
      <c r="P226" s="530"/>
      <c r="Q226" s="530"/>
      <c r="R226" s="530"/>
      <c r="S226" s="86"/>
      <c r="T226" s="86"/>
      <c r="U226" s="86" t="s">
        <v>417</v>
      </c>
      <c r="V226" s="56" t="s">
        <v>41</v>
      </c>
    </row>
    <row r="227" ht="23.25" customHeight="1" spans="1:22">
      <c r="A227" s="71"/>
      <c r="B227" s="71" t="s">
        <v>1430</v>
      </c>
      <c r="C227" s="71" t="s">
        <v>320</v>
      </c>
      <c r="D227" s="71" t="s">
        <v>45</v>
      </c>
      <c r="E227" s="71">
        <v>1000</v>
      </c>
      <c r="F227" s="71"/>
      <c r="G227" s="71"/>
      <c r="H227" s="71">
        <v>2018</v>
      </c>
      <c r="I227" s="71">
        <v>2020</v>
      </c>
      <c r="J227" s="86">
        <v>160</v>
      </c>
      <c r="K227" s="86">
        <v>80</v>
      </c>
      <c r="L227" s="86">
        <v>40</v>
      </c>
      <c r="M227" s="86">
        <v>40</v>
      </c>
      <c r="N227" s="530">
        <v>160</v>
      </c>
      <c r="O227" s="530"/>
      <c r="P227" s="530"/>
      <c r="Q227" s="530"/>
      <c r="R227" s="530"/>
      <c r="S227" s="86"/>
      <c r="T227" s="86"/>
      <c r="U227" s="86" t="s">
        <v>417</v>
      </c>
      <c r="V227" s="56" t="s">
        <v>41</v>
      </c>
    </row>
    <row r="228" ht="23.25" customHeight="1" spans="1:22">
      <c r="A228" s="71">
        <v>46</v>
      </c>
      <c r="B228" s="73" t="s">
        <v>919</v>
      </c>
      <c r="C228" s="71" t="s">
        <v>320</v>
      </c>
      <c r="D228" s="71" t="s">
        <v>45</v>
      </c>
      <c r="E228" s="71">
        <v>300</v>
      </c>
      <c r="F228" s="71"/>
      <c r="G228" s="71"/>
      <c r="H228" s="71">
        <v>2018</v>
      </c>
      <c r="I228" s="71">
        <v>2018</v>
      </c>
      <c r="J228" s="86">
        <v>30</v>
      </c>
      <c r="K228" s="86">
        <v>30</v>
      </c>
      <c r="L228" s="86">
        <v>0</v>
      </c>
      <c r="M228" s="86">
        <v>0</v>
      </c>
      <c r="N228" s="530">
        <v>30</v>
      </c>
      <c r="O228" s="530"/>
      <c r="P228" s="530"/>
      <c r="Q228" s="530"/>
      <c r="R228" s="530"/>
      <c r="S228" s="120" t="s">
        <v>1446</v>
      </c>
      <c r="T228" s="138" t="s">
        <v>1486</v>
      </c>
      <c r="U228" s="86" t="s">
        <v>435</v>
      </c>
      <c r="V228" s="56" t="s">
        <v>41</v>
      </c>
    </row>
    <row r="229" ht="23.25" customHeight="1" spans="1:22">
      <c r="A229" s="71"/>
      <c r="B229" s="71" t="s">
        <v>1425</v>
      </c>
      <c r="C229" s="71" t="s">
        <v>320</v>
      </c>
      <c r="D229" s="71" t="s">
        <v>45</v>
      </c>
      <c r="E229" s="71">
        <v>90</v>
      </c>
      <c r="F229" s="71"/>
      <c r="G229" s="71"/>
      <c r="H229" s="71">
        <v>2018</v>
      </c>
      <c r="I229" s="71">
        <v>2018</v>
      </c>
      <c r="J229" s="86">
        <v>9</v>
      </c>
      <c r="K229" s="86">
        <v>9</v>
      </c>
      <c r="L229" s="86">
        <v>0</v>
      </c>
      <c r="M229" s="86">
        <v>0</v>
      </c>
      <c r="N229" s="530">
        <v>9</v>
      </c>
      <c r="O229" s="530"/>
      <c r="P229" s="530"/>
      <c r="Q229" s="530"/>
      <c r="R229" s="530"/>
      <c r="S229" s="86"/>
      <c r="T229" s="86"/>
      <c r="U229" s="86" t="s">
        <v>435</v>
      </c>
      <c r="V229" s="56" t="s">
        <v>41</v>
      </c>
    </row>
    <row r="230" ht="23.25" customHeight="1" spans="1:22">
      <c r="A230" s="71"/>
      <c r="B230" s="71" t="s">
        <v>1426</v>
      </c>
      <c r="C230" s="71" t="s">
        <v>320</v>
      </c>
      <c r="D230" s="71" t="s">
        <v>45</v>
      </c>
      <c r="E230" s="71">
        <v>80</v>
      </c>
      <c r="F230" s="71"/>
      <c r="G230" s="71"/>
      <c r="H230" s="71">
        <v>2018</v>
      </c>
      <c r="I230" s="71">
        <v>2018</v>
      </c>
      <c r="J230" s="86">
        <v>8</v>
      </c>
      <c r="K230" s="86">
        <v>8</v>
      </c>
      <c r="L230" s="86">
        <v>0</v>
      </c>
      <c r="M230" s="86">
        <v>0</v>
      </c>
      <c r="N230" s="530">
        <v>8</v>
      </c>
      <c r="O230" s="530"/>
      <c r="P230" s="530"/>
      <c r="Q230" s="530"/>
      <c r="R230" s="530"/>
      <c r="S230" s="86"/>
      <c r="T230" s="86"/>
      <c r="U230" s="86" t="s">
        <v>435</v>
      </c>
      <c r="V230" s="56" t="s">
        <v>41</v>
      </c>
    </row>
    <row r="231" ht="23.25" customHeight="1" spans="1:22">
      <c r="A231" s="71"/>
      <c r="B231" s="71" t="s">
        <v>1430</v>
      </c>
      <c r="C231" s="71" t="s">
        <v>320</v>
      </c>
      <c r="D231" s="71" t="s">
        <v>45</v>
      </c>
      <c r="E231" s="71">
        <v>130</v>
      </c>
      <c r="F231" s="71"/>
      <c r="G231" s="71"/>
      <c r="H231" s="71">
        <v>2018</v>
      </c>
      <c r="I231" s="71">
        <v>2018</v>
      </c>
      <c r="J231" s="86">
        <v>13</v>
      </c>
      <c r="K231" s="86">
        <v>13</v>
      </c>
      <c r="L231" s="86">
        <v>0</v>
      </c>
      <c r="M231" s="86">
        <v>0</v>
      </c>
      <c r="N231" s="86">
        <v>13</v>
      </c>
      <c r="O231" s="86"/>
      <c r="P231" s="86"/>
      <c r="Q231" s="86"/>
      <c r="R231" s="86"/>
      <c r="S231" s="86"/>
      <c r="T231" s="86"/>
      <c r="U231" s="86" t="s">
        <v>435</v>
      </c>
      <c r="V231" s="56" t="s">
        <v>41</v>
      </c>
    </row>
    <row r="232" ht="23.25" customHeight="1" spans="1:22">
      <c r="A232" s="71"/>
      <c r="B232" s="90" t="s">
        <v>423</v>
      </c>
      <c r="C232" s="71" t="s">
        <v>320</v>
      </c>
      <c r="D232" s="71" t="s">
        <v>147</v>
      </c>
      <c r="E232" s="71">
        <v>47</v>
      </c>
      <c r="F232" s="71">
        <v>47</v>
      </c>
      <c r="G232" s="71">
        <v>47</v>
      </c>
      <c r="H232" s="71">
        <v>2018</v>
      </c>
      <c r="I232" s="71">
        <v>2020</v>
      </c>
      <c r="J232" s="86">
        <f t="shared" ref="J232:J238" si="114">K232+L232+M232</f>
        <v>112.8</v>
      </c>
      <c r="K232" s="86">
        <f t="shared" ref="K232:M232" si="115">K233+K234+K235+K236+K237+K238</f>
        <v>37.6</v>
      </c>
      <c r="L232" s="86">
        <f t="shared" si="115"/>
        <v>37.6</v>
      </c>
      <c r="M232" s="86">
        <f t="shared" si="115"/>
        <v>37.6</v>
      </c>
      <c r="N232" s="86">
        <v>112.8</v>
      </c>
      <c r="O232" s="86"/>
      <c r="P232" s="86"/>
      <c r="Q232" s="86"/>
      <c r="R232" s="86"/>
      <c r="S232" s="120" t="s">
        <v>1446</v>
      </c>
      <c r="T232" s="138" t="s">
        <v>1485</v>
      </c>
      <c r="U232" s="86" t="s">
        <v>417</v>
      </c>
      <c r="V232" s="56" t="s">
        <v>41</v>
      </c>
    </row>
    <row r="233" ht="23.25" customHeight="1" spans="1:22">
      <c r="A233" s="71"/>
      <c r="B233" s="71" t="s">
        <v>1425</v>
      </c>
      <c r="C233" s="71" t="s">
        <v>320</v>
      </c>
      <c r="D233" s="71" t="s">
        <v>147</v>
      </c>
      <c r="E233" s="71">
        <v>4</v>
      </c>
      <c r="F233" s="71">
        <v>4</v>
      </c>
      <c r="G233" s="71">
        <v>4</v>
      </c>
      <c r="H233" s="71">
        <v>2018</v>
      </c>
      <c r="I233" s="71">
        <v>2020</v>
      </c>
      <c r="J233" s="86">
        <f t="shared" si="114"/>
        <v>9.6</v>
      </c>
      <c r="K233" s="86">
        <v>3.2</v>
      </c>
      <c r="L233" s="86">
        <v>3.2</v>
      </c>
      <c r="M233" s="86">
        <v>3.2</v>
      </c>
      <c r="N233" s="86">
        <v>9.6</v>
      </c>
      <c r="O233" s="86"/>
      <c r="P233" s="86"/>
      <c r="Q233" s="86"/>
      <c r="R233" s="86"/>
      <c r="S233" s="86"/>
      <c r="T233" s="86"/>
      <c r="U233" s="86" t="s">
        <v>417</v>
      </c>
      <c r="V233" s="56" t="s">
        <v>41</v>
      </c>
    </row>
    <row r="234" ht="23.25" customHeight="1" spans="1:22">
      <c r="A234" s="71"/>
      <c r="B234" s="71" t="s">
        <v>1426</v>
      </c>
      <c r="C234" s="71" t="s">
        <v>320</v>
      </c>
      <c r="D234" s="71" t="s">
        <v>147</v>
      </c>
      <c r="E234" s="101">
        <v>10</v>
      </c>
      <c r="F234" s="101">
        <v>10</v>
      </c>
      <c r="G234" s="71">
        <v>10</v>
      </c>
      <c r="H234" s="71">
        <v>2018</v>
      </c>
      <c r="I234" s="71">
        <v>2020</v>
      </c>
      <c r="J234" s="86">
        <f t="shared" si="114"/>
        <v>24</v>
      </c>
      <c r="K234" s="86">
        <v>8</v>
      </c>
      <c r="L234" s="86">
        <v>8</v>
      </c>
      <c r="M234" s="86">
        <v>8</v>
      </c>
      <c r="N234" s="86">
        <v>24</v>
      </c>
      <c r="O234" s="86"/>
      <c r="P234" s="86"/>
      <c r="Q234" s="86"/>
      <c r="R234" s="86"/>
      <c r="S234" s="86"/>
      <c r="T234" s="86"/>
      <c r="U234" s="86" t="s">
        <v>417</v>
      </c>
      <c r="V234" s="56" t="s">
        <v>41</v>
      </c>
    </row>
    <row r="235" ht="23.25" customHeight="1" spans="1:22">
      <c r="A235" s="71"/>
      <c r="B235" s="71" t="s">
        <v>1427</v>
      </c>
      <c r="C235" s="71" t="s">
        <v>320</v>
      </c>
      <c r="D235" s="71" t="s">
        <v>147</v>
      </c>
      <c r="E235" s="71">
        <v>8</v>
      </c>
      <c r="F235" s="71">
        <v>8</v>
      </c>
      <c r="G235" s="71">
        <v>8</v>
      </c>
      <c r="H235" s="71">
        <v>2018</v>
      </c>
      <c r="I235" s="71">
        <v>2020</v>
      </c>
      <c r="J235" s="86">
        <f t="shared" si="114"/>
        <v>19.2</v>
      </c>
      <c r="K235" s="86">
        <v>6.4</v>
      </c>
      <c r="L235" s="86">
        <v>6.4</v>
      </c>
      <c r="M235" s="86">
        <v>6.4</v>
      </c>
      <c r="N235" s="86">
        <v>19.2</v>
      </c>
      <c r="O235" s="86"/>
      <c r="P235" s="86"/>
      <c r="Q235" s="86"/>
      <c r="R235" s="86"/>
      <c r="S235" s="86"/>
      <c r="T235" s="86"/>
      <c r="U235" s="86" t="s">
        <v>417</v>
      </c>
      <c r="V235" s="56" t="s">
        <v>41</v>
      </c>
    </row>
    <row r="236" ht="23.25" customHeight="1" spans="1:22">
      <c r="A236" s="71"/>
      <c r="B236" s="71" t="s">
        <v>1428</v>
      </c>
      <c r="C236" s="71" t="s">
        <v>320</v>
      </c>
      <c r="D236" s="71" t="s">
        <v>147</v>
      </c>
      <c r="E236" s="71">
        <v>7</v>
      </c>
      <c r="F236" s="71">
        <v>7</v>
      </c>
      <c r="G236" s="71">
        <v>7</v>
      </c>
      <c r="H236" s="71">
        <v>2018</v>
      </c>
      <c r="I236" s="71">
        <v>2020</v>
      </c>
      <c r="J236" s="86">
        <f t="shared" si="114"/>
        <v>16.8</v>
      </c>
      <c r="K236" s="86">
        <v>5.6</v>
      </c>
      <c r="L236" s="86">
        <v>5.6</v>
      </c>
      <c r="M236" s="86">
        <v>5.6</v>
      </c>
      <c r="N236" s="86">
        <v>16.8</v>
      </c>
      <c r="O236" s="86"/>
      <c r="P236" s="86"/>
      <c r="Q236" s="86"/>
      <c r="R236" s="86"/>
      <c r="S236" s="86"/>
      <c r="T236" s="86"/>
      <c r="U236" s="86" t="s">
        <v>417</v>
      </c>
      <c r="V236" s="56" t="s">
        <v>41</v>
      </c>
    </row>
    <row r="237" ht="23.25" customHeight="1" spans="1:22">
      <c r="A237" s="71"/>
      <c r="B237" s="71" t="s">
        <v>1429</v>
      </c>
      <c r="C237" s="71" t="s">
        <v>320</v>
      </c>
      <c r="D237" s="71" t="s">
        <v>147</v>
      </c>
      <c r="E237" s="71">
        <v>6</v>
      </c>
      <c r="F237" s="71">
        <v>6</v>
      </c>
      <c r="G237" s="71">
        <v>6</v>
      </c>
      <c r="H237" s="71">
        <v>2018</v>
      </c>
      <c r="I237" s="71">
        <v>2020</v>
      </c>
      <c r="J237" s="86">
        <f t="shared" si="114"/>
        <v>14.4</v>
      </c>
      <c r="K237" s="86">
        <v>4.8</v>
      </c>
      <c r="L237" s="86">
        <v>4.8</v>
      </c>
      <c r="M237" s="86">
        <v>4.8</v>
      </c>
      <c r="N237" s="86">
        <v>14.4</v>
      </c>
      <c r="O237" s="86"/>
      <c r="P237" s="86"/>
      <c r="Q237" s="86"/>
      <c r="R237" s="86"/>
      <c r="S237" s="86"/>
      <c r="T237" s="86"/>
      <c r="U237" s="86" t="s">
        <v>417</v>
      </c>
      <c r="V237" s="56" t="s">
        <v>41</v>
      </c>
    </row>
    <row r="238" ht="23.25" customHeight="1" spans="1:22">
      <c r="A238" s="71"/>
      <c r="B238" s="71" t="s">
        <v>1430</v>
      </c>
      <c r="C238" s="71" t="s">
        <v>320</v>
      </c>
      <c r="D238" s="71" t="s">
        <v>147</v>
      </c>
      <c r="E238" s="71">
        <v>12</v>
      </c>
      <c r="F238" s="71">
        <v>12</v>
      </c>
      <c r="G238" s="71">
        <v>12</v>
      </c>
      <c r="H238" s="71">
        <v>2018</v>
      </c>
      <c r="I238" s="71">
        <v>2020</v>
      </c>
      <c r="J238" s="86">
        <f t="shared" si="114"/>
        <v>28.8</v>
      </c>
      <c r="K238" s="86">
        <v>9.6</v>
      </c>
      <c r="L238" s="86">
        <v>9.6</v>
      </c>
      <c r="M238" s="86">
        <v>9.6</v>
      </c>
      <c r="N238" s="86">
        <v>28.8</v>
      </c>
      <c r="O238" s="86"/>
      <c r="P238" s="86"/>
      <c r="Q238" s="86"/>
      <c r="R238" s="86"/>
      <c r="S238" s="86"/>
      <c r="T238" s="86"/>
      <c r="U238" s="86" t="s">
        <v>417</v>
      </c>
      <c r="V238" s="56" t="s">
        <v>41</v>
      </c>
    </row>
    <row r="239" ht="26.1" customHeight="1" spans="1:22">
      <c r="A239" s="71">
        <v>48</v>
      </c>
      <c r="B239" s="90" t="s">
        <v>434</v>
      </c>
      <c r="C239" s="71" t="s">
        <v>320</v>
      </c>
      <c r="D239" s="71" t="s">
        <v>147</v>
      </c>
      <c r="E239" s="71"/>
      <c r="F239" s="71"/>
      <c r="G239" s="71"/>
      <c r="H239" s="71"/>
      <c r="I239" s="71"/>
      <c r="J239" s="86" t="s">
        <v>320</v>
      </c>
      <c r="K239" s="86" t="s">
        <v>320</v>
      </c>
      <c r="L239" s="86" t="s">
        <v>320</v>
      </c>
      <c r="M239" s="86" t="s">
        <v>320</v>
      </c>
      <c r="N239" s="86"/>
      <c r="O239" s="86"/>
      <c r="P239" s="86"/>
      <c r="Q239" s="86"/>
      <c r="R239" s="86"/>
      <c r="S239" s="86"/>
      <c r="T239" s="86"/>
      <c r="U239" s="86" t="s">
        <v>435</v>
      </c>
      <c r="V239" s="56" t="s">
        <v>41</v>
      </c>
    </row>
    <row r="240" ht="23.25" customHeight="1" spans="1:22">
      <c r="A240" s="71">
        <v>49</v>
      </c>
      <c r="B240" s="73" t="s">
        <v>436</v>
      </c>
      <c r="C240" s="71" t="s">
        <v>52</v>
      </c>
      <c r="D240" s="71" t="s">
        <v>150</v>
      </c>
      <c r="E240" s="71"/>
      <c r="F240" s="71"/>
      <c r="G240" s="71"/>
      <c r="H240" s="71"/>
      <c r="I240" s="71"/>
      <c r="J240" s="86" t="s">
        <v>320</v>
      </c>
      <c r="K240" s="86" t="s">
        <v>320</v>
      </c>
      <c r="L240" s="86" t="s">
        <v>320</v>
      </c>
      <c r="M240" s="86" t="s">
        <v>320</v>
      </c>
      <c r="N240" s="86"/>
      <c r="O240" s="86"/>
      <c r="P240" s="86"/>
      <c r="Q240" s="86"/>
      <c r="R240" s="86"/>
      <c r="S240" s="86"/>
      <c r="T240" s="86"/>
      <c r="U240" s="86" t="s">
        <v>417</v>
      </c>
      <c r="V240" s="56" t="s">
        <v>41</v>
      </c>
    </row>
    <row r="241" s="65" customFormat="1" ht="24.95" customHeight="1" spans="1:23">
      <c r="A241" s="71">
        <v>50</v>
      </c>
      <c r="B241" s="73" t="s">
        <v>924</v>
      </c>
      <c r="C241" s="71" t="s">
        <v>320</v>
      </c>
      <c r="D241" s="71" t="s">
        <v>320</v>
      </c>
      <c r="E241" s="71">
        <f t="shared" ref="E241:G241" si="116">E242+E249+E258</f>
        <v>416</v>
      </c>
      <c r="F241" s="71">
        <f t="shared" si="116"/>
        <v>259</v>
      </c>
      <c r="G241" s="71">
        <f t="shared" si="116"/>
        <v>474</v>
      </c>
      <c r="H241" s="71">
        <v>2018</v>
      </c>
      <c r="I241" s="71">
        <v>2020</v>
      </c>
      <c r="J241" s="86">
        <f t="shared" ref="J241:R241" si="117">J242+J249+J258</f>
        <v>506.664</v>
      </c>
      <c r="K241" s="86">
        <f t="shared" si="117"/>
        <v>158.094</v>
      </c>
      <c r="L241" s="86">
        <f t="shared" si="117"/>
        <v>168.37</v>
      </c>
      <c r="M241" s="86">
        <f t="shared" si="117"/>
        <v>180.2</v>
      </c>
      <c r="N241" s="86">
        <f t="shared" si="117"/>
        <v>506.664</v>
      </c>
      <c r="O241" s="86">
        <f t="shared" si="117"/>
        <v>0</v>
      </c>
      <c r="P241" s="86">
        <f t="shared" si="117"/>
        <v>0</v>
      </c>
      <c r="Q241" s="86">
        <f t="shared" si="117"/>
        <v>0</v>
      </c>
      <c r="R241" s="86">
        <f t="shared" si="117"/>
        <v>0</v>
      </c>
      <c r="S241" s="138" t="s">
        <v>1431</v>
      </c>
      <c r="T241" s="138" t="s">
        <v>1487</v>
      </c>
      <c r="U241" s="71" t="s">
        <v>320</v>
      </c>
      <c r="V241" s="56" t="s">
        <v>41</v>
      </c>
      <c r="W241" s="68"/>
    </row>
    <row r="242" s="65" customFormat="1" ht="24" customHeight="1" spans="1:23">
      <c r="A242" s="71">
        <v>51</v>
      </c>
      <c r="B242" s="73" t="s">
        <v>443</v>
      </c>
      <c r="C242" s="71" t="s">
        <v>320</v>
      </c>
      <c r="D242" s="71" t="s">
        <v>384</v>
      </c>
      <c r="E242" s="71">
        <v>134</v>
      </c>
      <c r="F242" s="71">
        <v>134</v>
      </c>
      <c r="G242" s="71">
        <v>335</v>
      </c>
      <c r="H242" s="71">
        <v>2018</v>
      </c>
      <c r="I242" s="71">
        <v>2020</v>
      </c>
      <c r="J242" s="86">
        <f t="shared" ref="J242:M242" si="118">J243+J244+J245+J246+J247+J248</f>
        <v>237.68</v>
      </c>
      <c r="K242" s="86">
        <f t="shared" si="118"/>
        <v>68.43</v>
      </c>
      <c r="L242" s="86">
        <f t="shared" si="118"/>
        <v>78.71</v>
      </c>
      <c r="M242" s="86">
        <f t="shared" si="118"/>
        <v>90.54</v>
      </c>
      <c r="N242" s="86">
        <v>237.68</v>
      </c>
      <c r="O242" s="86"/>
      <c r="P242" s="86"/>
      <c r="Q242" s="86"/>
      <c r="R242" s="86"/>
      <c r="S242" s="138" t="s">
        <v>1431</v>
      </c>
      <c r="T242" s="138" t="s">
        <v>1487</v>
      </c>
      <c r="U242" s="86" t="s">
        <v>338</v>
      </c>
      <c r="V242" s="56" t="s">
        <v>41</v>
      </c>
      <c r="W242" s="68"/>
    </row>
    <row r="243" s="65" customFormat="1" ht="23.25" customHeight="1" spans="1:23">
      <c r="A243" s="71"/>
      <c r="B243" s="71" t="s">
        <v>1425</v>
      </c>
      <c r="C243" s="71" t="s">
        <v>320</v>
      </c>
      <c r="D243" s="71" t="s">
        <v>384</v>
      </c>
      <c r="E243" s="71">
        <v>11</v>
      </c>
      <c r="F243" s="71">
        <v>11</v>
      </c>
      <c r="G243" s="71">
        <v>39</v>
      </c>
      <c r="H243" s="71">
        <v>2018</v>
      </c>
      <c r="I243" s="71">
        <v>2020</v>
      </c>
      <c r="J243" s="86">
        <f t="shared" ref="J243:J248" si="119">K243+L243+M243</f>
        <v>25.89</v>
      </c>
      <c r="K243" s="86">
        <v>7.46</v>
      </c>
      <c r="L243" s="86">
        <v>8.57</v>
      </c>
      <c r="M243" s="86">
        <v>9.86</v>
      </c>
      <c r="N243" s="86">
        <f t="shared" ref="N243:N248" si="120">J243</f>
        <v>25.89</v>
      </c>
      <c r="O243" s="86"/>
      <c r="P243" s="86"/>
      <c r="Q243" s="86"/>
      <c r="R243" s="86"/>
      <c r="S243" s="86"/>
      <c r="T243" s="86"/>
      <c r="U243" s="86" t="s">
        <v>338</v>
      </c>
      <c r="V243" s="56" t="s">
        <v>41</v>
      </c>
      <c r="W243" s="68"/>
    </row>
    <row r="244" s="65" customFormat="1" ht="23.25" customHeight="1" spans="1:23">
      <c r="A244" s="71"/>
      <c r="B244" s="71" t="s">
        <v>1426</v>
      </c>
      <c r="C244" s="71" t="s">
        <v>320</v>
      </c>
      <c r="D244" s="71" t="s">
        <v>384</v>
      </c>
      <c r="E244" s="71">
        <v>21</v>
      </c>
      <c r="F244" s="71">
        <v>21</v>
      </c>
      <c r="G244" s="71">
        <v>54</v>
      </c>
      <c r="H244" s="71">
        <v>2018</v>
      </c>
      <c r="I244" s="71">
        <v>2020</v>
      </c>
      <c r="J244" s="86">
        <f t="shared" si="119"/>
        <v>37.81</v>
      </c>
      <c r="K244" s="86">
        <v>10.89</v>
      </c>
      <c r="L244" s="86">
        <v>12.52</v>
      </c>
      <c r="M244" s="86">
        <v>14.4</v>
      </c>
      <c r="N244" s="86">
        <f t="shared" si="120"/>
        <v>37.81</v>
      </c>
      <c r="O244" s="530"/>
      <c r="P244" s="530"/>
      <c r="Q244" s="530"/>
      <c r="R244" s="530"/>
      <c r="S244" s="86"/>
      <c r="T244" s="86"/>
      <c r="U244" s="86" t="s">
        <v>338</v>
      </c>
      <c r="V244" s="56" t="s">
        <v>41</v>
      </c>
      <c r="W244" s="68"/>
    </row>
    <row r="245" s="65" customFormat="1" ht="23.25" customHeight="1" spans="1:23">
      <c r="A245" s="71"/>
      <c r="B245" s="71" t="s">
        <v>1427</v>
      </c>
      <c r="C245" s="71" t="s">
        <v>320</v>
      </c>
      <c r="D245" s="71" t="s">
        <v>384</v>
      </c>
      <c r="E245" s="71">
        <v>42</v>
      </c>
      <c r="F245" s="71">
        <v>42</v>
      </c>
      <c r="G245" s="71">
        <v>96</v>
      </c>
      <c r="H245" s="71">
        <v>2018</v>
      </c>
      <c r="I245" s="71">
        <v>2020</v>
      </c>
      <c r="J245" s="86">
        <f t="shared" si="119"/>
        <v>67.2</v>
      </c>
      <c r="K245" s="86">
        <v>19.35</v>
      </c>
      <c r="L245" s="86">
        <v>22.25</v>
      </c>
      <c r="M245" s="86">
        <v>25.6</v>
      </c>
      <c r="N245" s="86">
        <f t="shared" si="120"/>
        <v>67.2</v>
      </c>
      <c r="O245" s="530"/>
      <c r="P245" s="530"/>
      <c r="Q245" s="530"/>
      <c r="R245" s="530"/>
      <c r="S245" s="86"/>
      <c r="T245" s="86"/>
      <c r="U245" s="86" t="s">
        <v>338</v>
      </c>
      <c r="V245" s="56" t="s">
        <v>41</v>
      </c>
      <c r="W245" s="68"/>
    </row>
    <row r="246" s="65" customFormat="1" ht="23.25" customHeight="1" spans="1:23">
      <c r="A246" s="71"/>
      <c r="B246" s="71" t="s">
        <v>1428</v>
      </c>
      <c r="C246" s="71" t="s">
        <v>320</v>
      </c>
      <c r="D246" s="71" t="s">
        <v>384</v>
      </c>
      <c r="E246" s="71">
        <v>21</v>
      </c>
      <c r="F246" s="71">
        <v>21</v>
      </c>
      <c r="G246" s="71">
        <v>43</v>
      </c>
      <c r="H246" s="71">
        <v>2018</v>
      </c>
      <c r="I246" s="71">
        <v>2020</v>
      </c>
      <c r="J246" s="86">
        <f t="shared" si="119"/>
        <v>34.63</v>
      </c>
      <c r="K246" s="86">
        <v>9.97</v>
      </c>
      <c r="L246" s="86">
        <v>11.47</v>
      </c>
      <c r="M246" s="86">
        <v>13.19</v>
      </c>
      <c r="N246" s="86">
        <f t="shared" si="120"/>
        <v>34.63</v>
      </c>
      <c r="O246" s="530"/>
      <c r="P246" s="530"/>
      <c r="Q246" s="530"/>
      <c r="R246" s="530"/>
      <c r="S246" s="86"/>
      <c r="T246" s="86"/>
      <c r="U246" s="86" t="s">
        <v>338</v>
      </c>
      <c r="V246" s="56" t="s">
        <v>41</v>
      </c>
      <c r="W246" s="68"/>
    </row>
    <row r="247" s="65" customFormat="1" ht="23.25" customHeight="1" spans="1:23">
      <c r="A247" s="71"/>
      <c r="B247" s="71" t="s">
        <v>1429</v>
      </c>
      <c r="C247" s="71" t="s">
        <v>320</v>
      </c>
      <c r="D247" s="71" t="s">
        <v>384</v>
      </c>
      <c r="E247" s="71">
        <v>26</v>
      </c>
      <c r="F247" s="71">
        <v>26</v>
      </c>
      <c r="G247" s="71">
        <v>75</v>
      </c>
      <c r="H247" s="71">
        <v>2018</v>
      </c>
      <c r="I247" s="71">
        <v>2020</v>
      </c>
      <c r="J247" s="86">
        <f t="shared" si="119"/>
        <v>52.51</v>
      </c>
      <c r="K247" s="86">
        <v>15.12</v>
      </c>
      <c r="L247" s="86">
        <v>17.4</v>
      </c>
      <c r="M247" s="86">
        <v>19.99</v>
      </c>
      <c r="N247" s="86">
        <f t="shared" si="120"/>
        <v>52.51</v>
      </c>
      <c r="O247" s="530"/>
      <c r="P247" s="530"/>
      <c r="Q247" s="530"/>
      <c r="R247" s="530"/>
      <c r="S247" s="86"/>
      <c r="T247" s="86"/>
      <c r="U247" s="86" t="s">
        <v>338</v>
      </c>
      <c r="V247" s="56" t="s">
        <v>41</v>
      </c>
      <c r="W247" s="68"/>
    </row>
    <row r="248" s="65" customFormat="1" ht="23.25" customHeight="1" spans="1:23">
      <c r="A248" s="71"/>
      <c r="B248" s="71" t="s">
        <v>1430</v>
      </c>
      <c r="C248" s="71" t="s">
        <v>320</v>
      </c>
      <c r="D248" s="71" t="s">
        <v>384</v>
      </c>
      <c r="E248" s="71">
        <v>13</v>
      </c>
      <c r="F248" s="71">
        <v>13</v>
      </c>
      <c r="G248" s="71">
        <v>28</v>
      </c>
      <c r="H248" s="71">
        <v>2018</v>
      </c>
      <c r="I248" s="71">
        <v>2020</v>
      </c>
      <c r="J248" s="86">
        <f t="shared" si="119"/>
        <v>19.64</v>
      </c>
      <c r="K248" s="86">
        <v>5.64</v>
      </c>
      <c r="L248" s="86">
        <v>6.5</v>
      </c>
      <c r="M248" s="86">
        <v>7.5</v>
      </c>
      <c r="N248" s="86">
        <f t="shared" si="120"/>
        <v>19.64</v>
      </c>
      <c r="O248" s="530"/>
      <c r="P248" s="530"/>
      <c r="Q248" s="530"/>
      <c r="R248" s="530"/>
      <c r="S248" s="86"/>
      <c r="T248" s="86"/>
      <c r="U248" s="86" t="s">
        <v>338</v>
      </c>
      <c r="V248" s="56" t="s">
        <v>41</v>
      </c>
      <c r="W248" s="68"/>
    </row>
    <row r="249" s="65" customFormat="1" ht="29.1" customHeight="1" spans="1:23">
      <c r="A249" s="71">
        <v>52</v>
      </c>
      <c r="B249" s="73" t="s">
        <v>446</v>
      </c>
      <c r="C249" s="71" t="s">
        <v>320</v>
      </c>
      <c r="D249" s="71" t="s">
        <v>147</v>
      </c>
      <c r="E249" s="71">
        <v>128</v>
      </c>
      <c r="F249" s="71">
        <v>30</v>
      </c>
      <c r="G249" s="71">
        <v>39</v>
      </c>
      <c r="H249" s="71">
        <v>2018</v>
      </c>
      <c r="I249" s="71">
        <v>2020</v>
      </c>
      <c r="J249" s="86">
        <f t="shared" ref="J249:N249" si="121">J250+J257</f>
        <v>212.104</v>
      </c>
      <c r="K249" s="86">
        <f t="shared" si="121"/>
        <v>70.704</v>
      </c>
      <c r="L249" s="86">
        <f t="shared" si="121"/>
        <v>70.7</v>
      </c>
      <c r="M249" s="86">
        <f t="shared" si="121"/>
        <v>70.7</v>
      </c>
      <c r="N249" s="86">
        <f t="shared" si="121"/>
        <v>212.104</v>
      </c>
      <c r="O249" s="530"/>
      <c r="P249" s="530"/>
      <c r="Q249" s="530"/>
      <c r="R249" s="530"/>
      <c r="S249" s="138" t="s">
        <v>1431</v>
      </c>
      <c r="T249" s="138" t="s">
        <v>1487</v>
      </c>
      <c r="U249" s="71" t="s">
        <v>320</v>
      </c>
      <c r="V249" s="56" t="s">
        <v>41</v>
      </c>
      <c r="W249" s="68"/>
    </row>
    <row r="250" s="65" customFormat="1" ht="23.25" customHeight="1" spans="1:23">
      <c r="A250" s="71">
        <v>53</v>
      </c>
      <c r="B250" s="73" t="s">
        <v>447</v>
      </c>
      <c r="C250" s="71" t="s">
        <v>320</v>
      </c>
      <c r="D250" s="71" t="s">
        <v>147</v>
      </c>
      <c r="E250" s="71">
        <v>120</v>
      </c>
      <c r="F250" s="71">
        <v>30</v>
      </c>
      <c r="G250" s="71">
        <v>39</v>
      </c>
      <c r="H250" s="71">
        <v>2018</v>
      </c>
      <c r="I250" s="71">
        <v>2020</v>
      </c>
      <c r="J250" s="86">
        <f t="shared" ref="J250:J256" si="122">K250+L250+M250</f>
        <v>196.552</v>
      </c>
      <c r="K250" s="86">
        <f t="shared" ref="K250:M250" si="123">K251+K252+K253+K254+K255+K256</f>
        <v>65.52</v>
      </c>
      <c r="L250" s="86">
        <f t="shared" si="123"/>
        <v>65.516</v>
      </c>
      <c r="M250" s="86">
        <f t="shared" si="123"/>
        <v>65.516</v>
      </c>
      <c r="N250" s="86">
        <v>196.552</v>
      </c>
      <c r="O250" s="86"/>
      <c r="P250" s="86"/>
      <c r="Q250" s="86"/>
      <c r="R250" s="86"/>
      <c r="S250" s="138" t="s">
        <v>1431</v>
      </c>
      <c r="T250" s="138" t="s">
        <v>1487</v>
      </c>
      <c r="U250" s="86" t="s">
        <v>338</v>
      </c>
      <c r="V250" s="56" t="s">
        <v>41</v>
      </c>
      <c r="W250" s="68"/>
    </row>
    <row r="251" s="65" customFormat="1" ht="23.25" customHeight="1" spans="1:23">
      <c r="A251" s="71"/>
      <c r="B251" s="71" t="s">
        <v>1425</v>
      </c>
      <c r="C251" s="71" t="s">
        <v>320</v>
      </c>
      <c r="D251" s="71" t="s">
        <v>147</v>
      </c>
      <c r="E251" s="71">
        <v>22</v>
      </c>
      <c r="F251" s="71">
        <v>3</v>
      </c>
      <c r="G251" s="71">
        <v>6</v>
      </c>
      <c r="H251" s="71">
        <v>2018</v>
      </c>
      <c r="I251" s="71">
        <v>2020</v>
      </c>
      <c r="J251" s="86">
        <f t="shared" si="122"/>
        <v>36.032</v>
      </c>
      <c r="K251" s="86">
        <v>12.012</v>
      </c>
      <c r="L251" s="86">
        <v>12.01</v>
      </c>
      <c r="M251" s="86">
        <v>12.01</v>
      </c>
      <c r="N251" s="86">
        <v>36.032</v>
      </c>
      <c r="O251" s="86"/>
      <c r="P251" s="86"/>
      <c r="Q251" s="86"/>
      <c r="R251" s="86"/>
      <c r="S251" s="86"/>
      <c r="T251" s="86"/>
      <c r="U251" s="86" t="s">
        <v>338</v>
      </c>
      <c r="V251" s="56" t="s">
        <v>41</v>
      </c>
      <c r="W251" s="68"/>
    </row>
    <row r="252" s="65" customFormat="1" ht="23.25" customHeight="1" spans="1:23">
      <c r="A252" s="71"/>
      <c r="B252" s="71" t="s">
        <v>1426</v>
      </c>
      <c r="C252" s="71" t="s">
        <v>320</v>
      </c>
      <c r="D252" s="71" t="s">
        <v>147</v>
      </c>
      <c r="E252" s="71">
        <v>30</v>
      </c>
      <c r="F252" s="71">
        <v>5</v>
      </c>
      <c r="G252" s="71">
        <v>5</v>
      </c>
      <c r="H252" s="71">
        <v>2018</v>
      </c>
      <c r="I252" s="71">
        <v>2020</v>
      </c>
      <c r="J252" s="86">
        <f t="shared" si="122"/>
        <v>49.14</v>
      </c>
      <c r="K252" s="86">
        <v>16.38</v>
      </c>
      <c r="L252" s="86">
        <v>16.38</v>
      </c>
      <c r="M252" s="86">
        <v>16.38</v>
      </c>
      <c r="N252" s="86">
        <v>49.14</v>
      </c>
      <c r="O252" s="86"/>
      <c r="P252" s="86"/>
      <c r="Q252" s="86"/>
      <c r="R252" s="86"/>
      <c r="S252" s="86"/>
      <c r="T252" s="86"/>
      <c r="U252" s="86" t="s">
        <v>338</v>
      </c>
      <c r="V252" s="56" t="s">
        <v>41</v>
      </c>
      <c r="W252" s="68"/>
    </row>
    <row r="253" s="65" customFormat="1" ht="23.25" customHeight="1" spans="1:23">
      <c r="A253" s="71"/>
      <c r="B253" s="71" t="s">
        <v>1427</v>
      </c>
      <c r="C253" s="71" t="s">
        <v>320</v>
      </c>
      <c r="D253" s="71" t="s">
        <v>147</v>
      </c>
      <c r="E253" s="71">
        <v>32</v>
      </c>
      <c r="F253" s="71">
        <v>6</v>
      </c>
      <c r="G253" s="71">
        <v>9</v>
      </c>
      <c r="H253" s="71">
        <v>2018</v>
      </c>
      <c r="I253" s="71">
        <v>2020</v>
      </c>
      <c r="J253" s="86">
        <f t="shared" si="122"/>
        <v>52.412</v>
      </c>
      <c r="K253" s="86">
        <v>17.472</v>
      </c>
      <c r="L253" s="86">
        <v>17.47</v>
      </c>
      <c r="M253" s="86">
        <v>17.47</v>
      </c>
      <c r="N253" s="86">
        <v>52.41</v>
      </c>
      <c r="O253" s="86"/>
      <c r="P253" s="86"/>
      <c r="Q253" s="86"/>
      <c r="R253" s="86"/>
      <c r="S253" s="86"/>
      <c r="T253" s="86"/>
      <c r="U253" s="86" t="s">
        <v>338</v>
      </c>
      <c r="V253" s="56" t="s">
        <v>41</v>
      </c>
      <c r="W253" s="68"/>
    </row>
    <row r="254" s="65" customFormat="1" ht="23.25" customHeight="1" spans="1:23">
      <c r="A254" s="71"/>
      <c r="B254" s="71" t="s">
        <v>1428</v>
      </c>
      <c r="C254" s="71" t="s">
        <v>320</v>
      </c>
      <c r="D254" s="71" t="s">
        <v>147</v>
      </c>
      <c r="E254" s="71">
        <v>19</v>
      </c>
      <c r="F254" s="71">
        <v>13</v>
      </c>
      <c r="G254" s="71">
        <v>16</v>
      </c>
      <c r="H254" s="71">
        <v>2018</v>
      </c>
      <c r="I254" s="71">
        <v>2020</v>
      </c>
      <c r="J254" s="86">
        <f t="shared" si="122"/>
        <v>31.122</v>
      </c>
      <c r="K254" s="86">
        <v>10.374</v>
      </c>
      <c r="L254" s="86">
        <v>10.374</v>
      </c>
      <c r="M254" s="86">
        <v>10.374</v>
      </c>
      <c r="N254" s="86">
        <v>31.122</v>
      </c>
      <c r="O254" s="86"/>
      <c r="P254" s="86"/>
      <c r="Q254" s="86"/>
      <c r="R254" s="86"/>
      <c r="S254" s="86"/>
      <c r="T254" s="86"/>
      <c r="U254" s="86" t="s">
        <v>338</v>
      </c>
      <c r="V254" s="56" t="s">
        <v>41</v>
      </c>
      <c r="W254" s="68"/>
    </row>
    <row r="255" s="65" customFormat="1" ht="23.25" customHeight="1" spans="1:23">
      <c r="A255" s="71"/>
      <c r="B255" s="71" t="s">
        <v>1429</v>
      </c>
      <c r="C255" s="71" t="s">
        <v>320</v>
      </c>
      <c r="D255" s="71" t="s">
        <v>147</v>
      </c>
      <c r="E255" s="71">
        <v>7</v>
      </c>
      <c r="F255" s="71">
        <v>2</v>
      </c>
      <c r="G255" s="71">
        <v>2</v>
      </c>
      <c r="H255" s="71">
        <v>2018</v>
      </c>
      <c r="I255" s="71">
        <v>2020</v>
      </c>
      <c r="J255" s="86">
        <f t="shared" si="122"/>
        <v>11.466</v>
      </c>
      <c r="K255" s="86">
        <v>3.822</v>
      </c>
      <c r="L255" s="86">
        <v>3.822</v>
      </c>
      <c r="M255" s="86">
        <v>3.822</v>
      </c>
      <c r="N255" s="86">
        <v>11.466</v>
      </c>
      <c r="O255" s="86"/>
      <c r="P255" s="86"/>
      <c r="Q255" s="86"/>
      <c r="R255" s="86"/>
      <c r="S255" s="86"/>
      <c r="T255" s="86"/>
      <c r="U255" s="86" t="s">
        <v>338</v>
      </c>
      <c r="V255" s="56" t="s">
        <v>41</v>
      </c>
      <c r="W255" s="68"/>
    </row>
    <row r="256" s="65" customFormat="1" ht="23.25" customHeight="1" spans="1:23">
      <c r="A256" s="71"/>
      <c r="B256" s="71" t="s">
        <v>1430</v>
      </c>
      <c r="C256" s="71" t="s">
        <v>320</v>
      </c>
      <c r="D256" s="71" t="s">
        <v>147</v>
      </c>
      <c r="E256" s="71">
        <v>10</v>
      </c>
      <c r="F256" s="71">
        <v>1</v>
      </c>
      <c r="G256" s="71">
        <v>1</v>
      </c>
      <c r="H256" s="71">
        <v>2018</v>
      </c>
      <c r="I256" s="71">
        <v>2020</v>
      </c>
      <c r="J256" s="86">
        <f t="shared" si="122"/>
        <v>16.38</v>
      </c>
      <c r="K256" s="86">
        <v>5.46</v>
      </c>
      <c r="L256" s="86">
        <v>5.46</v>
      </c>
      <c r="M256" s="86">
        <v>5.46</v>
      </c>
      <c r="N256" s="86">
        <v>16.38</v>
      </c>
      <c r="O256" s="86"/>
      <c r="P256" s="86"/>
      <c r="Q256" s="86"/>
      <c r="R256" s="86"/>
      <c r="S256" s="86"/>
      <c r="T256" s="86"/>
      <c r="U256" s="86" t="s">
        <v>338</v>
      </c>
      <c r="V256" s="56" t="s">
        <v>41</v>
      </c>
      <c r="W256" s="68"/>
    </row>
    <row r="257" s="65" customFormat="1" ht="23.25" customHeight="1" spans="1:23">
      <c r="A257" s="71">
        <v>54</v>
      </c>
      <c r="B257" s="73" t="s">
        <v>448</v>
      </c>
      <c r="C257" s="71" t="s">
        <v>320</v>
      </c>
      <c r="D257" s="71" t="s">
        <v>147</v>
      </c>
      <c r="E257" s="71">
        <v>8</v>
      </c>
      <c r="F257" s="71">
        <v>0</v>
      </c>
      <c r="G257" s="71">
        <v>0</v>
      </c>
      <c r="H257" s="71">
        <v>2018</v>
      </c>
      <c r="I257" s="71">
        <v>2020</v>
      </c>
      <c r="J257" s="86">
        <v>15.552</v>
      </c>
      <c r="K257" s="86">
        <v>5.184</v>
      </c>
      <c r="L257" s="86">
        <v>5.184</v>
      </c>
      <c r="M257" s="86">
        <v>5.184</v>
      </c>
      <c r="N257" s="86">
        <v>15.552</v>
      </c>
      <c r="O257" s="86"/>
      <c r="P257" s="86"/>
      <c r="Q257" s="86"/>
      <c r="R257" s="86"/>
      <c r="S257" s="138" t="s">
        <v>1431</v>
      </c>
      <c r="T257" s="138" t="s">
        <v>1487</v>
      </c>
      <c r="U257" s="86" t="s">
        <v>338</v>
      </c>
      <c r="V257" s="56" t="s">
        <v>41</v>
      </c>
      <c r="W257" s="68"/>
    </row>
    <row r="258" s="65" customFormat="1" ht="23.25" customHeight="1" spans="1:23">
      <c r="A258" s="71">
        <v>55</v>
      </c>
      <c r="B258" s="73" t="s">
        <v>449</v>
      </c>
      <c r="C258" s="71" t="s">
        <v>320</v>
      </c>
      <c r="D258" s="71" t="s">
        <v>147</v>
      </c>
      <c r="E258" s="71">
        <v>154</v>
      </c>
      <c r="F258" s="71">
        <v>95</v>
      </c>
      <c r="G258" s="71">
        <v>100</v>
      </c>
      <c r="H258" s="71">
        <v>2018</v>
      </c>
      <c r="I258" s="71">
        <v>2020</v>
      </c>
      <c r="J258" s="86">
        <v>56.88</v>
      </c>
      <c r="K258" s="86">
        <v>18.96</v>
      </c>
      <c r="L258" s="86">
        <v>18.96</v>
      </c>
      <c r="M258" s="86">
        <v>18.96</v>
      </c>
      <c r="N258" s="86">
        <v>56.88</v>
      </c>
      <c r="O258" s="392"/>
      <c r="P258" s="392"/>
      <c r="Q258" s="392"/>
      <c r="R258" s="392"/>
      <c r="S258" s="138" t="s">
        <v>1431</v>
      </c>
      <c r="T258" s="138" t="s">
        <v>1487</v>
      </c>
      <c r="U258" s="86" t="s">
        <v>452</v>
      </c>
      <c r="V258" s="56" t="s">
        <v>41</v>
      </c>
      <c r="W258" s="68"/>
    </row>
    <row r="259" s="65" customFormat="1" ht="23.25" customHeight="1" spans="1:23">
      <c r="A259" s="71"/>
      <c r="B259" s="71" t="s">
        <v>1425</v>
      </c>
      <c r="C259" s="71" t="s">
        <v>320</v>
      </c>
      <c r="D259" s="71" t="s">
        <v>147</v>
      </c>
      <c r="E259" s="71">
        <v>36</v>
      </c>
      <c r="F259" s="71">
        <v>25</v>
      </c>
      <c r="G259" s="71">
        <v>27</v>
      </c>
      <c r="H259" s="71">
        <v>2018</v>
      </c>
      <c r="I259" s="71">
        <v>2020</v>
      </c>
      <c r="J259" s="86">
        <f t="shared" ref="J259:J264" si="124">K259+L259+M259</f>
        <v>13.05</v>
      </c>
      <c r="K259" s="86">
        <v>4.35</v>
      </c>
      <c r="L259" s="86">
        <v>4.35</v>
      </c>
      <c r="M259" s="86">
        <v>4.35</v>
      </c>
      <c r="N259" s="86">
        <v>13.05</v>
      </c>
      <c r="O259" s="86"/>
      <c r="P259" s="392"/>
      <c r="Q259" s="392"/>
      <c r="R259" s="392"/>
      <c r="S259" s="86"/>
      <c r="T259" s="86"/>
      <c r="U259" s="86" t="s">
        <v>452</v>
      </c>
      <c r="V259" s="56" t="s">
        <v>41</v>
      </c>
      <c r="W259" s="68"/>
    </row>
    <row r="260" s="65" customFormat="1" ht="23.25" customHeight="1" spans="1:23">
      <c r="A260" s="71"/>
      <c r="B260" s="71" t="s">
        <v>1426</v>
      </c>
      <c r="C260" s="71" t="s">
        <v>320</v>
      </c>
      <c r="D260" s="71" t="s">
        <v>147</v>
      </c>
      <c r="E260" s="71">
        <v>35</v>
      </c>
      <c r="F260" s="71">
        <v>25</v>
      </c>
      <c r="G260" s="71">
        <v>25</v>
      </c>
      <c r="H260" s="71">
        <v>2018</v>
      </c>
      <c r="I260" s="71">
        <v>2020</v>
      </c>
      <c r="J260" s="86">
        <f t="shared" si="124"/>
        <v>12.75</v>
      </c>
      <c r="K260" s="86">
        <v>4.25</v>
      </c>
      <c r="L260" s="86">
        <v>4.25</v>
      </c>
      <c r="M260" s="86">
        <v>4.25</v>
      </c>
      <c r="N260" s="86">
        <v>12.75</v>
      </c>
      <c r="O260" s="86"/>
      <c r="P260" s="392"/>
      <c r="Q260" s="392"/>
      <c r="R260" s="392"/>
      <c r="S260" s="86"/>
      <c r="T260" s="86"/>
      <c r="U260" s="86" t="s">
        <v>452</v>
      </c>
      <c r="V260" s="56" t="s">
        <v>41</v>
      </c>
      <c r="W260" s="68"/>
    </row>
    <row r="261" s="65" customFormat="1" ht="23.25" customHeight="1" spans="1:23">
      <c r="A261" s="71"/>
      <c r="B261" s="71" t="s">
        <v>1427</v>
      </c>
      <c r="C261" s="71" t="s">
        <v>320</v>
      </c>
      <c r="D261" s="71" t="s">
        <v>147</v>
      </c>
      <c r="E261" s="71">
        <v>25</v>
      </c>
      <c r="F261" s="71">
        <v>13</v>
      </c>
      <c r="G261" s="71">
        <v>13</v>
      </c>
      <c r="H261" s="71">
        <v>2018</v>
      </c>
      <c r="I261" s="71">
        <v>2020</v>
      </c>
      <c r="J261" s="86">
        <f t="shared" si="124"/>
        <v>9.39</v>
      </c>
      <c r="K261" s="86">
        <v>3.13</v>
      </c>
      <c r="L261" s="86">
        <v>3.13</v>
      </c>
      <c r="M261" s="86">
        <v>3.13</v>
      </c>
      <c r="N261" s="86">
        <v>9.39</v>
      </c>
      <c r="O261" s="86"/>
      <c r="P261" s="557"/>
      <c r="Q261" s="557"/>
      <c r="R261" s="557"/>
      <c r="S261" s="86"/>
      <c r="T261" s="86"/>
      <c r="U261" s="86" t="s">
        <v>452</v>
      </c>
      <c r="V261" s="56" t="s">
        <v>41</v>
      </c>
      <c r="W261" s="68"/>
    </row>
    <row r="262" s="65" customFormat="1" ht="23.25" customHeight="1" spans="1:23">
      <c r="A262" s="71"/>
      <c r="B262" s="71" t="s">
        <v>1428</v>
      </c>
      <c r="C262" s="71" t="s">
        <v>320</v>
      </c>
      <c r="D262" s="71" t="s">
        <v>147</v>
      </c>
      <c r="E262" s="71">
        <v>21</v>
      </c>
      <c r="F262" s="71">
        <v>11</v>
      </c>
      <c r="G262" s="71">
        <v>12</v>
      </c>
      <c r="H262" s="71">
        <v>2018</v>
      </c>
      <c r="I262" s="71">
        <v>2020</v>
      </c>
      <c r="J262" s="86">
        <f t="shared" si="124"/>
        <v>8.058</v>
      </c>
      <c r="K262" s="86">
        <v>2.686</v>
      </c>
      <c r="L262" s="86">
        <v>2.686</v>
      </c>
      <c r="M262" s="86">
        <v>2.686</v>
      </c>
      <c r="N262" s="86">
        <v>8.058</v>
      </c>
      <c r="O262" s="86"/>
      <c r="P262" s="392"/>
      <c r="Q262" s="392"/>
      <c r="R262" s="392"/>
      <c r="S262" s="86"/>
      <c r="T262" s="86"/>
      <c r="U262" s="86" t="s">
        <v>452</v>
      </c>
      <c r="V262" s="56" t="s">
        <v>41</v>
      </c>
      <c r="W262" s="68"/>
    </row>
    <row r="263" s="65" customFormat="1" ht="23.25" customHeight="1" spans="1:23">
      <c r="A263" s="71"/>
      <c r="B263" s="71" t="s">
        <v>1429</v>
      </c>
      <c r="C263" s="71" t="s">
        <v>320</v>
      </c>
      <c r="D263" s="71" t="s">
        <v>147</v>
      </c>
      <c r="E263" s="71">
        <v>22</v>
      </c>
      <c r="F263" s="71">
        <v>13</v>
      </c>
      <c r="G263" s="71">
        <v>14</v>
      </c>
      <c r="H263" s="71">
        <v>2018</v>
      </c>
      <c r="I263" s="71">
        <v>2020</v>
      </c>
      <c r="J263" s="86">
        <f t="shared" si="124"/>
        <v>7.95</v>
      </c>
      <c r="K263" s="86">
        <v>2.65</v>
      </c>
      <c r="L263" s="86">
        <v>2.65</v>
      </c>
      <c r="M263" s="86">
        <v>2.65</v>
      </c>
      <c r="N263" s="86">
        <v>7.95</v>
      </c>
      <c r="O263" s="86"/>
      <c r="P263" s="392"/>
      <c r="Q263" s="392"/>
      <c r="R263" s="392"/>
      <c r="S263" s="86"/>
      <c r="T263" s="86"/>
      <c r="U263" s="86" t="s">
        <v>452</v>
      </c>
      <c r="V263" s="56" t="s">
        <v>41</v>
      </c>
      <c r="W263" s="68"/>
    </row>
    <row r="264" s="65" customFormat="1" ht="23.25" customHeight="1" spans="1:23">
      <c r="A264" s="71"/>
      <c r="B264" s="71" t="s">
        <v>1430</v>
      </c>
      <c r="C264" s="71" t="s">
        <v>320</v>
      </c>
      <c r="D264" s="71" t="s">
        <v>147</v>
      </c>
      <c r="E264" s="71">
        <v>15</v>
      </c>
      <c r="F264" s="71">
        <v>8</v>
      </c>
      <c r="G264" s="71">
        <v>9</v>
      </c>
      <c r="H264" s="71">
        <v>2018</v>
      </c>
      <c r="I264" s="71">
        <v>2020</v>
      </c>
      <c r="J264" s="86">
        <f t="shared" si="124"/>
        <v>5.682</v>
      </c>
      <c r="K264" s="86">
        <v>1.894</v>
      </c>
      <c r="L264" s="86">
        <v>1.894</v>
      </c>
      <c r="M264" s="86">
        <v>1.894</v>
      </c>
      <c r="N264" s="86">
        <v>5.682</v>
      </c>
      <c r="O264" s="86"/>
      <c r="P264" s="392"/>
      <c r="Q264" s="392"/>
      <c r="R264" s="392"/>
      <c r="S264" s="86"/>
      <c r="T264" s="86"/>
      <c r="U264" s="86" t="s">
        <v>452</v>
      </c>
      <c r="V264" s="56" t="s">
        <v>41</v>
      </c>
      <c r="W264" s="68"/>
    </row>
    <row r="265" s="65" customFormat="1" ht="23.25" customHeight="1" spans="1:23">
      <c r="A265" s="71">
        <v>56</v>
      </c>
      <c r="B265" s="73" t="s">
        <v>457</v>
      </c>
      <c r="C265" s="71" t="s">
        <v>320</v>
      </c>
      <c r="D265" s="71"/>
      <c r="E265" s="71"/>
      <c r="F265" s="71"/>
      <c r="G265" s="71"/>
      <c r="H265" s="71"/>
      <c r="I265" s="71"/>
      <c r="J265" s="86"/>
      <c r="K265" s="86"/>
      <c r="L265" s="86"/>
      <c r="M265" s="86"/>
      <c r="N265" s="392"/>
      <c r="O265" s="392"/>
      <c r="P265" s="392"/>
      <c r="Q265" s="392"/>
      <c r="R265" s="392"/>
      <c r="S265" s="86"/>
      <c r="T265" s="86"/>
      <c r="U265" s="71" t="s">
        <v>320</v>
      </c>
      <c r="V265" s="56" t="s">
        <v>41</v>
      </c>
      <c r="W265" s="68"/>
    </row>
    <row r="266" s="65" customFormat="1" ht="23.25" customHeight="1" spans="1:23">
      <c r="A266" s="71">
        <v>57</v>
      </c>
      <c r="B266" s="73" t="s">
        <v>458</v>
      </c>
      <c r="C266" s="71" t="s">
        <v>320</v>
      </c>
      <c r="D266" s="71" t="s">
        <v>147</v>
      </c>
      <c r="E266" s="71"/>
      <c r="F266" s="71"/>
      <c r="G266" s="71"/>
      <c r="H266" s="71"/>
      <c r="I266" s="71"/>
      <c r="J266" s="86"/>
      <c r="K266" s="86"/>
      <c r="L266" s="86"/>
      <c r="M266" s="86"/>
      <c r="N266" s="392"/>
      <c r="O266" s="392"/>
      <c r="P266" s="392"/>
      <c r="Q266" s="392"/>
      <c r="R266" s="392"/>
      <c r="S266" s="86"/>
      <c r="T266" s="86"/>
      <c r="U266" s="86" t="s">
        <v>338</v>
      </c>
      <c r="V266" s="56" t="s">
        <v>41</v>
      </c>
      <c r="W266" s="68"/>
    </row>
    <row r="267" s="65" customFormat="1" ht="23.25" customHeight="1" spans="1:23">
      <c r="A267" s="71">
        <v>58</v>
      </c>
      <c r="B267" s="73" t="s">
        <v>459</v>
      </c>
      <c r="C267" s="71" t="s">
        <v>320</v>
      </c>
      <c r="D267" s="71" t="s">
        <v>147</v>
      </c>
      <c r="E267" s="71"/>
      <c r="F267" s="71"/>
      <c r="G267" s="71"/>
      <c r="H267" s="71"/>
      <c r="I267" s="71"/>
      <c r="J267" s="86"/>
      <c r="K267" s="86"/>
      <c r="L267" s="86"/>
      <c r="M267" s="86"/>
      <c r="N267" s="392"/>
      <c r="O267" s="392"/>
      <c r="P267" s="392"/>
      <c r="Q267" s="392"/>
      <c r="R267" s="392"/>
      <c r="S267" s="86"/>
      <c r="T267" s="86"/>
      <c r="U267" s="86" t="s">
        <v>338</v>
      </c>
      <c r="V267" s="56" t="s">
        <v>41</v>
      </c>
      <c r="W267" s="68"/>
    </row>
    <row r="268" ht="24.95" customHeight="1" spans="1:22">
      <c r="A268" s="71">
        <v>59</v>
      </c>
      <c r="B268" s="90" t="s">
        <v>951</v>
      </c>
      <c r="C268" s="71" t="s">
        <v>320</v>
      </c>
      <c r="D268" s="71" t="s">
        <v>320</v>
      </c>
      <c r="E268" s="71"/>
      <c r="F268" s="71">
        <v>1551</v>
      </c>
      <c r="G268" s="71">
        <v>6019</v>
      </c>
      <c r="H268" s="71">
        <v>2018</v>
      </c>
      <c r="I268" s="71">
        <v>2020</v>
      </c>
      <c r="J268" s="86">
        <f>K268+L268+M268</f>
        <v>2204.335</v>
      </c>
      <c r="K268" s="86">
        <f t="shared" ref="K268:R268" si="125">K270+K276+K279+K291+K298+K305+K320</f>
        <v>1660.98</v>
      </c>
      <c r="L268" s="86">
        <f>L270+L291+L305+L320</f>
        <v>543.355</v>
      </c>
      <c r="M268" s="86">
        <f t="shared" si="125"/>
        <v>0</v>
      </c>
      <c r="N268" s="86">
        <f t="shared" si="125"/>
        <v>230.05</v>
      </c>
      <c r="O268" s="86">
        <f t="shared" si="125"/>
        <v>1417.205</v>
      </c>
      <c r="P268" s="86">
        <f t="shared" si="125"/>
        <v>424.08</v>
      </c>
      <c r="Q268" s="86">
        <f t="shared" si="125"/>
        <v>133</v>
      </c>
      <c r="R268" s="86">
        <f t="shared" si="125"/>
        <v>0</v>
      </c>
      <c r="S268" s="138" t="s">
        <v>1420</v>
      </c>
      <c r="T268" s="138" t="s">
        <v>1421</v>
      </c>
      <c r="U268" s="86"/>
      <c r="V268" s="56" t="s">
        <v>41</v>
      </c>
    </row>
    <row r="269" ht="33" customHeight="1" spans="1:22">
      <c r="A269" s="71">
        <v>60</v>
      </c>
      <c r="B269" s="90" t="s">
        <v>1488</v>
      </c>
      <c r="C269" s="71" t="s">
        <v>320</v>
      </c>
      <c r="D269" s="71" t="s">
        <v>320</v>
      </c>
      <c r="E269" s="71" t="s">
        <v>320</v>
      </c>
      <c r="F269" s="71"/>
      <c r="G269" s="71"/>
      <c r="H269" s="71"/>
      <c r="I269" s="71"/>
      <c r="J269" s="86" t="s">
        <v>320</v>
      </c>
      <c r="K269" s="86" t="s">
        <v>320</v>
      </c>
      <c r="L269" s="86" t="s">
        <v>320</v>
      </c>
      <c r="M269" s="86" t="s">
        <v>320</v>
      </c>
      <c r="N269" s="392"/>
      <c r="O269" s="392"/>
      <c r="P269" s="392"/>
      <c r="Q269" s="392"/>
      <c r="R269" s="392"/>
      <c r="S269" s="71" t="s">
        <v>320</v>
      </c>
      <c r="T269" s="71" t="s">
        <v>320</v>
      </c>
      <c r="U269" s="71" t="s">
        <v>320</v>
      </c>
      <c r="V269" s="56" t="s">
        <v>41</v>
      </c>
    </row>
    <row r="270" ht="23.25" customHeight="1" spans="1:22">
      <c r="A270" s="71">
        <v>61</v>
      </c>
      <c r="B270" s="90" t="s">
        <v>462</v>
      </c>
      <c r="C270" s="71" t="s">
        <v>320</v>
      </c>
      <c r="D270" s="71" t="s">
        <v>192</v>
      </c>
      <c r="E270" s="86">
        <f>E271+E275</f>
        <v>70.12</v>
      </c>
      <c r="F270" s="71">
        <v>1551</v>
      </c>
      <c r="G270" s="71">
        <v>6019</v>
      </c>
      <c r="H270" s="71">
        <v>2018</v>
      </c>
      <c r="I270" s="71">
        <v>2018</v>
      </c>
      <c r="J270" s="86">
        <f t="shared" ref="J270:R270" si="126">J271+J275</f>
        <v>1274</v>
      </c>
      <c r="K270" s="86">
        <f t="shared" si="126"/>
        <v>1274</v>
      </c>
      <c r="L270" s="86">
        <f t="shared" si="126"/>
        <v>0</v>
      </c>
      <c r="M270" s="86">
        <f t="shared" si="126"/>
        <v>0</v>
      </c>
      <c r="N270" s="86">
        <f t="shared" si="126"/>
        <v>137</v>
      </c>
      <c r="O270" s="86">
        <f t="shared" si="126"/>
        <v>832</v>
      </c>
      <c r="P270" s="86">
        <f t="shared" si="126"/>
        <v>305</v>
      </c>
      <c r="Q270" s="86">
        <f t="shared" si="126"/>
        <v>0</v>
      </c>
      <c r="R270" s="86">
        <f t="shared" si="126"/>
        <v>0</v>
      </c>
      <c r="S270" s="138" t="s">
        <v>1420</v>
      </c>
      <c r="T270" s="138" t="s">
        <v>1421</v>
      </c>
      <c r="U270" s="71" t="s">
        <v>320</v>
      </c>
      <c r="V270" s="56" t="s">
        <v>41</v>
      </c>
    </row>
    <row r="271" ht="48.95" customHeight="1" spans="1:22">
      <c r="A271" s="71">
        <v>62</v>
      </c>
      <c r="B271" s="90" t="s">
        <v>464</v>
      </c>
      <c r="C271" s="71" t="s">
        <v>1124</v>
      </c>
      <c r="D271" s="71" t="s">
        <v>192</v>
      </c>
      <c r="E271" s="71">
        <f>E272+E273+E274</f>
        <v>55.3</v>
      </c>
      <c r="F271" s="71">
        <v>1551</v>
      </c>
      <c r="G271" s="71">
        <v>6019</v>
      </c>
      <c r="H271" s="71">
        <v>2018</v>
      </c>
      <c r="I271" s="71">
        <v>2018</v>
      </c>
      <c r="J271" s="86">
        <f t="shared" ref="J271:R271" si="127">J272+J273+J274</f>
        <v>423</v>
      </c>
      <c r="K271" s="86">
        <f t="shared" si="127"/>
        <v>423</v>
      </c>
      <c r="L271" s="86">
        <f t="shared" si="127"/>
        <v>0</v>
      </c>
      <c r="M271" s="86">
        <f t="shared" si="127"/>
        <v>0</v>
      </c>
      <c r="N271" s="86">
        <f t="shared" si="127"/>
        <v>137</v>
      </c>
      <c r="O271" s="86">
        <f t="shared" si="127"/>
        <v>0</v>
      </c>
      <c r="P271" s="86">
        <f t="shared" si="127"/>
        <v>286</v>
      </c>
      <c r="Q271" s="86">
        <f t="shared" si="127"/>
        <v>0</v>
      </c>
      <c r="R271" s="86">
        <f t="shared" si="127"/>
        <v>0</v>
      </c>
      <c r="S271" s="138" t="s">
        <v>1420</v>
      </c>
      <c r="T271" s="138" t="s">
        <v>1421</v>
      </c>
      <c r="U271" s="86" t="s">
        <v>271</v>
      </c>
      <c r="V271" s="56" t="s">
        <v>41</v>
      </c>
    </row>
    <row r="272" ht="48.95" customHeight="1" spans="1:22">
      <c r="A272" s="71"/>
      <c r="B272" s="71" t="s">
        <v>1489</v>
      </c>
      <c r="C272" s="71" t="s">
        <v>1124</v>
      </c>
      <c r="D272" s="71" t="s">
        <v>192</v>
      </c>
      <c r="E272" s="554">
        <v>16</v>
      </c>
      <c r="F272" s="554"/>
      <c r="G272" s="554"/>
      <c r="H272" s="554">
        <v>2018</v>
      </c>
      <c r="I272" s="554">
        <v>2018</v>
      </c>
      <c r="J272" s="558">
        <v>182</v>
      </c>
      <c r="K272" s="558">
        <v>182</v>
      </c>
      <c r="L272" s="558">
        <v>0</v>
      </c>
      <c r="M272" s="558">
        <v>0</v>
      </c>
      <c r="N272" s="558">
        <v>137</v>
      </c>
      <c r="O272" s="558"/>
      <c r="P272" s="558">
        <v>45</v>
      </c>
      <c r="Q272" s="558"/>
      <c r="R272" s="558"/>
      <c r="S272" s="558"/>
      <c r="T272" s="558"/>
      <c r="U272" s="558" t="s">
        <v>271</v>
      </c>
      <c r="V272" s="560"/>
    </row>
    <row r="273" ht="48.95" customHeight="1" spans="1:22">
      <c r="A273" s="71"/>
      <c r="B273" s="71" t="s">
        <v>1490</v>
      </c>
      <c r="C273" s="71" t="s">
        <v>1124</v>
      </c>
      <c r="D273" s="71" t="s">
        <v>192</v>
      </c>
      <c r="E273" s="554">
        <v>10.8</v>
      </c>
      <c r="F273" s="554"/>
      <c r="G273" s="554"/>
      <c r="H273" s="554">
        <v>2018</v>
      </c>
      <c r="I273" s="554">
        <v>2018</v>
      </c>
      <c r="J273" s="558">
        <v>73</v>
      </c>
      <c r="K273" s="558">
        <v>73</v>
      </c>
      <c r="L273" s="558">
        <v>0</v>
      </c>
      <c r="M273" s="558">
        <v>0</v>
      </c>
      <c r="N273" s="558"/>
      <c r="O273" s="558"/>
      <c r="P273" s="558">
        <v>73</v>
      </c>
      <c r="Q273" s="558"/>
      <c r="R273" s="558"/>
      <c r="S273" s="558"/>
      <c r="T273" s="558"/>
      <c r="U273" s="558" t="s">
        <v>271</v>
      </c>
      <c r="V273" s="560"/>
    </row>
    <row r="274" ht="48.95" customHeight="1" spans="1:22">
      <c r="A274" s="71"/>
      <c r="B274" s="71" t="s">
        <v>1491</v>
      </c>
      <c r="C274" s="71" t="s">
        <v>1124</v>
      </c>
      <c r="D274" s="71" t="s">
        <v>192</v>
      </c>
      <c r="E274" s="554">
        <v>28.5</v>
      </c>
      <c r="F274" s="554"/>
      <c r="G274" s="554"/>
      <c r="H274" s="554">
        <v>2018</v>
      </c>
      <c r="I274" s="554">
        <v>2018</v>
      </c>
      <c r="J274" s="558">
        <v>168</v>
      </c>
      <c r="K274" s="558">
        <v>168</v>
      </c>
      <c r="L274" s="558">
        <v>0</v>
      </c>
      <c r="M274" s="558">
        <v>0</v>
      </c>
      <c r="N274" s="558"/>
      <c r="O274" s="558"/>
      <c r="P274" s="558">
        <v>168</v>
      </c>
      <c r="Q274" s="558"/>
      <c r="R274" s="558"/>
      <c r="S274" s="558"/>
      <c r="T274" s="558"/>
      <c r="U274" s="558" t="s">
        <v>271</v>
      </c>
      <c r="V274" s="560"/>
    </row>
    <row r="275" ht="30" customHeight="1" spans="1:22">
      <c r="A275" s="71"/>
      <c r="B275" s="71" t="s">
        <v>1492</v>
      </c>
      <c r="C275" s="71" t="s">
        <v>488</v>
      </c>
      <c r="D275" s="71" t="s">
        <v>192</v>
      </c>
      <c r="E275" s="71">
        <v>14.82</v>
      </c>
      <c r="F275" s="71">
        <v>131</v>
      </c>
      <c r="G275" s="71">
        <v>479</v>
      </c>
      <c r="H275" s="71">
        <v>2018</v>
      </c>
      <c r="I275" s="71">
        <v>2018</v>
      </c>
      <c r="J275" s="86">
        <f>SUM(K275:M275)</f>
        <v>851</v>
      </c>
      <c r="K275" s="86">
        <v>851</v>
      </c>
      <c r="L275" s="86"/>
      <c r="M275" s="86"/>
      <c r="N275" s="392"/>
      <c r="O275" s="392">
        <v>832</v>
      </c>
      <c r="P275" s="392">
        <v>19</v>
      </c>
      <c r="Q275" s="392"/>
      <c r="R275" s="392"/>
      <c r="S275" s="138" t="s">
        <v>1420</v>
      </c>
      <c r="T275" s="138" t="s">
        <v>1421</v>
      </c>
      <c r="U275" s="86" t="s">
        <v>271</v>
      </c>
      <c r="V275" s="56"/>
    </row>
    <row r="276" ht="36.95" customHeight="1" spans="1:22">
      <c r="A276" s="71">
        <v>64</v>
      </c>
      <c r="B276" s="90" t="s">
        <v>495</v>
      </c>
      <c r="C276" s="71" t="s">
        <v>1124</v>
      </c>
      <c r="D276" s="71" t="s">
        <v>496</v>
      </c>
      <c r="E276" s="71">
        <v>3</v>
      </c>
      <c r="F276" s="71">
        <v>36</v>
      </c>
      <c r="G276" s="71">
        <v>143</v>
      </c>
      <c r="H276" s="71">
        <v>2018</v>
      </c>
      <c r="I276" s="71">
        <v>2018</v>
      </c>
      <c r="J276" s="86">
        <f t="shared" ref="J276:J280" si="128">K276+L276+M276</f>
        <v>99.08</v>
      </c>
      <c r="K276" s="86">
        <f t="shared" ref="K276:M276" si="129">K277+K278</f>
        <v>99.08</v>
      </c>
      <c r="L276" s="86">
        <f t="shared" si="129"/>
        <v>0</v>
      </c>
      <c r="M276" s="86">
        <f t="shared" si="129"/>
        <v>0</v>
      </c>
      <c r="N276" s="392"/>
      <c r="O276" s="392"/>
      <c r="P276" s="392">
        <v>99.08</v>
      </c>
      <c r="Q276" s="392"/>
      <c r="R276" s="392"/>
      <c r="S276" s="138" t="s">
        <v>1420</v>
      </c>
      <c r="T276" s="138" t="s">
        <v>1493</v>
      </c>
      <c r="U276" s="86" t="s">
        <v>497</v>
      </c>
      <c r="V276" s="56" t="s">
        <v>41</v>
      </c>
    </row>
    <row r="277" ht="38.1" customHeight="1" spans="1:22">
      <c r="A277" s="71"/>
      <c r="B277" s="90" t="s">
        <v>1494</v>
      </c>
      <c r="C277" s="71" t="s">
        <v>1124</v>
      </c>
      <c r="D277" s="71" t="s">
        <v>496</v>
      </c>
      <c r="E277" s="71">
        <v>1</v>
      </c>
      <c r="F277" s="71">
        <v>10</v>
      </c>
      <c r="G277" s="71">
        <v>40</v>
      </c>
      <c r="H277" s="71">
        <v>2018</v>
      </c>
      <c r="I277" s="71">
        <v>2018</v>
      </c>
      <c r="J277" s="86">
        <f t="shared" si="128"/>
        <v>31.09</v>
      </c>
      <c r="K277" s="86">
        <v>31.09</v>
      </c>
      <c r="L277" s="86">
        <v>0</v>
      </c>
      <c r="M277" s="86">
        <v>0</v>
      </c>
      <c r="N277" s="392"/>
      <c r="O277" s="392"/>
      <c r="P277" s="392"/>
      <c r="Q277" s="392"/>
      <c r="R277" s="392"/>
      <c r="S277" s="138" t="s">
        <v>1420</v>
      </c>
      <c r="T277" s="138" t="s">
        <v>1493</v>
      </c>
      <c r="U277" s="86" t="s">
        <v>497</v>
      </c>
      <c r="V277" s="56" t="s">
        <v>41</v>
      </c>
    </row>
    <row r="278" ht="38.1" customHeight="1" spans="1:22">
      <c r="A278" s="71"/>
      <c r="B278" s="90" t="s">
        <v>1495</v>
      </c>
      <c r="C278" s="71" t="s">
        <v>1124</v>
      </c>
      <c r="D278" s="71" t="s">
        <v>496</v>
      </c>
      <c r="E278" s="71">
        <v>2</v>
      </c>
      <c r="F278" s="71">
        <v>26</v>
      </c>
      <c r="G278" s="71">
        <v>103</v>
      </c>
      <c r="H278" s="71">
        <v>2018</v>
      </c>
      <c r="I278" s="71">
        <v>2018</v>
      </c>
      <c r="J278" s="86">
        <f t="shared" si="128"/>
        <v>67.99</v>
      </c>
      <c r="K278" s="86">
        <v>67.99</v>
      </c>
      <c r="L278" s="86">
        <v>0</v>
      </c>
      <c r="M278" s="86">
        <v>0</v>
      </c>
      <c r="N278" s="392"/>
      <c r="O278" s="392"/>
      <c r="P278" s="392"/>
      <c r="Q278" s="392"/>
      <c r="R278" s="392"/>
      <c r="S278" s="138" t="s">
        <v>1420</v>
      </c>
      <c r="T278" s="138" t="s">
        <v>1493</v>
      </c>
      <c r="U278" s="86" t="s">
        <v>497</v>
      </c>
      <c r="V278" s="56" t="s">
        <v>41</v>
      </c>
    </row>
    <row r="279" ht="45" customHeight="1" spans="1:22">
      <c r="A279" s="71">
        <v>65</v>
      </c>
      <c r="B279" s="90" t="s">
        <v>499</v>
      </c>
      <c r="C279" s="71" t="s">
        <v>1124</v>
      </c>
      <c r="D279" s="71" t="s">
        <v>384</v>
      </c>
      <c r="E279" s="71">
        <f t="shared" ref="E279:G279" si="130">E280</f>
        <v>430</v>
      </c>
      <c r="F279" s="71">
        <f t="shared" si="130"/>
        <v>430</v>
      </c>
      <c r="G279" s="71">
        <f t="shared" si="130"/>
        <v>1750</v>
      </c>
      <c r="H279" s="71">
        <v>2018</v>
      </c>
      <c r="I279" s="71">
        <v>2018</v>
      </c>
      <c r="J279" s="86">
        <f t="shared" si="128"/>
        <v>15.05</v>
      </c>
      <c r="K279" s="86">
        <f t="shared" ref="K279:N279" si="131">K280</f>
        <v>15.05</v>
      </c>
      <c r="L279" s="86">
        <f t="shared" si="131"/>
        <v>0</v>
      </c>
      <c r="M279" s="86">
        <f t="shared" si="131"/>
        <v>0</v>
      </c>
      <c r="N279" s="86">
        <f t="shared" si="131"/>
        <v>15.05</v>
      </c>
      <c r="O279" s="86"/>
      <c r="P279" s="86"/>
      <c r="Q279" s="392"/>
      <c r="R279" s="392"/>
      <c r="S279" s="86" t="s">
        <v>1496</v>
      </c>
      <c r="T279" s="86" t="s">
        <v>1497</v>
      </c>
      <c r="U279" s="86" t="s">
        <v>500</v>
      </c>
      <c r="V279" s="56" t="s">
        <v>41</v>
      </c>
    </row>
    <row r="280" ht="27" customHeight="1" spans="1:22">
      <c r="A280" s="71"/>
      <c r="B280" s="90" t="s">
        <v>1498</v>
      </c>
      <c r="C280" s="71" t="s">
        <v>1124</v>
      </c>
      <c r="D280" s="71" t="s">
        <v>384</v>
      </c>
      <c r="E280" s="71">
        <v>430</v>
      </c>
      <c r="F280" s="71">
        <v>430</v>
      </c>
      <c r="G280" s="71">
        <v>1750</v>
      </c>
      <c r="H280" s="71">
        <v>2018</v>
      </c>
      <c r="I280" s="71">
        <v>2018</v>
      </c>
      <c r="J280" s="86">
        <f t="shared" si="128"/>
        <v>15.05</v>
      </c>
      <c r="K280" s="86">
        <v>15.05</v>
      </c>
      <c r="L280" s="86">
        <v>0</v>
      </c>
      <c r="M280" s="86">
        <v>0</v>
      </c>
      <c r="N280" s="392">
        <v>15.05</v>
      </c>
      <c r="O280" s="392"/>
      <c r="P280" s="392"/>
      <c r="Q280" s="392"/>
      <c r="R280" s="392"/>
      <c r="S280" s="86" t="s">
        <v>1496</v>
      </c>
      <c r="T280" s="86" t="s">
        <v>1497</v>
      </c>
      <c r="U280" s="86" t="s">
        <v>500</v>
      </c>
      <c r="V280" s="56" t="s">
        <v>41</v>
      </c>
    </row>
    <row r="281" ht="27" customHeight="1" spans="1:22">
      <c r="A281" s="71"/>
      <c r="B281" s="71" t="s">
        <v>1425</v>
      </c>
      <c r="C281" s="71" t="s">
        <v>1124</v>
      </c>
      <c r="D281" s="71" t="s">
        <v>384</v>
      </c>
      <c r="E281" s="71">
        <v>124</v>
      </c>
      <c r="F281" s="71">
        <v>124</v>
      </c>
      <c r="G281" s="71">
        <v>499</v>
      </c>
      <c r="H281" s="71">
        <v>2018</v>
      </c>
      <c r="I281" s="71">
        <v>2018</v>
      </c>
      <c r="J281" s="86">
        <v>4.34</v>
      </c>
      <c r="K281" s="86">
        <v>4.34</v>
      </c>
      <c r="L281" s="86">
        <v>0</v>
      </c>
      <c r="M281" s="86">
        <v>0</v>
      </c>
      <c r="N281" s="392"/>
      <c r="O281" s="392"/>
      <c r="P281" s="392"/>
      <c r="Q281" s="392"/>
      <c r="R281" s="392"/>
      <c r="S281" s="86"/>
      <c r="T281" s="86"/>
      <c r="U281" s="86" t="s">
        <v>500</v>
      </c>
      <c r="V281" s="56" t="s">
        <v>41</v>
      </c>
    </row>
    <row r="282" ht="27" customHeight="1" spans="1:22">
      <c r="A282" s="71"/>
      <c r="B282" s="71" t="s">
        <v>1426</v>
      </c>
      <c r="C282" s="71" t="s">
        <v>1124</v>
      </c>
      <c r="D282" s="71" t="s">
        <v>384</v>
      </c>
      <c r="E282" s="71">
        <v>70</v>
      </c>
      <c r="F282" s="71">
        <v>70</v>
      </c>
      <c r="G282" s="71">
        <v>291</v>
      </c>
      <c r="H282" s="71">
        <v>2018</v>
      </c>
      <c r="I282" s="71">
        <v>2018</v>
      </c>
      <c r="J282" s="86">
        <v>2.45</v>
      </c>
      <c r="K282" s="86">
        <v>2.45</v>
      </c>
      <c r="L282" s="86">
        <v>0</v>
      </c>
      <c r="M282" s="86">
        <v>0</v>
      </c>
      <c r="N282" s="392"/>
      <c r="O282" s="392"/>
      <c r="P282" s="392"/>
      <c r="Q282" s="392"/>
      <c r="R282" s="392"/>
      <c r="S282" s="86"/>
      <c r="T282" s="86"/>
      <c r="U282" s="86" t="s">
        <v>500</v>
      </c>
      <c r="V282" s="56" t="s">
        <v>41</v>
      </c>
    </row>
    <row r="283" ht="27" customHeight="1" spans="1:22">
      <c r="A283" s="71"/>
      <c r="B283" s="71" t="s">
        <v>1427</v>
      </c>
      <c r="C283" s="71" t="s">
        <v>1124</v>
      </c>
      <c r="D283" s="71" t="s">
        <v>384</v>
      </c>
      <c r="E283" s="71">
        <v>38</v>
      </c>
      <c r="F283" s="71">
        <v>38</v>
      </c>
      <c r="G283" s="71">
        <v>155</v>
      </c>
      <c r="H283" s="71">
        <v>2018</v>
      </c>
      <c r="I283" s="71">
        <v>2018</v>
      </c>
      <c r="J283" s="86">
        <v>1.33</v>
      </c>
      <c r="K283" s="86">
        <v>1.33</v>
      </c>
      <c r="L283" s="86">
        <v>0</v>
      </c>
      <c r="M283" s="86">
        <v>0</v>
      </c>
      <c r="N283" s="392"/>
      <c r="O283" s="392"/>
      <c r="P283" s="392"/>
      <c r="Q283" s="392"/>
      <c r="R283" s="392"/>
      <c r="S283" s="86"/>
      <c r="T283" s="86"/>
      <c r="U283" s="86" t="s">
        <v>500</v>
      </c>
      <c r="V283" s="56" t="s">
        <v>41</v>
      </c>
    </row>
    <row r="284" ht="27" customHeight="1" spans="1:22">
      <c r="A284" s="71"/>
      <c r="B284" s="71" t="s">
        <v>1428</v>
      </c>
      <c r="C284" s="71" t="s">
        <v>1124</v>
      </c>
      <c r="D284" s="71" t="s">
        <v>384</v>
      </c>
      <c r="E284" s="71">
        <v>96</v>
      </c>
      <c r="F284" s="71">
        <v>96</v>
      </c>
      <c r="G284" s="71">
        <v>390</v>
      </c>
      <c r="H284" s="71">
        <v>2018</v>
      </c>
      <c r="I284" s="71">
        <v>2018</v>
      </c>
      <c r="J284" s="86">
        <v>3.36</v>
      </c>
      <c r="K284" s="86">
        <v>3.36</v>
      </c>
      <c r="L284" s="86">
        <v>0</v>
      </c>
      <c r="M284" s="86">
        <v>0</v>
      </c>
      <c r="N284" s="392"/>
      <c r="O284" s="392"/>
      <c r="P284" s="392"/>
      <c r="Q284" s="392"/>
      <c r="R284" s="392"/>
      <c r="S284" s="86"/>
      <c r="T284" s="86"/>
      <c r="U284" s="86" t="s">
        <v>500</v>
      </c>
      <c r="V284" s="56" t="s">
        <v>41</v>
      </c>
    </row>
    <row r="285" ht="27" customHeight="1" spans="1:22">
      <c r="A285" s="71"/>
      <c r="B285" s="71" t="s">
        <v>1429</v>
      </c>
      <c r="C285" s="71" t="s">
        <v>1124</v>
      </c>
      <c r="D285" s="71" t="s">
        <v>384</v>
      </c>
      <c r="E285" s="71">
        <v>72</v>
      </c>
      <c r="F285" s="71">
        <v>72</v>
      </c>
      <c r="G285" s="71">
        <v>295</v>
      </c>
      <c r="H285" s="71">
        <v>2018</v>
      </c>
      <c r="I285" s="71">
        <v>2018</v>
      </c>
      <c r="J285" s="86">
        <v>2.52</v>
      </c>
      <c r="K285" s="86">
        <v>2.52</v>
      </c>
      <c r="L285" s="86">
        <v>0</v>
      </c>
      <c r="M285" s="86">
        <v>0</v>
      </c>
      <c r="N285" s="392"/>
      <c r="O285" s="392"/>
      <c r="P285" s="392"/>
      <c r="Q285" s="392"/>
      <c r="R285" s="392"/>
      <c r="S285" s="86"/>
      <c r="T285" s="86"/>
      <c r="U285" s="86" t="s">
        <v>500</v>
      </c>
      <c r="V285" s="56" t="s">
        <v>41</v>
      </c>
    </row>
    <row r="286" ht="27" customHeight="1" spans="1:22">
      <c r="A286" s="71"/>
      <c r="B286" s="71" t="s">
        <v>1430</v>
      </c>
      <c r="C286" s="71" t="s">
        <v>1124</v>
      </c>
      <c r="D286" s="71" t="s">
        <v>384</v>
      </c>
      <c r="E286" s="71">
        <v>30</v>
      </c>
      <c r="F286" s="71">
        <v>30</v>
      </c>
      <c r="G286" s="71">
        <v>120</v>
      </c>
      <c r="H286" s="71">
        <v>2018</v>
      </c>
      <c r="I286" s="71">
        <v>2018</v>
      </c>
      <c r="J286" s="86">
        <v>1.05</v>
      </c>
      <c r="K286" s="86">
        <v>1.05</v>
      </c>
      <c r="L286" s="86">
        <v>0</v>
      </c>
      <c r="M286" s="86">
        <v>0</v>
      </c>
      <c r="N286" s="392"/>
      <c r="O286" s="392"/>
      <c r="P286" s="392"/>
      <c r="Q286" s="392"/>
      <c r="R286" s="392"/>
      <c r="S286" s="86"/>
      <c r="T286" s="86"/>
      <c r="U286" s="86" t="s">
        <v>500</v>
      </c>
      <c r="V286" s="56" t="s">
        <v>41</v>
      </c>
    </row>
    <row r="287" ht="23.25" customHeight="1" spans="1:22">
      <c r="A287" s="71">
        <v>66</v>
      </c>
      <c r="B287" s="90" t="s">
        <v>501</v>
      </c>
      <c r="C287" s="71" t="s">
        <v>320</v>
      </c>
      <c r="D287" s="71" t="s">
        <v>320</v>
      </c>
      <c r="E287" s="71"/>
      <c r="F287" s="71"/>
      <c r="G287" s="71"/>
      <c r="H287" s="71"/>
      <c r="I287" s="71"/>
      <c r="J287" s="86"/>
      <c r="K287" s="86"/>
      <c r="L287" s="86"/>
      <c r="M287" s="86"/>
      <c r="N287" s="392"/>
      <c r="O287" s="392"/>
      <c r="P287" s="392"/>
      <c r="Q287" s="392"/>
      <c r="R287" s="392"/>
      <c r="S287" s="86"/>
      <c r="T287" s="86"/>
      <c r="U287" s="71" t="s">
        <v>320</v>
      </c>
      <c r="V287" s="56" t="s">
        <v>41</v>
      </c>
    </row>
    <row r="288" ht="23.25" customHeight="1" spans="1:22">
      <c r="A288" s="71">
        <v>67</v>
      </c>
      <c r="B288" s="90" t="s">
        <v>502</v>
      </c>
      <c r="C288" s="71" t="s">
        <v>1124</v>
      </c>
      <c r="D288" s="71" t="s">
        <v>496</v>
      </c>
      <c r="E288" s="71"/>
      <c r="F288" s="71"/>
      <c r="G288" s="71"/>
      <c r="H288" s="71"/>
      <c r="I288" s="71"/>
      <c r="J288" s="86"/>
      <c r="K288" s="86"/>
      <c r="L288" s="86"/>
      <c r="M288" s="86"/>
      <c r="N288" s="392"/>
      <c r="O288" s="392"/>
      <c r="P288" s="392"/>
      <c r="Q288" s="392"/>
      <c r="R288" s="392"/>
      <c r="S288" s="86"/>
      <c r="T288" s="86"/>
      <c r="U288" s="86" t="s">
        <v>497</v>
      </c>
      <c r="V288" s="56" t="s">
        <v>41</v>
      </c>
    </row>
    <row r="289" ht="23.25" customHeight="1" spans="1:22">
      <c r="A289" s="71">
        <v>68</v>
      </c>
      <c r="B289" s="90" t="s">
        <v>503</v>
      </c>
      <c r="C289" s="71" t="s">
        <v>1124</v>
      </c>
      <c r="D289" s="71" t="s">
        <v>496</v>
      </c>
      <c r="E289" s="71"/>
      <c r="F289" s="71"/>
      <c r="G289" s="71"/>
      <c r="H289" s="71"/>
      <c r="I289" s="71"/>
      <c r="J289" s="86"/>
      <c r="K289" s="86"/>
      <c r="L289" s="86"/>
      <c r="M289" s="86"/>
      <c r="N289" s="392"/>
      <c r="O289" s="392"/>
      <c r="P289" s="392"/>
      <c r="Q289" s="392"/>
      <c r="R289" s="392"/>
      <c r="S289" s="86"/>
      <c r="T289" s="86"/>
      <c r="U289" s="86" t="s">
        <v>497</v>
      </c>
      <c r="V289" s="56" t="s">
        <v>41</v>
      </c>
    </row>
    <row r="290" ht="23.25" customHeight="1" spans="1:22">
      <c r="A290" s="71">
        <v>69</v>
      </c>
      <c r="B290" s="90" t="s">
        <v>504</v>
      </c>
      <c r="C290" s="71" t="s">
        <v>1124</v>
      </c>
      <c r="D290" s="71" t="s">
        <v>496</v>
      </c>
      <c r="E290" s="71"/>
      <c r="F290" s="71"/>
      <c r="G290" s="71"/>
      <c r="H290" s="71"/>
      <c r="I290" s="71"/>
      <c r="J290" s="86"/>
      <c r="K290" s="86"/>
      <c r="L290" s="86"/>
      <c r="M290" s="86"/>
      <c r="N290" s="392"/>
      <c r="O290" s="392"/>
      <c r="P290" s="392"/>
      <c r="Q290" s="392"/>
      <c r="R290" s="392"/>
      <c r="S290" s="86"/>
      <c r="T290" s="86"/>
      <c r="U290" s="86" t="s">
        <v>497</v>
      </c>
      <c r="V290" s="56" t="s">
        <v>41</v>
      </c>
    </row>
    <row r="291" ht="30.95" customHeight="1" spans="1:22">
      <c r="A291" s="71">
        <v>70</v>
      </c>
      <c r="B291" s="73" t="s">
        <v>505</v>
      </c>
      <c r="C291" s="71" t="s">
        <v>1124</v>
      </c>
      <c r="D291" s="71" t="s">
        <v>147</v>
      </c>
      <c r="E291" s="71">
        <f t="shared" ref="E291:G291" si="132">E292+E293+E294+E295+E297</f>
        <v>4047</v>
      </c>
      <c r="F291" s="71">
        <f t="shared" si="132"/>
        <v>263</v>
      </c>
      <c r="G291" s="71">
        <f t="shared" si="132"/>
        <v>1029</v>
      </c>
      <c r="H291" s="71">
        <v>2018</v>
      </c>
      <c r="I291" s="71">
        <v>2020</v>
      </c>
      <c r="J291" s="86">
        <f t="shared" ref="J291:O291" si="133">J292+J293+J294+J295+J296+J297</f>
        <v>477.605</v>
      </c>
      <c r="K291" s="86">
        <f t="shared" si="133"/>
        <v>64.25</v>
      </c>
      <c r="L291" s="86">
        <f t="shared" si="133"/>
        <v>413.355</v>
      </c>
      <c r="M291" s="86">
        <f t="shared" si="133"/>
        <v>0</v>
      </c>
      <c r="N291" s="86">
        <f t="shared" si="133"/>
        <v>50</v>
      </c>
      <c r="O291" s="86">
        <f t="shared" si="133"/>
        <v>427.605</v>
      </c>
      <c r="P291" s="86">
        <v>0</v>
      </c>
      <c r="Q291" s="86">
        <v>0</v>
      </c>
      <c r="R291" s="86">
        <f>R292+R293+R294+R295+R296+R297</f>
        <v>0</v>
      </c>
      <c r="S291" s="86" t="s">
        <v>1423</v>
      </c>
      <c r="T291" s="86" t="s">
        <v>1443</v>
      </c>
      <c r="U291" s="86" t="s">
        <v>275</v>
      </c>
      <c r="V291" s="56" t="s">
        <v>41</v>
      </c>
    </row>
    <row r="292" ht="30.95" customHeight="1" spans="1:22">
      <c r="A292" s="71"/>
      <c r="B292" s="73" t="s">
        <v>1499</v>
      </c>
      <c r="C292" s="71" t="s">
        <v>1124</v>
      </c>
      <c r="D292" s="71" t="s">
        <v>147</v>
      </c>
      <c r="E292" s="71">
        <v>1535</v>
      </c>
      <c r="F292" s="71">
        <v>9</v>
      </c>
      <c r="G292" s="71">
        <v>30</v>
      </c>
      <c r="H292" s="71">
        <v>2018</v>
      </c>
      <c r="I292" s="71">
        <v>2018</v>
      </c>
      <c r="J292" s="86">
        <f t="shared" ref="J292:J297" si="134">K292+L292+M292</f>
        <v>149.35</v>
      </c>
      <c r="K292" s="86">
        <v>50</v>
      </c>
      <c r="L292" s="86">
        <v>99.35</v>
      </c>
      <c r="M292" s="86">
        <v>0</v>
      </c>
      <c r="N292" s="392">
        <v>50</v>
      </c>
      <c r="O292" s="392">
        <v>99.35</v>
      </c>
      <c r="P292" s="392"/>
      <c r="Q292" s="392"/>
      <c r="R292" s="392"/>
      <c r="S292" s="556"/>
      <c r="T292" s="556"/>
      <c r="U292" s="86" t="s">
        <v>275</v>
      </c>
      <c r="V292" s="56" t="s">
        <v>1441</v>
      </c>
    </row>
    <row r="293" ht="48" customHeight="1" spans="1:22">
      <c r="A293" s="71"/>
      <c r="B293" s="73" t="s">
        <v>1500</v>
      </c>
      <c r="C293" s="71" t="s">
        <v>1124</v>
      </c>
      <c r="D293" s="71" t="s">
        <v>147</v>
      </c>
      <c r="E293" s="71">
        <v>756</v>
      </c>
      <c r="F293" s="71">
        <v>105</v>
      </c>
      <c r="G293" s="71">
        <v>406</v>
      </c>
      <c r="H293" s="71">
        <v>2019</v>
      </c>
      <c r="I293" s="71">
        <v>2019</v>
      </c>
      <c r="J293" s="86">
        <f t="shared" si="134"/>
        <v>94.5</v>
      </c>
      <c r="K293" s="86">
        <v>0</v>
      </c>
      <c r="L293" s="86">
        <v>94.5</v>
      </c>
      <c r="M293" s="86">
        <v>0</v>
      </c>
      <c r="N293" s="392"/>
      <c r="O293" s="392">
        <v>94.5</v>
      </c>
      <c r="P293" s="392"/>
      <c r="Q293" s="392"/>
      <c r="R293" s="392"/>
      <c r="S293" s="556"/>
      <c r="T293" s="556"/>
      <c r="U293" s="86" t="s">
        <v>275</v>
      </c>
      <c r="V293" s="56" t="s">
        <v>41</v>
      </c>
    </row>
    <row r="294" ht="36.95" customHeight="1" spans="1:22">
      <c r="A294" s="71"/>
      <c r="B294" s="73" t="s">
        <v>1501</v>
      </c>
      <c r="C294" s="71" t="s">
        <v>1124</v>
      </c>
      <c r="D294" s="71" t="s">
        <v>147</v>
      </c>
      <c r="E294" s="71">
        <v>585</v>
      </c>
      <c r="F294" s="71">
        <v>41</v>
      </c>
      <c r="G294" s="71">
        <v>141</v>
      </c>
      <c r="H294" s="71">
        <v>2019</v>
      </c>
      <c r="I294" s="71">
        <v>2019</v>
      </c>
      <c r="J294" s="86">
        <f t="shared" si="134"/>
        <v>73.13</v>
      </c>
      <c r="K294" s="86">
        <v>0</v>
      </c>
      <c r="L294" s="86">
        <v>73.13</v>
      </c>
      <c r="M294" s="86">
        <v>0</v>
      </c>
      <c r="N294" s="392"/>
      <c r="O294" s="392">
        <v>73.13</v>
      </c>
      <c r="P294" s="392"/>
      <c r="Q294" s="392"/>
      <c r="R294" s="392"/>
      <c r="S294" s="556"/>
      <c r="T294" s="556"/>
      <c r="U294" s="86" t="s">
        <v>275</v>
      </c>
      <c r="V294" s="56" t="s">
        <v>41</v>
      </c>
    </row>
    <row r="295" ht="45" customHeight="1" spans="1:22">
      <c r="A295" s="71"/>
      <c r="B295" s="73" t="s">
        <v>1502</v>
      </c>
      <c r="C295" s="71" t="s">
        <v>1124</v>
      </c>
      <c r="D295" s="71" t="s">
        <v>147</v>
      </c>
      <c r="E295" s="71">
        <v>1085</v>
      </c>
      <c r="F295" s="71">
        <v>103</v>
      </c>
      <c r="G295" s="71">
        <v>431</v>
      </c>
      <c r="H295" s="71">
        <v>2019</v>
      </c>
      <c r="I295" s="71">
        <v>2019</v>
      </c>
      <c r="J295" s="86">
        <f t="shared" si="134"/>
        <v>135.625</v>
      </c>
      <c r="K295" s="86">
        <v>0</v>
      </c>
      <c r="L295" s="86">
        <v>135.625</v>
      </c>
      <c r="M295" s="86">
        <v>0</v>
      </c>
      <c r="N295" s="392"/>
      <c r="O295" s="392">
        <f>J295</f>
        <v>135.625</v>
      </c>
      <c r="P295" s="392"/>
      <c r="Q295" s="392"/>
      <c r="R295" s="392"/>
      <c r="S295" s="556" t="s">
        <v>1423</v>
      </c>
      <c r="T295" s="556" t="s">
        <v>1443</v>
      </c>
      <c r="U295" s="86" t="s">
        <v>275</v>
      </c>
      <c r="V295" s="56" t="s">
        <v>41</v>
      </c>
    </row>
    <row r="296" ht="39.95" customHeight="1" spans="1:22">
      <c r="A296" s="71"/>
      <c r="B296" s="555" t="s">
        <v>1503</v>
      </c>
      <c r="C296" s="555" t="s">
        <v>1124</v>
      </c>
      <c r="D296" s="556" t="s">
        <v>1504</v>
      </c>
      <c r="E296" s="556">
        <v>10000</v>
      </c>
      <c r="F296" s="556">
        <v>1</v>
      </c>
      <c r="G296" s="556">
        <v>2</v>
      </c>
      <c r="H296" s="556">
        <v>2018</v>
      </c>
      <c r="I296" s="556">
        <v>2018</v>
      </c>
      <c r="J296" s="86">
        <f t="shared" si="134"/>
        <v>14.25</v>
      </c>
      <c r="K296" s="559">
        <v>14.25</v>
      </c>
      <c r="L296" s="559">
        <v>0</v>
      </c>
      <c r="M296" s="559">
        <v>0</v>
      </c>
      <c r="N296" s="559"/>
      <c r="O296" s="559">
        <v>14.25</v>
      </c>
      <c r="P296" s="559"/>
      <c r="Q296" s="559"/>
      <c r="R296" s="559"/>
      <c r="S296" s="556"/>
      <c r="T296" s="556"/>
      <c r="U296" s="555" t="s">
        <v>1505</v>
      </c>
      <c r="V296" s="561" t="s">
        <v>1441</v>
      </c>
    </row>
    <row r="297" ht="36.95" customHeight="1" spans="1:22">
      <c r="A297" s="71"/>
      <c r="B297" s="73" t="s">
        <v>1506</v>
      </c>
      <c r="C297" s="71" t="s">
        <v>1124</v>
      </c>
      <c r="D297" s="71" t="s">
        <v>147</v>
      </c>
      <c r="E297" s="71">
        <v>86</v>
      </c>
      <c r="F297" s="71">
        <v>5</v>
      </c>
      <c r="G297" s="71">
        <v>21</v>
      </c>
      <c r="H297" s="71">
        <v>2019</v>
      </c>
      <c r="I297" s="71">
        <v>2019</v>
      </c>
      <c r="J297" s="86">
        <f t="shared" si="134"/>
        <v>10.75</v>
      </c>
      <c r="K297" s="86">
        <v>0</v>
      </c>
      <c r="L297" s="86">
        <v>10.75</v>
      </c>
      <c r="M297" s="86">
        <v>0</v>
      </c>
      <c r="N297" s="392"/>
      <c r="O297" s="392">
        <v>10.75</v>
      </c>
      <c r="P297" s="392"/>
      <c r="Q297" s="392"/>
      <c r="R297" s="392"/>
      <c r="S297" s="86"/>
      <c r="T297" s="86"/>
      <c r="U297" s="86" t="s">
        <v>275</v>
      </c>
      <c r="V297" s="56" t="s">
        <v>41</v>
      </c>
    </row>
    <row r="298" ht="23.25" customHeight="1" spans="1:22">
      <c r="A298" s="71">
        <v>71</v>
      </c>
      <c r="B298" s="90" t="s">
        <v>537</v>
      </c>
      <c r="C298" s="71" t="s">
        <v>320</v>
      </c>
      <c r="D298" s="71" t="s">
        <v>320</v>
      </c>
      <c r="E298" s="71">
        <v>5</v>
      </c>
      <c r="F298" s="71">
        <v>1342</v>
      </c>
      <c r="G298" s="71">
        <v>5158</v>
      </c>
      <c r="H298" s="71">
        <v>2018</v>
      </c>
      <c r="I298" s="71">
        <v>2019</v>
      </c>
      <c r="J298" s="86">
        <f t="shared" ref="J298:R298" si="135">J299</f>
        <v>20</v>
      </c>
      <c r="K298" s="86">
        <f t="shared" si="135"/>
        <v>20</v>
      </c>
      <c r="L298" s="86">
        <f t="shared" si="135"/>
        <v>0</v>
      </c>
      <c r="M298" s="86">
        <f t="shared" si="135"/>
        <v>0</v>
      </c>
      <c r="N298" s="86">
        <f t="shared" si="135"/>
        <v>0</v>
      </c>
      <c r="O298" s="86">
        <f t="shared" si="135"/>
        <v>0</v>
      </c>
      <c r="P298" s="86">
        <f t="shared" si="135"/>
        <v>20</v>
      </c>
      <c r="Q298" s="86">
        <f t="shared" si="135"/>
        <v>0</v>
      </c>
      <c r="R298" s="86">
        <f t="shared" si="135"/>
        <v>0</v>
      </c>
      <c r="S298" s="86" t="s">
        <v>1431</v>
      </c>
      <c r="T298" s="86" t="s">
        <v>1436</v>
      </c>
      <c r="U298" s="71" t="s">
        <v>320</v>
      </c>
      <c r="V298" s="56" t="s">
        <v>41</v>
      </c>
    </row>
    <row r="299" ht="23.25" customHeight="1" spans="1:22">
      <c r="A299" s="71"/>
      <c r="B299" s="71" t="s">
        <v>1507</v>
      </c>
      <c r="C299" s="71"/>
      <c r="D299" s="71" t="s">
        <v>150</v>
      </c>
      <c r="E299" s="71">
        <v>5</v>
      </c>
      <c r="F299" s="71">
        <v>1333</v>
      </c>
      <c r="G299" s="71">
        <v>5158</v>
      </c>
      <c r="H299" s="71">
        <v>2019</v>
      </c>
      <c r="I299" s="71">
        <v>2019</v>
      </c>
      <c r="J299" s="86">
        <v>20</v>
      </c>
      <c r="K299" s="86">
        <v>20</v>
      </c>
      <c r="L299" s="86"/>
      <c r="M299" s="86"/>
      <c r="N299" s="392"/>
      <c r="O299" s="392"/>
      <c r="P299" s="392">
        <f t="shared" ref="P299:P304" si="136">J299</f>
        <v>20</v>
      </c>
      <c r="Q299" s="392"/>
      <c r="R299" s="392"/>
      <c r="S299" s="86" t="s">
        <v>1431</v>
      </c>
      <c r="T299" s="86" t="s">
        <v>1436</v>
      </c>
      <c r="U299" s="86" t="s">
        <v>358</v>
      </c>
      <c r="V299" s="56" t="s">
        <v>41</v>
      </c>
    </row>
    <row r="300" ht="23.25" customHeight="1" spans="1:22">
      <c r="A300" s="71"/>
      <c r="B300" s="71" t="s">
        <v>1426</v>
      </c>
      <c r="C300" s="71"/>
      <c r="D300" s="71" t="s">
        <v>150</v>
      </c>
      <c r="E300" s="71">
        <v>1</v>
      </c>
      <c r="F300" s="71">
        <v>379</v>
      </c>
      <c r="G300" s="71">
        <v>1459</v>
      </c>
      <c r="H300" s="71">
        <v>2019</v>
      </c>
      <c r="I300" s="71">
        <v>2019</v>
      </c>
      <c r="J300" s="86">
        <v>4</v>
      </c>
      <c r="K300" s="86">
        <v>4</v>
      </c>
      <c r="L300" s="86"/>
      <c r="M300" s="86"/>
      <c r="N300" s="392"/>
      <c r="O300" s="392"/>
      <c r="P300" s="392">
        <f t="shared" si="136"/>
        <v>4</v>
      </c>
      <c r="Q300" s="392"/>
      <c r="R300" s="392"/>
      <c r="S300" s="86"/>
      <c r="T300" s="86"/>
      <c r="U300" s="86" t="s">
        <v>358</v>
      </c>
      <c r="V300" s="56" t="s">
        <v>41</v>
      </c>
    </row>
    <row r="301" ht="23.25" customHeight="1" spans="1:22">
      <c r="A301" s="71"/>
      <c r="B301" s="71" t="s">
        <v>1427</v>
      </c>
      <c r="C301" s="71"/>
      <c r="D301" s="71" t="s">
        <v>150</v>
      </c>
      <c r="E301" s="71">
        <v>1</v>
      </c>
      <c r="F301" s="71">
        <v>284</v>
      </c>
      <c r="G301" s="71">
        <v>1153</v>
      </c>
      <c r="H301" s="71">
        <v>2019</v>
      </c>
      <c r="I301" s="71">
        <v>2019</v>
      </c>
      <c r="J301" s="86">
        <v>4</v>
      </c>
      <c r="K301" s="86">
        <v>4</v>
      </c>
      <c r="L301" s="86"/>
      <c r="M301" s="86"/>
      <c r="N301" s="392"/>
      <c r="O301" s="392"/>
      <c r="P301" s="392">
        <f t="shared" si="136"/>
        <v>4</v>
      </c>
      <c r="Q301" s="392"/>
      <c r="R301" s="392"/>
      <c r="S301" s="86"/>
      <c r="T301" s="86"/>
      <c r="U301" s="86" t="s">
        <v>358</v>
      </c>
      <c r="V301" s="56" t="s">
        <v>41</v>
      </c>
    </row>
    <row r="302" ht="23.25" customHeight="1" spans="1:22">
      <c r="A302" s="71"/>
      <c r="B302" s="71" t="s">
        <v>1428</v>
      </c>
      <c r="C302" s="71"/>
      <c r="D302" s="71" t="s">
        <v>150</v>
      </c>
      <c r="E302" s="71">
        <v>1</v>
      </c>
      <c r="F302" s="71">
        <v>322</v>
      </c>
      <c r="G302" s="71">
        <v>1206</v>
      </c>
      <c r="H302" s="71">
        <v>2019</v>
      </c>
      <c r="I302" s="71">
        <v>2019</v>
      </c>
      <c r="J302" s="86">
        <v>4</v>
      </c>
      <c r="K302" s="86">
        <v>4</v>
      </c>
      <c r="L302" s="86"/>
      <c r="M302" s="86"/>
      <c r="N302" s="392"/>
      <c r="O302" s="392"/>
      <c r="P302" s="392">
        <f t="shared" si="136"/>
        <v>4</v>
      </c>
      <c r="Q302" s="392"/>
      <c r="R302" s="392"/>
      <c r="S302" s="86"/>
      <c r="T302" s="86"/>
      <c r="U302" s="86" t="s">
        <v>358</v>
      </c>
      <c r="V302" s="56" t="s">
        <v>41</v>
      </c>
    </row>
    <row r="303" ht="23.25" customHeight="1" spans="1:22">
      <c r="A303" s="71"/>
      <c r="B303" s="71" t="s">
        <v>1429</v>
      </c>
      <c r="C303" s="71"/>
      <c r="D303" s="71" t="s">
        <v>150</v>
      </c>
      <c r="E303" s="71">
        <v>1</v>
      </c>
      <c r="F303" s="71">
        <v>213</v>
      </c>
      <c r="G303" s="71">
        <v>851</v>
      </c>
      <c r="H303" s="71">
        <v>2019</v>
      </c>
      <c r="I303" s="71">
        <v>2019</v>
      </c>
      <c r="J303" s="86">
        <v>4</v>
      </c>
      <c r="K303" s="86">
        <v>4</v>
      </c>
      <c r="L303" s="86"/>
      <c r="M303" s="86"/>
      <c r="N303" s="392"/>
      <c r="O303" s="392"/>
      <c r="P303" s="392">
        <f t="shared" si="136"/>
        <v>4</v>
      </c>
      <c r="Q303" s="392"/>
      <c r="R303" s="392"/>
      <c r="S303" s="86"/>
      <c r="T303" s="86"/>
      <c r="U303" s="86" t="s">
        <v>358</v>
      </c>
      <c r="V303" s="56" t="s">
        <v>41</v>
      </c>
    </row>
    <row r="304" ht="23.25" customHeight="1" spans="1:22">
      <c r="A304" s="71"/>
      <c r="B304" s="71" t="s">
        <v>1430</v>
      </c>
      <c r="C304" s="71"/>
      <c r="D304" s="71" t="s">
        <v>150</v>
      </c>
      <c r="E304" s="71">
        <v>1</v>
      </c>
      <c r="F304" s="71">
        <v>135</v>
      </c>
      <c r="G304" s="71">
        <v>489</v>
      </c>
      <c r="H304" s="71">
        <v>2019</v>
      </c>
      <c r="I304" s="71">
        <v>2019</v>
      </c>
      <c r="J304" s="86">
        <v>4</v>
      </c>
      <c r="K304" s="86">
        <v>4</v>
      </c>
      <c r="L304" s="86"/>
      <c r="M304" s="86"/>
      <c r="N304" s="392"/>
      <c r="O304" s="392"/>
      <c r="P304" s="392">
        <f t="shared" si="136"/>
        <v>4</v>
      </c>
      <c r="Q304" s="392"/>
      <c r="R304" s="392"/>
      <c r="S304" s="86"/>
      <c r="T304" s="86"/>
      <c r="U304" s="86" t="s">
        <v>358</v>
      </c>
      <c r="V304" s="56" t="s">
        <v>41</v>
      </c>
    </row>
    <row r="305" ht="23.25" customHeight="1" spans="1:22">
      <c r="A305" s="71">
        <v>72</v>
      </c>
      <c r="B305" s="90" t="s">
        <v>552</v>
      </c>
      <c r="C305" s="71" t="s">
        <v>320</v>
      </c>
      <c r="D305" s="71" t="s">
        <v>320</v>
      </c>
      <c r="E305" s="71">
        <v>5</v>
      </c>
      <c r="F305" s="71">
        <v>129</v>
      </c>
      <c r="G305" s="71">
        <v>442</v>
      </c>
      <c r="H305" s="71">
        <v>2018</v>
      </c>
      <c r="I305" s="71">
        <v>2020</v>
      </c>
      <c r="J305" s="86">
        <f t="shared" ref="J305:M305" si="137">J306</f>
        <v>107.6</v>
      </c>
      <c r="K305" s="86">
        <f t="shared" si="137"/>
        <v>57.6</v>
      </c>
      <c r="L305" s="86">
        <f t="shared" si="137"/>
        <v>50</v>
      </c>
      <c r="M305" s="86">
        <f t="shared" si="137"/>
        <v>0</v>
      </c>
      <c r="N305" s="86"/>
      <c r="O305" s="86">
        <f>O306</f>
        <v>77.6</v>
      </c>
      <c r="P305" s="392"/>
      <c r="Q305" s="392">
        <v>30</v>
      </c>
      <c r="R305" s="392"/>
      <c r="S305" s="138" t="s">
        <v>1508</v>
      </c>
      <c r="T305" s="138" t="s">
        <v>1444</v>
      </c>
      <c r="U305" s="71" t="s">
        <v>320</v>
      </c>
      <c r="V305" s="56" t="s">
        <v>41</v>
      </c>
    </row>
    <row r="306" ht="30.75" customHeight="1" spans="1:22">
      <c r="A306" s="71"/>
      <c r="B306" s="90" t="s">
        <v>554</v>
      </c>
      <c r="C306" s="71" t="s">
        <v>1124</v>
      </c>
      <c r="D306" s="71" t="s">
        <v>150</v>
      </c>
      <c r="E306" s="71">
        <v>5</v>
      </c>
      <c r="F306" s="71">
        <v>129</v>
      </c>
      <c r="G306" s="71">
        <v>442</v>
      </c>
      <c r="H306" s="71">
        <v>2018</v>
      </c>
      <c r="I306" s="71">
        <v>2020</v>
      </c>
      <c r="J306" s="86">
        <f t="shared" ref="J306:M306" si="138">SUM(J307:J311)</f>
        <v>107.6</v>
      </c>
      <c r="K306" s="86">
        <f t="shared" si="138"/>
        <v>57.6</v>
      </c>
      <c r="L306" s="86">
        <f t="shared" si="138"/>
        <v>50</v>
      </c>
      <c r="M306" s="86">
        <f t="shared" si="138"/>
        <v>0</v>
      </c>
      <c r="N306" s="86"/>
      <c r="O306" s="86">
        <f>SUM(O307:O311)</f>
        <v>77.6</v>
      </c>
      <c r="P306" s="86"/>
      <c r="Q306" s="86">
        <f>SUM(Q307:Q311)</f>
        <v>30</v>
      </c>
      <c r="R306" s="86"/>
      <c r="S306" s="138" t="s">
        <v>1508</v>
      </c>
      <c r="T306" s="138" t="s">
        <v>1444</v>
      </c>
      <c r="U306" s="86" t="s">
        <v>553</v>
      </c>
      <c r="V306" s="56" t="s">
        <v>41</v>
      </c>
    </row>
    <row r="307" ht="30.75" customHeight="1" spans="1:22">
      <c r="A307" s="71"/>
      <c r="B307" s="90" t="s">
        <v>1509</v>
      </c>
      <c r="C307" s="71" t="s">
        <v>1124</v>
      </c>
      <c r="D307" s="71" t="s">
        <v>150</v>
      </c>
      <c r="E307" s="71">
        <v>1</v>
      </c>
      <c r="F307" s="71">
        <v>12</v>
      </c>
      <c r="G307" s="71">
        <v>38</v>
      </c>
      <c r="H307" s="71">
        <v>2019</v>
      </c>
      <c r="I307" s="71">
        <v>2019</v>
      </c>
      <c r="J307" s="86">
        <f>K307+L307+M307</f>
        <v>20</v>
      </c>
      <c r="K307" s="86"/>
      <c r="L307" s="86">
        <v>20</v>
      </c>
      <c r="M307" s="86"/>
      <c r="N307" s="392"/>
      <c r="O307" s="392">
        <f>J307</f>
        <v>20</v>
      </c>
      <c r="P307" s="392"/>
      <c r="Q307" s="392"/>
      <c r="R307" s="392"/>
      <c r="S307" s="86"/>
      <c r="T307" s="86"/>
      <c r="U307" s="86" t="s">
        <v>553</v>
      </c>
      <c r="V307" s="56" t="s">
        <v>41</v>
      </c>
    </row>
    <row r="308" ht="30.75" customHeight="1" spans="1:22">
      <c r="A308" s="71"/>
      <c r="B308" s="90" t="s">
        <v>1510</v>
      </c>
      <c r="C308" s="71" t="s">
        <v>1124</v>
      </c>
      <c r="D308" s="71" t="s">
        <v>150</v>
      </c>
      <c r="E308" s="71">
        <v>1</v>
      </c>
      <c r="F308" s="71">
        <v>28</v>
      </c>
      <c r="G308" s="71">
        <v>99</v>
      </c>
      <c r="H308" s="71">
        <v>2019</v>
      </c>
      <c r="I308" s="71">
        <v>2019</v>
      </c>
      <c r="J308" s="86">
        <f>K308+L308+M308</f>
        <v>20</v>
      </c>
      <c r="K308" s="86"/>
      <c r="L308" s="86">
        <v>20</v>
      </c>
      <c r="M308" s="86"/>
      <c r="N308" s="392"/>
      <c r="O308" s="392">
        <f>J308</f>
        <v>20</v>
      </c>
      <c r="P308" s="392"/>
      <c r="Q308" s="392"/>
      <c r="R308" s="392"/>
      <c r="S308" s="86"/>
      <c r="T308" s="86"/>
      <c r="U308" s="86" t="s">
        <v>553</v>
      </c>
      <c r="V308" s="56" t="s">
        <v>41</v>
      </c>
    </row>
    <row r="309" ht="30.75" customHeight="1" spans="1:22">
      <c r="A309" s="71"/>
      <c r="B309" s="90" t="s">
        <v>1511</v>
      </c>
      <c r="C309" s="71" t="s">
        <v>1124</v>
      </c>
      <c r="D309" s="71" t="s">
        <v>150</v>
      </c>
      <c r="E309" s="71">
        <v>1</v>
      </c>
      <c r="F309" s="71">
        <v>13</v>
      </c>
      <c r="G309" s="71">
        <v>37</v>
      </c>
      <c r="H309" s="71">
        <v>2018</v>
      </c>
      <c r="I309" s="71">
        <v>2018</v>
      </c>
      <c r="J309" s="86">
        <v>20</v>
      </c>
      <c r="K309" s="86">
        <v>10</v>
      </c>
      <c r="L309" s="86">
        <v>10</v>
      </c>
      <c r="M309" s="86"/>
      <c r="N309" s="392"/>
      <c r="O309" s="392">
        <v>20</v>
      </c>
      <c r="P309" s="392"/>
      <c r="Q309" s="392"/>
      <c r="R309" s="392"/>
      <c r="S309" s="86"/>
      <c r="T309" s="86"/>
      <c r="U309" s="86" t="s">
        <v>553</v>
      </c>
      <c r="V309" s="56" t="s">
        <v>1474</v>
      </c>
    </row>
    <row r="310" ht="30.75" customHeight="1" spans="1:22">
      <c r="A310" s="71" t="s">
        <v>1512</v>
      </c>
      <c r="B310" s="90" t="s">
        <v>1513</v>
      </c>
      <c r="C310" s="71" t="s">
        <v>1124</v>
      </c>
      <c r="D310" s="71" t="s">
        <v>150</v>
      </c>
      <c r="E310" s="71">
        <v>1</v>
      </c>
      <c r="F310" s="71">
        <v>7</v>
      </c>
      <c r="G310" s="71">
        <v>30</v>
      </c>
      <c r="H310" s="71">
        <v>2018</v>
      </c>
      <c r="I310" s="71">
        <v>2018</v>
      </c>
      <c r="J310" s="86">
        <v>17.6</v>
      </c>
      <c r="K310" s="86">
        <v>17.6</v>
      </c>
      <c r="L310" s="86"/>
      <c r="M310" s="86"/>
      <c r="N310" s="392"/>
      <c r="O310" s="392">
        <v>17.6</v>
      </c>
      <c r="P310" s="392"/>
      <c r="Q310" s="392"/>
      <c r="R310" s="392"/>
      <c r="S310" s="86"/>
      <c r="T310" s="86"/>
      <c r="U310" s="86" t="s">
        <v>553</v>
      </c>
      <c r="V310" s="56" t="s">
        <v>1441</v>
      </c>
    </row>
    <row r="311" ht="30.75" customHeight="1" spans="1:22">
      <c r="A311" s="71"/>
      <c r="B311" s="90" t="s">
        <v>1514</v>
      </c>
      <c r="C311" s="71" t="s">
        <v>52</v>
      </c>
      <c r="D311" s="71" t="s">
        <v>150</v>
      </c>
      <c r="E311" s="71">
        <v>1</v>
      </c>
      <c r="F311" s="71">
        <v>69</v>
      </c>
      <c r="G311" s="71">
        <v>238</v>
      </c>
      <c r="H311" s="71">
        <v>2018</v>
      </c>
      <c r="I311" s="71">
        <v>2018</v>
      </c>
      <c r="J311" s="86">
        <v>30</v>
      </c>
      <c r="K311" s="86">
        <v>30</v>
      </c>
      <c r="L311" s="86"/>
      <c r="M311" s="86"/>
      <c r="N311" s="392"/>
      <c r="O311" s="392"/>
      <c r="P311" s="392"/>
      <c r="Q311" s="392">
        <v>30</v>
      </c>
      <c r="R311" s="392"/>
      <c r="S311" s="86"/>
      <c r="T311" s="86"/>
      <c r="U311" s="86"/>
      <c r="V311" s="56"/>
    </row>
    <row r="312" ht="29.1" customHeight="1" spans="1:22">
      <c r="A312" s="71">
        <v>73</v>
      </c>
      <c r="B312" s="90" t="s">
        <v>555</v>
      </c>
      <c r="C312" s="71" t="s">
        <v>320</v>
      </c>
      <c r="D312" s="71" t="s">
        <v>320</v>
      </c>
      <c r="E312" s="71">
        <v>2459</v>
      </c>
      <c r="F312" s="71">
        <v>592</v>
      </c>
      <c r="G312" s="71">
        <v>794</v>
      </c>
      <c r="H312" s="71">
        <v>2018</v>
      </c>
      <c r="I312" s="71">
        <v>2020</v>
      </c>
      <c r="J312" s="86"/>
      <c r="K312" s="86"/>
      <c r="L312" s="86"/>
      <c r="M312" s="86"/>
      <c r="N312" s="392"/>
      <c r="O312" s="392"/>
      <c r="P312" s="392"/>
      <c r="Q312" s="392"/>
      <c r="R312" s="392"/>
      <c r="S312" s="86" t="s">
        <v>1431</v>
      </c>
      <c r="T312" s="86" t="s">
        <v>1432</v>
      </c>
      <c r="U312" s="71" t="s">
        <v>320</v>
      </c>
      <c r="V312" s="56" t="s">
        <v>41</v>
      </c>
    </row>
    <row r="313" ht="74.1" customHeight="1" spans="1:22">
      <c r="A313" s="71"/>
      <c r="B313" s="90" t="s">
        <v>1225</v>
      </c>
      <c r="C313" s="71" t="s">
        <v>320</v>
      </c>
      <c r="D313" s="71" t="s">
        <v>147</v>
      </c>
      <c r="E313" s="71">
        <v>2459</v>
      </c>
      <c r="F313" s="71">
        <v>650</v>
      </c>
      <c r="G313" s="71">
        <v>866</v>
      </c>
      <c r="H313" s="71">
        <v>2018</v>
      </c>
      <c r="I313" s="71">
        <v>2020</v>
      </c>
      <c r="J313" s="86" t="s">
        <v>320</v>
      </c>
      <c r="K313" s="86" t="s">
        <v>320</v>
      </c>
      <c r="L313" s="86" t="s">
        <v>320</v>
      </c>
      <c r="M313" s="86" t="s">
        <v>320</v>
      </c>
      <c r="N313" s="392"/>
      <c r="O313" s="392"/>
      <c r="P313" s="392"/>
      <c r="Q313" s="392"/>
      <c r="R313" s="392"/>
      <c r="S313" s="86" t="s">
        <v>1431</v>
      </c>
      <c r="T313" s="86" t="s">
        <v>1432</v>
      </c>
      <c r="U313" s="86" t="s">
        <v>294</v>
      </c>
      <c r="V313" s="56" t="s">
        <v>41</v>
      </c>
    </row>
    <row r="314" ht="15.95" customHeight="1" spans="1:22">
      <c r="A314" s="71"/>
      <c r="B314" s="71" t="s">
        <v>1425</v>
      </c>
      <c r="C314" s="71" t="s">
        <v>320</v>
      </c>
      <c r="D314" s="71" t="s">
        <v>147</v>
      </c>
      <c r="E314" s="71">
        <v>461</v>
      </c>
      <c r="F314" s="71">
        <v>81</v>
      </c>
      <c r="G314" s="71">
        <v>108</v>
      </c>
      <c r="H314" s="71">
        <v>2018</v>
      </c>
      <c r="I314" s="71">
        <v>2020</v>
      </c>
      <c r="J314" s="86" t="s">
        <v>320</v>
      </c>
      <c r="K314" s="86" t="s">
        <v>320</v>
      </c>
      <c r="L314" s="86" t="s">
        <v>320</v>
      </c>
      <c r="M314" s="86" t="s">
        <v>320</v>
      </c>
      <c r="N314" s="392"/>
      <c r="O314" s="392"/>
      <c r="P314" s="392"/>
      <c r="Q314" s="392"/>
      <c r="R314" s="392"/>
      <c r="S314" s="86"/>
      <c r="T314" s="86"/>
      <c r="U314" s="86" t="s">
        <v>294</v>
      </c>
      <c r="V314" s="56" t="s">
        <v>41</v>
      </c>
    </row>
    <row r="315" ht="15.95" customHeight="1" spans="1:22">
      <c r="A315" s="71"/>
      <c r="B315" s="71" t="s">
        <v>1426</v>
      </c>
      <c r="C315" s="71" t="s">
        <v>320</v>
      </c>
      <c r="D315" s="71" t="s">
        <v>147</v>
      </c>
      <c r="E315" s="71">
        <v>522</v>
      </c>
      <c r="F315" s="71">
        <v>145</v>
      </c>
      <c r="G315" s="71">
        <v>193</v>
      </c>
      <c r="H315" s="71">
        <v>2018</v>
      </c>
      <c r="I315" s="71">
        <v>2020</v>
      </c>
      <c r="J315" s="86" t="s">
        <v>320</v>
      </c>
      <c r="K315" s="86" t="s">
        <v>320</v>
      </c>
      <c r="L315" s="86" t="s">
        <v>320</v>
      </c>
      <c r="M315" s="86" t="s">
        <v>320</v>
      </c>
      <c r="N315" s="392"/>
      <c r="O315" s="392"/>
      <c r="P315" s="392"/>
      <c r="Q315" s="392"/>
      <c r="R315" s="392"/>
      <c r="S315" s="86"/>
      <c r="T315" s="86"/>
      <c r="U315" s="86" t="s">
        <v>294</v>
      </c>
      <c r="V315" s="56" t="s">
        <v>41</v>
      </c>
    </row>
    <row r="316" ht="15.95" customHeight="1" spans="1:22">
      <c r="A316" s="71"/>
      <c r="B316" s="71" t="s">
        <v>1427</v>
      </c>
      <c r="C316" s="71" t="s">
        <v>320</v>
      </c>
      <c r="D316" s="71" t="s">
        <v>147</v>
      </c>
      <c r="E316" s="71">
        <v>586</v>
      </c>
      <c r="F316" s="71">
        <v>113</v>
      </c>
      <c r="G316" s="71">
        <v>150</v>
      </c>
      <c r="H316" s="71">
        <v>2018</v>
      </c>
      <c r="I316" s="71">
        <v>2020</v>
      </c>
      <c r="J316" s="86" t="s">
        <v>320</v>
      </c>
      <c r="K316" s="86" t="s">
        <v>320</v>
      </c>
      <c r="L316" s="86" t="s">
        <v>320</v>
      </c>
      <c r="M316" s="86" t="s">
        <v>320</v>
      </c>
      <c r="N316" s="392"/>
      <c r="O316" s="392"/>
      <c r="P316" s="392"/>
      <c r="Q316" s="392"/>
      <c r="R316" s="392"/>
      <c r="S316" s="86"/>
      <c r="T316" s="86"/>
      <c r="U316" s="86" t="s">
        <v>294</v>
      </c>
      <c r="V316" s="56" t="s">
        <v>41</v>
      </c>
    </row>
    <row r="317" ht="15.95" customHeight="1" spans="1:22">
      <c r="A317" s="71"/>
      <c r="B317" s="71" t="s">
        <v>1428</v>
      </c>
      <c r="C317" s="71" t="s">
        <v>320</v>
      </c>
      <c r="D317" s="71" t="s">
        <v>147</v>
      </c>
      <c r="E317" s="71">
        <v>351</v>
      </c>
      <c r="F317" s="71">
        <v>111</v>
      </c>
      <c r="G317" s="71">
        <v>146</v>
      </c>
      <c r="H317" s="71">
        <v>2018</v>
      </c>
      <c r="I317" s="71">
        <v>2020</v>
      </c>
      <c r="J317" s="86" t="s">
        <v>320</v>
      </c>
      <c r="K317" s="86" t="s">
        <v>320</v>
      </c>
      <c r="L317" s="86" t="s">
        <v>320</v>
      </c>
      <c r="M317" s="86" t="s">
        <v>320</v>
      </c>
      <c r="N317" s="392"/>
      <c r="O317" s="392"/>
      <c r="P317" s="392"/>
      <c r="Q317" s="392"/>
      <c r="R317" s="392"/>
      <c r="S317" s="86"/>
      <c r="T317" s="86"/>
      <c r="U317" s="86" t="s">
        <v>294</v>
      </c>
      <c r="V317" s="56" t="s">
        <v>41</v>
      </c>
    </row>
    <row r="318" ht="15.95" customHeight="1" spans="1:22">
      <c r="A318" s="71"/>
      <c r="B318" s="71" t="s">
        <v>1429</v>
      </c>
      <c r="C318" s="71" t="s">
        <v>320</v>
      </c>
      <c r="D318" s="71" t="s">
        <v>147</v>
      </c>
      <c r="E318" s="71">
        <v>327</v>
      </c>
      <c r="F318" s="71">
        <v>89</v>
      </c>
      <c r="G318" s="71">
        <v>123</v>
      </c>
      <c r="H318" s="71">
        <v>2018</v>
      </c>
      <c r="I318" s="71">
        <v>2020</v>
      </c>
      <c r="J318" s="86" t="s">
        <v>320</v>
      </c>
      <c r="K318" s="86" t="s">
        <v>320</v>
      </c>
      <c r="L318" s="86" t="s">
        <v>320</v>
      </c>
      <c r="M318" s="86" t="s">
        <v>320</v>
      </c>
      <c r="N318" s="392"/>
      <c r="O318" s="392"/>
      <c r="P318" s="392"/>
      <c r="Q318" s="392"/>
      <c r="R318" s="392"/>
      <c r="S318" s="86"/>
      <c r="T318" s="86"/>
      <c r="U318" s="86" t="s">
        <v>294</v>
      </c>
      <c r="V318" s="56" t="s">
        <v>41</v>
      </c>
    </row>
    <row r="319" ht="15.95" customHeight="1" spans="1:22">
      <c r="A319" s="71"/>
      <c r="B319" s="71" t="s">
        <v>1430</v>
      </c>
      <c r="C319" s="71" t="s">
        <v>320</v>
      </c>
      <c r="D319" s="71" t="s">
        <v>147</v>
      </c>
      <c r="E319" s="71">
        <v>212</v>
      </c>
      <c r="F319" s="71">
        <v>111</v>
      </c>
      <c r="G319" s="71">
        <v>146</v>
      </c>
      <c r="H319" s="71">
        <v>2018</v>
      </c>
      <c r="I319" s="71">
        <v>2020</v>
      </c>
      <c r="J319" s="86" t="s">
        <v>320</v>
      </c>
      <c r="K319" s="86" t="s">
        <v>320</v>
      </c>
      <c r="L319" s="86" t="s">
        <v>320</v>
      </c>
      <c r="M319" s="86" t="s">
        <v>320</v>
      </c>
      <c r="N319" s="392"/>
      <c r="O319" s="392"/>
      <c r="P319" s="392"/>
      <c r="Q319" s="392"/>
      <c r="R319" s="392"/>
      <c r="S319" s="86"/>
      <c r="T319" s="86"/>
      <c r="U319" s="86" t="s">
        <v>294</v>
      </c>
      <c r="V319" s="56" t="s">
        <v>41</v>
      </c>
    </row>
    <row r="320" ht="36.95" customHeight="1" spans="1:22">
      <c r="A320" s="71"/>
      <c r="B320" s="90" t="s">
        <v>1515</v>
      </c>
      <c r="C320" s="71"/>
      <c r="D320" s="71"/>
      <c r="E320" s="71"/>
      <c r="F320" s="71">
        <f t="shared" ref="F320:I320" si="139">F324</f>
        <v>9</v>
      </c>
      <c r="G320" s="71">
        <f t="shared" si="139"/>
        <v>33</v>
      </c>
      <c r="H320" s="71">
        <v>2018</v>
      </c>
      <c r="I320" s="71">
        <f t="shared" si="139"/>
        <v>2020</v>
      </c>
      <c r="J320" s="86">
        <f t="shared" ref="J320:R320" si="140">J321+J322+J323+J324</f>
        <v>211</v>
      </c>
      <c r="K320" s="86">
        <f t="shared" si="140"/>
        <v>131</v>
      </c>
      <c r="L320" s="86">
        <f t="shared" si="140"/>
        <v>80</v>
      </c>
      <c r="M320" s="86">
        <f t="shared" si="140"/>
        <v>0</v>
      </c>
      <c r="N320" s="86">
        <f t="shared" si="140"/>
        <v>28</v>
      </c>
      <c r="O320" s="86">
        <f t="shared" si="140"/>
        <v>80</v>
      </c>
      <c r="P320" s="86">
        <f t="shared" si="140"/>
        <v>0</v>
      </c>
      <c r="Q320" s="86">
        <f t="shared" si="140"/>
        <v>103</v>
      </c>
      <c r="R320" s="86">
        <f t="shared" si="140"/>
        <v>0</v>
      </c>
      <c r="S320" s="86"/>
      <c r="T320" s="86"/>
      <c r="U320" s="86" t="s">
        <v>271</v>
      </c>
      <c r="V320" s="56" t="s">
        <v>41</v>
      </c>
    </row>
    <row r="321" ht="36.95" customHeight="1" spans="1:22">
      <c r="A321" s="71"/>
      <c r="B321" s="90" t="s">
        <v>1516</v>
      </c>
      <c r="C321" s="562" t="s">
        <v>52</v>
      </c>
      <c r="D321" s="562" t="s">
        <v>1517</v>
      </c>
      <c r="E321" s="71">
        <v>36</v>
      </c>
      <c r="F321" s="71">
        <v>13</v>
      </c>
      <c r="G321" s="71">
        <v>38</v>
      </c>
      <c r="H321" s="71">
        <v>2018</v>
      </c>
      <c r="I321" s="71">
        <v>2018</v>
      </c>
      <c r="J321" s="86">
        <v>18</v>
      </c>
      <c r="K321" s="86">
        <v>18</v>
      </c>
      <c r="L321" s="86">
        <v>0</v>
      </c>
      <c r="M321" s="86">
        <v>0</v>
      </c>
      <c r="N321" s="86">
        <v>18</v>
      </c>
      <c r="O321" s="86"/>
      <c r="P321" s="86"/>
      <c r="Q321" s="86"/>
      <c r="R321" s="86"/>
      <c r="S321" s="86"/>
      <c r="T321" s="86"/>
      <c r="U321" s="86"/>
      <c r="V321" s="56" t="s">
        <v>1441</v>
      </c>
    </row>
    <row r="322" ht="36.95" customHeight="1" spans="1:22">
      <c r="A322" s="71"/>
      <c r="B322" s="90" t="s">
        <v>1518</v>
      </c>
      <c r="C322" s="562" t="s">
        <v>52</v>
      </c>
      <c r="D322" s="562" t="s">
        <v>1517</v>
      </c>
      <c r="E322" s="71">
        <v>20</v>
      </c>
      <c r="F322" s="71">
        <v>6</v>
      </c>
      <c r="G322" s="71">
        <v>21</v>
      </c>
      <c r="H322" s="71">
        <v>2018</v>
      </c>
      <c r="I322" s="71">
        <v>2018</v>
      </c>
      <c r="J322" s="86">
        <v>10</v>
      </c>
      <c r="K322" s="86">
        <v>10</v>
      </c>
      <c r="L322" s="86">
        <v>0</v>
      </c>
      <c r="M322" s="86">
        <v>0</v>
      </c>
      <c r="N322" s="86">
        <v>10</v>
      </c>
      <c r="O322" s="86"/>
      <c r="P322" s="86"/>
      <c r="Q322" s="86"/>
      <c r="R322" s="86"/>
      <c r="S322" s="86"/>
      <c r="T322" s="86"/>
      <c r="U322" s="86"/>
      <c r="V322" s="56" t="s">
        <v>1441</v>
      </c>
    </row>
    <row r="323" ht="48" customHeight="1" spans="1:22">
      <c r="A323" s="71"/>
      <c r="B323" s="73" t="s">
        <v>1519</v>
      </c>
      <c r="C323" s="71" t="s">
        <v>52</v>
      </c>
      <c r="D323" s="71" t="s">
        <v>150</v>
      </c>
      <c r="E323" s="71" t="s">
        <v>1520</v>
      </c>
      <c r="F323" s="71">
        <v>46</v>
      </c>
      <c r="G323" s="71">
        <v>187</v>
      </c>
      <c r="H323" s="71">
        <v>2018</v>
      </c>
      <c r="I323" s="71">
        <v>2018</v>
      </c>
      <c r="J323" s="86">
        <v>103</v>
      </c>
      <c r="K323" s="86">
        <v>103</v>
      </c>
      <c r="L323" s="86"/>
      <c r="M323" s="86"/>
      <c r="N323" s="86"/>
      <c r="O323" s="86"/>
      <c r="P323" s="86"/>
      <c r="Q323" s="86">
        <v>103</v>
      </c>
      <c r="R323" s="71"/>
      <c r="S323" s="71" t="s">
        <v>1521</v>
      </c>
      <c r="T323" s="71" t="s">
        <v>1522</v>
      </c>
      <c r="U323" s="71" t="s">
        <v>160</v>
      </c>
      <c r="V323" s="56"/>
    </row>
    <row r="324" ht="66.95" customHeight="1" spans="1:22">
      <c r="A324" s="71"/>
      <c r="B324" s="563" t="s">
        <v>1523</v>
      </c>
      <c r="C324" s="562" t="s">
        <v>52</v>
      </c>
      <c r="D324" s="562" t="s">
        <v>150</v>
      </c>
      <c r="E324" s="564" t="s">
        <v>1524</v>
      </c>
      <c r="F324" s="565">
        <v>9</v>
      </c>
      <c r="G324" s="562">
        <v>33</v>
      </c>
      <c r="H324" s="562">
        <v>2019</v>
      </c>
      <c r="I324" s="562">
        <v>2020</v>
      </c>
      <c r="J324" s="549">
        <v>80</v>
      </c>
      <c r="K324" s="549">
        <v>0</v>
      </c>
      <c r="L324" s="549">
        <v>80</v>
      </c>
      <c r="M324" s="549">
        <v>0</v>
      </c>
      <c r="N324" s="549">
        <v>0</v>
      </c>
      <c r="O324" s="549">
        <v>80</v>
      </c>
      <c r="P324" s="549"/>
      <c r="Q324" s="549"/>
      <c r="R324" s="549"/>
      <c r="S324" s="562" t="s">
        <v>1496</v>
      </c>
      <c r="T324" s="562" t="s">
        <v>1424</v>
      </c>
      <c r="U324" s="562" t="s">
        <v>273</v>
      </c>
      <c r="V324" s="568" t="s">
        <v>1525</v>
      </c>
    </row>
    <row r="325" ht="53.25" customHeight="1" spans="1:22">
      <c r="A325" s="71" t="s">
        <v>1512</v>
      </c>
      <c r="B325" s="90" t="s">
        <v>1048</v>
      </c>
      <c r="C325" s="71"/>
      <c r="D325" s="71"/>
      <c r="E325" s="71">
        <v>7</v>
      </c>
      <c r="F325" s="71">
        <v>1551</v>
      </c>
      <c r="G325" s="71">
        <v>6019</v>
      </c>
      <c r="H325" s="71">
        <v>2018</v>
      </c>
      <c r="I325" s="71">
        <v>2020</v>
      </c>
      <c r="J325" s="86">
        <f t="shared" ref="J325:R325" si="141">J326</f>
        <v>541.5</v>
      </c>
      <c r="K325" s="86">
        <f t="shared" si="141"/>
        <v>541.5</v>
      </c>
      <c r="L325" s="86">
        <f t="shared" si="141"/>
        <v>0</v>
      </c>
      <c r="M325" s="86">
        <f t="shared" si="141"/>
        <v>0</v>
      </c>
      <c r="N325" s="86">
        <f t="shared" si="141"/>
        <v>0</v>
      </c>
      <c r="O325" s="86">
        <f t="shared" si="141"/>
        <v>541.5</v>
      </c>
      <c r="P325" s="86">
        <f t="shared" si="141"/>
        <v>0</v>
      </c>
      <c r="Q325" s="86">
        <f t="shared" si="141"/>
        <v>0</v>
      </c>
      <c r="R325" s="86">
        <f t="shared" si="141"/>
        <v>0</v>
      </c>
      <c r="S325" s="86" t="s">
        <v>1446</v>
      </c>
      <c r="T325" s="86"/>
      <c r="U325" s="86"/>
      <c r="V325" s="56" t="s">
        <v>41</v>
      </c>
    </row>
    <row r="326" ht="23.25" customHeight="1" spans="1:22">
      <c r="A326" s="71">
        <v>75</v>
      </c>
      <c r="B326" s="90" t="s">
        <v>1049</v>
      </c>
      <c r="C326" s="71" t="s">
        <v>320</v>
      </c>
      <c r="D326" s="71" t="s">
        <v>320</v>
      </c>
      <c r="E326" s="71">
        <v>7</v>
      </c>
      <c r="F326" s="71">
        <v>1551</v>
      </c>
      <c r="G326" s="71">
        <v>6019</v>
      </c>
      <c r="H326" s="71">
        <v>2018</v>
      </c>
      <c r="I326" s="71">
        <v>2020</v>
      </c>
      <c r="J326" s="86">
        <v>541.5</v>
      </c>
      <c r="K326" s="86">
        <v>541.5</v>
      </c>
      <c r="L326" s="86">
        <f>L327+L328+L329</f>
        <v>0</v>
      </c>
      <c r="M326" s="86">
        <f>M327+M328+M329</f>
        <v>0</v>
      </c>
      <c r="N326" s="392"/>
      <c r="O326" s="392">
        <v>541.5</v>
      </c>
      <c r="P326" s="392"/>
      <c r="Q326" s="392"/>
      <c r="R326" s="392"/>
      <c r="S326" s="86"/>
      <c r="T326" s="86"/>
      <c r="U326" s="71" t="s">
        <v>320</v>
      </c>
      <c r="V326" s="56" t="s">
        <v>41</v>
      </c>
    </row>
    <row r="327" ht="24.95" customHeight="1" spans="1:22">
      <c r="A327" s="71">
        <v>76</v>
      </c>
      <c r="B327" s="90" t="s">
        <v>1237</v>
      </c>
      <c r="C327" s="71" t="s">
        <v>52</v>
      </c>
      <c r="D327" s="71" t="s">
        <v>202</v>
      </c>
      <c r="E327" s="71"/>
      <c r="F327" s="71"/>
      <c r="G327" s="71" t="s">
        <v>1512</v>
      </c>
      <c r="H327" s="71"/>
      <c r="I327" s="71"/>
      <c r="J327" s="86"/>
      <c r="K327" s="86"/>
      <c r="L327" s="86"/>
      <c r="M327" s="86"/>
      <c r="N327" s="392"/>
      <c r="O327" s="392"/>
      <c r="P327" s="392"/>
      <c r="Q327" s="392"/>
      <c r="R327" s="392"/>
      <c r="S327" s="86"/>
      <c r="T327" s="86"/>
      <c r="U327" s="86" t="s">
        <v>497</v>
      </c>
      <c r="V327" s="56" t="s">
        <v>41</v>
      </c>
    </row>
    <row r="328" ht="27.95" customHeight="1" spans="1:22">
      <c r="A328" s="71">
        <v>77</v>
      </c>
      <c r="B328" s="73" t="s">
        <v>1238</v>
      </c>
      <c r="C328" s="71" t="s">
        <v>320</v>
      </c>
      <c r="D328" s="71" t="s">
        <v>320</v>
      </c>
      <c r="E328" s="71"/>
      <c r="F328" s="71"/>
      <c r="G328" s="71"/>
      <c r="H328" s="71"/>
      <c r="I328" s="71"/>
      <c r="J328" s="86"/>
      <c r="K328" s="86"/>
      <c r="L328" s="86"/>
      <c r="M328" s="86"/>
      <c r="N328" s="392"/>
      <c r="O328" s="392"/>
      <c r="P328" s="392"/>
      <c r="Q328" s="392"/>
      <c r="R328" s="392"/>
      <c r="S328" s="89"/>
      <c r="T328" s="89"/>
      <c r="U328" s="89" t="s">
        <v>160</v>
      </c>
      <c r="V328" s="56" t="s">
        <v>41</v>
      </c>
    </row>
    <row r="329" ht="26.1" customHeight="1" spans="1:22">
      <c r="A329" s="71">
        <v>78</v>
      </c>
      <c r="B329" s="73" t="s">
        <v>1239</v>
      </c>
      <c r="C329" s="71" t="s">
        <v>320</v>
      </c>
      <c r="D329" s="71" t="s">
        <v>320</v>
      </c>
      <c r="E329" s="71">
        <v>7</v>
      </c>
      <c r="F329" s="71">
        <v>1566</v>
      </c>
      <c r="G329" s="71">
        <v>6010</v>
      </c>
      <c r="H329" s="71">
        <v>2018</v>
      </c>
      <c r="I329" s="71">
        <v>2020</v>
      </c>
      <c r="J329" s="86">
        <f t="shared" ref="J329:O329" si="142">J330+J331+J332+J333+J334+J335</f>
        <v>541.5</v>
      </c>
      <c r="K329" s="86">
        <f t="shared" si="142"/>
        <v>541.5</v>
      </c>
      <c r="L329" s="86">
        <f t="shared" si="142"/>
        <v>0</v>
      </c>
      <c r="M329" s="86">
        <f t="shared" si="142"/>
        <v>0</v>
      </c>
      <c r="N329" s="86">
        <f t="shared" si="142"/>
        <v>0</v>
      </c>
      <c r="O329" s="86">
        <f t="shared" si="142"/>
        <v>541.5</v>
      </c>
      <c r="P329" s="392"/>
      <c r="Q329" s="392"/>
      <c r="R329" s="392"/>
      <c r="S329" s="86"/>
      <c r="T329" s="86"/>
      <c r="U329" s="86" t="s">
        <v>160</v>
      </c>
      <c r="V329" s="56" t="s">
        <v>41</v>
      </c>
    </row>
    <row r="330" ht="38.1" customHeight="1" spans="1:22">
      <c r="A330" s="71"/>
      <c r="B330" s="73" t="s">
        <v>1526</v>
      </c>
      <c r="C330" s="71" t="s">
        <v>320</v>
      </c>
      <c r="D330" s="71" t="s">
        <v>320</v>
      </c>
      <c r="E330" s="71">
        <v>1</v>
      </c>
      <c r="F330" s="71">
        <v>218</v>
      </c>
      <c r="G330" s="71">
        <v>861</v>
      </c>
      <c r="H330" s="71">
        <v>2018</v>
      </c>
      <c r="I330" s="71">
        <v>2020</v>
      </c>
      <c r="J330" s="86">
        <f t="shared" ref="J330:J335" si="143">K330+L330+M330</f>
        <v>84</v>
      </c>
      <c r="K330" s="86">
        <v>84</v>
      </c>
      <c r="L330" s="86">
        <v>0</v>
      </c>
      <c r="M330" s="86">
        <v>0</v>
      </c>
      <c r="N330" s="392"/>
      <c r="O330" s="392">
        <v>84</v>
      </c>
      <c r="P330" s="392"/>
      <c r="Q330" s="392"/>
      <c r="R330" s="392"/>
      <c r="S330" s="138" t="s">
        <v>1446</v>
      </c>
      <c r="T330" s="138" t="s">
        <v>1527</v>
      </c>
      <c r="U330" s="86" t="s">
        <v>160</v>
      </c>
      <c r="V330" s="56" t="s">
        <v>1441</v>
      </c>
    </row>
    <row r="331" ht="38.1" customHeight="1" spans="1:22">
      <c r="A331" s="71"/>
      <c r="B331" s="73" t="s">
        <v>1528</v>
      </c>
      <c r="C331" s="71" t="s">
        <v>320</v>
      </c>
      <c r="D331" s="71" t="s">
        <v>320</v>
      </c>
      <c r="E331" s="71">
        <v>1</v>
      </c>
      <c r="F331" s="71">
        <v>379</v>
      </c>
      <c r="G331" s="71">
        <v>1459</v>
      </c>
      <c r="H331" s="71">
        <v>2018</v>
      </c>
      <c r="I331" s="71">
        <v>2020</v>
      </c>
      <c r="J331" s="86">
        <f t="shared" si="143"/>
        <v>84</v>
      </c>
      <c r="K331" s="86">
        <v>84</v>
      </c>
      <c r="L331" s="86">
        <v>0</v>
      </c>
      <c r="M331" s="86">
        <v>0</v>
      </c>
      <c r="N331" s="392"/>
      <c r="O331" s="392">
        <v>84</v>
      </c>
      <c r="P331" s="392"/>
      <c r="Q331" s="392"/>
      <c r="R331" s="392"/>
      <c r="S331" s="138" t="s">
        <v>1446</v>
      </c>
      <c r="T331" s="138" t="s">
        <v>1486</v>
      </c>
      <c r="U331" s="86" t="s">
        <v>160</v>
      </c>
      <c r="V331" s="56" t="s">
        <v>1441</v>
      </c>
    </row>
    <row r="332" ht="48" customHeight="1" spans="1:22">
      <c r="A332" s="71"/>
      <c r="B332" s="73" t="s">
        <v>1529</v>
      </c>
      <c r="C332" s="71" t="s">
        <v>320</v>
      </c>
      <c r="D332" s="71" t="s">
        <v>320</v>
      </c>
      <c r="E332" s="71">
        <v>2</v>
      </c>
      <c r="F332" s="71">
        <v>284</v>
      </c>
      <c r="G332" s="71">
        <v>1153</v>
      </c>
      <c r="H332" s="71">
        <v>2018</v>
      </c>
      <c r="I332" s="71">
        <v>2018</v>
      </c>
      <c r="J332" s="86">
        <v>121.5</v>
      </c>
      <c r="K332" s="86">
        <v>121.5</v>
      </c>
      <c r="L332" s="86">
        <v>0</v>
      </c>
      <c r="M332" s="86">
        <v>0</v>
      </c>
      <c r="N332" s="392"/>
      <c r="O332" s="392">
        <v>121.5</v>
      </c>
      <c r="P332" s="392"/>
      <c r="Q332" s="392"/>
      <c r="R332" s="392"/>
      <c r="S332" s="138" t="s">
        <v>1446</v>
      </c>
      <c r="T332" s="138" t="s">
        <v>1447</v>
      </c>
      <c r="U332" s="86" t="s">
        <v>160</v>
      </c>
      <c r="V332" s="56" t="s">
        <v>1441</v>
      </c>
    </row>
    <row r="333" ht="38.1" customHeight="1" spans="1:22">
      <c r="A333" s="71"/>
      <c r="B333" s="73" t="s">
        <v>1530</v>
      </c>
      <c r="C333" s="71" t="s">
        <v>320</v>
      </c>
      <c r="D333" s="71" t="s">
        <v>320</v>
      </c>
      <c r="E333" s="71">
        <v>1</v>
      </c>
      <c r="F333" s="71">
        <v>322</v>
      </c>
      <c r="G333" s="71">
        <v>1206</v>
      </c>
      <c r="H333" s="71">
        <v>2018</v>
      </c>
      <c r="I333" s="71">
        <v>2020</v>
      </c>
      <c r="J333" s="86">
        <f t="shared" si="143"/>
        <v>84</v>
      </c>
      <c r="K333" s="86">
        <v>84</v>
      </c>
      <c r="L333" s="86">
        <v>0</v>
      </c>
      <c r="M333" s="86">
        <v>0</v>
      </c>
      <c r="N333" s="392"/>
      <c r="O333" s="392">
        <v>84</v>
      </c>
      <c r="P333" s="392"/>
      <c r="Q333" s="392"/>
      <c r="R333" s="392"/>
      <c r="S333" s="138" t="s">
        <v>1446</v>
      </c>
      <c r="T333" s="138" t="s">
        <v>1531</v>
      </c>
      <c r="U333" s="86" t="s">
        <v>160</v>
      </c>
      <c r="V333" s="56" t="s">
        <v>1441</v>
      </c>
    </row>
    <row r="334" ht="38.1" customHeight="1" spans="1:22">
      <c r="A334" s="71"/>
      <c r="B334" s="73" t="s">
        <v>1532</v>
      </c>
      <c r="C334" s="71" t="s">
        <v>320</v>
      </c>
      <c r="D334" s="71" t="s">
        <v>320</v>
      </c>
      <c r="E334" s="71">
        <v>1</v>
      </c>
      <c r="F334" s="71">
        <v>213</v>
      </c>
      <c r="G334" s="71">
        <v>851</v>
      </c>
      <c r="H334" s="71">
        <v>2018</v>
      </c>
      <c r="I334" s="71">
        <v>2020</v>
      </c>
      <c r="J334" s="86">
        <f t="shared" si="143"/>
        <v>84</v>
      </c>
      <c r="K334" s="86">
        <v>84</v>
      </c>
      <c r="L334" s="86">
        <v>0</v>
      </c>
      <c r="M334" s="86">
        <v>0</v>
      </c>
      <c r="N334" s="392"/>
      <c r="O334" s="392">
        <v>84</v>
      </c>
      <c r="P334" s="392"/>
      <c r="Q334" s="392"/>
      <c r="R334" s="392"/>
      <c r="S334" s="138" t="s">
        <v>1446</v>
      </c>
      <c r="T334" s="138" t="s">
        <v>373</v>
      </c>
      <c r="U334" s="86" t="s">
        <v>160</v>
      </c>
      <c r="V334" s="56" t="s">
        <v>1441</v>
      </c>
    </row>
    <row r="335" ht="38.1" customHeight="1" spans="1:22">
      <c r="A335" s="71"/>
      <c r="B335" s="73" t="s">
        <v>1533</v>
      </c>
      <c r="C335" s="71" t="s">
        <v>320</v>
      </c>
      <c r="D335" s="71" t="s">
        <v>320</v>
      </c>
      <c r="E335" s="71">
        <v>1</v>
      </c>
      <c r="F335" s="71">
        <v>135</v>
      </c>
      <c r="G335" s="71">
        <v>489</v>
      </c>
      <c r="H335" s="71">
        <v>2018</v>
      </c>
      <c r="I335" s="71">
        <v>2020</v>
      </c>
      <c r="J335" s="86">
        <f t="shared" si="143"/>
        <v>84</v>
      </c>
      <c r="K335" s="86">
        <v>84</v>
      </c>
      <c r="L335" s="86">
        <v>0</v>
      </c>
      <c r="M335" s="86">
        <v>0</v>
      </c>
      <c r="N335" s="392"/>
      <c r="O335" s="392">
        <v>84</v>
      </c>
      <c r="P335" s="392"/>
      <c r="Q335" s="392"/>
      <c r="R335" s="392"/>
      <c r="S335" s="138" t="s">
        <v>1446</v>
      </c>
      <c r="T335" s="138" t="s">
        <v>1485</v>
      </c>
      <c r="U335" s="86" t="s">
        <v>160</v>
      </c>
      <c r="V335" s="56" t="s">
        <v>1441</v>
      </c>
    </row>
    <row r="336" ht="32.1" customHeight="1" spans="1:22">
      <c r="A336" s="71">
        <v>79</v>
      </c>
      <c r="B336" s="566" t="s">
        <v>1059</v>
      </c>
      <c r="C336" s="101"/>
      <c r="D336" s="101"/>
      <c r="E336" s="101"/>
      <c r="F336" s="101"/>
      <c r="G336" s="101"/>
      <c r="H336" s="101"/>
      <c r="I336" s="101"/>
      <c r="J336" s="392"/>
      <c r="K336" s="392"/>
      <c r="L336" s="392"/>
      <c r="M336" s="392"/>
      <c r="N336" s="392"/>
      <c r="O336" s="392"/>
      <c r="P336" s="392"/>
      <c r="Q336" s="392"/>
      <c r="R336" s="392"/>
      <c r="S336" s="101"/>
      <c r="T336" s="101"/>
      <c r="U336" s="86" t="s">
        <v>43</v>
      </c>
      <c r="V336" s="56" t="s">
        <v>41</v>
      </c>
    </row>
    <row r="337" ht="19.15" customHeight="1" spans="1:22">
      <c r="A337" s="101"/>
      <c r="B337" s="566" t="s">
        <v>1534</v>
      </c>
      <c r="C337" s="101"/>
      <c r="D337" s="101"/>
      <c r="E337" s="101"/>
      <c r="F337" s="101"/>
      <c r="G337" s="101"/>
      <c r="H337" s="101"/>
      <c r="I337" s="101"/>
      <c r="J337" s="392"/>
      <c r="K337" s="392"/>
      <c r="L337" s="392"/>
      <c r="M337" s="392"/>
      <c r="N337" s="392"/>
      <c r="O337" s="392"/>
      <c r="P337" s="392"/>
      <c r="Q337" s="392"/>
      <c r="R337" s="392"/>
      <c r="S337" s="101"/>
      <c r="T337" s="101"/>
      <c r="U337" s="101"/>
      <c r="V337" s="56" t="s">
        <v>41</v>
      </c>
    </row>
    <row r="338" spans="1:22">
      <c r="A338" s="203" t="s">
        <v>1256</v>
      </c>
      <c r="B338" s="204"/>
      <c r="C338" s="203"/>
      <c r="U338" s="203"/>
      <c r="V338" s="203"/>
    </row>
    <row r="339" s="201" customFormat="1" ht="45" customHeight="1" spans="1:22">
      <c r="A339" s="164" t="s">
        <v>1416</v>
      </c>
      <c r="B339" s="164"/>
      <c r="C339" s="164"/>
      <c r="D339" s="164"/>
      <c r="E339" s="164"/>
      <c r="F339" s="164"/>
      <c r="G339" s="164"/>
      <c r="H339" s="164"/>
      <c r="I339" s="164"/>
      <c r="J339" s="567"/>
      <c r="K339" s="567"/>
      <c r="L339" s="567"/>
      <c r="M339" s="567"/>
      <c r="N339" s="502"/>
      <c r="O339" s="502"/>
      <c r="P339" s="502"/>
      <c r="Q339" s="502"/>
      <c r="R339" s="502"/>
      <c r="S339" s="164"/>
      <c r="T339" s="164"/>
      <c r="U339" s="164"/>
      <c r="V339" s="164"/>
    </row>
    <row r="340" ht="19.15" customHeight="1" spans="1:22">
      <c r="A340" s="203"/>
      <c r="B340" s="204"/>
      <c r="C340" s="203"/>
      <c r="U340" s="203"/>
      <c r="V340" s="203"/>
    </row>
  </sheetData>
  <mergeCells count="18">
    <mergeCell ref="A1:B1"/>
    <mergeCell ref="A2:V2"/>
    <mergeCell ref="A3:T3"/>
    <mergeCell ref="F4:G4"/>
    <mergeCell ref="H4:I4"/>
    <mergeCell ref="J4:M4"/>
    <mergeCell ref="N4:R4"/>
    <mergeCell ref="A338:V338"/>
    <mergeCell ref="A339:V339"/>
    <mergeCell ref="A340:V340"/>
    <mergeCell ref="A4:A6"/>
    <mergeCell ref="B4:B6"/>
    <mergeCell ref="C4:C6"/>
    <mergeCell ref="D4:D5"/>
    <mergeCell ref="E4:E5"/>
    <mergeCell ref="U4:U5"/>
    <mergeCell ref="V4:V5"/>
    <mergeCell ref="S4:T5"/>
  </mergeCells>
  <dataValidations count="1">
    <dataValidation allowBlank="1" showInputMessage="1" showErrorMessage="1" sqref="A2"/>
  </dataValidations>
  <pageMargins left="0.509027777777778" right="0" top="0.313888888888889" bottom="0.235416666666667" header="0.3" footer="0.3"/>
  <pageSetup paperSize="9" scale="69" orientation="landscape"/>
  <headerFooter/>
  <colBreaks count="1" manualBreakCount="1">
    <brk id="22"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Z913"/>
  <sheetViews>
    <sheetView view="pageBreakPreview" zoomScale="52" zoomScaleNormal="100" workbookViewId="0">
      <pane xSplit="4" ySplit="7" topLeftCell="E881" activePane="bottomRight" state="frozen"/>
      <selection/>
      <selection pane="topRight"/>
      <selection pane="bottomLeft"/>
      <selection pane="bottomRight" activeCell="U898" sqref="U898"/>
    </sheetView>
  </sheetViews>
  <sheetFormatPr defaultColWidth="9" defaultRowHeight="13.5"/>
  <cols>
    <col min="1" max="1" width="4.63333333333333" style="448" customWidth="1"/>
    <col min="2" max="2" width="23.1333333333333" style="448" customWidth="1"/>
    <col min="3" max="3" width="11" style="449" customWidth="1"/>
    <col min="4" max="4" width="10" style="449" customWidth="1"/>
    <col min="5" max="5" width="31" style="449" customWidth="1"/>
    <col min="6" max="6" width="7.25" style="449" customWidth="1"/>
    <col min="7" max="7" width="8.38333333333333" style="449" customWidth="1"/>
    <col min="8" max="9" width="9.25" style="449" customWidth="1"/>
    <col min="10" max="10" width="13.1333333333333" style="450" customWidth="1"/>
    <col min="11" max="11" width="13.1333333333333" style="451" customWidth="1"/>
    <col min="12" max="13" width="11.8833333333333" style="451" customWidth="1"/>
    <col min="14" max="15" width="13.5" style="451" customWidth="1"/>
    <col min="16" max="16" width="15.3833333333333" style="451" customWidth="1"/>
    <col min="17" max="17" width="12.8833333333333" style="451" customWidth="1"/>
    <col min="18" max="18" width="10.1333333333333" style="451" customWidth="1"/>
    <col min="19" max="19" width="11.6333333333333" style="452" hidden="1" customWidth="1"/>
    <col min="20" max="20" width="10.8833333333333" style="448" customWidth="1"/>
    <col min="21" max="21" width="14.6333333333333" style="448" customWidth="1"/>
    <col min="22" max="22" width="12.6333333333333" style="448" customWidth="1"/>
    <col min="23" max="23" width="26.5" style="447" customWidth="1"/>
    <col min="24" max="24" width="17.5" style="453" hidden="1" customWidth="1"/>
    <col min="25" max="26" width="9" style="453" hidden="1" customWidth="1"/>
    <col min="27" max="27" width="9" style="448" hidden="1" customWidth="1"/>
    <col min="28" max="16384" width="9" style="448"/>
  </cols>
  <sheetData>
    <row r="1" ht="19.5" customHeight="1" spans="1:26">
      <c r="A1" s="454" t="s">
        <v>0</v>
      </c>
      <c r="B1" s="454"/>
      <c r="C1" s="455"/>
      <c r="D1" s="455"/>
      <c r="E1" s="455"/>
      <c r="F1" s="455"/>
      <c r="G1" s="455"/>
      <c r="H1" s="455"/>
      <c r="I1" s="455"/>
      <c r="J1" s="466"/>
      <c r="K1" s="467"/>
      <c r="L1" s="467"/>
      <c r="M1" s="467"/>
      <c r="N1" s="467"/>
      <c r="O1" s="467"/>
      <c r="P1" s="467"/>
      <c r="Q1" s="467"/>
      <c r="R1" s="467"/>
      <c r="S1" s="473"/>
      <c r="T1" s="454"/>
      <c r="U1" s="454"/>
      <c r="V1" s="454"/>
      <c r="X1" s="448"/>
      <c r="Y1" s="448"/>
      <c r="Z1" s="448"/>
    </row>
    <row r="2" ht="25.5" customHeight="1" spans="1:26">
      <c r="A2" s="456" t="s">
        <v>1535</v>
      </c>
      <c r="B2" s="456"/>
      <c r="C2" s="456"/>
      <c r="D2" s="456"/>
      <c r="E2" s="456"/>
      <c r="F2" s="456"/>
      <c r="G2" s="456"/>
      <c r="H2" s="456"/>
      <c r="I2" s="456"/>
      <c r="J2" s="456"/>
      <c r="K2" s="456"/>
      <c r="L2" s="456"/>
      <c r="M2" s="456"/>
      <c r="N2" s="456"/>
      <c r="O2" s="456"/>
      <c r="P2" s="456"/>
      <c r="Q2" s="456"/>
      <c r="R2" s="456"/>
      <c r="S2" s="456"/>
      <c r="T2" s="456"/>
      <c r="U2" s="456"/>
      <c r="V2" s="456"/>
      <c r="W2" s="456"/>
      <c r="X2" s="447"/>
      <c r="Y2" s="448"/>
      <c r="Z2" s="448"/>
    </row>
    <row r="3" ht="24" customHeight="1" spans="1:26">
      <c r="A3" s="457" t="s">
        <v>1536</v>
      </c>
      <c r="B3" s="457"/>
      <c r="C3" s="458"/>
      <c r="D3" s="458"/>
      <c r="E3" s="458"/>
      <c r="F3" s="458"/>
      <c r="G3" s="458"/>
      <c r="H3" s="458"/>
      <c r="I3" s="458"/>
      <c r="J3" s="468"/>
      <c r="K3" s="469"/>
      <c r="L3" s="469"/>
      <c r="M3" s="469"/>
      <c r="N3" s="469"/>
      <c r="O3" s="469"/>
      <c r="P3" s="469"/>
      <c r="Q3" s="469"/>
      <c r="R3" s="469"/>
      <c r="S3" s="474"/>
      <c r="T3" s="457"/>
      <c r="U3" s="457"/>
      <c r="V3" s="454"/>
      <c r="X3" s="448"/>
      <c r="Y3" s="448"/>
      <c r="Z3" s="448"/>
    </row>
    <row r="4" ht="21.75" customHeight="1" spans="1:26">
      <c r="A4" s="459" t="s">
        <v>3</v>
      </c>
      <c r="B4" s="459" t="s">
        <v>4</v>
      </c>
      <c r="C4" s="150" t="s">
        <v>1066</v>
      </c>
      <c r="D4" s="143" t="s">
        <v>6</v>
      </c>
      <c r="E4" s="150" t="s">
        <v>736</v>
      </c>
      <c r="F4" s="143" t="s">
        <v>737</v>
      </c>
      <c r="G4" s="143"/>
      <c r="H4" s="150" t="s">
        <v>11</v>
      </c>
      <c r="I4" s="150"/>
      <c r="J4" s="470" t="s">
        <v>12</v>
      </c>
      <c r="K4" s="471"/>
      <c r="L4" s="471"/>
      <c r="M4" s="471"/>
      <c r="N4" s="471" t="s">
        <v>13</v>
      </c>
      <c r="O4" s="471"/>
      <c r="P4" s="471"/>
      <c r="Q4" s="471"/>
      <c r="R4" s="471"/>
      <c r="S4" s="475"/>
      <c r="T4" s="476" t="s">
        <v>18</v>
      </c>
      <c r="U4" s="476"/>
      <c r="V4" s="476" t="s">
        <v>19</v>
      </c>
      <c r="W4" s="150" t="s">
        <v>20</v>
      </c>
      <c r="X4" s="477" t="s">
        <v>1537</v>
      </c>
      <c r="Y4" s="481"/>
      <c r="Z4" s="481"/>
    </row>
    <row r="5" ht="34.5" customHeight="1" spans="1:26">
      <c r="A5" s="460"/>
      <c r="B5" s="460"/>
      <c r="C5" s="150"/>
      <c r="D5" s="143"/>
      <c r="E5" s="150"/>
      <c r="F5" s="150" t="s">
        <v>384</v>
      </c>
      <c r="G5" s="150" t="s">
        <v>147</v>
      </c>
      <c r="H5" s="150" t="s">
        <v>22</v>
      </c>
      <c r="I5" s="150" t="s">
        <v>23</v>
      </c>
      <c r="J5" s="472" t="s">
        <v>38</v>
      </c>
      <c r="K5" s="463" t="s">
        <v>591</v>
      </c>
      <c r="L5" s="463" t="s">
        <v>592</v>
      </c>
      <c r="M5" s="463" t="s">
        <v>593</v>
      </c>
      <c r="N5" s="463" t="s">
        <v>25</v>
      </c>
      <c r="O5" s="463" t="s">
        <v>26</v>
      </c>
      <c r="P5" s="463" t="s">
        <v>27</v>
      </c>
      <c r="Q5" s="463" t="s">
        <v>28</v>
      </c>
      <c r="R5" s="463" t="s">
        <v>29</v>
      </c>
      <c r="S5" s="478"/>
      <c r="T5" s="476"/>
      <c r="U5" s="476"/>
      <c r="V5" s="476"/>
      <c r="W5" s="150"/>
      <c r="X5" s="477"/>
      <c r="Y5" s="481"/>
      <c r="Z5" s="481"/>
    </row>
    <row r="6" ht="22.5" customHeight="1" spans="1:26">
      <c r="A6" s="461"/>
      <c r="B6" s="461"/>
      <c r="C6" s="150"/>
      <c r="D6" s="150">
        <v>1</v>
      </c>
      <c r="E6" s="150">
        <v>2</v>
      </c>
      <c r="F6" s="150">
        <v>3</v>
      </c>
      <c r="G6" s="150">
        <v>4</v>
      </c>
      <c r="H6" s="150">
        <v>5</v>
      </c>
      <c r="I6" s="150">
        <v>6</v>
      </c>
      <c r="J6" s="472" t="s">
        <v>740</v>
      </c>
      <c r="K6" s="465">
        <v>8</v>
      </c>
      <c r="L6" s="465">
        <v>9</v>
      </c>
      <c r="M6" s="465">
        <v>10</v>
      </c>
      <c r="N6" s="465">
        <v>11</v>
      </c>
      <c r="O6" s="465">
        <v>12</v>
      </c>
      <c r="P6" s="465">
        <v>13</v>
      </c>
      <c r="Q6" s="465">
        <v>14</v>
      </c>
      <c r="R6" s="465">
        <v>15</v>
      </c>
      <c r="S6" s="479"/>
      <c r="T6" s="480">
        <v>11</v>
      </c>
      <c r="U6" s="480">
        <v>12</v>
      </c>
      <c r="V6" s="480">
        <v>13</v>
      </c>
      <c r="W6" s="480"/>
      <c r="X6" s="477"/>
      <c r="Y6" s="481"/>
      <c r="Z6" s="481"/>
    </row>
    <row r="7" ht="23.25" customHeight="1" spans="1:23">
      <c r="A7" s="462">
        <v>0</v>
      </c>
      <c r="B7" s="462" t="s">
        <v>39</v>
      </c>
      <c r="C7" s="463" t="s">
        <v>320</v>
      </c>
      <c r="D7" s="463" t="s">
        <v>320</v>
      </c>
      <c r="E7" s="463"/>
      <c r="F7" s="463"/>
      <c r="G7" s="463"/>
      <c r="H7" s="463"/>
      <c r="I7" s="463"/>
      <c r="J7" s="463">
        <f t="shared" ref="J7:J9" si="0">K7+L7+M7</f>
        <v>23879.768682</v>
      </c>
      <c r="K7" s="463">
        <f>K8+K75+K169+K235+K375+K499+K565+K646+K848</f>
        <v>12363.4723</v>
      </c>
      <c r="L7" s="463">
        <f t="shared" ref="L7:Q7" si="1">SUM(L8,L75,L169,L235,L375,L499,L565,L646,L848)</f>
        <v>10160.457594</v>
      </c>
      <c r="M7" s="463">
        <f t="shared" si="1"/>
        <v>1355.838788</v>
      </c>
      <c r="N7" s="463">
        <f t="shared" si="1"/>
        <v>5414.5051</v>
      </c>
      <c r="O7" s="463">
        <f t="shared" si="1"/>
        <v>15615.703482</v>
      </c>
      <c r="P7" s="463">
        <f t="shared" si="1"/>
        <v>2590.2925</v>
      </c>
      <c r="Q7" s="463">
        <f t="shared" si="1"/>
        <v>259.2676</v>
      </c>
      <c r="R7" s="463"/>
      <c r="S7" s="462" t="str">
        <f t="shared" ref="S7:S70" si="2">IF(SUM(K7:M7)=SUM(N7:R7),"正确","错误")</f>
        <v>正确</v>
      </c>
      <c r="T7" s="462" t="s">
        <v>320</v>
      </c>
      <c r="U7" s="462" t="s">
        <v>320</v>
      </c>
      <c r="V7" s="462" t="s">
        <v>320</v>
      </c>
      <c r="W7" s="462"/>
    </row>
    <row r="8" ht="23.25" customHeight="1" spans="1:23">
      <c r="A8" s="464">
        <v>1</v>
      </c>
      <c r="B8" s="462" t="s">
        <v>742</v>
      </c>
      <c r="C8" s="463" t="s">
        <v>52</v>
      </c>
      <c r="D8" s="463" t="s">
        <v>384</v>
      </c>
      <c r="E8" s="465">
        <f t="shared" ref="E8:G8" si="3">E9+E22</f>
        <v>2226</v>
      </c>
      <c r="F8" s="465">
        <f t="shared" si="3"/>
        <v>1015</v>
      </c>
      <c r="G8" s="465">
        <f t="shared" si="3"/>
        <v>3515</v>
      </c>
      <c r="H8" s="465">
        <v>2018</v>
      </c>
      <c r="I8" s="465">
        <v>2019</v>
      </c>
      <c r="J8" s="463">
        <f t="shared" si="0"/>
        <v>6542.9</v>
      </c>
      <c r="K8" s="463">
        <f t="shared" ref="K8:P8" si="4">K9+K22+K62</f>
        <v>4709.9</v>
      </c>
      <c r="L8" s="463">
        <f t="shared" si="4"/>
        <v>1833</v>
      </c>
      <c r="M8" s="463">
        <f t="shared" si="4"/>
        <v>0</v>
      </c>
      <c r="N8" s="463">
        <f t="shared" si="4"/>
        <v>1077.3</v>
      </c>
      <c r="O8" s="463">
        <f t="shared" si="4"/>
        <v>4389.6</v>
      </c>
      <c r="P8" s="463">
        <f t="shared" si="4"/>
        <v>1076</v>
      </c>
      <c r="Q8" s="463"/>
      <c r="R8" s="463"/>
      <c r="S8" s="462" t="str">
        <f t="shared" si="2"/>
        <v>正确</v>
      </c>
      <c r="T8" s="462"/>
      <c r="U8" s="462"/>
      <c r="V8" s="462" t="s">
        <v>320</v>
      </c>
      <c r="W8" s="462" t="s">
        <v>41</v>
      </c>
    </row>
    <row r="9" ht="30.95" customHeight="1" spans="1:23">
      <c r="A9" s="464">
        <v>2</v>
      </c>
      <c r="B9" s="462" t="s">
        <v>380</v>
      </c>
      <c r="C9" s="463" t="s">
        <v>52</v>
      </c>
      <c r="D9" s="463" t="s">
        <v>384</v>
      </c>
      <c r="E9" s="465">
        <f t="shared" ref="E9:G9" si="5">SUM(E10:E21)</f>
        <v>59</v>
      </c>
      <c r="F9" s="465">
        <f t="shared" si="5"/>
        <v>46</v>
      </c>
      <c r="G9" s="465">
        <f t="shared" si="5"/>
        <v>162</v>
      </c>
      <c r="H9" s="465">
        <v>2019</v>
      </c>
      <c r="I9" s="465">
        <v>2019</v>
      </c>
      <c r="J9" s="463">
        <f t="shared" si="0"/>
        <v>1577.3</v>
      </c>
      <c r="K9" s="463">
        <f t="shared" ref="K9:P9" si="6">SUM(K10:K21)</f>
        <v>1031.3</v>
      </c>
      <c r="L9" s="463">
        <f t="shared" si="6"/>
        <v>546</v>
      </c>
      <c r="M9" s="463">
        <f t="shared" si="6"/>
        <v>0</v>
      </c>
      <c r="N9" s="463">
        <f t="shared" si="6"/>
        <v>1077.3</v>
      </c>
      <c r="O9" s="463">
        <f t="shared" si="6"/>
        <v>0</v>
      </c>
      <c r="P9" s="463">
        <f t="shared" si="6"/>
        <v>500</v>
      </c>
      <c r="Q9" s="463"/>
      <c r="R9" s="463"/>
      <c r="S9" s="462" t="str">
        <f t="shared" si="2"/>
        <v>正确</v>
      </c>
      <c r="T9" s="462" t="s">
        <v>1538</v>
      </c>
      <c r="U9" s="462" t="s">
        <v>1539</v>
      </c>
      <c r="V9" s="462" t="s">
        <v>201</v>
      </c>
      <c r="W9" s="462" t="s">
        <v>41</v>
      </c>
    </row>
    <row r="10" ht="23.25" customHeight="1" spans="1:23">
      <c r="A10" s="464"/>
      <c r="B10" s="462" t="s">
        <v>1540</v>
      </c>
      <c r="C10" s="463" t="s">
        <v>52</v>
      </c>
      <c r="D10" s="463" t="s">
        <v>384</v>
      </c>
      <c r="E10" s="465"/>
      <c r="F10" s="465"/>
      <c r="G10" s="465"/>
      <c r="H10" s="465"/>
      <c r="I10" s="465"/>
      <c r="J10" s="463"/>
      <c r="K10" s="463"/>
      <c r="L10" s="463"/>
      <c r="M10" s="463"/>
      <c r="N10" s="463"/>
      <c r="O10" s="463"/>
      <c r="P10" s="463"/>
      <c r="Q10" s="463"/>
      <c r="R10" s="463"/>
      <c r="S10" s="462" t="str">
        <f t="shared" si="2"/>
        <v>正确</v>
      </c>
      <c r="T10" s="462"/>
      <c r="U10" s="462"/>
      <c r="V10" s="462"/>
      <c r="W10" s="462"/>
    </row>
    <row r="11" ht="23.25" customHeight="1" spans="1:23">
      <c r="A11" s="464"/>
      <c r="B11" s="462" t="s">
        <v>1541</v>
      </c>
      <c r="C11" s="463" t="s">
        <v>52</v>
      </c>
      <c r="D11" s="463" t="s">
        <v>384</v>
      </c>
      <c r="E11" s="465">
        <v>1</v>
      </c>
      <c r="F11" s="465">
        <v>1</v>
      </c>
      <c r="G11" s="465">
        <v>1</v>
      </c>
      <c r="H11" s="465">
        <v>2019</v>
      </c>
      <c r="I11" s="465">
        <v>2019</v>
      </c>
      <c r="J11" s="463">
        <f t="shared" ref="J11:J17" si="7">L11</f>
        <v>7.8</v>
      </c>
      <c r="K11" s="463"/>
      <c r="L11" s="463">
        <f t="shared" ref="L11:L17" si="8">G11*7.8</f>
        <v>7.8</v>
      </c>
      <c r="M11" s="463"/>
      <c r="N11" s="463">
        <f t="shared" ref="N11:N17" si="9">L11</f>
        <v>7.8</v>
      </c>
      <c r="O11" s="463"/>
      <c r="P11" s="463"/>
      <c r="Q11" s="463"/>
      <c r="R11" s="463"/>
      <c r="S11" s="462" t="str">
        <f t="shared" si="2"/>
        <v>正确</v>
      </c>
      <c r="T11" s="462"/>
      <c r="U11" s="462"/>
      <c r="V11" s="462"/>
      <c r="W11" s="462"/>
    </row>
    <row r="12" ht="23.25" customHeight="1" spans="1:23">
      <c r="A12" s="464"/>
      <c r="B12" s="462" t="s">
        <v>1542</v>
      </c>
      <c r="C12" s="463" t="s">
        <v>52</v>
      </c>
      <c r="D12" s="463" t="s">
        <v>384</v>
      </c>
      <c r="E12" s="465"/>
      <c r="F12" s="465"/>
      <c r="G12" s="465"/>
      <c r="H12" s="465"/>
      <c r="I12" s="465"/>
      <c r="J12" s="463"/>
      <c r="K12" s="463"/>
      <c r="L12" s="463"/>
      <c r="M12" s="463"/>
      <c r="N12" s="463"/>
      <c r="O12" s="463"/>
      <c r="P12" s="463"/>
      <c r="Q12" s="463"/>
      <c r="R12" s="463"/>
      <c r="S12" s="462" t="str">
        <f t="shared" si="2"/>
        <v>正确</v>
      </c>
      <c r="T12" s="462"/>
      <c r="U12" s="462"/>
      <c r="V12" s="462"/>
      <c r="W12" s="462"/>
    </row>
    <row r="13" ht="23.25" customHeight="1" spans="1:23">
      <c r="A13" s="464"/>
      <c r="B13" s="462" t="s">
        <v>1543</v>
      </c>
      <c r="C13" s="463" t="s">
        <v>52</v>
      </c>
      <c r="D13" s="463" t="s">
        <v>384</v>
      </c>
      <c r="E13" s="465"/>
      <c r="F13" s="465"/>
      <c r="G13" s="465"/>
      <c r="H13" s="465"/>
      <c r="I13" s="465"/>
      <c r="J13" s="463"/>
      <c r="K13" s="463"/>
      <c r="L13" s="463"/>
      <c r="M13" s="463"/>
      <c r="N13" s="463"/>
      <c r="O13" s="463"/>
      <c r="P13" s="463"/>
      <c r="Q13" s="463"/>
      <c r="R13" s="463"/>
      <c r="S13" s="462" t="str">
        <f t="shared" si="2"/>
        <v>正确</v>
      </c>
      <c r="T13" s="462"/>
      <c r="U13" s="462"/>
      <c r="V13" s="462"/>
      <c r="W13" s="462"/>
    </row>
    <row r="14" ht="23.25" customHeight="1" spans="1:23">
      <c r="A14" s="464"/>
      <c r="B14" s="462" t="s">
        <v>1544</v>
      </c>
      <c r="C14" s="463" t="s">
        <v>52</v>
      </c>
      <c r="D14" s="463" t="s">
        <v>384</v>
      </c>
      <c r="E14" s="465"/>
      <c r="F14" s="465"/>
      <c r="G14" s="465"/>
      <c r="H14" s="465"/>
      <c r="I14" s="465"/>
      <c r="J14" s="463"/>
      <c r="K14" s="463"/>
      <c r="L14" s="463"/>
      <c r="M14" s="463"/>
      <c r="N14" s="463"/>
      <c r="O14" s="463"/>
      <c r="P14" s="463"/>
      <c r="Q14" s="463"/>
      <c r="R14" s="463"/>
      <c r="S14" s="462" t="str">
        <f t="shared" si="2"/>
        <v>正确</v>
      </c>
      <c r="T14" s="462"/>
      <c r="U14" s="462"/>
      <c r="V14" s="462"/>
      <c r="W14" s="462"/>
    </row>
    <row r="15" ht="23.25" customHeight="1" spans="1:23">
      <c r="A15" s="464"/>
      <c r="B15" s="462" t="s">
        <v>1545</v>
      </c>
      <c r="C15" s="463" t="s">
        <v>52</v>
      </c>
      <c r="D15" s="463" t="s">
        <v>384</v>
      </c>
      <c r="E15" s="465">
        <v>1</v>
      </c>
      <c r="F15" s="465">
        <v>1</v>
      </c>
      <c r="G15" s="465">
        <v>4</v>
      </c>
      <c r="H15" s="465">
        <v>2019</v>
      </c>
      <c r="I15" s="465">
        <v>2019</v>
      </c>
      <c r="J15" s="463">
        <f t="shared" si="7"/>
        <v>31.2</v>
      </c>
      <c r="K15" s="463"/>
      <c r="L15" s="463">
        <f t="shared" si="8"/>
        <v>31.2</v>
      </c>
      <c r="M15" s="463"/>
      <c r="N15" s="463">
        <f t="shared" si="9"/>
        <v>31.2</v>
      </c>
      <c r="O15" s="463"/>
      <c r="P15" s="463"/>
      <c r="Q15" s="463"/>
      <c r="R15" s="463"/>
      <c r="S15" s="462" t="str">
        <f t="shared" si="2"/>
        <v>正确</v>
      </c>
      <c r="T15" s="462"/>
      <c r="U15" s="462"/>
      <c r="V15" s="462"/>
      <c r="W15" s="462"/>
    </row>
    <row r="16" ht="23.25" customHeight="1" spans="1:23">
      <c r="A16" s="464"/>
      <c r="B16" s="462" t="s">
        <v>1546</v>
      </c>
      <c r="C16" s="463" t="s">
        <v>52</v>
      </c>
      <c r="D16" s="463" t="s">
        <v>384</v>
      </c>
      <c r="E16" s="465">
        <v>4</v>
      </c>
      <c r="F16" s="465">
        <v>4</v>
      </c>
      <c r="G16" s="465">
        <v>10</v>
      </c>
      <c r="H16" s="465">
        <v>2019</v>
      </c>
      <c r="I16" s="465">
        <v>2019</v>
      </c>
      <c r="J16" s="463">
        <f t="shared" si="7"/>
        <v>78</v>
      </c>
      <c r="K16" s="463"/>
      <c r="L16" s="463">
        <f t="shared" si="8"/>
        <v>78</v>
      </c>
      <c r="M16" s="463"/>
      <c r="N16" s="463">
        <f t="shared" si="9"/>
        <v>78</v>
      </c>
      <c r="O16" s="463"/>
      <c r="P16" s="463"/>
      <c r="Q16" s="463"/>
      <c r="R16" s="463"/>
      <c r="S16" s="462" t="str">
        <f t="shared" si="2"/>
        <v>正确</v>
      </c>
      <c r="T16" s="462"/>
      <c r="U16" s="462"/>
      <c r="V16" s="462"/>
      <c r="W16" s="462"/>
    </row>
    <row r="17" ht="23.25" customHeight="1" spans="1:23">
      <c r="A17" s="464"/>
      <c r="B17" s="462" t="s">
        <v>1547</v>
      </c>
      <c r="C17" s="463" t="s">
        <v>52</v>
      </c>
      <c r="D17" s="463" t="s">
        <v>384</v>
      </c>
      <c r="E17" s="465">
        <v>13</v>
      </c>
      <c r="F17" s="465">
        <v>13</v>
      </c>
      <c r="G17" s="465">
        <v>55</v>
      </c>
      <c r="H17" s="465">
        <v>2019</v>
      </c>
      <c r="I17" s="465">
        <v>2019</v>
      </c>
      <c r="J17" s="463">
        <f t="shared" si="7"/>
        <v>429</v>
      </c>
      <c r="K17" s="463"/>
      <c r="L17" s="463">
        <f t="shared" si="8"/>
        <v>429</v>
      </c>
      <c r="M17" s="463"/>
      <c r="N17" s="463">
        <f t="shared" si="9"/>
        <v>429</v>
      </c>
      <c r="O17" s="463"/>
      <c r="P17" s="463"/>
      <c r="Q17" s="463"/>
      <c r="R17" s="463"/>
      <c r="S17" s="462" t="str">
        <f t="shared" si="2"/>
        <v>正确</v>
      </c>
      <c r="T17" s="462"/>
      <c r="U17" s="462"/>
      <c r="V17" s="462"/>
      <c r="W17" s="462"/>
    </row>
    <row r="18" ht="23.25" customHeight="1" spans="1:23">
      <c r="A18" s="464"/>
      <c r="B18" s="462" t="s">
        <v>1548</v>
      </c>
      <c r="C18" s="463" t="s">
        <v>52</v>
      </c>
      <c r="D18" s="463" t="s">
        <v>384</v>
      </c>
      <c r="E18" s="465"/>
      <c r="F18" s="465"/>
      <c r="G18" s="465"/>
      <c r="H18" s="465"/>
      <c r="I18" s="465"/>
      <c r="J18" s="463"/>
      <c r="K18" s="463"/>
      <c r="L18" s="463"/>
      <c r="M18" s="463"/>
      <c r="N18" s="463"/>
      <c r="O18" s="463"/>
      <c r="P18" s="463"/>
      <c r="Q18" s="463"/>
      <c r="R18" s="463"/>
      <c r="S18" s="462" t="str">
        <f t="shared" si="2"/>
        <v>正确</v>
      </c>
      <c r="T18" s="462"/>
      <c r="U18" s="462"/>
      <c r="V18" s="462"/>
      <c r="W18" s="462"/>
    </row>
    <row r="19" ht="23.25" customHeight="1" spans="1:23">
      <c r="A19" s="464"/>
      <c r="B19" s="462" t="s">
        <v>1549</v>
      </c>
      <c r="C19" s="463" t="s">
        <v>52</v>
      </c>
      <c r="D19" s="463" t="s">
        <v>384</v>
      </c>
      <c r="E19" s="465"/>
      <c r="F19" s="465"/>
      <c r="G19" s="465"/>
      <c r="H19" s="465"/>
      <c r="I19" s="465"/>
      <c r="J19" s="463"/>
      <c r="K19" s="463"/>
      <c r="L19" s="463"/>
      <c r="M19" s="463"/>
      <c r="N19" s="463"/>
      <c r="O19" s="463"/>
      <c r="P19" s="463"/>
      <c r="Q19" s="463"/>
      <c r="R19" s="463"/>
      <c r="S19" s="462" t="str">
        <f t="shared" si="2"/>
        <v>正确</v>
      </c>
      <c r="T19" s="462"/>
      <c r="U19" s="462"/>
      <c r="V19" s="462"/>
      <c r="W19" s="462"/>
    </row>
    <row r="20" ht="23.25" customHeight="1" spans="1:23">
      <c r="A20" s="464"/>
      <c r="B20" s="462" t="s">
        <v>1550</v>
      </c>
      <c r="C20" s="463" t="s">
        <v>52</v>
      </c>
      <c r="D20" s="463" t="s">
        <v>384</v>
      </c>
      <c r="E20" s="465"/>
      <c r="F20" s="465"/>
      <c r="G20" s="465"/>
      <c r="H20" s="465"/>
      <c r="I20" s="465"/>
      <c r="J20" s="463"/>
      <c r="K20" s="463"/>
      <c r="L20" s="463"/>
      <c r="M20" s="463"/>
      <c r="N20" s="463"/>
      <c r="O20" s="463"/>
      <c r="P20" s="463"/>
      <c r="Q20" s="463"/>
      <c r="R20" s="463"/>
      <c r="S20" s="462" t="str">
        <f t="shared" si="2"/>
        <v>正确</v>
      </c>
      <c r="T20" s="462"/>
      <c r="U20" s="462"/>
      <c r="V20" s="462"/>
      <c r="W20" s="462"/>
    </row>
    <row r="21" ht="23.25" customHeight="1" spans="1:23">
      <c r="A21" s="464"/>
      <c r="B21" s="462" t="s">
        <v>1551</v>
      </c>
      <c r="C21" s="463" t="s">
        <v>52</v>
      </c>
      <c r="D21" s="463" t="s">
        <v>384</v>
      </c>
      <c r="E21" s="465">
        <v>40</v>
      </c>
      <c r="F21" s="465">
        <v>27</v>
      </c>
      <c r="G21" s="465">
        <v>92</v>
      </c>
      <c r="H21" s="465">
        <v>2018</v>
      </c>
      <c r="I21" s="465">
        <v>2018</v>
      </c>
      <c r="J21" s="463">
        <f>K21</f>
        <v>1031.3</v>
      </c>
      <c r="K21" s="463">
        <v>1031.3</v>
      </c>
      <c r="L21" s="463"/>
      <c r="M21" s="463"/>
      <c r="N21" s="463">
        <v>531.3</v>
      </c>
      <c r="O21" s="463"/>
      <c r="P21" s="463">
        <v>500</v>
      </c>
      <c r="Q21" s="463"/>
      <c r="R21" s="463"/>
      <c r="S21" s="462" t="str">
        <f t="shared" si="2"/>
        <v>正确</v>
      </c>
      <c r="T21" s="462"/>
      <c r="U21" s="462"/>
      <c r="V21" s="462"/>
      <c r="W21" s="462"/>
    </row>
    <row r="22" ht="30.95" customHeight="1" spans="1:23">
      <c r="A22" s="464">
        <v>2</v>
      </c>
      <c r="B22" s="462" t="s">
        <v>761</v>
      </c>
      <c r="C22" s="463" t="s">
        <v>52</v>
      </c>
      <c r="D22" s="463" t="s">
        <v>384</v>
      </c>
      <c r="E22" s="465">
        <f t="shared" ref="E22:G22" si="10">E23+E36+E49</f>
        <v>2167</v>
      </c>
      <c r="F22" s="465">
        <f t="shared" si="10"/>
        <v>969</v>
      </c>
      <c r="G22" s="465">
        <f t="shared" si="10"/>
        <v>3353</v>
      </c>
      <c r="H22" s="465">
        <v>2018</v>
      </c>
      <c r="I22" s="465">
        <v>2018</v>
      </c>
      <c r="J22" s="463">
        <f>J23+J36+J49</f>
        <v>4389.6</v>
      </c>
      <c r="K22" s="463">
        <f>K23+K36+K49</f>
        <v>3678.6</v>
      </c>
      <c r="L22" s="463">
        <f t="shared" ref="L22:R22" si="11">L23+L36+L49</f>
        <v>711</v>
      </c>
      <c r="M22" s="463">
        <f t="shared" si="11"/>
        <v>0</v>
      </c>
      <c r="N22" s="463">
        <f t="shared" si="11"/>
        <v>0</v>
      </c>
      <c r="O22" s="463">
        <f t="shared" si="11"/>
        <v>4389.6</v>
      </c>
      <c r="P22" s="463">
        <f t="shared" si="11"/>
        <v>0</v>
      </c>
      <c r="Q22" s="463">
        <f t="shared" si="11"/>
        <v>0</v>
      </c>
      <c r="R22" s="463">
        <f t="shared" si="11"/>
        <v>0</v>
      </c>
      <c r="S22" s="462" t="str">
        <f t="shared" si="2"/>
        <v>正确</v>
      </c>
      <c r="T22" s="462" t="s">
        <v>1552</v>
      </c>
      <c r="U22" s="462" t="s">
        <v>1553</v>
      </c>
      <c r="V22" s="462" t="s">
        <v>273</v>
      </c>
      <c r="W22" s="462" t="s">
        <v>41</v>
      </c>
    </row>
    <row r="23" ht="23.25" customHeight="1" spans="1:23">
      <c r="A23" s="464">
        <v>3</v>
      </c>
      <c r="B23" s="462" t="s">
        <v>1072</v>
      </c>
      <c r="C23" s="463" t="s">
        <v>52</v>
      </c>
      <c r="D23" s="463" t="s">
        <v>384</v>
      </c>
      <c r="E23" s="465">
        <f t="shared" ref="E23:G23" si="12">E24+E25+E26+E27+E28+E29+E30+E31+E32+E33+E34+E35</f>
        <v>237</v>
      </c>
      <c r="F23" s="465">
        <f t="shared" si="12"/>
        <v>141</v>
      </c>
      <c r="G23" s="465">
        <f t="shared" si="12"/>
        <v>474</v>
      </c>
      <c r="H23" s="465">
        <v>2018</v>
      </c>
      <c r="I23" s="465">
        <v>2018</v>
      </c>
      <c r="J23" s="463">
        <f>SUM(J24:J35)</f>
        <v>711</v>
      </c>
      <c r="K23" s="463">
        <f>SUM(K24:K35)</f>
        <v>0</v>
      </c>
      <c r="L23" s="463">
        <f t="shared" ref="L23:R23" si="13">SUM(L24:L35)</f>
        <v>711</v>
      </c>
      <c r="M23" s="463">
        <f t="shared" si="13"/>
        <v>0</v>
      </c>
      <c r="N23" s="463">
        <f t="shared" si="13"/>
        <v>0</v>
      </c>
      <c r="O23" s="463">
        <f t="shared" si="13"/>
        <v>711</v>
      </c>
      <c r="P23" s="463">
        <f t="shared" si="13"/>
        <v>0</v>
      </c>
      <c r="Q23" s="463">
        <f t="shared" si="13"/>
        <v>0</v>
      </c>
      <c r="R23" s="463">
        <f t="shared" si="13"/>
        <v>0</v>
      </c>
      <c r="S23" s="462" t="str">
        <f t="shared" si="2"/>
        <v>正确</v>
      </c>
      <c r="T23" s="462"/>
      <c r="U23" s="462"/>
      <c r="V23" s="462"/>
      <c r="W23" s="462" t="s">
        <v>41</v>
      </c>
    </row>
    <row r="24" ht="23.25" customHeight="1" spans="1:23">
      <c r="A24" s="464"/>
      <c r="B24" s="462" t="s">
        <v>1554</v>
      </c>
      <c r="C24" s="463" t="s">
        <v>52</v>
      </c>
      <c r="D24" s="463" t="s">
        <v>384</v>
      </c>
      <c r="E24" s="465">
        <v>7</v>
      </c>
      <c r="F24" s="465">
        <v>6</v>
      </c>
      <c r="G24" s="465">
        <v>25</v>
      </c>
      <c r="H24" s="465">
        <v>2018</v>
      </c>
      <c r="I24" s="465">
        <v>2018</v>
      </c>
      <c r="J24" s="463">
        <f t="shared" ref="J24:J35" si="14">E24*3</f>
        <v>21</v>
      </c>
      <c r="K24" s="463"/>
      <c r="L24" s="463">
        <v>21</v>
      </c>
      <c r="M24" s="463"/>
      <c r="N24" s="463"/>
      <c r="O24" s="463">
        <f t="shared" ref="O24:O35" si="15">J24</f>
        <v>21</v>
      </c>
      <c r="P24" s="463"/>
      <c r="Q24" s="463"/>
      <c r="R24" s="463"/>
      <c r="S24" s="462" t="str">
        <f t="shared" si="2"/>
        <v>正确</v>
      </c>
      <c r="T24" s="462"/>
      <c r="U24" s="462"/>
      <c r="V24" s="462"/>
      <c r="W24" s="462"/>
    </row>
    <row r="25" ht="23.25" customHeight="1" spans="1:23">
      <c r="A25" s="464"/>
      <c r="B25" s="462" t="s">
        <v>1548</v>
      </c>
      <c r="C25" s="463" t="s">
        <v>52</v>
      </c>
      <c r="D25" s="463" t="s">
        <v>384</v>
      </c>
      <c r="E25" s="150">
        <v>42</v>
      </c>
      <c r="F25" s="150">
        <v>24</v>
      </c>
      <c r="G25" s="150">
        <v>91</v>
      </c>
      <c r="H25" s="465">
        <v>2018</v>
      </c>
      <c r="I25" s="465">
        <v>2018</v>
      </c>
      <c r="J25" s="463">
        <f t="shared" si="14"/>
        <v>126</v>
      </c>
      <c r="K25" s="463"/>
      <c r="L25" s="463">
        <v>126</v>
      </c>
      <c r="M25" s="463"/>
      <c r="N25" s="463"/>
      <c r="O25" s="463">
        <f t="shared" si="15"/>
        <v>126</v>
      </c>
      <c r="P25" s="463"/>
      <c r="Q25" s="463"/>
      <c r="R25" s="463"/>
      <c r="S25" s="462" t="str">
        <f t="shared" si="2"/>
        <v>正确</v>
      </c>
      <c r="T25" s="462"/>
      <c r="U25" s="462"/>
      <c r="V25" s="462"/>
      <c r="W25" s="462"/>
    </row>
    <row r="26" ht="23.25" customHeight="1" spans="1:23">
      <c r="A26" s="464"/>
      <c r="B26" s="462" t="s">
        <v>1542</v>
      </c>
      <c r="C26" s="463" t="s">
        <v>52</v>
      </c>
      <c r="D26" s="463" t="s">
        <v>384</v>
      </c>
      <c r="E26" s="150">
        <v>14</v>
      </c>
      <c r="F26" s="150">
        <v>6</v>
      </c>
      <c r="G26" s="150">
        <v>19</v>
      </c>
      <c r="H26" s="465">
        <v>2018</v>
      </c>
      <c r="I26" s="465">
        <v>2018</v>
      </c>
      <c r="J26" s="463">
        <f t="shared" si="14"/>
        <v>42</v>
      </c>
      <c r="K26" s="463"/>
      <c r="L26" s="463">
        <v>42</v>
      </c>
      <c r="M26" s="463"/>
      <c r="N26" s="463"/>
      <c r="O26" s="463">
        <f t="shared" si="15"/>
        <v>42</v>
      </c>
      <c r="P26" s="463"/>
      <c r="Q26" s="463"/>
      <c r="R26" s="463"/>
      <c r="S26" s="462" t="str">
        <f t="shared" si="2"/>
        <v>正确</v>
      </c>
      <c r="T26" s="462"/>
      <c r="U26" s="462"/>
      <c r="V26" s="462"/>
      <c r="W26" s="462"/>
    </row>
    <row r="27" ht="23.25" customHeight="1" spans="1:23">
      <c r="A27" s="464"/>
      <c r="B27" s="462" t="s">
        <v>1555</v>
      </c>
      <c r="C27" s="463" t="s">
        <v>52</v>
      </c>
      <c r="D27" s="463" t="s">
        <v>384</v>
      </c>
      <c r="E27" s="150">
        <v>29</v>
      </c>
      <c r="F27" s="150">
        <v>20</v>
      </c>
      <c r="G27" s="150">
        <v>75</v>
      </c>
      <c r="H27" s="465">
        <v>2018</v>
      </c>
      <c r="I27" s="465">
        <v>2018</v>
      </c>
      <c r="J27" s="463">
        <f t="shared" si="14"/>
        <v>87</v>
      </c>
      <c r="K27" s="463"/>
      <c r="L27" s="463">
        <v>87</v>
      </c>
      <c r="M27" s="463"/>
      <c r="N27" s="463"/>
      <c r="O27" s="463">
        <f t="shared" si="15"/>
        <v>87</v>
      </c>
      <c r="P27" s="463"/>
      <c r="Q27" s="463"/>
      <c r="R27" s="463"/>
      <c r="S27" s="462" t="str">
        <f t="shared" si="2"/>
        <v>正确</v>
      </c>
      <c r="T27" s="462"/>
      <c r="U27" s="462"/>
      <c r="V27" s="462"/>
      <c r="W27" s="462"/>
    </row>
    <row r="28" ht="23.25" customHeight="1" spans="1:23">
      <c r="A28" s="464"/>
      <c r="B28" s="462" t="s">
        <v>1541</v>
      </c>
      <c r="C28" s="463" t="s">
        <v>52</v>
      </c>
      <c r="D28" s="463" t="s">
        <v>384</v>
      </c>
      <c r="E28" s="465">
        <v>12</v>
      </c>
      <c r="F28" s="465">
        <v>9</v>
      </c>
      <c r="G28" s="465">
        <v>28</v>
      </c>
      <c r="H28" s="465">
        <v>2018</v>
      </c>
      <c r="I28" s="465">
        <v>2018</v>
      </c>
      <c r="J28" s="463">
        <f t="shared" si="14"/>
        <v>36</v>
      </c>
      <c r="K28" s="463"/>
      <c r="L28" s="463">
        <v>36</v>
      </c>
      <c r="M28" s="463"/>
      <c r="N28" s="463"/>
      <c r="O28" s="463">
        <f t="shared" si="15"/>
        <v>36</v>
      </c>
      <c r="P28" s="463"/>
      <c r="Q28" s="463"/>
      <c r="R28" s="463"/>
      <c r="S28" s="462" t="str">
        <f t="shared" si="2"/>
        <v>正确</v>
      </c>
      <c r="T28" s="462"/>
      <c r="U28" s="462"/>
      <c r="V28" s="462"/>
      <c r="W28" s="462"/>
    </row>
    <row r="29" ht="23.25" customHeight="1" spans="1:23">
      <c r="A29" s="464"/>
      <c r="B29" s="462" t="s">
        <v>1543</v>
      </c>
      <c r="C29" s="463" t="s">
        <v>52</v>
      </c>
      <c r="D29" s="463" t="s">
        <v>384</v>
      </c>
      <c r="E29" s="150">
        <v>23</v>
      </c>
      <c r="F29" s="150">
        <v>11</v>
      </c>
      <c r="G29" s="150">
        <v>36</v>
      </c>
      <c r="H29" s="465">
        <v>2018</v>
      </c>
      <c r="I29" s="465">
        <v>2018</v>
      </c>
      <c r="J29" s="463">
        <f t="shared" si="14"/>
        <v>69</v>
      </c>
      <c r="K29" s="463"/>
      <c r="L29" s="463">
        <v>69</v>
      </c>
      <c r="M29" s="463"/>
      <c r="N29" s="463"/>
      <c r="O29" s="463">
        <f t="shared" si="15"/>
        <v>69</v>
      </c>
      <c r="P29" s="463"/>
      <c r="Q29" s="463"/>
      <c r="R29" s="463"/>
      <c r="S29" s="462" t="str">
        <f t="shared" si="2"/>
        <v>正确</v>
      </c>
      <c r="T29" s="462"/>
      <c r="U29" s="462"/>
      <c r="V29" s="462"/>
      <c r="W29" s="462"/>
    </row>
    <row r="30" ht="23.25" customHeight="1" spans="1:23">
      <c r="A30" s="464"/>
      <c r="B30" s="462" t="s">
        <v>1556</v>
      </c>
      <c r="C30" s="463" t="s">
        <v>52</v>
      </c>
      <c r="D30" s="463" t="s">
        <v>384</v>
      </c>
      <c r="E30" s="150">
        <v>15</v>
      </c>
      <c r="F30" s="150">
        <v>13</v>
      </c>
      <c r="G30" s="150">
        <v>36</v>
      </c>
      <c r="H30" s="465">
        <v>2018</v>
      </c>
      <c r="I30" s="465">
        <v>2018</v>
      </c>
      <c r="J30" s="463">
        <f t="shared" si="14"/>
        <v>45</v>
      </c>
      <c r="K30" s="463"/>
      <c r="L30" s="463">
        <v>45</v>
      </c>
      <c r="M30" s="463"/>
      <c r="N30" s="463"/>
      <c r="O30" s="463">
        <f t="shared" si="15"/>
        <v>45</v>
      </c>
      <c r="P30" s="463"/>
      <c r="Q30" s="463"/>
      <c r="R30" s="463"/>
      <c r="S30" s="462" t="str">
        <f t="shared" si="2"/>
        <v>正确</v>
      </c>
      <c r="T30" s="462"/>
      <c r="U30" s="462"/>
      <c r="V30" s="462"/>
      <c r="W30" s="462"/>
    </row>
    <row r="31" ht="23.25" customHeight="1" spans="1:23">
      <c r="A31" s="464"/>
      <c r="B31" s="462" t="s">
        <v>1551</v>
      </c>
      <c r="C31" s="463" t="s">
        <v>52</v>
      </c>
      <c r="D31" s="463" t="s">
        <v>384</v>
      </c>
      <c r="E31" s="465">
        <v>8</v>
      </c>
      <c r="F31" s="465">
        <v>4</v>
      </c>
      <c r="G31" s="465">
        <v>13</v>
      </c>
      <c r="H31" s="465">
        <v>2018</v>
      </c>
      <c r="I31" s="465">
        <v>2018</v>
      </c>
      <c r="J31" s="463">
        <f t="shared" si="14"/>
        <v>24</v>
      </c>
      <c r="K31" s="463"/>
      <c r="L31" s="463">
        <v>24</v>
      </c>
      <c r="M31" s="463"/>
      <c r="N31" s="463"/>
      <c r="O31" s="463">
        <f t="shared" si="15"/>
        <v>24</v>
      </c>
      <c r="P31" s="463"/>
      <c r="Q31" s="463"/>
      <c r="R31" s="463"/>
      <c r="S31" s="462" t="str">
        <f t="shared" si="2"/>
        <v>正确</v>
      </c>
      <c r="T31" s="462"/>
      <c r="U31" s="462"/>
      <c r="V31" s="462"/>
      <c r="W31" s="462"/>
    </row>
    <row r="32" ht="23.25" customHeight="1" spans="1:23">
      <c r="A32" s="464"/>
      <c r="B32" s="462" t="s">
        <v>1544</v>
      </c>
      <c r="C32" s="463" t="s">
        <v>52</v>
      </c>
      <c r="D32" s="463" t="s">
        <v>384</v>
      </c>
      <c r="E32" s="150">
        <v>20</v>
      </c>
      <c r="F32" s="150">
        <v>9</v>
      </c>
      <c r="G32" s="150">
        <v>32</v>
      </c>
      <c r="H32" s="465">
        <v>2018</v>
      </c>
      <c r="I32" s="465">
        <v>2018</v>
      </c>
      <c r="J32" s="463">
        <f t="shared" si="14"/>
        <v>60</v>
      </c>
      <c r="K32" s="463"/>
      <c r="L32" s="463">
        <v>60</v>
      </c>
      <c r="M32" s="463"/>
      <c r="N32" s="463"/>
      <c r="O32" s="463">
        <f t="shared" si="15"/>
        <v>60</v>
      </c>
      <c r="P32" s="463"/>
      <c r="Q32" s="463"/>
      <c r="R32" s="463"/>
      <c r="S32" s="462" t="str">
        <f t="shared" si="2"/>
        <v>正确</v>
      </c>
      <c r="T32" s="462"/>
      <c r="U32" s="462"/>
      <c r="V32" s="462"/>
      <c r="W32" s="462"/>
    </row>
    <row r="33" ht="23.25" customHeight="1" spans="1:23">
      <c r="A33" s="464"/>
      <c r="B33" s="462" t="s">
        <v>1547</v>
      </c>
      <c r="C33" s="463" t="s">
        <v>52</v>
      </c>
      <c r="D33" s="463" t="s">
        <v>384</v>
      </c>
      <c r="E33" s="465">
        <v>25</v>
      </c>
      <c r="F33" s="465">
        <v>13</v>
      </c>
      <c r="G33" s="465">
        <v>42</v>
      </c>
      <c r="H33" s="465">
        <v>2018</v>
      </c>
      <c r="I33" s="465">
        <v>2018</v>
      </c>
      <c r="J33" s="463">
        <f t="shared" si="14"/>
        <v>75</v>
      </c>
      <c r="K33" s="463"/>
      <c r="L33" s="463">
        <v>75</v>
      </c>
      <c r="M33" s="463"/>
      <c r="N33" s="463"/>
      <c r="O33" s="463">
        <f t="shared" si="15"/>
        <v>75</v>
      </c>
      <c r="P33" s="463"/>
      <c r="Q33" s="463"/>
      <c r="R33" s="463"/>
      <c r="S33" s="462" t="str">
        <f t="shared" si="2"/>
        <v>正确</v>
      </c>
      <c r="T33" s="462"/>
      <c r="U33" s="462"/>
      <c r="V33" s="462"/>
      <c r="W33" s="462"/>
    </row>
    <row r="34" ht="23.25" customHeight="1" spans="1:23">
      <c r="A34" s="464"/>
      <c r="B34" s="462" t="s">
        <v>1557</v>
      </c>
      <c r="C34" s="463" t="s">
        <v>52</v>
      </c>
      <c r="D34" s="463" t="s">
        <v>384</v>
      </c>
      <c r="E34" s="465">
        <v>26</v>
      </c>
      <c r="F34" s="465">
        <v>17</v>
      </c>
      <c r="G34" s="465">
        <v>44</v>
      </c>
      <c r="H34" s="465">
        <v>2018</v>
      </c>
      <c r="I34" s="465">
        <v>2018</v>
      </c>
      <c r="J34" s="463">
        <f t="shared" si="14"/>
        <v>78</v>
      </c>
      <c r="K34" s="463"/>
      <c r="L34" s="463">
        <v>78</v>
      </c>
      <c r="M34" s="463"/>
      <c r="N34" s="463"/>
      <c r="O34" s="463">
        <f t="shared" si="15"/>
        <v>78</v>
      </c>
      <c r="P34" s="463"/>
      <c r="Q34" s="463"/>
      <c r="R34" s="463"/>
      <c r="S34" s="462" t="str">
        <f t="shared" si="2"/>
        <v>正确</v>
      </c>
      <c r="T34" s="462"/>
      <c r="U34" s="462"/>
      <c r="V34" s="462"/>
      <c r="W34" s="462"/>
    </row>
    <row r="35" ht="23.25" customHeight="1" spans="1:23">
      <c r="A35" s="464"/>
      <c r="B35" s="462" t="s">
        <v>1558</v>
      </c>
      <c r="C35" s="463" t="s">
        <v>52</v>
      </c>
      <c r="D35" s="463" t="s">
        <v>384</v>
      </c>
      <c r="E35" s="150">
        <v>16</v>
      </c>
      <c r="F35" s="150">
        <v>9</v>
      </c>
      <c r="G35" s="150">
        <v>33</v>
      </c>
      <c r="H35" s="465">
        <v>2018</v>
      </c>
      <c r="I35" s="465">
        <v>2018</v>
      </c>
      <c r="J35" s="463">
        <f t="shared" si="14"/>
        <v>48</v>
      </c>
      <c r="K35" s="463"/>
      <c r="L35" s="463">
        <v>48</v>
      </c>
      <c r="M35" s="463"/>
      <c r="N35" s="463"/>
      <c r="O35" s="463">
        <f t="shared" si="15"/>
        <v>48</v>
      </c>
      <c r="P35" s="463"/>
      <c r="Q35" s="463"/>
      <c r="R35" s="463"/>
      <c r="S35" s="462" t="str">
        <f t="shared" si="2"/>
        <v>正确</v>
      </c>
      <c r="T35" s="462"/>
      <c r="U35" s="462"/>
      <c r="V35" s="462"/>
      <c r="W35" s="462"/>
    </row>
    <row r="36" ht="23.25" customHeight="1" spans="1:23">
      <c r="A36" s="464">
        <v>3</v>
      </c>
      <c r="B36" s="462" t="s">
        <v>1074</v>
      </c>
      <c r="C36" s="463" t="s">
        <v>52</v>
      </c>
      <c r="D36" s="463" t="s">
        <v>384</v>
      </c>
      <c r="E36" s="465">
        <f t="shared" ref="E36:G36" si="16">E37+E38+E39+E40+E41+E42+E43+E44+E45+E46+E47+E48</f>
        <v>1837</v>
      </c>
      <c r="F36" s="465">
        <f t="shared" si="16"/>
        <v>770</v>
      </c>
      <c r="G36" s="465">
        <f t="shared" si="16"/>
        <v>2742</v>
      </c>
      <c r="H36" s="465">
        <v>2018</v>
      </c>
      <c r="I36" s="465">
        <v>2018</v>
      </c>
      <c r="J36" s="463">
        <f t="shared" ref="J36:O36" si="17">SUM(J37:J48)</f>
        <v>3306.6</v>
      </c>
      <c r="K36" s="463">
        <f t="shared" si="17"/>
        <v>3306.6</v>
      </c>
      <c r="L36" s="463">
        <f t="shared" si="17"/>
        <v>0</v>
      </c>
      <c r="M36" s="463">
        <f t="shared" si="17"/>
        <v>0</v>
      </c>
      <c r="N36" s="463">
        <f t="shared" si="17"/>
        <v>0</v>
      </c>
      <c r="O36" s="463">
        <f t="shared" si="17"/>
        <v>3306.6</v>
      </c>
      <c r="P36" s="463"/>
      <c r="Q36" s="463"/>
      <c r="R36" s="463"/>
      <c r="S36" s="462" t="str">
        <f t="shared" si="2"/>
        <v>正确</v>
      </c>
      <c r="T36" s="462" t="s">
        <v>1552</v>
      </c>
      <c r="U36" s="462" t="s">
        <v>1553</v>
      </c>
      <c r="V36" s="462" t="s">
        <v>273</v>
      </c>
      <c r="W36" s="462" t="s">
        <v>41</v>
      </c>
    </row>
    <row r="37" ht="23.25" customHeight="1" spans="1:23">
      <c r="A37" s="464"/>
      <c r="B37" s="462" t="s">
        <v>1554</v>
      </c>
      <c r="C37" s="463" t="s">
        <v>52</v>
      </c>
      <c r="D37" s="463" t="s">
        <v>384</v>
      </c>
      <c r="E37" s="465">
        <v>120</v>
      </c>
      <c r="F37" s="465">
        <v>31</v>
      </c>
      <c r="G37" s="465">
        <v>108</v>
      </c>
      <c r="H37" s="465">
        <v>2018</v>
      </c>
      <c r="I37" s="465">
        <v>2018</v>
      </c>
      <c r="J37" s="463">
        <f t="shared" ref="J37:J48" si="18">E37*1.8</f>
        <v>216</v>
      </c>
      <c r="K37" s="463">
        <f t="shared" ref="K37:K48" si="19">J37</f>
        <v>216</v>
      </c>
      <c r="L37" s="463"/>
      <c r="M37" s="463"/>
      <c r="N37" s="463"/>
      <c r="O37" s="463">
        <f t="shared" ref="O37:O48" si="20">J37</f>
        <v>216</v>
      </c>
      <c r="P37" s="463"/>
      <c r="Q37" s="463"/>
      <c r="R37" s="463"/>
      <c r="S37" s="462" t="str">
        <f t="shared" si="2"/>
        <v>正确</v>
      </c>
      <c r="T37" s="462"/>
      <c r="U37" s="462"/>
      <c r="V37" s="462"/>
      <c r="W37" s="462"/>
    </row>
    <row r="38" ht="23.25" customHeight="1" spans="1:23">
      <c r="A38" s="464"/>
      <c r="B38" s="462" t="s">
        <v>1548</v>
      </c>
      <c r="C38" s="463" t="s">
        <v>52</v>
      </c>
      <c r="D38" s="463" t="s">
        <v>384</v>
      </c>
      <c r="E38" s="150">
        <v>385</v>
      </c>
      <c r="F38" s="150">
        <v>184</v>
      </c>
      <c r="G38" s="150">
        <v>660</v>
      </c>
      <c r="H38" s="465">
        <v>2018</v>
      </c>
      <c r="I38" s="465">
        <v>2018</v>
      </c>
      <c r="J38" s="463">
        <f t="shared" si="18"/>
        <v>693</v>
      </c>
      <c r="K38" s="463">
        <f t="shared" si="19"/>
        <v>693</v>
      </c>
      <c r="L38" s="463"/>
      <c r="M38" s="463"/>
      <c r="N38" s="463"/>
      <c r="O38" s="463">
        <f t="shared" si="20"/>
        <v>693</v>
      </c>
      <c r="P38" s="463"/>
      <c r="Q38" s="463"/>
      <c r="R38" s="463"/>
      <c r="S38" s="462" t="str">
        <f t="shared" si="2"/>
        <v>正确</v>
      </c>
      <c r="T38" s="462"/>
      <c r="U38" s="462"/>
      <c r="V38" s="462"/>
      <c r="W38" s="462"/>
    </row>
    <row r="39" ht="23.25" customHeight="1" spans="1:23">
      <c r="A39" s="464"/>
      <c r="B39" s="462" t="s">
        <v>1542</v>
      </c>
      <c r="C39" s="463" t="s">
        <v>52</v>
      </c>
      <c r="D39" s="463" t="s">
        <v>384</v>
      </c>
      <c r="E39" s="150">
        <v>151</v>
      </c>
      <c r="F39" s="150">
        <v>41</v>
      </c>
      <c r="G39" s="150">
        <v>151</v>
      </c>
      <c r="H39" s="465">
        <v>2018</v>
      </c>
      <c r="I39" s="465">
        <v>2018</v>
      </c>
      <c r="J39" s="463">
        <f t="shared" si="18"/>
        <v>271.8</v>
      </c>
      <c r="K39" s="463">
        <f t="shared" si="19"/>
        <v>271.8</v>
      </c>
      <c r="L39" s="463"/>
      <c r="M39" s="463"/>
      <c r="N39" s="463"/>
      <c r="O39" s="463">
        <f t="shared" si="20"/>
        <v>271.8</v>
      </c>
      <c r="P39" s="463"/>
      <c r="Q39" s="463"/>
      <c r="R39" s="463"/>
      <c r="S39" s="462" t="str">
        <f t="shared" si="2"/>
        <v>正确</v>
      </c>
      <c r="T39" s="462"/>
      <c r="U39" s="462"/>
      <c r="V39" s="462"/>
      <c r="W39" s="462"/>
    </row>
    <row r="40" ht="23.25" customHeight="1" spans="1:23">
      <c r="A40" s="464"/>
      <c r="B40" s="462" t="s">
        <v>1555</v>
      </c>
      <c r="C40" s="463" t="s">
        <v>52</v>
      </c>
      <c r="D40" s="463" t="s">
        <v>384</v>
      </c>
      <c r="E40" s="150">
        <v>74</v>
      </c>
      <c r="F40" s="150">
        <v>43</v>
      </c>
      <c r="G40" s="150">
        <v>169</v>
      </c>
      <c r="H40" s="465">
        <v>2018</v>
      </c>
      <c r="I40" s="465">
        <v>2018</v>
      </c>
      <c r="J40" s="463">
        <f t="shared" si="18"/>
        <v>133.2</v>
      </c>
      <c r="K40" s="463">
        <f t="shared" si="19"/>
        <v>133.2</v>
      </c>
      <c r="L40" s="463"/>
      <c r="M40" s="463"/>
      <c r="N40" s="463"/>
      <c r="O40" s="463">
        <f t="shared" si="20"/>
        <v>133.2</v>
      </c>
      <c r="P40" s="463"/>
      <c r="Q40" s="463"/>
      <c r="R40" s="463"/>
      <c r="S40" s="462" t="str">
        <f t="shared" si="2"/>
        <v>正确</v>
      </c>
      <c r="T40" s="462"/>
      <c r="U40" s="462"/>
      <c r="V40" s="462"/>
      <c r="W40" s="462"/>
    </row>
    <row r="41" ht="23.25" customHeight="1" spans="1:23">
      <c r="A41" s="464"/>
      <c r="B41" s="462" t="s">
        <v>1541</v>
      </c>
      <c r="C41" s="463" t="s">
        <v>52</v>
      </c>
      <c r="D41" s="463" t="s">
        <v>384</v>
      </c>
      <c r="E41" s="465">
        <v>141</v>
      </c>
      <c r="F41" s="465">
        <v>94</v>
      </c>
      <c r="G41" s="465">
        <v>279</v>
      </c>
      <c r="H41" s="465">
        <v>2018</v>
      </c>
      <c r="I41" s="465">
        <v>2018</v>
      </c>
      <c r="J41" s="463">
        <f t="shared" si="18"/>
        <v>253.8</v>
      </c>
      <c r="K41" s="463">
        <f t="shared" si="19"/>
        <v>253.8</v>
      </c>
      <c r="L41" s="463"/>
      <c r="M41" s="463"/>
      <c r="N41" s="463"/>
      <c r="O41" s="463">
        <f t="shared" si="20"/>
        <v>253.8</v>
      </c>
      <c r="P41" s="463"/>
      <c r="Q41" s="463"/>
      <c r="R41" s="463"/>
      <c r="S41" s="462" t="str">
        <f t="shared" si="2"/>
        <v>正确</v>
      </c>
      <c r="T41" s="462"/>
      <c r="U41" s="462"/>
      <c r="V41" s="462"/>
      <c r="W41" s="462"/>
    </row>
    <row r="42" ht="23.25" customHeight="1" spans="1:23">
      <c r="A42" s="464"/>
      <c r="B42" s="462" t="s">
        <v>1543</v>
      </c>
      <c r="C42" s="463" t="s">
        <v>52</v>
      </c>
      <c r="D42" s="463" t="s">
        <v>384</v>
      </c>
      <c r="E42" s="150">
        <v>33</v>
      </c>
      <c r="F42" s="150">
        <v>14</v>
      </c>
      <c r="G42" s="150">
        <v>49</v>
      </c>
      <c r="H42" s="465">
        <v>2018</v>
      </c>
      <c r="I42" s="465">
        <v>2018</v>
      </c>
      <c r="J42" s="463">
        <f t="shared" si="18"/>
        <v>59.4</v>
      </c>
      <c r="K42" s="463">
        <f t="shared" si="19"/>
        <v>59.4</v>
      </c>
      <c r="L42" s="463"/>
      <c r="M42" s="463"/>
      <c r="N42" s="463"/>
      <c r="O42" s="463">
        <f t="shared" si="20"/>
        <v>59.4</v>
      </c>
      <c r="P42" s="463"/>
      <c r="Q42" s="463"/>
      <c r="R42" s="463"/>
      <c r="S42" s="462" t="str">
        <f t="shared" si="2"/>
        <v>正确</v>
      </c>
      <c r="T42" s="462"/>
      <c r="U42" s="462"/>
      <c r="V42" s="462"/>
      <c r="W42" s="462"/>
    </row>
    <row r="43" ht="23.25" customHeight="1" spans="1:23">
      <c r="A43" s="464"/>
      <c r="B43" s="462" t="s">
        <v>1556</v>
      </c>
      <c r="C43" s="463" t="s">
        <v>52</v>
      </c>
      <c r="D43" s="463" t="s">
        <v>384</v>
      </c>
      <c r="E43" s="465">
        <v>239</v>
      </c>
      <c r="F43" s="465">
        <v>93</v>
      </c>
      <c r="G43" s="465">
        <v>337</v>
      </c>
      <c r="H43" s="465">
        <v>2018</v>
      </c>
      <c r="I43" s="465">
        <v>2018</v>
      </c>
      <c r="J43" s="463">
        <f t="shared" si="18"/>
        <v>430.2</v>
      </c>
      <c r="K43" s="463">
        <f t="shared" si="19"/>
        <v>430.2</v>
      </c>
      <c r="L43" s="463"/>
      <c r="M43" s="463"/>
      <c r="N43" s="463"/>
      <c r="O43" s="463">
        <f t="shared" si="20"/>
        <v>430.2</v>
      </c>
      <c r="P43" s="463"/>
      <c r="Q43" s="463"/>
      <c r="R43" s="463"/>
      <c r="S43" s="462" t="str">
        <f t="shared" si="2"/>
        <v>正确</v>
      </c>
      <c r="T43" s="462"/>
      <c r="U43" s="462"/>
      <c r="V43" s="462"/>
      <c r="W43" s="462"/>
    </row>
    <row r="44" ht="23.25" customHeight="1" spans="1:23">
      <c r="A44" s="464"/>
      <c r="B44" s="462" t="s">
        <v>1551</v>
      </c>
      <c r="C44" s="463" t="s">
        <v>52</v>
      </c>
      <c r="D44" s="463" t="s">
        <v>384</v>
      </c>
      <c r="E44" s="465">
        <v>86</v>
      </c>
      <c r="F44" s="465">
        <v>36</v>
      </c>
      <c r="G44" s="465">
        <v>134</v>
      </c>
      <c r="H44" s="465">
        <v>2018</v>
      </c>
      <c r="I44" s="465">
        <v>2018</v>
      </c>
      <c r="J44" s="463">
        <f t="shared" si="18"/>
        <v>154.8</v>
      </c>
      <c r="K44" s="463">
        <f t="shared" si="19"/>
        <v>154.8</v>
      </c>
      <c r="L44" s="463"/>
      <c r="M44" s="463"/>
      <c r="N44" s="463"/>
      <c r="O44" s="463">
        <f t="shared" si="20"/>
        <v>154.8</v>
      </c>
      <c r="P44" s="463"/>
      <c r="Q44" s="463"/>
      <c r="R44" s="463"/>
      <c r="S44" s="462" t="str">
        <f t="shared" si="2"/>
        <v>正确</v>
      </c>
      <c r="T44" s="462"/>
      <c r="U44" s="462"/>
      <c r="V44" s="462"/>
      <c r="W44" s="462"/>
    </row>
    <row r="45" ht="23.25" customHeight="1" spans="1:23">
      <c r="A45" s="464"/>
      <c r="B45" s="462" t="s">
        <v>1544</v>
      </c>
      <c r="C45" s="463" t="s">
        <v>52</v>
      </c>
      <c r="D45" s="463" t="s">
        <v>384</v>
      </c>
      <c r="E45" s="150">
        <v>110</v>
      </c>
      <c r="F45" s="150">
        <v>27</v>
      </c>
      <c r="G45" s="150">
        <v>79</v>
      </c>
      <c r="H45" s="465">
        <v>2018</v>
      </c>
      <c r="I45" s="465">
        <v>2018</v>
      </c>
      <c r="J45" s="463">
        <f t="shared" si="18"/>
        <v>198</v>
      </c>
      <c r="K45" s="463">
        <f t="shared" si="19"/>
        <v>198</v>
      </c>
      <c r="L45" s="463"/>
      <c r="M45" s="463"/>
      <c r="N45" s="463"/>
      <c r="O45" s="463">
        <f t="shared" si="20"/>
        <v>198</v>
      </c>
      <c r="P45" s="463"/>
      <c r="Q45" s="463"/>
      <c r="R45" s="463"/>
      <c r="S45" s="462" t="str">
        <f t="shared" si="2"/>
        <v>正确</v>
      </c>
      <c r="T45" s="462"/>
      <c r="U45" s="462"/>
      <c r="V45" s="462"/>
      <c r="W45" s="462"/>
    </row>
    <row r="46" ht="23.25" customHeight="1" spans="1:23">
      <c r="A46" s="464"/>
      <c r="B46" s="462" t="s">
        <v>1547</v>
      </c>
      <c r="C46" s="463" t="s">
        <v>52</v>
      </c>
      <c r="D46" s="463" t="s">
        <v>384</v>
      </c>
      <c r="E46" s="465">
        <v>323</v>
      </c>
      <c r="F46" s="465">
        <v>119</v>
      </c>
      <c r="G46" s="465">
        <v>482</v>
      </c>
      <c r="H46" s="465">
        <v>2018</v>
      </c>
      <c r="I46" s="465">
        <v>2018</v>
      </c>
      <c r="J46" s="463">
        <f t="shared" si="18"/>
        <v>581.4</v>
      </c>
      <c r="K46" s="463">
        <f t="shared" si="19"/>
        <v>581.4</v>
      </c>
      <c r="L46" s="463"/>
      <c r="M46" s="463"/>
      <c r="N46" s="463"/>
      <c r="O46" s="463">
        <f t="shared" si="20"/>
        <v>581.4</v>
      </c>
      <c r="P46" s="463"/>
      <c r="Q46" s="463"/>
      <c r="R46" s="463"/>
      <c r="S46" s="462" t="str">
        <f t="shared" si="2"/>
        <v>正确</v>
      </c>
      <c r="T46" s="462"/>
      <c r="U46" s="462"/>
      <c r="V46" s="462"/>
      <c r="W46" s="462"/>
    </row>
    <row r="47" ht="23.25" customHeight="1" spans="1:23">
      <c r="A47" s="464"/>
      <c r="B47" s="462" t="s">
        <v>1557</v>
      </c>
      <c r="C47" s="463" t="s">
        <v>52</v>
      </c>
      <c r="D47" s="463" t="s">
        <v>384</v>
      </c>
      <c r="E47" s="465">
        <v>99</v>
      </c>
      <c r="F47" s="465">
        <v>59</v>
      </c>
      <c r="G47" s="465">
        <v>202</v>
      </c>
      <c r="H47" s="465">
        <v>2018</v>
      </c>
      <c r="I47" s="465">
        <v>2018</v>
      </c>
      <c r="J47" s="463">
        <f t="shared" si="18"/>
        <v>178.2</v>
      </c>
      <c r="K47" s="463">
        <f t="shared" si="19"/>
        <v>178.2</v>
      </c>
      <c r="L47" s="463"/>
      <c r="M47" s="463"/>
      <c r="N47" s="463"/>
      <c r="O47" s="463">
        <f t="shared" si="20"/>
        <v>178.2</v>
      </c>
      <c r="P47" s="463"/>
      <c r="Q47" s="463"/>
      <c r="R47" s="463"/>
      <c r="S47" s="462" t="str">
        <f t="shared" si="2"/>
        <v>正确</v>
      </c>
      <c r="T47" s="462"/>
      <c r="U47" s="462"/>
      <c r="V47" s="462"/>
      <c r="W47" s="462"/>
    </row>
    <row r="48" ht="23.25" customHeight="1" spans="1:23">
      <c r="A48" s="464"/>
      <c r="B48" s="462" t="s">
        <v>1558</v>
      </c>
      <c r="C48" s="463" t="s">
        <v>52</v>
      </c>
      <c r="D48" s="463" t="s">
        <v>384</v>
      </c>
      <c r="E48" s="150">
        <v>76</v>
      </c>
      <c r="F48" s="150">
        <v>29</v>
      </c>
      <c r="G48" s="150">
        <v>92</v>
      </c>
      <c r="H48" s="465">
        <v>2018</v>
      </c>
      <c r="I48" s="465">
        <v>2018</v>
      </c>
      <c r="J48" s="463">
        <f t="shared" si="18"/>
        <v>136.8</v>
      </c>
      <c r="K48" s="463">
        <f t="shared" si="19"/>
        <v>136.8</v>
      </c>
      <c r="L48" s="463"/>
      <c r="M48" s="463"/>
      <c r="N48" s="463"/>
      <c r="O48" s="463">
        <f t="shared" si="20"/>
        <v>136.8</v>
      </c>
      <c r="P48" s="463"/>
      <c r="Q48" s="463"/>
      <c r="R48" s="463"/>
      <c r="S48" s="462" t="str">
        <f t="shared" si="2"/>
        <v>正确</v>
      </c>
      <c r="T48" s="462"/>
      <c r="U48" s="462"/>
      <c r="V48" s="462"/>
      <c r="W48" s="462"/>
    </row>
    <row r="49" ht="23.25" customHeight="1" spans="1:23">
      <c r="A49" s="464">
        <v>3</v>
      </c>
      <c r="B49" s="462" t="s">
        <v>1075</v>
      </c>
      <c r="C49" s="463" t="s">
        <v>52</v>
      </c>
      <c r="D49" s="463" t="s">
        <v>384</v>
      </c>
      <c r="E49" s="465">
        <f t="shared" ref="E49:G49" si="21">E50+E51+E52+E53+E54+E55+E56+E57+E58+E59+E60+E61</f>
        <v>93</v>
      </c>
      <c r="F49" s="465">
        <f t="shared" si="21"/>
        <v>58</v>
      </c>
      <c r="G49" s="465">
        <f t="shared" si="21"/>
        <v>137</v>
      </c>
      <c r="H49" s="465">
        <v>2018</v>
      </c>
      <c r="I49" s="465">
        <v>2018</v>
      </c>
      <c r="J49" s="463">
        <f t="shared" ref="J49:O49" si="22">SUM(J50:J61)</f>
        <v>372</v>
      </c>
      <c r="K49" s="463">
        <f t="shared" si="22"/>
        <v>372</v>
      </c>
      <c r="L49" s="463"/>
      <c r="M49" s="463"/>
      <c r="N49" s="463"/>
      <c r="O49" s="463">
        <f t="shared" si="22"/>
        <v>372</v>
      </c>
      <c r="P49" s="463"/>
      <c r="Q49" s="463"/>
      <c r="R49" s="463"/>
      <c r="S49" s="462" t="str">
        <f t="shared" si="2"/>
        <v>正确</v>
      </c>
      <c r="T49" s="462" t="s">
        <v>1552</v>
      </c>
      <c r="U49" s="462" t="s">
        <v>1553</v>
      </c>
      <c r="V49" s="462" t="s">
        <v>273</v>
      </c>
      <c r="W49" s="462" t="s">
        <v>41</v>
      </c>
    </row>
    <row r="50" ht="23.25" customHeight="1" spans="1:23">
      <c r="A50" s="464"/>
      <c r="B50" s="462" t="s">
        <v>1554</v>
      </c>
      <c r="C50" s="463" t="s">
        <v>52</v>
      </c>
      <c r="D50" s="463" t="s">
        <v>384</v>
      </c>
      <c r="E50" s="465">
        <v>4</v>
      </c>
      <c r="F50" s="465">
        <v>2</v>
      </c>
      <c r="G50" s="465">
        <v>5</v>
      </c>
      <c r="H50" s="465">
        <v>2018</v>
      </c>
      <c r="I50" s="465">
        <v>2018</v>
      </c>
      <c r="J50" s="463">
        <f t="shared" ref="J50:J61" si="23">E50*4</f>
        <v>16</v>
      </c>
      <c r="K50" s="463">
        <f t="shared" ref="K50:K61" si="24">J50</f>
        <v>16</v>
      </c>
      <c r="L50" s="463"/>
      <c r="M50" s="463"/>
      <c r="N50" s="463"/>
      <c r="O50" s="463">
        <f t="shared" ref="O50:O61" si="25">J50</f>
        <v>16</v>
      </c>
      <c r="P50" s="463"/>
      <c r="Q50" s="463"/>
      <c r="R50" s="463"/>
      <c r="S50" s="462" t="str">
        <f t="shared" si="2"/>
        <v>正确</v>
      </c>
      <c r="T50" s="462"/>
      <c r="U50" s="462"/>
      <c r="V50" s="462"/>
      <c r="W50" s="462"/>
    </row>
    <row r="51" ht="23.25" customHeight="1" spans="1:23">
      <c r="A51" s="464"/>
      <c r="B51" s="462" t="s">
        <v>1548</v>
      </c>
      <c r="C51" s="463" t="s">
        <v>52</v>
      </c>
      <c r="D51" s="463" t="s">
        <v>384</v>
      </c>
      <c r="E51" s="150">
        <v>11</v>
      </c>
      <c r="F51" s="150">
        <v>4</v>
      </c>
      <c r="G51" s="150">
        <v>8</v>
      </c>
      <c r="H51" s="465">
        <v>2018</v>
      </c>
      <c r="I51" s="465">
        <v>2018</v>
      </c>
      <c r="J51" s="463">
        <f t="shared" si="23"/>
        <v>44</v>
      </c>
      <c r="K51" s="463">
        <f t="shared" si="24"/>
        <v>44</v>
      </c>
      <c r="L51" s="463"/>
      <c r="M51" s="463"/>
      <c r="N51" s="463"/>
      <c r="O51" s="463">
        <f t="shared" si="25"/>
        <v>44</v>
      </c>
      <c r="P51" s="463"/>
      <c r="Q51" s="463"/>
      <c r="R51" s="463"/>
      <c r="S51" s="462" t="str">
        <f t="shared" si="2"/>
        <v>正确</v>
      </c>
      <c r="T51" s="462"/>
      <c r="U51" s="462"/>
      <c r="V51" s="462"/>
      <c r="W51" s="462"/>
    </row>
    <row r="52" ht="23.25" customHeight="1" spans="1:23">
      <c r="A52" s="464"/>
      <c r="B52" s="462" t="s">
        <v>1542</v>
      </c>
      <c r="C52" s="463" t="s">
        <v>52</v>
      </c>
      <c r="D52" s="463" t="s">
        <v>384</v>
      </c>
      <c r="E52" s="150">
        <v>13</v>
      </c>
      <c r="F52" s="150">
        <v>9</v>
      </c>
      <c r="G52" s="150">
        <v>26</v>
      </c>
      <c r="H52" s="465">
        <v>2018</v>
      </c>
      <c r="I52" s="465">
        <v>2018</v>
      </c>
      <c r="J52" s="463">
        <f t="shared" si="23"/>
        <v>52</v>
      </c>
      <c r="K52" s="463">
        <f t="shared" si="24"/>
        <v>52</v>
      </c>
      <c r="L52" s="463"/>
      <c r="M52" s="463"/>
      <c r="N52" s="463"/>
      <c r="O52" s="463">
        <f t="shared" si="25"/>
        <v>52</v>
      </c>
      <c r="P52" s="463"/>
      <c r="Q52" s="463"/>
      <c r="R52" s="463"/>
      <c r="S52" s="462" t="str">
        <f t="shared" si="2"/>
        <v>正确</v>
      </c>
      <c r="T52" s="462"/>
      <c r="U52" s="462"/>
      <c r="V52" s="462"/>
      <c r="W52" s="462"/>
    </row>
    <row r="53" ht="23.25" customHeight="1" spans="1:23">
      <c r="A53" s="464"/>
      <c r="B53" s="462" t="s">
        <v>1555</v>
      </c>
      <c r="C53" s="463" t="s">
        <v>52</v>
      </c>
      <c r="D53" s="463" t="s">
        <v>384</v>
      </c>
      <c r="E53" s="150">
        <v>7</v>
      </c>
      <c r="F53" s="150">
        <v>6</v>
      </c>
      <c r="G53" s="150">
        <v>16</v>
      </c>
      <c r="H53" s="465">
        <v>2018</v>
      </c>
      <c r="I53" s="465">
        <v>2018</v>
      </c>
      <c r="J53" s="463">
        <f t="shared" si="23"/>
        <v>28</v>
      </c>
      <c r="K53" s="463">
        <f t="shared" si="24"/>
        <v>28</v>
      </c>
      <c r="L53" s="463"/>
      <c r="M53" s="463"/>
      <c r="N53" s="463"/>
      <c r="O53" s="463">
        <f t="shared" si="25"/>
        <v>28</v>
      </c>
      <c r="P53" s="463"/>
      <c r="Q53" s="463"/>
      <c r="R53" s="463"/>
      <c r="S53" s="462" t="str">
        <f t="shared" si="2"/>
        <v>正确</v>
      </c>
      <c r="T53" s="462"/>
      <c r="U53" s="462"/>
      <c r="V53" s="462"/>
      <c r="W53" s="462"/>
    </row>
    <row r="54" ht="23.25" customHeight="1" spans="1:23">
      <c r="A54" s="464"/>
      <c r="B54" s="462" t="s">
        <v>1541</v>
      </c>
      <c r="C54" s="463" t="s">
        <v>52</v>
      </c>
      <c r="D54" s="463" t="s">
        <v>384</v>
      </c>
      <c r="E54" s="465">
        <v>2</v>
      </c>
      <c r="F54" s="465">
        <v>1</v>
      </c>
      <c r="G54" s="465">
        <v>2</v>
      </c>
      <c r="H54" s="465">
        <v>2018</v>
      </c>
      <c r="I54" s="465">
        <v>2018</v>
      </c>
      <c r="J54" s="463">
        <f t="shared" si="23"/>
        <v>8</v>
      </c>
      <c r="K54" s="463">
        <f t="shared" si="24"/>
        <v>8</v>
      </c>
      <c r="L54" s="463"/>
      <c r="M54" s="463"/>
      <c r="N54" s="463"/>
      <c r="O54" s="463">
        <f t="shared" si="25"/>
        <v>8</v>
      </c>
      <c r="P54" s="463"/>
      <c r="Q54" s="463"/>
      <c r="R54" s="463"/>
      <c r="S54" s="462" t="str">
        <f t="shared" si="2"/>
        <v>正确</v>
      </c>
      <c r="T54" s="462"/>
      <c r="U54" s="462"/>
      <c r="V54" s="462"/>
      <c r="W54" s="462"/>
    </row>
    <row r="55" ht="23.25" customHeight="1" spans="1:23">
      <c r="A55" s="464"/>
      <c r="B55" s="462" t="s">
        <v>1543</v>
      </c>
      <c r="C55" s="463" t="s">
        <v>52</v>
      </c>
      <c r="D55" s="463" t="s">
        <v>384</v>
      </c>
      <c r="E55" s="465">
        <v>0</v>
      </c>
      <c r="F55" s="465">
        <v>0</v>
      </c>
      <c r="G55" s="465">
        <v>0</v>
      </c>
      <c r="H55" s="465">
        <v>2018</v>
      </c>
      <c r="I55" s="465">
        <v>2018</v>
      </c>
      <c r="J55" s="463">
        <f t="shared" si="23"/>
        <v>0</v>
      </c>
      <c r="K55" s="463">
        <f t="shared" si="24"/>
        <v>0</v>
      </c>
      <c r="L55" s="463"/>
      <c r="M55" s="463"/>
      <c r="N55" s="463"/>
      <c r="O55" s="463">
        <f t="shared" si="25"/>
        <v>0</v>
      </c>
      <c r="P55" s="463"/>
      <c r="Q55" s="463"/>
      <c r="R55" s="463"/>
      <c r="S55" s="462" t="str">
        <f t="shared" si="2"/>
        <v>正确</v>
      </c>
      <c r="T55" s="462"/>
      <c r="U55" s="462"/>
      <c r="V55" s="462"/>
      <c r="W55" s="462"/>
    </row>
    <row r="56" ht="23.25" customHeight="1" spans="1:23">
      <c r="A56" s="464"/>
      <c r="B56" s="462" t="s">
        <v>1556</v>
      </c>
      <c r="C56" s="463" t="s">
        <v>52</v>
      </c>
      <c r="D56" s="463" t="s">
        <v>384</v>
      </c>
      <c r="E56" s="465">
        <v>10</v>
      </c>
      <c r="F56" s="465">
        <v>6</v>
      </c>
      <c r="G56" s="465">
        <v>17</v>
      </c>
      <c r="H56" s="465">
        <v>2018</v>
      </c>
      <c r="I56" s="465">
        <v>2018</v>
      </c>
      <c r="J56" s="463">
        <f t="shared" si="23"/>
        <v>40</v>
      </c>
      <c r="K56" s="463">
        <f t="shared" si="24"/>
        <v>40</v>
      </c>
      <c r="L56" s="463"/>
      <c r="M56" s="463"/>
      <c r="N56" s="463"/>
      <c r="O56" s="463">
        <f t="shared" si="25"/>
        <v>40</v>
      </c>
      <c r="P56" s="463"/>
      <c r="Q56" s="463"/>
      <c r="R56" s="463"/>
      <c r="S56" s="462" t="str">
        <f t="shared" si="2"/>
        <v>正确</v>
      </c>
      <c r="T56" s="462"/>
      <c r="U56" s="462"/>
      <c r="V56" s="462"/>
      <c r="W56" s="462"/>
    </row>
    <row r="57" ht="23.25" customHeight="1" spans="1:23">
      <c r="A57" s="464"/>
      <c r="B57" s="462" t="s">
        <v>1551</v>
      </c>
      <c r="C57" s="463" t="s">
        <v>52</v>
      </c>
      <c r="D57" s="463" t="s">
        <v>384</v>
      </c>
      <c r="E57" s="465">
        <v>10</v>
      </c>
      <c r="F57" s="465">
        <v>6</v>
      </c>
      <c r="G57" s="465">
        <v>17</v>
      </c>
      <c r="H57" s="465">
        <v>2018</v>
      </c>
      <c r="I57" s="465">
        <v>2018</v>
      </c>
      <c r="J57" s="463">
        <f t="shared" si="23"/>
        <v>40</v>
      </c>
      <c r="K57" s="463">
        <f t="shared" si="24"/>
        <v>40</v>
      </c>
      <c r="L57" s="463"/>
      <c r="M57" s="463"/>
      <c r="N57" s="463"/>
      <c r="O57" s="463">
        <f t="shared" si="25"/>
        <v>40</v>
      </c>
      <c r="P57" s="463"/>
      <c r="Q57" s="463"/>
      <c r="R57" s="463"/>
      <c r="S57" s="462" t="str">
        <f t="shared" si="2"/>
        <v>正确</v>
      </c>
      <c r="T57" s="462"/>
      <c r="U57" s="462"/>
      <c r="V57" s="462"/>
      <c r="W57" s="462"/>
    </row>
    <row r="58" ht="23.25" customHeight="1" spans="1:23">
      <c r="A58" s="464"/>
      <c r="B58" s="462" t="s">
        <v>1544</v>
      </c>
      <c r="C58" s="463" t="s">
        <v>52</v>
      </c>
      <c r="D58" s="463" t="s">
        <v>384</v>
      </c>
      <c r="E58" s="150">
        <v>17</v>
      </c>
      <c r="F58" s="150">
        <v>11</v>
      </c>
      <c r="G58" s="150">
        <v>20</v>
      </c>
      <c r="H58" s="465">
        <v>2018</v>
      </c>
      <c r="I58" s="465">
        <v>2018</v>
      </c>
      <c r="J58" s="463">
        <f t="shared" si="23"/>
        <v>68</v>
      </c>
      <c r="K58" s="463">
        <f t="shared" si="24"/>
        <v>68</v>
      </c>
      <c r="L58" s="463"/>
      <c r="M58" s="463"/>
      <c r="N58" s="463"/>
      <c r="O58" s="463">
        <f t="shared" si="25"/>
        <v>68</v>
      </c>
      <c r="P58" s="463"/>
      <c r="Q58" s="463"/>
      <c r="R58" s="463"/>
      <c r="S58" s="462" t="str">
        <f t="shared" si="2"/>
        <v>正确</v>
      </c>
      <c r="T58" s="462"/>
      <c r="U58" s="462"/>
      <c r="V58" s="462"/>
      <c r="W58" s="462"/>
    </row>
    <row r="59" ht="23.25" customHeight="1" spans="1:23">
      <c r="A59" s="464"/>
      <c r="B59" s="462" t="s">
        <v>1547</v>
      </c>
      <c r="C59" s="463" t="s">
        <v>52</v>
      </c>
      <c r="D59" s="463" t="s">
        <v>384</v>
      </c>
      <c r="E59" s="465">
        <v>5</v>
      </c>
      <c r="F59" s="465">
        <v>3</v>
      </c>
      <c r="G59" s="465">
        <v>5</v>
      </c>
      <c r="H59" s="465">
        <v>2018</v>
      </c>
      <c r="I59" s="465">
        <v>2018</v>
      </c>
      <c r="J59" s="463">
        <f t="shared" si="23"/>
        <v>20</v>
      </c>
      <c r="K59" s="463">
        <f t="shared" si="24"/>
        <v>20</v>
      </c>
      <c r="L59" s="463"/>
      <c r="M59" s="463"/>
      <c r="N59" s="463"/>
      <c r="O59" s="463">
        <f t="shared" si="25"/>
        <v>20</v>
      </c>
      <c r="P59" s="463"/>
      <c r="Q59" s="463"/>
      <c r="R59" s="463"/>
      <c r="S59" s="462" t="str">
        <f t="shared" si="2"/>
        <v>正确</v>
      </c>
      <c r="T59" s="462"/>
      <c r="U59" s="462"/>
      <c r="V59" s="462"/>
      <c r="W59" s="462"/>
    </row>
    <row r="60" ht="23.25" customHeight="1" spans="1:23">
      <c r="A60" s="464"/>
      <c r="B60" s="462" t="s">
        <v>1557</v>
      </c>
      <c r="C60" s="463" t="s">
        <v>52</v>
      </c>
      <c r="D60" s="463" t="s">
        <v>384</v>
      </c>
      <c r="E60" s="465">
        <v>7</v>
      </c>
      <c r="F60" s="465">
        <v>4</v>
      </c>
      <c r="G60" s="465">
        <v>11</v>
      </c>
      <c r="H60" s="465">
        <v>2018</v>
      </c>
      <c r="I60" s="465">
        <v>2018</v>
      </c>
      <c r="J60" s="463">
        <f t="shared" si="23"/>
        <v>28</v>
      </c>
      <c r="K60" s="463">
        <f t="shared" si="24"/>
        <v>28</v>
      </c>
      <c r="L60" s="463"/>
      <c r="M60" s="463"/>
      <c r="N60" s="463"/>
      <c r="O60" s="463">
        <f t="shared" si="25"/>
        <v>28</v>
      </c>
      <c r="P60" s="463"/>
      <c r="Q60" s="463"/>
      <c r="R60" s="463"/>
      <c r="S60" s="462" t="str">
        <f t="shared" si="2"/>
        <v>正确</v>
      </c>
      <c r="T60" s="462"/>
      <c r="U60" s="462"/>
      <c r="V60" s="462"/>
      <c r="W60" s="462"/>
    </row>
    <row r="61" ht="23.25" customHeight="1" spans="1:23">
      <c r="A61" s="464"/>
      <c r="B61" s="462" t="s">
        <v>1558</v>
      </c>
      <c r="C61" s="463" t="s">
        <v>52</v>
      </c>
      <c r="D61" s="463" t="s">
        <v>384</v>
      </c>
      <c r="E61" s="150">
        <v>7</v>
      </c>
      <c r="F61" s="150">
        <v>6</v>
      </c>
      <c r="G61" s="150">
        <v>10</v>
      </c>
      <c r="H61" s="465">
        <v>2018</v>
      </c>
      <c r="I61" s="465">
        <v>2018</v>
      </c>
      <c r="J61" s="463">
        <f t="shared" si="23"/>
        <v>28</v>
      </c>
      <c r="K61" s="463">
        <f t="shared" si="24"/>
        <v>28</v>
      </c>
      <c r="L61" s="463"/>
      <c r="M61" s="463"/>
      <c r="N61" s="463"/>
      <c r="O61" s="463">
        <f t="shared" si="25"/>
        <v>28</v>
      </c>
      <c r="P61" s="463"/>
      <c r="Q61" s="463"/>
      <c r="R61" s="463"/>
      <c r="S61" s="462" t="str">
        <f t="shared" si="2"/>
        <v>正确</v>
      </c>
      <c r="T61" s="462"/>
      <c r="U61" s="462"/>
      <c r="V61" s="462"/>
      <c r="W61" s="462"/>
    </row>
    <row r="62" ht="48" customHeight="1" spans="1:23">
      <c r="A62" s="464">
        <v>2</v>
      </c>
      <c r="B62" s="462" t="s">
        <v>1076</v>
      </c>
      <c r="C62" s="463" t="s">
        <v>52</v>
      </c>
      <c r="D62" s="463" t="s">
        <v>384</v>
      </c>
      <c r="E62" s="465">
        <f>SUM(E63:E74)</f>
        <v>320</v>
      </c>
      <c r="F62" s="465"/>
      <c r="G62" s="465"/>
      <c r="H62" s="465">
        <v>2018</v>
      </c>
      <c r="I62" s="465">
        <v>2018</v>
      </c>
      <c r="J62" s="463">
        <f>K62+L62+M62</f>
        <v>576</v>
      </c>
      <c r="K62" s="463">
        <f>SUM(K63:K74)</f>
        <v>0</v>
      </c>
      <c r="L62" s="463">
        <f t="shared" ref="L62:R62" si="26">SUM(L63:L74)</f>
        <v>576</v>
      </c>
      <c r="M62" s="463">
        <f t="shared" si="26"/>
        <v>0</v>
      </c>
      <c r="N62" s="463">
        <f t="shared" si="26"/>
        <v>0</v>
      </c>
      <c r="O62" s="463">
        <f t="shared" si="26"/>
        <v>0</v>
      </c>
      <c r="P62" s="463">
        <f t="shared" si="26"/>
        <v>576</v>
      </c>
      <c r="Q62" s="463">
        <f t="shared" si="26"/>
        <v>0</v>
      </c>
      <c r="R62" s="463">
        <f t="shared" si="26"/>
        <v>0</v>
      </c>
      <c r="S62" s="462" t="str">
        <f t="shared" si="2"/>
        <v>正确</v>
      </c>
      <c r="T62" s="462" t="s">
        <v>1552</v>
      </c>
      <c r="U62" s="462" t="s">
        <v>1553</v>
      </c>
      <c r="V62" s="462" t="s">
        <v>273</v>
      </c>
      <c r="W62" s="462" t="s">
        <v>41</v>
      </c>
    </row>
    <row r="63" ht="23.25" customHeight="1" spans="1:23">
      <c r="A63" s="464"/>
      <c r="B63" s="462" t="s">
        <v>1554</v>
      </c>
      <c r="C63" s="463" t="s">
        <v>52</v>
      </c>
      <c r="D63" s="463" t="s">
        <v>384</v>
      </c>
      <c r="E63" s="465">
        <v>29</v>
      </c>
      <c r="F63" s="465"/>
      <c r="G63" s="465"/>
      <c r="H63" s="465">
        <v>2018</v>
      </c>
      <c r="I63" s="465">
        <v>2018</v>
      </c>
      <c r="J63" s="463">
        <f t="shared" ref="J63:J74" si="27">E63*1.8</f>
        <v>52.2</v>
      </c>
      <c r="K63" s="463"/>
      <c r="L63" s="463">
        <v>52.2</v>
      </c>
      <c r="M63" s="463"/>
      <c r="N63" s="463"/>
      <c r="O63" s="463"/>
      <c r="P63" s="463">
        <f t="shared" ref="P63:P74" si="28">J63</f>
        <v>52.2</v>
      </c>
      <c r="Q63" s="463"/>
      <c r="R63" s="463"/>
      <c r="S63" s="462" t="str">
        <f t="shared" si="2"/>
        <v>正确</v>
      </c>
      <c r="T63" s="462"/>
      <c r="U63" s="462"/>
      <c r="V63" s="462"/>
      <c r="W63" s="462"/>
    </row>
    <row r="64" ht="23.25" customHeight="1" spans="1:23">
      <c r="A64" s="464"/>
      <c r="B64" s="462" t="s">
        <v>1548</v>
      </c>
      <c r="C64" s="463" t="s">
        <v>52</v>
      </c>
      <c r="D64" s="463" t="s">
        <v>384</v>
      </c>
      <c r="E64" s="150">
        <v>62</v>
      </c>
      <c r="F64" s="150"/>
      <c r="G64" s="150"/>
      <c r="H64" s="465">
        <v>2018</v>
      </c>
      <c r="I64" s="465">
        <v>2018</v>
      </c>
      <c r="J64" s="463">
        <f t="shared" si="27"/>
        <v>111.6</v>
      </c>
      <c r="K64" s="463"/>
      <c r="L64" s="463">
        <v>111.6</v>
      </c>
      <c r="M64" s="463"/>
      <c r="N64" s="463"/>
      <c r="O64" s="463"/>
      <c r="P64" s="463">
        <f t="shared" si="28"/>
        <v>111.6</v>
      </c>
      <c r="Q64" s="463"/>
      <c r="R64" s="463"/>
      <c r="S64" s="462" t="str">
        <f t="shared" si="2"/>
        <v>正确</v>
      </c>
      <c r="T64" s="462"/>
      <c r="U64" s="462"/>
      <c r="V64" s="462"/>
      <c r="W64" s="462"/>
    </row>
    <row r="65" ht="23.25" customHeight="1" spans="1:23">
      <c r="A65" s="464"/>
      <c r="B65" s="462" t="s">
        <v>1542</v>
      </c>
      <c r="C65" s="463" t="s">
        <v>52</v>
      </c>
      <c r="D65" s="463" t="s">
        <v>384</v>
      </c>
      <c r="E65" s="150">
        <v>36</v>
      </c>
      <c r="F65" s="150"/>
      <c r="G65" s="150"/>
      <c r="H65" s="465">
        <v>2018</v>
      </c>
      <c r="I65" s="465">
        <v>2018</v>
      </c>
      <c r="J65" s="463">
        <f t="shared" si="27"/>
        <v>64.8</v>
      </c>
      <c r="K65" s="463"/>
      <c r="L65" s="463">
        <v>64.8</v>
      </c>
      <c r="M65" s="463"/>
      <c r="N65" s="463"/>
      <c r="O65" s="463"/>
      <c r="P65" s="463">
        <f t="shared" si="28"/>
        <v>64.8</v>
      </c>
      <c r="Q65" s="463"/>
      <c r="R65" s="463"/>
      <c r="S65" s="462" t="str">
        <f t="shared" si="2"/>
        <v>正确</v>
      </c>
      <c r="T65" s="462"/>
      <c r="U65" s="462"/>
      <c r="V65" s="462"/>
      <c r="W65" s="462"/>
    </row>
    <row r="66" ht="23.25" customHeight="1" spans="1:23">
      <c r="A66" s="464"/>
      <c r="B66" s="462" t="s">
        <v>1555</v>
      </c>
      <c r="C66" s="463" t="s">
        <v>52</v>
      </c>
      <c r="D66" s="463" t="s">
        <v>384</v>
      </c>
      <c r="E66" s="150">
        <v>12</v>
      </c>
      <c r="F66" s="150" t="s">
        <v>320</v>
      </c>
      <c r="G66" s="150" t="s">
        <v>320</v>
      </c>
      <c r="H66" s="465">
        <v>2018</v>
      </c>
      <c r="I66" s="465">
        <v>2018</v>
      </c>
      <c r="J66" s="463">
        <f t="shared" si="27"/>
        <v>21.6</v>
      </c>
      <c r="K66" s="463"/>
      <c r="L66" s="463">
        <v>21.6</v>
      </c>
      <c r="M66" s="463"/>
      <c r="N66" s="463"/>
      <c r="O66" s="463"/>
      <c r="P66" s="463">
        <f t="shared" si="28"/>
        <v>21.6</v>
      </c>
      <c r="Q66" s="463"/>
      <c r="R66" s="463"/>
      <c r="S66" s="462" t="str">
        <f t="shared" si="2"/>
        <v>正确</v>
      </c>
      <c r="T66" s="462"/>
      <c r="U66" s="462"/>
      <c r="V66" s="462"/>
      <c r="W66" s="462"/>
    </row>
    <row r="67" ht="23.25" customHeight="1" spans="1:23">
      <c r="A67" s="464"/>
      <c r="B67" s="462" t="s">
        <v>1541</v>
      </c>
      <c r="C67" s="463" t="s">
        <v>52</v>
      </c>
      <c r="D67" s="463" t="s">
        <v>384</v>
      </c>
      <c r="E67" s="465">
        <v>47</v>
      </c>
      <c r="F67" s="465"/>
      <c r="G67" s="465"/>
      <c r="H67" s="465">
        <v>2018</v>
      </c>
      <c r="I67" s="465">
        <v>2018</v>
      </c>
      <c r="J67" s="463">
        <f t="shared" si="27"/>
        <v>84.6</v>
      </c>
      <c r="K67" s="463"/>
      <c r="L67" s="463">
        <v>84.6</v>
      </c>
      <c r="M67" s="463"/>
      <c r="N67" s="463"/>
      <c r="O67" s="463"/>
      <c r="P67" s="463">
        <f t="shared" si="28"/>
        <v>84.6</v>
      </c>
      <c r="Q67" s="463"/>
      <c r="R67" s="463"/>
      <c r="S67" s="462" t="str">
        <f t="shared" si="2"/>
        <v>正确</v>
      </c>
      <c r="T67" s="462"/>
      <c r="U67" s="462"/>
      <c r="V67" s="462"/>
      <c r="W67" s="462"/>
    </row>
    <row r="68" ht="23.25" customHeight="1" spans="1:23">
      <c r="A68" s="464"/>
      <c r="B68" s="462" t="s">
        <v>1543</v>
      </c>
      <c r="C68" s="463" t="s">
        <v>52</v>
      </c>
      <c r="D68" s="463" t="s">
        <v>384</v>
      </c>
      <c r="E68" s="150">
        <v>33</v>
      </c>
      <c r="F68" s="150"/>
      <c r="G68" s="150" t="s">
        <v>320</v>
      </c>
      <c r="H68" s="465">
        <v>2018</v>
      </c>
      <c r="I68" s="465">
        <v>2018</v>
      </c>
      <c r="J68" s="463">
        <f t="shared" si="27"/>
        <v>59.4</v>
      </c>
      <c r="K68" s="463"/>
      <c r="L68" s="463">
        <v>59.4</v>
      </c>
      <c r="M68" s="463"/>
      <c r="N68" s="463"/>
      <c r="O68" s="463"/>
      <c r="P68" s="463">
        <f t="shared" si="28"/>
        <v>59.4</v>
      </c>
      <c r="Q68" s="463"/>
      <c r="R68" s="463"/>
      <c r="S68" s="462" t="str">
        <f t="shared" si="2"/>
        <v>正确</v>
      </c>
      <c r="T68" s="462"/>
      <c r="U68" s="462"/>
      <c r="V68" s="462"/>
      <c r="W68" s="462"/>
    </row>
    <row r="69" ht="23.25" customHeight="1" spans="1:23">
      <c r="A69" s="464"/>
      <c r="B69" s="462" t="s">
        <v>1556</v>
      </c>
      <c r="C69" s="463" t="s">
        <v>52</v>
      </c>
      <c r="D69" s="463" t="s">
        <v>384</v>
      </c>
      <c r="E69" s="150">
        <v>27</v>
      </c>
      <c r="F69" s="150"/>
      <c r="G69" s="150"/>
      <c r="H69" s="465">
        <v>2018</v>
      </c>
      <c r="I69" s="465">
        <v>2018</v>
      </c>
      <c r="J69" s="463">
        <f t="shared" si="27"/>
        <v>48.6</v>
      </c>
      <c r="K69" s="463"/>
      <c r="L69" s="463">
        <v>48.6</v>
      </c>
      <c r="M69" s="463"/>
      <c r="N69" s="463"/>
      <c r="O69" s="463"/>
      <c r="P69" s="463">
        <f t="shared" si="28"/>
        <v>48.6</v>
      </c>
      <c r="Q69" s="463"/>
      <c r="R69" s="463"/>
      <c r="S69" s="462" t="str">
        <f t="shared" si="2"/>
        <v>正确</v>
      </c>
      <c r="T69" s="462"/>
      <c r="U69" s="462"/>
      <c r="V69" s="462"/>
      <c r="W69" s="462"/>
    </row>
    <row r="70" ht="23.25" customHeight="1" spans="1:23">
      <c r="A70" s="464"/>
      <c r="B70" s="462" t="s">
        <v>1551</v>
      </c>
      <c r="C70" s="463" t="s">
        <v>52</v>
      </c>
      <c r="D70" s="463" t="s">
        <v>384</v>
      </c>
      <c r="E70" s="465">
        <v>4</v>
      </c>
      <c r="F70" s="465"/>
      <c r="G70" s="465"/>
      <c r="H70" s="465">
        <v>2018</v>
      </c>
      <c r="I70" s="465">
        <v>2018</v>
      </c>
      <c r="J70" s="463">
        <f t="shared" si="27"/>
        <v>7.2</v>
      </c>
      <c r="K70" s="463"/>
      <c r="L70" s="463">
        <v>7.2</v>
      </c>
      <c r="M70" s="463"/>
      <c r="N70" s="463"/>
      <c r="O70" s="463"/>
      <c r="P70" s="463">
        <f t="shared" si="28"/>
        <v>7.2</v>
      </c>
      <c r="Q70" s="463"/>
      <c r="R70" s="463"/>
      <c r="S70" s="462" t="str">
        <f t="shared" si="2"/>
        <v>正确</v>
      </c>
      <c r="T70" s="462"/>
      <c r="U70" s="462"/>
      <c r="V70" s="462"/>
      <c r="W70" s="462"/>
    </row>
    <row r="71" ht="23.25" customHeight="1" spans="1:23">
      <c r="A71" s="464"/>
      <c r="B71" s="462" t="s">
        <v>1544</v>
      </c>
      <c r="C71" s="463" t="s">
        <v>52</v>
      </c>
      <c r="D71" s="463" t="s">
        <v>384</v>
      </c>
      <c r="E71" s="150">
        <v>37</v>
      </c>
      <c r="F71" s="150"/>
      <c r="G71" s="150"/>
      <c r="H71" s="465">
        <v>2018</v>
      </c>
      <c r="I71" s="465">
        <v>2018</v>
      </c>
      <c r="J71" s="463">
        <f t="shared" si="27"/>
        <v>66.6</v>
      </c>
      <c r="K71" s="463"/>
      <c r="L71" s="463">
        <v>66.6</v>
      </c>
      <c r="M71" s="463"/>
      <c r="N71" s="463"/>
      <c r="O71" s="463"/>
      <c r="P71" s="463">
        <f t="shared" si="28"/>
        <v>66.6</v>
      </c>
      <c r="Q71" s="463"/>
      <c r="R71" s="463"/>
      <c r="S71" s="462" t="str">
        <f t="shared" ref="S71:S134" si="29">IF(SUM(K71:M71)=SUM(N71:R71),"正确","错误")</f>
        <v>正确</v>
      </c>
      <c r="T71" s="462"/>
      <c r="U71" s="462"/>
      <c r="V71" s="462"/>
      <c r="W71" s="462"/>
    </row>
    <row r="72" ht="23.25" customHeight="1" spans="1:23">
      <c r="A72" s="464"/>
      <c r="B72" s="462" t="s">
        <v>1547</v>
      </c>
      <c r="C72" s="463" t="s">
        <v>52</v>
      </c>
      <c r="D72" s="463" t="s">
        <v>384</v>
      </c>
      <c r="E72" s="465">
        <v>5</v>
      </c>
      <c r="F72" s="465" t="s">
        <v>1512</v>
      </c>
      <c r="G72" s="465" t="s">
        <v>1512</v>
      </c>
      <c r="H72" s="465">
        <v>2018</v>
      </c>
      <c r="I72" s="465">
        <v>2018</v>
      </c>
      <c r="J72" s="463">
        <f t="shared" si="27"/>
        <v>9</v>
      </c>
      <c r="K72" s="463"/>
      <c r="L72" s="463">
        <v>9</v>
      </c>
      <c r="M72" s="463"/>
      <c r="N72" s="463"/>
      <c r="O72" s="463"/>
      <c r="P72" s="463">
        <f t="shared" si="28"/>
        <v>9</v>
      </c>
      <c r="Q72" s="463"/>
      <c r="R72" s="463"/>
      <c r="S72" s="462" t="str">
        <f t="shared" si="29"/>
        <v>正确</v>
      </c>
      <c r="T72" s="462"/>
      <c r="U72" s="462"/>
      <c r="V72" s="462"/>
      <c r="W72" s="462"/>
    </row>
    <row r="73" ht="23.25" customHeight="1" spans="1:23">
      <c r="A73" s="464"/>
      <c r="B73" s="462" t="s">
        <v>1557</v>
      </c>
      <c r="C73" s="463" t="s">
        <v>52</v>
      </c>
      <c r="D73" s="463" t="s">
        <v>384</v>
      </c>
      <c r="E73" s="150">
        <v>15</v>
      </c>
      <c r="F73" s="150"/>
      <c r="G73" s="150"/>
      <c r="H73" s="465">
        <v>2018</v>
      </c>
      <c r="I73" s="465">
        <v>2018</v>
      </c>
      <c r="J73" s="463">
        <f t="shared" si="27"/>
        <v>27</v>
      </c>
      <c r="K73" s="463"/>
      <c r="L73" s="463">
        <v>27</v>
      </c>
      <c r="M73" s="463"/>
      <c r="N73" s="463"/>
      <c r="O73" s="463"/>
      <c r="P73" s="463">
        <f t="shared" si="28"/>
        <v>27</v>
      </c>
      <c r="Q73" s="463"/>
      <c r="R73" s="463"/>
      <c r="S73" s="462" t="str">
        <f t="shared" si="29"/>
        <v>正确</v>
      </c>
      <c r="T73" s="462"/>
      <c r="U73" s="462"/>
      <c r="V73" s="462"/>
      <c r="W73" s="462"/>
    </row>
    <row r="74" ht="23.25" customHeight="1" spans="1:23">
      <c r="A74" s="464"/>
      <c r="B74" s="462" t="s">
        <v>1558</v>
      </c>
      <c r="C74" s="463" t="s">
        <v>52</v>
      </c>
      <c r="D74" s="463" t="s">
        <v>384</v>
      </c>
      <c r="E74" s="150">
        <v>13</v>
      </c>
      <c r="F74" s="150"/>
      <c r="G74" s="150"/>
      <c r="H74" s="465">
        <v>2018</v>
      </c>
      <c r="I74" s="465">
        <v>2018</v>
      </c>
      <c r="J74" s="463">
        <f t="shared" si="27"/>
        <v>23.4</v>
      </c>
      <c r="K74" s="463"/>
      <c r="L74" s="463">
        <v>23.4</v>
      </c>
      <c r="M74" s="463"/>
      <c r="N74" s="463"/>
      <c r="O74" s="463"/>
      <c r="P74" s="463">
        <f t="shared" si="28"/>
        <v>23.4</v>
      </c>
      <c r="Q74" s="463"/>
      <c r="R74" s="463"/>
      <c r="S74" s="462" t="str">
        <f t="shared" si="29"/>
        <v>正确</v>
      </c>
      <c r="T74" s="462"/>
      <c r="U74" s="462"/>
      <c r="V74" s="462"/>
      <c r="W74" s="462"/>
    </row>
    <row r="75" ht="36" customHeight="1" spans="1:23">
      <c r="A75" s="464">
        <v>1</v>
      </c>
      <c r="B75" s="462" t="s">
        <v>779</v>
      </c>
      <c r="C75" s="463" t="s">
        <v>320</v>
      </c>
      <c r="D75" s="463" t="s">
        <v>320</v>
      </c>
      <c r="E75" s="465"/>
      <c r="F75" s="465"/>
      <c r="G75" s="465"/>
      <c r="H75" s="465">
        <v>2018</v>
      </c>
      <c r="I75" s="465">
        <v>2020</v>
      </c>
      <c r="J75" s="463">
        <f>J76+J103+J117+J130+J143+J156</f>
        <v>795.15</v>
      </c>
      <c r="K75" s="463">
        <v>265.05</v>
      </c>
      <c r="L75" s="463">
        <v>265.05</v>
      </c>
      <c r="M75" s="463">
        <v>265.05</v>
      </c>
      <c r="N75" s="463">
        <v>389.925</v>
      </c>
      <c r="O75" s="463">
        <v>187.2</v>
      </c>
      <c r="P75" s="463">
        <v>218.025</v>
      </c>
      <c r="Q75" s="463"/>
      <c r="R75" s="463"/>
      <c r="S75" s="462" t="str">
        <f t="shared" si="29"/>
        <v>正确</v>
      </c>
      <c r="T75" s="462" t="s">
        <v>1559</v>
      </c>
      <c r="U75" s="462" t="s">
        <v>1560</v>
      </c>
      <c r="V75" s="462" t="s">
        <v>294</v>
      </c>
      <c r="W75" s="462" t="s">
        <v>41</v>
      </c>
    </row>
    <row r="76" ht="31.5" customHeight="1" spans="1:23">
      <c r="A76" s="464">
        <v>2</v>
      </c>
      <c r="B76" s="462" t="s">
        <v>295</v>
      </c>
      <c r="C76" s="463" t="s">
        <v>320</v>
      </c>
      <c r="D76" s="463" t="s">
        <v>147</v>
      </c>
      <c r="E76" s="465"/>
      <c r="F76" s="465"/>
      <c r="G76" s="465"/>
      <c r="H76" s="465"/>
      <c r="I76" s="465"/>
      <c r="J76" s="463"/>
      <c r="K76" s="463"/>
      <c r="L76" s="463"/>
      <c r="M76" s="463"/>
      <c r="N76" s="463"/>
      <c r="O76" s="463"/>
      <c r="P76" s="463"/>
      <c r="Q76" s="463"/>
      <c r="R76" s="463"/>
      <c r="S76" s="462" t="str">
        <f t="shared" si="29"/>
        <v>正确</v>
      </c>
      <c r="T76" s="462" t="s">
        <v>1559</v>
      </c>
      <c r="U76" s="462" t="s">
        <v>1560</v>
      </c>
      <c r="V76" s="462" t="s">
        <v>294</v>
      </c>
      <c r="W76" s="462" t="s">
        <v>41</v>
      </c>
    </row>
    <row r="77" ht="31.5" customHeight="1" spans="1:23">
      <c r="A77" s="464">
        <v>3</v>
      </c>
      <c r="B77" s="462" t="s">
        <v>783</v>
      </c>
      <c r="C77" s="463" t="s">
        <v>320</v>
      </c>
      <c r="D77" s="463" t="s">
        <v>147</v>
      </c>
      <c r="E77" s="465"/>
      <c r="F77" s="465"/>
      <c r="G77" s="465"/>
      <c r="H77" s="465"/>
      <c r="I77" s="465"/>
      <c r="J77" s="463"/>
      <c r="K77" s="463"/>
      <c r="L77" s="463"/>
      <c r="M77" s="463"/>
      <c r="N77" s="463"/>
      <c r="O77" s="463"/>
      <c r="P77" s="463"/>
      <c r="Q77" s="463"/>
      <c r="R77" s="463"/>
      <c r="S77" s="462" t="str">
        <f t="shared" si="29"/>
        <v>正确</v>
      </c>
      <c r="T77" s="462" t="s">
        <v>1559</v>
      </c>
      <c r="U77" s="462" t="s">
        <v>1560</v>
      </c>
      <c r="V77" s="462"/>
      <c r="W77" s="462" t="s">
        <v>41</v>
      </c>
    </row>
    <row r="78" ht="31.5" customHeight="1" spans="1:23">
      <c r="A78" s="464"/>
      <c r="B78" s="462" t="s">
        <v>1540</v>
      </c>
      <c r="C78" s="463" t="s">
        <v>320</v>
      </c>
      <c r="D78" s="463" t="s">
        <v>147</v>
      </c>
      <c r="E78" s="465"/>
      <c r="F78" s="465"/>
      <c r="G78" s="465"/>
      <c r="H78" s="465"/>
      <c r="I78" s="465"/>
      <c r="J78" s="463"/>
      <c r="K78" s="463"/>
      <c r="L78" s="463"/>
      <c r="M78" s="463"/>
      <c r="N78" s="463"/>
      <c r="O78" s="463"/>
      <c r="P78" s="463"/>
      <c r="Q78" s="463"/>
      <c r="R78" s="463"/>
      <c r="S78" s="462" t="str">
        <f t="shared" si="29"/>
        <v>正确</v>
      </c>
      <c r="T78" s="462"/>
      <c r="U78" s="462"/>
      <c r="V78" s="462"/>
      <c r="W78" s="462"/>
    </row>
    <row r="79" ht="31.5" customHeight="1" spans="1:23">
      <c r="A79" s="464"/>
      <c r="B79" s="462" t="s">
        <v>1541</v>
      </c>
      <c r="C79" s="463" t="s">
        <v>320</v>
      </c>
      <c r="D79" s="463" t="s">
        <v>147</v>
      </c>
      <c r="E79" s="465"/>
      <c r="F79" s="465"/>
      <c r="G79" s="465"/>
      <c r="H79" s="465"/>
      <c r="I79" s="465"/>
      <c r="J79" s="463"/>
      <c r="K79" s="463"/>
      <c r="L79" s="463"/>
      <c r="M79" s="463"/>
      <c r="N79" s="463"/>
      <c r="O79" s="463"/>
      <c r="P79" s="463"/>
      <c r="Q79" s="463"/>
      <c r="R79" s="463"/>
      <c r="S79" s="462" t="str">
        <f t="shared" si="29"/>
        <v>正确</v>
      </c>
      <c r="T79" s="462"/>
      <c r="U79" s="462"/>
      <c r="V79" s="462"/>
      <c r="W79" s="462"/>
    </row>
    <row r="80" ht="31.5" customHeight="1" spans="1:23">
      <c r="A80" s="464"/>
      <c r="B80" s="462" t="s">
        <v>1542</v>
      </c>
      <c r="C80" s="463" t="s">
        <v>320</v>
      </c>
      <c r="D80" s="463" t="s">
        <v>147</v>
      </c>
      <c r="E80" s="465"/>
      <c r="F80" s="465"/>
      <c r="G80" s="465"/>
      <c r="H80" s="465"/>
      <c r="I80" s="465"/>
      <c r="J80" s="463"/>
      <c r="K80" s="463"/>
      <c r="L80" s="463"/>
      <c r="M80" s="463"/>
      <c r="N80" s="463"/>
      <c r="O80" s="463"/>
      <c r="P80" s="463"/>
      <c r="Q80" s="463"/>
      <c r="R80" s="463"/>
      <c r="S80" s="462" t="str">
        <f t="shared" si="29"/>
        <v>正确</v>
      </c>
      <c r="T80" s="462"/>
      <c r="U80" s="462"/>
      <c r="V80" s="462"/>
      <c r="W80" s="462"/>
    </row>
    <row r="81" ht="31.5" customHeight="1" spans="1:23">
      <c r="A81" s="464"/>
      <c r="B81" s="462" t="s">
        <v>1543</v>
      </c>
      <c r="C81" s="463" t="s">
        <v>320</v>
      </c>
      <c r="D81" s="463" t="s">
        <v>147</v>
      </c>
      <c r="E81" s="465"/>
      <c r="F81" s="465"/>
      <c r="G81" s="465"/>
      <c r="H81" s="465"/>
      <c r="I81" s="465"/>
      <c r="J81" s="463"/>
      <c r="K81" s="463"/>
      <c r="L81" s="463"/>
      <c r="M81" s="463"/>
      <c r="N81" s="463"/>
      <c r="O81" s="463"/>
      <c r="P81" s="463"/>
      <c r="Q81" s="463"/>
      <c r="R81" s="463"/>
      <c r="S81" s="462" t="str">
        <f t="shared" si="29"/>
        <v>正确</v>
      </c>
      <c r="T81" s="462"/>
      <c r="U81" s="462"/>
      <c r="V81" s="462"/>
      <c r="W81" s="462"/>
    </row>
    <row r="82" ht="31.5" customHeight="1" spans="1:23">
      <c r="A82" s="464"/>
      <c r="B82" s="462" t="s">
        <v>1544</v>
      </c>
      <c r="C82" s="463" t="s">
        <v>320</v>
      </c>
      <c r="D82" s="463" t="s">
        <v>147</v>
      </c>
      <c r="E82" s="465"/>
      <c r="F82" s="465"/>
      <c r="G82" s="465"/>
      <c r="H82" s="465"/>
      <c r="I82" s="465"/>
      <c r="J82" s="463"/>
      <c r="K82" s="463"/>
      <c r="L82" s="463"/>
      <c r="M82" s="463"/>
      <c r="N82" s="463"/>
      <c r="O82" s="463"/>
      <c r="P82" s="463"/>
      <c r="Q82" s="463"/>
      <c r="R82" s="463"/>
      <c r="S82" s="462" t="str">
        <f t="shared" si="29"/>
        <v>正确</v>
      </c>
      <c r="T82" s="462"/>
      <c r="U82" s="462"/>
      <c r="V82" s="462"/>
      <c r="W82" s="462"/>
    </row>
    <row r="83" ht="31.5" customHeight="1" spans="1:23">
      <c r="A83" s="464"/>
      <c r="B83" s="462" t="s">
        <v>1545</v>
      </c>
      <c r="C83" s="463" t="s">
        <v>320</v>
      </c>
      <c r="D83" s="463" t="s">
        <v>147</v>
      </c>
      <c r="E83" s="465"/>
      <c r="F83" s="465"/>
      <c r="G83" s="465"/>
      <c r="H83" s="465"/>
      <c r="I83" s="465"/>
      <c r="J83" s="463"/>
      <c r="K83" s="463"/>
      <c r="L83" s="463"/>
      <c r="M83" s="463"/>
      <c r="N83" s="463"/>
      <c r="O83" s="463"/>
      <c r="P83" s="463"/>
      <c r="Q83" s="463"/>
      <c r="R83" s="463"/>
      <c r="S83" s="462" t="str">
        <f t="shared" si="29"/>
        <v>正确</v>
      </c>
      <c r="T83" s="462"/>
      <c r="U83" s="462"/>
      <c r="V83" s="462"/>
      <c r="W83" s="462"/>
    </row>
    <row r="84" ht="31.5" customHeight="1" spans="1:23">
      <c r="A84" s="464"/>
      <c r="B84" s="462" t="s">
        <v>1546</v>
      </c>
      <c r="C84" s="463" t="s">
        <v>320</v>
      </c>
      <c r="D84" s="463" t="s">
        <v>147</v>
      </c>
      <c r="E84" s="465"/>
      <c r="F84" s="465"/>
      <c r="G84" s="465"/>
      <c r="H84" s="465"/>
      <c r="I84" s="465"/>
      <c r="J84" s="463"/>
      <c r="K84" s="463"/>
      <c r="L84" s="463"/>
      <c r="M84" s="463"/>
      <c r="N84" s="463"/>
      <c r="O84" s="463"/>
      <c r="P84" s="463"/>
      <c r="Q84" s="463"/>
      <c r="R84" s="463"/>
      <c r="S84" s="462" t="str">
        <f t="shared" si="29"/>
        <v>正确</v>
      </c>
      <c r="T84" s="462"/>
      <c r="U84" s="462"/>
      <c r="V84" s="462"/>
      <c r="W84" s="462"/>
    </row>
    <row r="85" ht="31.5" customHeight="1" spans="1:23">
      <c r="A85" s="464"/>
      <c r="B85" s="462" t="s">
        <v>1547</v>
      </c>
      <c r="C85" s="463" t="s">
        <v>320</v>
      </c>
      <c r="D85" s="463" t="s">
        <v>147</v>
      </c>
      <c r="E85" s="465"/>
      <c r="F85" s="465"/>
      <c r="G85" s="465"/>
      <c r="H85" s="465"/>
      <c r="I85" s="465"/>
      <c r="J85" s="463"/>
      <c r="K85" s="463"/>
      <c r="L85" s="463"/>
      <c r="M85" s="463"/>
      <c r="N85" s="463"/>
      <c r="O85" s="463"/>
      <c r="P85" s="463"/>
      <c r="Q85" s="463"/>
      <c r="R85" s="463"/>
      <c r="S85" s="462" t="str">
        <f t="shared" si="29"/>
        <v>正确</v>
      </c>
      <c r="T85" s="462"/>
      <c r="U85" s="462"/>
      <c r="V85" s="462"/>
      <c r="W85" s="462"/>
    </row>
    <row r="86" ht="31.5" customHeight="1" spans="1:23">
      <c r="A86" s="464"/>
      <c r="B86" s="462" t="s">
        <v>1548</v>
      </c>
      <c r="C86" s="463" t="s">
        <v>320</v>
      </c>
      <c r="D86" s="463" t="s">
        <v>147</v>
      </c>
      <c r="E86" s="465"/>
      <c r="F86" s="465"/>
      <c r="G86" s="465"/>
      <c r="H86" s="465"/>
      <c r="I86" s="465"/>
      <c r="J86" s="463"/>
      <c r="K86" s="463"/>
      <c r="L86" s="463"/>
      <c r="M86" s="463"/>
      <c r="N86" s="463"/>
      <c r="O86" s="463"/>
      <c r="P86" s="463"/>
      <c r="Q86" s="463"/>
      <c r="R86" s="463"/>
      <c r="S86" s="462" t="str">
        <f t="shared" si="29"/>
        <v>正确</v>
      </c>
      <c r="T86" s="462"/>
      <c r="U86" s="462"/>
      <c r="V86" s="462"/>
      <c r="W86" s="462"/>
    </row>
    <row r="87" ht="31.5" customHeight="1" spans="1:23">
      <c r="A87" s="464"/>
      <c r="B87" s="462" t="s">
        <v>1549</v>
      </c>
      <c r="C87" s="463" t="s">
        <v>320</v>
      </c>
      <c r="D87" s="463" t="s">
        <v>147</v>
      </c>
      <c r="E87" s="465"/>
      <c r="F87" s="465"/>
      <c r="G87" s="465"/>
      <c r="H87" s="465"/>
      <c r="I87" s="465"/>
      <c r="J87" s="463"/>
      <c r="K87" s="463"/>
      <c r="L87" s="463"/>
      <c r="M87" s="463"/>
      <c r="N87" s="463"/>
      <c r="O87" s="463"/>
      <c r="P87" s="463"/>
      <c r="Q87" s="463"/>
      <c r="R87" s="463"/>
      <c r="S87" s="462" t="str">
        <f t="shared" si="29"/>
        <v>正确</v>
      </c>
      <c r="T87" s="462"/>
      <c r="U87" s="462"/>
      <c r="V87" s="462"/>
      <c r="W87" s="462"/>
    </row>
    <row r="88" ht="31.5" customHeight="1" spans="1:23">
      <c r="A88" s="464"/>
      <c r="B88" s="462" t="s">
        <v>1550</v>
      </c>
      <c r="C88" s="463" t="s">
        <v>320</v>
      </c>
      <c r="D88" s="463" t="s">
        <v>147</v>
      </c>
      <c r="E88" s="465"/>
      <c r="F88" s="465"/>
      <c r="G88" s="465"/>
      <c r="H88" s="465"/>
      <c r="I88" s="465"/>
      <c r="J88" s="463"/>
      <c r="K88" s="463"/>
      <c r="L88" s="463"/>
      <c r="M88" s="463"/>
      <c r="N88" s="463"/>
      <c r="O88" s="463"/>
      <c r="P88" s="463"/>
      <c r="Q88" s="463"/>
      <c r="R88" s="463"/>
      <c r="S88" s="462" t="str">
        <f t="shared" si="29"/>
        <v>正确</v>
      </c>
      <c r="T88" s="462"/>
      <c r="U88" s="462"/>
      <c r="V88" s="462"/>
      <c r="W88" s="462"/>
    </row>
    <row r="89" ht="31.5" customHeight="1" spans="1:23">
      <c r="A89" s="464"/>
      <c r="B89" s="462" t="s">
        <v>1551</v>
      </c>
      <c r="C89" s="463" t="s">
        <v>320</v>
      </c>
      <c r="D89" s="463" t="s">
        <v>147</v>
      </c>
      <c r="E89" s="465"/>
      <c r="F89" s="465"/>
      <c r="G89" s="465"/>
      <c r="H89" s="465"/>
      <c r="I89" s="465"/>
      <c r="J89" s="463"/>
      <c r="K89" s="463"/>
      <c r="L89" s="463"/>
      <c r="M89" s="463"/>
      <c r="N89" s="463"/>
      <c r="O89" s="463"/>
      <c r="P89" s="463"/>
      <c r="Q89" s="463"/>
      <c r="R89" s="463"/>
      <c r="S89" s="462" t="str">
        <f t="shared" si="29"/>
        <v>正确</v>
      </c>
      <c r="T89" s="462"/>
      <c r="U89" s="462"/>
      <c r="V89" s="462"/>
      <c r="W89" s="462"/>
    </row>
    <row r="90" ht="31.5" customHeight="1" spans="1:23">
      <c r="A90" s="464">
        <v>3</v>
      </c>
      <c r="B90" s="462" t="s">
        <v>784</v>
      </c>
      <c r="C90" s="463" t="s">
        <v>320</v>
      </c>
      <c r="D90" s="463" t="s">
        <v>147</v>
      </c>
      <c r="E90" s="465"/>
      <c r="F90" s="465"/>
      <c r="G90" s="465"/>
      <c r="H90" s="465"/>
      <c r="I90" s="465"/>
      <c r="J90" s="463"/>
      <c r="K90" s="463"/>
      <c r="L90" s="463"/>
      <c r="M90" s="463"/>
      <c r="N90" s="463"/>
      <c r="O90" s="463"/>
      <c r="P90" s="463"/>
      <c r="Q90" s="463"/>
      <c r="R90" s="463"/>
      <c r="S90" s="462" t="str">
        <f t="shared" si="29"/>
        <v>正确</v>
      </c>
      <c r="T90" s="462" t="s">
        <v>1559</v>
      </c>
      <c r="U90" s="462" t="s">
        <v>1560</v>
      </c>
      <c r="V90" s="462" t="s">
        <v>294</v>
      </c>
      <c r="W90" s="462" t="s">
        <v>41</v>
      </c>
    </row>
    <row r="91" ht="31.5" customHeight="1" spans="1:23">
      <c r="A91" s="464"/>
      <c r="B91" s="462" t="s">
        <v>1540</v>
      </c>
      <c r="C91" s="463" t="s">
        <v>320</v>
      </c>
      <c r="D91" s="463" t="s">
        <v>147</v>
      </c>
      <c r="E91" s="465"/>
      <c r="F91" s="465"/>
      <c r="G91" s="465"/>
      <c r="H91" s="465"/>
      <c r="I91" s="465"/>
      <c r="J91" s="463"/>
      <c r="K91" s="463"/>
      <c r="L91" s="463"/>
      <c r="M91" s="463"/>
      <c r="N91" s="463"/>
      <c r="O91" s="463"/>
      <c r="P91" s="463"/>
      <c r="Q91" s="463"/>
      <c r="R91" s="463"/>
      <c r="S91" s="462" t="str">
        <f t="shared" si="29"/>
        <v>正确</v>
      </c>
      <c r="T91" s="462"/>
      <c r="U91" s="462"/>
      <c r="V91" s="462"/>
      <c r="W91" s="462"/>
    </row>
    <row r="92" ht="31.5" customHeight="1" spans="1:23">
      <c r="A92" s="464"/>
      <c r="B92" s="462" t="s">
        <v>1541</v>
      </c>
      <c r="C92" s="463" t="s">
        <v>320</v>
      </c>
      <c r="D92" s="463" t="s">
        <v>147</v>
      </c>
      <c r="E92" s="465"/>
      <c r="F92" s="465"/>
      <c r="G92" s="465"/>
      <c r="H92" s="465"/>
      <c r="I92" s="465"/>
      <c r="J92" s="463"/>
      <c r="K92" s="463"/>
      <c r="L92" s="463"/>
      <c r="M92" s="463"/>
      <c r="N92" s="463"/>
      <c r="O92" s="463"/>
      <c r="P92" s="463"/>
      <c r="Q92" s="463"/>
      <c r="R92" s="463"/>
      <c r="S92" s="462" t="str">
        <f t="shared" si="29"/>
        <v>正确</v>
      </c>
      <c r="T92" s="462"/>
      <c r="U92" s="462"/>
      <c r="V92" s="462"/>
      <c r="W92" s="462"/>
    </row>
    <row r="93" ht="31.5" customHeight="1" spans="1:23">
      <c r="A93" s="464"/>
      <c r="B93" s="462" t="s">
        <v>1542</v>
      </c>
      <c r="C93" s="463" t="s">
        <v>320</v>
      </c>
      <c r="D93" s="463" t="s">
        <v>147</v>
      </c>
      <c r="E93" s="465"/>
      <c r="F93" s="465"/>
      <c r="G93" s="465"/>
      <c r="H93" s="465"/>
      <c r="I93" s="465"/>
      <c r="J93" s="463"/>
      <c r="K93" s="463"/>
      <c r="L93" s="463"/>
      <c r="M93" s="463"/>
      <c r="N93" s="463"/>
      <c r="O93" s="463"/>
      <c r="P93" s="463"/>
      <c r="Q93" s="463"/>
      <c r="R93" s="463"/>
      <c r="S93" s="462" t="str">
        <f t="shared" si="29"/>
        <v>正确</v>
      </c>
      <c r="T93" s="462"/>
      <c r="U93" s="462"/>
      <c r="V93" s="462"/>
      <c r="W93" s="462"/>
    </row>
    <row r="94" ht="31.5" customHeight="1" spans="1:23">
      <c r="A94" s="464"/>
      <c r="B94" s="462" t="s">
        <v>1543</v>
      </c>
      <c r="C94" s="463" t="s">
        <v>320</v>
      </c>
      <c r="D94" s="463" t="s">
        <v>147</v>
      </c>
      <c r="E94" s="465"/>
      <c r="F94" s="465"/>
      <c r="G94" s="465"/>
      <c r="H94" s="465"/>
      <c r="I94" s="465"/>
      <c r="J94" s="463"/>
      <c r="K94" s="463"/>
      <c r="L94" s="463"/>
      <c r="M94" s="463"/>
      <c r="N94" s="463"/>
      <c r="O94" s="463"/>
      <c r="P94" s="463"/>
      <c r="Q94" s="463"/>
      <c r="R94" s="463"/>
      <c r="S94" s="462" t="str">
        <f t="shared" si="29"/>
        <v>正确</v>
      </c>
      <c r="T94" s="462"/>
      <c r="U94" s="462"/>
      <c r="V94" s="462"/>
      <c r="W94" s="462"/>
    </row>
    <row r="95" ht="31.5" customHeight="1" spans="1:23">
      <c r="A95" s="464"/>
      <c r="B95" s="462" t="s">
        <v>1544</v>
      </c>
      <c r="C95" s="463" t="s">
        <v>320</v>
      </c>
      <c r="D95" s="463" t="s">
        <v>147</v>
      </c>
      <c r="E95" s="465"/>
      <c r="F95" s="465"/>
      <c r="G95" s="465"/>
      <c r="H95" s="465"/>
      <c r="I95" s="465"/>
      <c r="J95" s="463"/>
      <c r="K95" s="463"/>
      <c r="L95" s="463"/>
      <c r="M95" s="463"/>
      <c r="N95" s="463"/>
      <c r="O95" s="463"/>
      <c r="P95" s="463"/>
      <c r="Q95" s="463"/>
      <c r="R95" s="463"/>
      <c r="S95" s="462" t="str">
        <f t="shared" si="29"/>
        <v>正确</v>
      </c>
      <c r="T95" s="462"/>
      <c r="U95" s="462"/>
      <c r="V95" s="462"/>
      <c r="W95" s="462"/>
    </row>
    <row r="96" ht="31.5" customHeight="1" spans="1:23">
      <c r="A96" s="464"/>
      <c r="B96" s="462" t="s">
        <v>1545</v>
      </c>
      <c r="C96" s="463" t="s">
        <v>320</v>
      </c>
      <c r="D96" s="463" t="s">
        <v>147</v>
      </c>
      <c r="E96" s="465"/>
      <c r="F96" s="465"/>
      <c r="G96" s="465"/>
      <c r="H96" s="465"/>
      <c r="I96" s="465"/>
      <c r="J96" s="463"/>
      <c r="K96" s="463"/>
      <c r="L96" s="463"/>
      <c r="M96" s="463"/>
      <c r="N96" s="463"/>
      <c r="O96" s="463"/>
      <c r="P96" s="463"/>
      <c r="Q96" s="463"/>
      <c r="R96" s="463"/>
      <c r="S96" s="462" t="str">
        <f t="shared" si="29"/>
        <v>正确</v>
      </c>
      <c r="T96" s="462"/>
      <c r="U96" s="462"/>
      <c r="V96" s="462"/>
      <c r="W96" s="462"/>
    </row>
    <row r="97" ht="31.5" customHeight="1" spans="1:23">
      <c r="A97" s="464"/>
      <c r="B97" s="462" t="s">
        <v>1546</v>
      </c>
      <c r="C97" s="463" t="s">
        <v>320</v>
      </c>
      <c r="D97" s="463" t="s">
        <v>147</v>
      </c>
      <c r="E97" s="465"/>
      <c r="F97" s="465"/>
      <c r="G97" s="465"/>
      <c r="H97" s="465"/>
      <c r="I97" s="465"/>
      <c r="J97" s="463"/>
      <c r="K97" s="463"/>
      <c r="L97" s="463"/>
      <c r="M97" s="463"/>
      <c r="N97" s="463"/>
      <c r="O97" s="463"/>
      <c r="P97" s="463"/>
      <c r="Q97" s="463"/>
      <c r="R97" s="463"/>
      <c r="S97" s="462" t="str">
        <f t="shared" si="29"/>
        <v>正确</v>
      </c>
      <c r="T97" s="462"/>
      <c r="U97" s="462"/>
      <c r="V97" s="462"/>
      <c r="W97" s="462"/>
    </row>
    <row r="98" ht="31.5" customHeight="1" spans="1:23">
      <c r="A98" s="464"/>
      <c r="B98" s="462" t="s">
        <v>1547</v>
      </c>
      <c r="C98" s="463" t="s">
        <v>320</v>
      </c>
      <c r="D98" s="463" t="s">
        <v>147</v>
      </c>
      <c r="E98" s="465"/>
      <c r="F98" s="465"/>
      <c r="G98" s="465"/>
      <c r="H98" s="465"/>
      <c r="I98" s="465"/>
      <c r="J98" s="463"/>
      <c r="K98" s="463"/>
      <c r="L98" s="463"/>
      <c r="M98" s="463"/>
      <c r="N98" s="463"/>
      <c r="O98" s="463"/>
      <c r="P98" s="463"/>
      <c r="Q98" s="463"/>
      <c r="R98" s="463"/>
      <c r="S98" s="462" t="str">
        <f t="shared" si="29"/>
        <v>正确</v>
      </c>
      <c r="T98" s="462"/>
      <c r="U98" s="462"/>
      <c r="V98" s="462"/>
      <c r="W98" s="462"/>
    </row>
    <row r="99" ht="31.5" customHeight="1" spans="1:23">
      <c r="A99" s="464"/>
      <c r="B99" s="462" t="s">
        <v>1548</v>
      </c>
      <c r="C99" s="463" t="s">
        <v>320</v>
      </c>
      <c r="D99" s="463" t="s">
        <v>147</v>
      </c>
      <c r="E99" s="465"/>
      <c r="F99" s="465"/>
      <c r="G99" s="465"/>
      <c r="H99" s="465"/>
      <c r="I99" s="465"/>
      <c r="J99" s="463"/>
      <c r="K99" s="463"/>
      <c r="L99" s="463"/>
      <c r="M99" s="463"/>
      <c r="N99" s="463"/>
      <c r="O99" s="463"/>
      <c r="P99" s="463"/>
      <c r="Q99" s="463"/>
      <c r="R99" s="463"/>
      <c r="S99" s="462" t="str">
        <f t="shared" si="29"/>
        <v>正确</v>
      </c>
      <c r="T99" s="462"/>
      <c r="U99" s="462"/>
      <c r="V99" s="462"/>
      <c r="W99" s="462"/>
    </row>
    <row r="100" ht="31.5" customHeight="1" spans="1:23">
      <c r="A100" s="464"/>
      <c r="B100" s="462" t="s">
        <v>1549</v>
      </c>
      <c r="C100" s="463" t="s">
        <v>320</v>
      </c>
      <c r="D100" s="463" t="s">
        <v>147</v>
      </c>
      <c r="E100" s="465"/>
      <c r="F100" s="465"/>
      <c r="G100" s="465"/>
      <c r="H100" s="465"/>
      <c r="I100" s="465"/>
      <c r="J100" s="463"/>
      <c r="K100" s="463"/>
      <c r="L100" s="463"/>
      <c r="M100" s="463"/>
      <c r="N100" s="463"/>
      <c r="O100" s="463"/>
      <c r="P100" s="463"/>
      <c r="Q100" s="463"/>
      <c r="R100" s="463"/>
      <c r="S100" s="462" t="str">
        <f t="shared" si="29"/>
        <v>正确</v>
      </c>
      <c r="T100" s="462"/>
      <c r="U100" s="462"/>
      <c r="V100" s="462"/>
      <c r="W100" s="462"/>
    </row>
    <row r="101" ht="31.5" customHeight="1" spans="1:23">
      <c r="A101" s="464"/>
      <c r="B101" s="462" t="s">
        <v>1550</v>
      </c>
      <c r="C101" s="463" t="s">
        <v>320</v>
      </c>
      <c r="D101" s="463" t="s">
        <v>147</v>
      </c>
      <c r="E101" s="465"/>
      <c r="F101" s="465"/>
      <c r="G101" s="465"/>
      <c r="H101" s="465"/>
      <c r="I101" s="465"/>
      <c r="J101" s="463"/>
      <c r="K101" s="463"/>
      <c r="L101" s="463"/>
      <c r="M101" s="463"/>
      <c r="N101" s="463"/>
      <c r="O101" s="463"/>
      <c r="P101" s="463"/>
      <c r="Q101" s="463"/>
      <c r="R101" s="463"/>
      <c r="S101" s="462" t="str">
        <f t="shared" si="29"/>
        <v>正确</v>
      </c>
      <c r="T101" s="462"/>
      <c r="U101" s="462"/>
      <c r="V101" s="462"/>
      <c r="W101" s="462"/>
    </row>
    <row r="102" ht="31.5" customHeight="1" spans="1:23">
      <c r="A102" s="464"/>
      <c r="B102" s="462" t="s">
        <v>1551</v>
      </c>
      <c r="C102" s="463" t="s">
        <v>320</v>
      </c>
      <c r="D102" s="463" t="s">
        <v>147</v>
      </c>
      <c r="E102" s="465"/>
      <c r="F102" s="465"/>
      <c r="G102" s="465"/>
      <c r="H102" s="465"/>
      <c r="I102" s="465"/>
      <c r="J102" s="463"/>
      <c r="K102" s="463"/>
      <c r="L102" s="463"/>
      <c r="M102" s="463"/>
      <c r="N102" s="463"/>
      <c r="O102" s="463"/>
      <c r="P102" s="463"/>
      <c r="Q102" s="463"/>
      <c r="R102" s="463"/>
      <c r="S102" s="462" t="str">
        <f t="shared" si="29"/>
        <v>正确</v>
      </c>
      <c r="T102" s="462"/>
      <c r="U102" s="462"/>
      <c r="V102" s="462"/>
      <c r="W102" s="462"/>
    </row>
    <row r="103" ht="26.1" customHeight="1" spans="1:23">
      <c r="A103" s="464">
        <v>2</v>
      </c>
      <c r="B103" s="462" t="s">
        <v>319</v>
      </c>
      <c r="C103" s="463" t="s">
        <v>320</v>
      </c>
      <c r="D103" s="463" t="s">
        <v>147</v>
      </c>
      <c r="E103" s="465">
        <v>96</v>
      </c>
      <c r="F103" s="465">
        <v>88</v>
      </c>
      <c r="G103" s="465">
        <v>96</v>
      </c>
      <c r="H103" s="465">
        <v>2018</v>
      </c>
      <c r="I103" s="465">
        <v>2020</v>
      </c>
      <c r="J103" s="463">
        <f t="shared" ref="J103:J129" si="30">K103+L103+M103</f>
        <v>36</v>
      </c>
      <c r="K103" s="463">
        <f>E103*0.125</f>
        <v>12</v>
      </c>
      <c r="L103" s="463">
        <f>E103*0.125</f>
        <v>12</v>
      </c>
      <c r="M103" s="463">
        <f>G103*0.125</f>
        <v>12</v>
      </c>
      <c r="N103" s="463"/>
      <c r="O103" s="463"/>
      <c r="P103" s="463">
        <f t="shared" ref="P103:P116" si="31">K103+L103+M103</f>
        <v>36</v>
      </c>
      <c r="Q103" s="463"/>
      <c r="R103" s="463"/>
      <c r="S103" s="462" t="str">
        <f t="shared" si="29"/>
        <v>正确</v>
      </c>
      <c r="T103" s="462" t="s">
        <v>1559</v>
      </c>
      <c r="U103" s="462" t="s">
        <v>1560</v>
      </c>
      <c r="V103" s="462" t="s">
        <v>294</v>
      </c>
      <c r="W103" s="462" t="s">
        <v>41</v>
      </c>
    </row>
    <row r="104" ht="23.25" customHeight="1" spans="1:23">
      <c r="A104" s="464"/>
      <c r="B104" s="462" t="s">
        <v>1540</v>
      </c>
      <c r="C104" s="463" t="s">
        <v>320</v>
      </c>
      <c r="D104" s="463" t="s">
        <v>147</v>
      </c>
      <c r="E104" s="465">
        <v>7</v>
      </c>
      <c r="F104" s="465">
        <v>7</v>
      </c>
      <c r="G104" s="465">
        <f t="shared" ref="G104:G116" si="32">E104</f>
        <v>7</v>
      </c>
      <c r="H104" s="465">
        <v>2018</v>
      </c>
      <c r="I104" s="465">
        <v>2020</v>
      </c>
      <c r="J104" s="463">
        <f t="shared" si="30"/>
        <v>2.625</v>
      </c>
      <c r="K104" s="463">
        <f t="shared" ref="K104:K116" si="33">1250*E104/10000</f>
        <v>0.875</v>
      </c>
      <c r="L104" s="463">
        <f t="shared" ref="L104:L116" si="34">0.125*E104</f>
        <v>0.875</v>
      </c>
      <c r="M104" s="463">
        <f t="shared" ref="M104:M116" si="35">0.125*E104</f>
        <v>0.875</v>
      </c>
      <c r="N104" s="463"/>
      <c r="O104" s="463"/>
      <c r="P104" s="463">
        <f t="shared" si="31"/>
        <v>2.625</v>
      </c>
      <c r="Q104" s="463"/>
      <c r="R104" s="463"/>
      <c r="S104" s="462" t="str">
        <f t="shared" si="29"/>
        <v>正确</v>
      </c>
      <c r="T104" s="462"/>
      <c r="U104" s="462"/>
      <c r="V104" s="462"/>
      <c r="W104" s="462"/>
    </row>
    <row r="105" ht="23.25" customHeight="1" spans="1:23">
      <c r="A105" s="464"/>
      <c r="B105" s="462" t="s">
        <v>1541</v>
      </c>
      <c r="C105" s="463" t="s">
        <v>320</v>
      </c>
      <c r="D105" s="463" t="s">
        <v>147</v>
      </c>
      <c r="E105" s="465">
        <v>9</v>
      </c>
      <c r="F105" s="465">
        <v>9</v>
      </c>
      <c r="G105" s="465">
        <f t="shared" si="32"/>
        <v>9</v>
      </c>
      <c r="H105" s="465">
        <v>2018</v>
      </c>
      <c r="I105" s="465">
        <v>2020</v>
      </c>
      <c r="J105" s="463">
        <f t="shared" si="30"/>
        <v>3.375</v>
      </c>
      <c r="K105" s="463">
        <f t="shared" si="33"/>
        <v>1.125</v>
      </c>
      <c r="L105" s="463">
        <f t="shared" si="34"/>
        <v>1.125</v>
      </c>
      <c r="M105" s="463">
        <f t="shared" si="35"/>
        <v>1.125</v>
      </c>
      <c r="N105" s="463"/>
      <c r="O105" s="463"/>
      <c r="P105" s="463">
        <f t="shared" si="31"/>
        <v>3.375</v>
      </c>
      <c r="Q105" s="463"/>
      <c r="R105" s="463"/>
      <c r="S105" s="462" t="str">
        <f t="shared" si="29"/>
        <v>正确</v>
      </c>
      <c r="T105" s="462"/>
      <c r="U105" s="462"/>
      <c r="V105" s="462"/>
      <c r="W105" s="462"/>
    </row>
    <row r="106" ht="23.25" customHeight="1" spans="1:23">
      <c r="A106" s="464"/>
      <c r="B106" s="462" t="s">
        <v>1542</v>
      </c>
      <c r="C106" s="463" t="s">
        <v>320</v>
      </c>
      <c r="D106" s="463" t="s">
        <v>147</v>
      </c>
      <c r="E106" s="465">
        <v>6</v>
      </c>
      <c r="F106" s="465">
        <v>6</v>
      </c>
      <c r="G106" s="465">
        <f t="shared" si="32"/>
        <v>6</v>
      </c>
      <c r="H106" s="465">
        <v>2018</v>
      </c>
      <c r="I106" s="465">
        <v>2020</v>
      </c>
      <c r="J106" s="463">
        <f t="shared" si="30"/>
        <v>2.25</v>
      </c>
      <c r="K106" s="463">
        <f t="shared" si="33"/>
        <v>0.75</v>
      </c>
      <c r="L106" s="463">
        <f t="shared" si="34"/>
        <v>0.75</v>
      </c>
      <c r="M106" s="463">
        <f t="shared" si="35"/>
        <v>0.75</v>
      </c>
      <c r="N106" s="463"/>
      <c r="O106" s="463"/>
      <c r="P106" s="463">
        <f t="shared" si="31"/>
        <v>2.25</v>
      </c>
      <c r="Q106" s="463"/>
      <c r="R106" s="463"/>
      <c r="S106" s="462" t="str">
        <f t="shared" si="29"/>
        <v>正确</v>
      </c>
      <c r="T106" s="462"/>
      <c r="U106" s="462"/>
      <c r="V106" s="462"/>
      <c r="W106" s="462"/>
    </row>
    <row r="107" ht="23.25" customHeight="1" spans="1:23">
      <c r="A107" s="464"/>
      <c r="B107" s="462" t="s">
        <v>1543</v>
      </c>
      <c r="C107" s="463" t="s">
        <v>320</v>
      </c>
      <c r="D107" s="463" t="s">
        <v>147</v>
      </c>
      <c r="E107" s="465">
        <v>7</v>
      </c>
      <c r="F107" s="465">
        <v>7</v>
      </c>
      <c r="G107" s="465">
        <f t="shared" si="32"/>
        <v>7</v>
      </c>
      <c r="H107" s="465">
        <v>2018</v>
      </c>
      <c r="I107" s="465">
        <v>2020</v>
      </c>
      <c r="J107" s="463">
        <f t="shared" si="30"/>
        <v>2.625</v>
      </c>
      <c r="K107" s="463">
        <f t="shared" si="33"/>
        <v>0.875</v>
      </c>
      <c r="L107" s="463">
        <f t="shared" si="34"/>
        <v>0.875</v>
      </c>
      <c r="M107" s="463">
        <f t="shared" si="35"/>
        <v>0.875</v>
      </c>
      <c r="N107" s="463"/>
      <c r="O107" s="463"/>
      <c r="P107" s="463">
        <f t="shared" si="31"/>
        <v>2.625</v>
      </c>
      <c r="Q107" s="463"/>
      <c r="R107" s="463"/>
      <c r="S107" s="462" t="str">
        <f t="shared" si="29"/>
        <v>正确</v>
      </c>
      <c r="T107" s="462"/>
      <c r="U107" s="462"/>
      <c r="V107" s="462"/>
      <c r="W107" s="462"/>
    </row>
    <row r="108" ht="23.25" customHeight="1" spans="1:23">
      <c r="A108" s="464"/>
      <c r="B108" s="462" t="s">
        <v>1544</v>
      </c>
      <c r="C108" s="463" t="s">
        <v>320</v>
      </c>
      <c r="D108" s="463" t="s">
        <v>147</v>
      </c>
      <c r="E108" s="465">
        <v>4</v>
      </c>
      <c r="F108" s="465">
        <v>4</v>
      </c>
      <c r="G108" s="465">
        <f t="shared" si="32"/>
        <v>4</v>
      </c>
      <c r="H108" s="465">
        <v>2018</v>
      </c>
      <c r="I108" s="465">
        <v>2020</v>
      </c>
      <c r="J108" s="463">
        <f t="shared" si="30"/>
        <v>1.5</v>
      </c>
      <c r="K108" s="463">
        <f t="shared" si="33"/>
        <v>0.5</v>
      </c>
      <c r="L108" s="463">
        <f t="shared" si="34"/>
        <v>0.5</v>
      </c>
      <c r="M108" s="463">
        <f t="shared" si="35"/>
        <v>0.5</v>
      </c>
      <c r="N108" s="463"/>
      <c r="O108" s="463"/>
      <c r="P108" s="463">
        <f t="shared" si="31"/>
        <v>1.5</v>
      </c>
      <c r="Q108" s="463"/>
      <c r="R108" s="463"/>
      <c r="S108" s="462" t="str">
        <f t="shared" si="29"/>
        <v>正确</v>
      </c>
      <c r="T108" s="462"/>
      <c r="U108" s="462"/>
      <c r="V108" s="462"/>
      <c r="W108" s="462"/>
    </row>
    <row r="109" ht="23.25" customHeight="1" spans="1:23">
      <c r="A109" s="464"/>
      <c r="B109" s="462" t="s">
        <v>1545</v>
      </c>
      <c r="C109" s="463" t="s">
        <v>320</v>
      </c>
      <c r="D109" s="463" t="s">
        <v>147</v>
      </c>
      <c r="E109" s="465">
        <v>22</v>
      </c>
      <c r="F109" s="465">
        <v>21</v>
      </c>
      <c r="G109" s="465">
        <f t="shared" si="32"/>
        <v>22</v>
      </c>
      <c r="H109" s="465">
        <v>2018</v>
      </c>
      <c r="I109" s="465">
        <v>2020</v>
      </c>
      <c r="J109" s="463">
        <f t="shared" si="30"/>
        <v>8.25</v>
      </c>
      <c r="K109" s="463">
        <f t="shared" si="33"/>
        <v>2.75</v>
      </c>
      <c r="L109" s="463">
        <f t="shared" si="34"/>
        <v>2.75</v>
      </c>
      <c r="M109" s="463">
        <f t="shared" si="35"/>
        <v>2.75</v>
      </c>
      <c r="N109" s="463"/>
      <c r="O109" s="463"/>
      <c r="P109" s="463">
        <f t="shared" si="31"/>
        <v>8.25</v>
      </c>
      <c r="Q109" s="463"/>
      <c r="R109" s="463"/>
      <c r="S109" s="462" t="str">
        <f t="shared" si="29"/>
        <v>正确</v>
      </c>
      <c r="T109" s="462"/>
      <c r="U109" s="462"/>
      <c r="V109" s="462"/>
      <c r="W109" s="462"/>
    </row>
    <row r="110" ht="23.25" customHeight="1" spans="1:23">
      <c r="A110" s="464"/>
      <c r="B110" s="462" t="s">
        <v>1546</v>
      </c>
      <c r="C110" s="463" t="s">
        <v>320</v>
      </c>
      <c r="D110" s="463" t="s">
        <v>147</v>
      </c>
      <c r="E110" s="465">
        <v>3</v>
      </c>
      <c r="F110" s="465">
        <v>3</v>
      </c>
      <c r="G110" s="465">
        <f t="shared" si="32"/>
        <v>3</v>
      </c>
      <c r="H110" s="465">
        <v>2018</v>
      </c>
      <c r="I110" s="465">
        <v>2020</v>
      </c>
      <c r="J110" s="463">
        <f t="shared" si="30"/>
        <v>1.125</v>
      </c>
      <c r="K110" s="463">
        <f t="shared" si="33"/>
        <v>0.375</v>
      </c>
      <c r="L110" s="463">
        <f t="shared" si="34"/>
        <v>0.375</v>
      </c>
      <c r="M110" s="463">
        <f t="shared" si="35"/>
        <v>0.375</v>
      </c>
      <c r="N110" s="463"/>
      <c r="O110" s="463"/>
      <c r="P110" s="463">
        <f t="shared" si="31"/>
        <v>1.125</v>
      </c>
      <c r="Q110" s="463"/>
      <c r="R110" s="463"/>
      <c r="S110" s="462" t="str">
        <f t="shared" si="29"/>
        <v>正确</v>
      </c>
      <c r="T110" s="462"/>
      <c r="U110" s="462"/>
      <c r="V110" s="462"/>
      <c r="W110" s="462"/>
    </row>
    <row r="111" ht="23.25" customHeight="1" spans="1:23">
      <c r="A111" s="464"/>
      <c r="B111" s="462" t="s">
        <v>1547</v>
      </c>
      <c r="C111" s="463" t="s">
        <v>320</v>
      </c>
      <c r="D111" s="463" t="s">
        <v>147</v>
      </c>
      <c r="E111" s="465">
        <v>4</v>
      </c>
      <c r="F111" s="465">
        <v>4</v>
      </c>
      <c r="G111" s="465">
        <f t="shared" si="32"/>
        <v>4</v>
      </c>
      <c r="H111" s="465">
        <v>2018</v>
      </c>
      <c r="I111" s="465">
        <v>2020</v>
      </c>
      <c r="J111" s="463">
        <f t="shared" si="30"/>
        <v>1.5</v>
      </c>
      <c r="K111" s="463">
        <f t="shared" si="33"/>
        <v>0.5</v>
      </c>
      <c r="L111" s="463">
        <f t="shared" si="34"/>
        <v>0.5</v>
      </c>
      <c r="M111" s="463">
        <f t="shared" si="35"/>
        <v>0.5</v>
      </c>
      <c r="N111" s="463"/>
      <c r="O111" s="463"/>
      <c r="P111" s="463">
        <f t="shared" si="31"/>
        <v>1.5</v>
      </c>
      <c r="Q111" s="463"/>
      <c r="R111" s="463"/>
      <c r="S111" s="462" t="str">
        <f t="shared" si="29"/>
        <v>正确</v>
      </c>
      <c r="T111" s="462"/>
      <c r="U111" s="462"/>
      <c r="V111" s="462"/>
      <c r="W111" s="462"/>
    </row>
    <row r="112" ht="23.25" customHeight="1" spans="1:23">
      <c r="A112" s="464"/>
      <c r="B112" s="462" t="s">
        <v>1548</v>
      </c>
      <c r="C112" s="463" t="s">
        <v>320</v>
      </c>
      <c r="D112" s="463" t="s">
        <v>147</v>
      </c>
      <c r="E112" s="465">
        <v>13</v>
      </c>
      <c r="F112" s="465">
        <v>13</v>
      </c>
      <c r="G112" s="465">
        <f t="shared" si="32"/>
        <v>13</v>
      </c>
      <c r="H112" s="465">
        <v>2018</v>
      </c>
      <c r="I112" s="465">
        <v>2020</v>
      </c>
      <c r="J112" s="463">
        <f t="shared" si="30"/>
        <v>4.875</v>
      </c>
      <c r="K112" s="463">
        <f t="shared" si="33"/>
        <v>1.625</v>
      </c>
      <c r="L112" s="463">
        <f t="shared" si="34"/>
        <v>1.625</v>
      </c>
      <c r="M112" s="463">
        <f t="shared" si="35"/>
        <v>1.625</v>
      </c>
      <c r="N112" s="463"/>
      <c r="O112" s="463"/>
      <c r="P112" s="463">
        <f t="shared" si="31"/>
        <v>4.875</v>
      </c>
      <c r="Q112" s="463"/>
      <c r="R112" s="463"/>
      <c r="S112" s="462" t="str">
        <f t="shared" si="29"/>
        <v>正确</v>
      </c>
      <c r="T112" s="462"/>
      <c r="U112" s="462"/>
      <c r="V112" s="462"/>
      <c r="W112" s="462"/>
    </row>
    <row r="113" ht="23.25" customHeight="1" spans="1:23">
      <c r="A113" s="464"/>
      <c r="B113" s="462" t="s">
        <v>1549</v>
      </c>
      <c r="C113" s="463" t="s">
        <v>320</v>
      </c>
      <c r="D113" s="463" t="s">
        <v>147</v>
      </c>
      <c r="E113" s="465">
        <v>11</v>
      </c>
      <c r="F113" s="465">
        <v>11</v>
      </c>
      <c r="G113" s="465">
        <f t="shared" si="32"/>
        <v>11</v>
      </c>
      <c r="H113" s="465">
        <v>2018</v>
      </c>
      <c r="I113" s="465">
        <v>2020</v>
      </c>
      <c r="J113" s="463">
        <f t="shared" si="30"/>
        <v>4.125</v>
      </c>
      <c r="K113" s="463">
        <f t="shared" si="33"/>
        <v>1.375</v>
      </c>
      <c r="L113" s="463">
        <f t="shared" si="34"/>
        <v>1.375</v>
      </c>
      <c r="M113" s="463">
        <f t="shared" si="35"/>
        <v>1.375</v>
      </c>
      <c r="N113" s="463"/>
      <c r="O113" s="463"/>
      <c r="P113" s="463">
        <f t="shared" si="31"/>
        <v>4.125</v>
      </c>
      <c r="Q113" s="463"/>
      <c r="R113" s="463"/>
      <c r="S113" s="462" t="str">
        <f t="shared" si="29"/>
        <v>正确</v>
      </c>
      <c r="T113" s="462"/>
      <c r="U113" s="462"/>
      <c r="V113" s="462"/>
      <c r="W113" s="462"/>
    </row>
    <row r="114" ht="23.25" customHeight="1" spans="1:23">
      <c r="A114" s="464"/>
      <c r="B114" s="462" t="s">
        <v>1550</v>
      </c>
      <c r="C114" s="463" t="s">
        <v>320</v>
      </c>
      <c r="D114" s="463" t="s">
        <v>147</v>
      </c>
      <c r="E114" s="465">
        <v>1</v>
      </c>
      <c r="F114" s="465">
        <v>1</v>
      </c>
      <c r="G114" s="465">
        <f t="shared" si="32"/>
        <v>1</v>
      </c>
      <c r="H114" s="465">
        <v>2018</v>
      </c>
      <c r="I114" s="465">
        <v>2020</v>
      </c>
      <c r="J114" s="463">
        <f t="shared" si="30"/>
        <v>0.375</v>
      </c>
      <c r="K114" s="463">
        <f t="shared" si="33"/>
        <v>0.125</v>
      </c>
      <c r="L114" s="463">
        <f t="shared" si="34"/>
        <v>0.125</v>
      </c>
      <c r="M114" s="463">
        <f t="shared" si="35"/>
        <v>0.125</v>
      </c>
      <c r="N114" s="463"/>
      <c r="O114" s="463"/>
      <c r="P114" s="463">
        <f t="shared" si="31"/>
        <v>0.375</v>
      </c>
      <c r="Q114" s="463"/>
      <c r="R114" s="463"/>
      <c r="S114" s="462" t="str">
        <f t="shared" si="29"/>
        <v>正确</v>
      </c>
      <c r="T114" s="462"/>
      <c r="U114" s="462"/>
      <c r="V114" s="462"/>
      <c r="W114" s="462"/>
    </row>
    <row r="115" ht="23.25" customHeight="1" spans="1:23">
      <c r="A115" s="464"/>
      <c r="B115" s="462" t="s">
        <v>1561</v>
      </c>
      <c r="C115" s="463" t="s">
        <v>320</v>
      </c>
      <c r="D115" s="463" t="s">
        <v>147</v>
      </c>
      <c r="E115" s="465">
        <v>7</v>
      </c>
      <c r="F115" s="465">
        <v>0</v>
      </c>
      <c r="G115" s="465">
        <f t="shared" si="32"/>
        <v>7</v>
      </c>
      <c r="H115" s="465">
        <v>2018</v>
      </c>
      <c r="I115" s="465">
        <v>2020</v>
      </c>
      <c r="J115" s="463">
        <f t="shared" si="30"/>
        <v>2.625</v>
      </c>
      <c r="K115" s="463">
        <f t="shared" si="33"/>
        <v>0.875</v>
      </c>
      <c r="L115" s="463">
        <f t="shared" si="34"/>
        <v>0.875</v>
      </c>
      <c r="M115" s="463">
        <f t="shared" si="35"/>
        <v>0.875</v>
      </c>
      <c r="N115" s="463"/>
      <c r="O115" s="463"/>
      <c r="P115" s="463">
        <f t="shared" si="31"/>
        <v>2.625</v>
      </c>
      <c r="Q115" s="463"/>
      <c r="R115" s="463"/>
      <c r="S115" s="462" t="str">
        <f t="shared" si="29"/>
        <v>正确</v>
      </c>
      <c r="T115" s="462"/>
      <c r="U115" s="462"/>
      <c r="V115" s="462"/>
      <c r="W115" s="462"/>
    </row>
    <row r="116" ht="23.25" customHeight="1" spans="1:23">
      <c r="A116" s="464"/>
      <c r="B116" s="462" t="s">
        <v>1551</v>
      </c>
      <c r="C116" s="463" t="s">
        <v>320</v>
      </c>
      <c r="D116" s="463" t="s">
        <v>147</v>
      </c>
      <c r="E116" s="465">
        <v>2</v>
      </c>
      <c r="F116" s="465">
        <v>2</v>
      </c>
      <c r="G116" s="465">
        <f t="shared" si="32"/>
        <v>2</v>
      </c>
      <c r="H116" s="465">
        <v>2018</v>
      </c>
      <c r="I116" s="465">
        <v>2020</v>
      </c>
      <c r="J116" s="463">
        <f t="shared" si="30"/>
        <v>0.75</v>
      </c>
      <c r="K116" s="463">
        <f t="shared" si="33"/>
        <v>0.25</v>
      </c>
      <c r="L116" s="463">
        <f t="shared" si="34"/>
        <v>0.25</v>
      </c>
      <c r="M116" s="463">
        <f t="shared" si="35"/>
        <v>0.25</v>
      </c>
      <c r="N116" s="463"/>
      <c r="O116" s="463"/>
      <c r="P116" s="463">
        <f t="shared" si="31"/>
        <v>0.75</v>
      </c>
      <c r="Q116" s="463"/>
      <c r="R116" s="463"/>
      <c r="S116" s="462" t="str">
        <f t="shared" si="29"/>
        <v>正确</v>
      </c>
      <c r="T116" s="462"/>
      <c r="U116" s="462"/>
      <c r="V116" s="462"/>
      <c r="W116" s="462"/>
    </row>
    <row r="117" ht="23.25" customHeight="1" spans="1:23">
      <c r="A117" s="464">
        <v>2</v>
      </c>
      <c r="B117" s="462" t="s">
        <v>321</v>
      </c>
      <c r="C117" s="463" t="s">
        <v>320</v>
      </c>
      <c r="D117" s="463" t="s">
        <v>147</v>
      </c>
      <c r="E117" s="465">
        <v>185</v>
      </c>
      <c r="F117" s="465">
        <v>176</v>
      </c>
      <c r="G117" s="465">
        <v>185</v>
      </c>
      <c r="H117" s="465">
        <v>2018</v>
      </c>
      <c r="I117" s="465">
        <v>2020</v>
      </c>
      <c r="J117" s="463">
        <f t="shared" si="30"/>
        <v>305.25</v>
      </c>
      <c r="K117" s="463">
        <f>E117*0.55</f>
        <v>101.75</v>
      </c>
      <c r="L117" s="463">
        <f>E117*0.55</f>
        <v>101.75</v>
      </c>
      <c r="M117" s="463">
        <f>E117*0.55</f>
        <v>101.75</v>
      </c>
      <c r="N117" s="463">
        <f t="shared" ref="N117:N129" si="36">E117*0.425*3</f>
        <v>235.875</v>
      </c>
      <c r="O117" s="463"/>
      <c r="P117" s="463">
        <f t="shared" ref="P117:P129" si="37">E117*0.125*3</f>
        <v>69.375</v>
      </c>
      <c r="Q117" s="463"/>
      <c r="R117" s="463"/>
      <c r="S117" s="462" t="str">
        <f t="shared" si="29"/>
        <v>正确</v>
      </c>
      <c r="T117" s="462" t="s">
        <v>1559</v>
      </c>
      <c r="U117" s="462" t="s">
        <v>1560</v>
      </c>
      <c r="V117" s="462" t="s">
        <v>294</v>
      </c>
      <c r="W117" s="462" t="s">
        <v>41</v>
      </c>
    </row>
    <row r="118" ht="23.25" customHeight="1" spans="1:23">
      <c r="A118" s="464"/>
      <c r="B118" s="462" t="s">
        <v>1540</v>
      </c>
      <c r="C118" s="463" t="s">
        <v>320</v>
      </c>
      <c r="D118" s="463" t="s">
        <v>147</v>
      </c>
      <c r="E118" s="465">
        <v>21</v>
      </c>
      <c r="F118" s="465">
        <v>21</v>
      </c>
      <c r="G118" s="465">
        <f t="shared" ref="G118:G129" si="38">E118</f>
        <v>21</v>
      </c>
      <c r="H118" s="465">
        <v>2018</v>
      </c>
      <c r="I118" s="465">
        <v>2020</v>
      </c>
      <c r="J118" s="463">
        <f t="shared" si="30"/>
        <v>34.65</v>
      </c>
      <c r="K118" s="463">
        <f t="shared" ref="K118:K129" si="39">0.55*E118</f>
        <v>11.55</v>
      </c>
      <c r="L118" s="463">
        <f t="shared" ref="L118:L129" si="40">0.55*E118</f>
        <v>11.55</v>
      </c>
      <c r="M118" s="463">
        <f t="shared" ref="M118:M129" si="41">0.55*G118</f>
        <v>11.55</v>
      </c>
      <c r="N118" s="463">
        <f t="shared" si="36"/>
        <v>26.775</v>
      </c>
      <c r="O118" s="463"/>
      <c r="P118" s="463">
        <f t="shared" si="37"/>
        <v>7.875</v>
      </c>
      <c r="Q118" s="463"/>
      <c r="R118" s="463"/>
      <c r="S118" s="462" t="str">
        <f t="shared" si="29"/>
        <v>正确</v>
      </c>
      <c r="T118" s="462"/>
      <c r="U118" s="462"/>
      <c r="V118" s="462"/>
      <c r="W118" s="462"/>
    </row>
    <row r="119" ht="23.25" customHeight="1" spans="1:23">
      <c r="A119" s="464"/>
      <c r="B119" s="462" t="s">
        <v>1541</v>
      </c>
      <c r="C119" s="463" t="s">
        <v>320</v>
      </c>
      <c r="D119" s="463" t="s">
        <v>147</v>
      </c>
      <c r="E119" s="465">
        <v>12</v>
      </c>
      <c r="F119" s="465">
        <v>12</v>
      </c>
      <c r="G119" s="465">
        <f t="shared" si="38"/>
        <v>12</v>
      </c>
      <c r="H119" s="465">
        <v>2018</v>
      </c>
      <c r="I119" s="465">
        <v>2020</v>
      </c>
      <c r="J119" s="463">
        <f t="shared" si="30"/>
        <v>19.8</v>
      </c>
      <c r="K119" s="463">
        <f t="shared" si="39"/>
        <v>6.6</v>
      </c>
      <c r="L119" s="463">
        <f t="shared" si="40"/>
        <v>6.6</v>
      </c>
      <c r="M119" s="463">
        <f t="shared" si="41"/>
        <v>6.6</v>
      </c>
      <c r="N119" s="463">
        <f t="shared" si="36"/>
        <v>15.3</v>
      </c>
      <c r="O119" s="463"/>
      <c r="P119" s="463">
        <f t="shared" si="37"/>
        <v>4.5</v>
      </c>
      <c r="Q119" s="463"/>
      <c r="R119" s="463"/>
      <c r="S119" s="462" t="str">
        <f t="shared" si="29"/>
        <v>正确</v>
      </c>
      <c r="T119" s="462"/>
      <c r="U119" s="462"/>
      <c r="V119" s="462"/>
      <c r="W119" s="462"/>
    </row>
    <row r="120" ht="23.25" customHeight="1" spans="1:23">
      <c r="A120" s="464"/>
      <c r="B120" s="462" t="s">
        <v>1542</v>
      </c>
      <c r="C120" s="463" t="s">
        <v>320</v>
      </c>
      <c r="D120" s="463" t="s">
        <v>147</v>
      </c>
      <c r="E120" s="465">
        <v>13</v>
      </c>
      <c r="F120" s="465">
        <v>13</v>
      </c>
      <c r="G120" s="465">
        <f t="shared" si="38"/>
        <v>13</v>
      </c>
      <c r="H120" s="465">
        <v>2018</v>
      </c>
      <c r="I120" s="465">
        <v>2020</v>
      </c>
      <c r="J120" s="463">
        <f t="shared" si="30"/>
        <v>21.45</v>
      </c>
      <c r="K120" s="463">
        <f t="shared" si="39"/>
        <v>7.15</v>
      </c>
      <c r="L120" s="463">
        <f t="shared" si="40"/>
        <v>7.15</v>
      </c>
      <c r="M120" s="463">
        <f t="shared" si="41"/>
        <v>7.15</v>
      </c>
      <c r="N120" s="463">
        <f t="shared" si="36"/>
        <v>16.575</v>
      </c>
      <c r="O120" s="463"/>
      <c r="P120" s="463">
        <f t="shared" si="37"/>
        <v>4.875</v>
      </c>
      <c r="Q120" s="463"/>
      <c r="R120" s="463"/>
      <c r="S120" s="462" t="str">
        <f t="shared" si="29"/>
        <v>正确</v>
      </c>
      <c r="T120" s="462"/>
      <c r="U120" s="462"/>
      <c r="V120" s="462"/>
      <c r="W120" s="462"/>
    </row>
    <row r="121" ht="23.25" customHeight="1" spans="1:23">
      <c r="A121" s="464"/>
      <c r="B121" s="462" t="s">
        <v>1543</v>
      </c>
      <c r="C121" s="463" t="s">
        <v>320</v>
      </c>
      <c r="D121" s="463" t="s">
        <v>147</v>
      </c>
      <c r="E121" s="465">
        <v>10</v>
      </c>
      <c r="F121" s="465">
        <v>9</v>
      </c>
      <c r="G121" s="465">
        <f t="shared" si="38"/>
        <v>10</v>
      </c>
      <c r="H121" s="465">
        <v>2018</v>
      </c>
      <c r="I121" s="465">
        <v>2020</v>
      </c>
      <c r="J121" s="463">
        <f t="shared" si="30"/>
        <v>16.5</v>
      </c>
      <c r="K121" s="463">
        <f t="shared" si="39"/>
        <v>5.5</v>
      </c>
      <c r="L121" s="463">
        <f t="shared" si="40"/>
        <v>5.5</v>
      </c>
      <c r="M121" s="463">
        <f t="shared" si="41"/>
        <v>5.5</v>
      </c>
      <c r="N121" s="463">
        <f t="shared" si="36"/>
        <v>12.75</v>
      </c>
      <c r="O121" s="482"/>
      <c r="P121" s="463">
        <f t="shared" si="37"/>
        <v>3.75</v>
      </c>
      <c r="Q121" s="482"/>
      <c r="R121" s="482"/>
      <c r="S121" s="462" t="str">
        <f t="shared" si="29"/>
        <v>正确</v>
      </c>
      <c r="T121" s="462"/>
      <c r="U121" s="462"/>
      <c r="V121" s="462"/>
      <c r="W121" s="462"/>
    </row>
    <row r="122" ht="23.25" customHeight="1" spans="1:23">
      <c r="A122" s="464"/>
      <c r="B122" s="462" t="s">
        <v>1544</v>
      </c>
      <c r="C122" s="463" t="s">
        <v>320</v>
      </c>
      <c r="D122" s="463" t="s">
        <v>147</v>
      </c>
      <c r="E122" s="465">
        <v>12</v>
      </c>
      <c r="F122" s="465">
        <v>12</v>
      </c>
      <c r="G122" s="465">
        <f t="shared" si="38"/>
        <v>12</v>
      </c>
      <c r="H122" s="465">
        <v>2018</v>
      </c>
      <c r="I122" s="465">
        <v>2020</v>
      </c>
      <c r="J122" s="463">
        <f t="shared" si="30"/>
        <v>19.8</v>
      </c>
      <c r="K122" s="463">
        <f t="shared" si="39"/>
        <v>6.6</v>
      </c>
      <c r="L122" s="463">
        <f t="shared" si="40"/>
        <v>6.6</v>
      </c>
      <c r="M122" s="463">
        <f t="shared" si="41"/>
        <v>6.6</v>
      </c>
      <c r="N122" s="463">
        <f t="shared" si="36"/>
        <v>15.3</v>
      </c>
      <c r="O122" s="463"/>
      <c r="P122" s="463">
        <f t="shared" si="37"/>
        <v>4.5</v>
      </c>
      <c r="Q122" s="463"/>
      <c r="R122" s="463"/>
      <c r="S122" s="462" t="str">
        <f t="shared" si="29"/>
        <v>正确</v>
      </c>
      <c r="T122" s="462"/>
      <c r="U122" s="462"/>
      <c r="V122" s="462"/>
      <c r="W122" s="462"/>
    </row>
    <row r="123" ht="23.25" customHeight="1" spans="1:23">
      <c r="A123" s="464"/>
      <c r="B123" s="462" t="s">
        <v>1545</v>
      </c>
      <c r="C123" s="463" t="s">
        <v>320</v>
      </c>
      <c r="D123" s="463" t="s">
        <v>147</v>
      </c>
      <c r="E123" s="465">
        <v>24</v>
      </c>
      <c r="F123" s="465">
        <v>24</v>
      </c>
      <c r="G123" s="465">
        <f t="shared" si="38"/>
        <v>24</v>
      </c>
      <c r="H123" s="465">
        <v>2018</v>
      </c>
      <c r="I123" s="465">
        <v>2020</v>
      </c>
      <c r="J123" s="463">
        <f t="shared" si="30"/>
        <v>39.6</v>
      </c>
      <c r="K123" s="463">
        <f t="shared" si="39"/>
        <v>13.2</v>
      </c>
      <c r="L123" s="463">
        <f t="shared" si="40"/>
        <v>13.2</v>
      </c>
      <c r="M123" s="463">
        <f t="shared" si="41"/>
        <v>13.2</v>
      </c>
      <c r="N123" s="463">
        <f t="shared" si="36"/>
        <v>30.6</v>
      </c>
      <c r="O123" s="463"/>
      <c r="P123" s="463">
        <f t="shared" si="37"/>
        <v>9</v>
      </c>
      <c r="Q123" s="463"/>
      <c r="R123" s="463"/>
      <c r="S123" s="462" t="str">
        <f t="shared" si="29"/>
        <v>正确</v>
      </c>
      <c r="T123" s="462"/>
      <c r="U123" s="462"/>
      <c r="V123" s="462"/>
      <c r="W123" s="462"/>
    </row>
    <row r="124" ht="23.25" customHeight="1" spans="1:23">
      <c r="A124" s="464"/>
      <c r="B124" s="462" t="s">
        <v>1546</v>
      </c>
      <c r="C124" s="463" t="s">
        <v>320</v>
      </c>
      <c r="D124" s="463" t="s">
        <v>147</v>
      </c>
      <c r="E124" s="465">
        <v>22</v>
      </c>
      <c r="F124" s="465">
        <v>21</v>
      </c>
      <c r="G124" s="465">
        <f t="shared" si="38"/>
        <v>22</v>
      </c>
      <c r="H124" s="465">
        <v>2018</v>
      </c>
      <c r="I124" s="465">
        <v>2020</v>
      </c>
      <c r="J124" s="463">
        <f t="shared" si="30"/>
        <v>36.3</v>
      </c>
      <c r="K124" s="463">
        <f t="shared" si="39"/>
        <v>12.1</v>
      </c>
      <c r="L124" s="463">
        <f t="shared" si="40"/>
        <v>12.1</v>
      </c>
      <c r="M124" s="463">
        <f t="shared" si="41"/>
        <v>12.1</v>
      </c>
      <c r="N124" s="463">
        <f t="shared" si="36"/>
        <v>28.05</v>
      </c>
      <c r="O124" s="463"/>
      <c r="P124" s="463">
        <f t="shared" si="37"/>
        <v>8.25</v>
      </c>
      <c r="Q124" s="463"/>
      <c r="R124" s="463"/>
      <c r="S124" s="462" t="str">
        <f t="shared" si="29"/>
        <v>正确</v>
      </c>
      <c r="T124" s="462"/>
      <c r="U124" s="462"/>
      <c r="V124" s="462"/>
      <c r="W124" s="462"/>
    </row>
    <row r="125" ht="23.25" customHeight="1" spans="1:23">
      <c r="A125" s="464"/>
      <c r="B125" s="462" t="s">
        <v>1547</v>
      </c>
      <c r="C125" s="463" t="s">
        <v>320</v>
      </c>
      <c r="D125" s="463" t="s">
        <v>147</v>
      </c>
      <c r="E125" s="465">
        <v>19</v>
      </c>
      <c r="F125" s="465">
        <v>17</v>
      </c>
      <c r="G125" s="465">
        <f t="shared" si="38"/>
        <v>19</v>
      </c>
      <c r="H125" s="465">
        <v>2018</v>
      </c>
      <c r="I125" s="465">
        <v>2020</v>
      </c>
      <c r="J125" s="463">
        <f t="shared" si="30"/>
        <v>31.35</v>
      </c>
      <c r="K125" s="463">
        <f t="shared" si="39"/>
        <v>10.45</v>
      </c>
      <c r="L125" s="463">
        <f t="shared" si="40"/>
        <v>10.45</v>
      </c>
      <c r="M125" s="463">
        <f t="shared" si="41"/>
        <v>10.45</v>
      </c>
      <c r="N125" s="463">
        <f t="shared" si="36"/>
        <v>24.225</v>
      </c>
      <c r="O125" s="463"/>
      <c r="P125" s="463">
        <f t="shared" si="37"/>
        <v>7.125</v>
      </c>
      <c r="Q125" s="463"/>
      <c r="R125" s="463"/>
      <c r="S125" s="462" t="str">
        <f t="shared" si="29"/>
        <v>正确</v>
      </c>
      <c r="T125" s="462"/>
      <c r="U125" s="462"/>
      <c r="V125" s="462"/>
      <c r="W125" s="462"/>
    </row>
    <row r="126" ht="23.25" customHeight="1" spans="1:23">
      <c r="A126" s="464"/>
      <c r="B126" s="462" t="s">
        <v>1548</v>
      </c>
      <c r="C126" s="463" t="s">
        <v>320</v>
      </c>
      <c r="D126" s="463" t="s">
        <v>147</v>
      </c>
      <c r="E126" s="465">
        <v>25</v>
      </c>
      <c r="F126" s="465">
        <v>22</v>
      </c>
      <c r="G126" s="465">
        <f t="shared" si="38"/>
        <v>25</v>
      </c>
      <c r="H126" s="465">
        <v>2018</v>
      </c>
      <c r="I126" s="465">
        <v>2020</v>
      </c>
      <c r="J126" s="463">
        <f t="shared" si="30"/>
        <v>41.25</v>
      </c>
      <c r="K126" s="463">
        <f t="shared" si="39"/>
        <v>13.75</v>
      </c>
      <c r="L126" s="463">
        <f t="shared" si="40"/>
        <v>13.75</v>
      </c>
      <c r="M126" s="463">
        <f t="shared" si="41"/>
        <v>13.75</v>
      </c>
      <c r="N126" s="463">
        <f t="shared" si="36"/>
        <v>31.875</v>
      </c>
      <c r="O126" s="463"/>
      <c r="P126" s="463">
        <f t="shared" si="37"/>
        <v>9.375</v>
      </c>
      <c r="Q126" s="463"/>
      <c r="R126" s="463"/>
      <c r="S126" s="462" t="str">
        <f t="shared" si="29"/>
        <v>正确</v>
      </c>
      <c r="T126" s="462"/>
      <c r="U126" s="462"/>
      <c r="V126" s="462"/>
      <c r="W126" s="462"/>
    </row>
    <row r="127" ht="23.25" customHeight="1" spans="1:23">
      <c r="A127" s="464"/>
      <c r="B127" s="462" t="s">
        <v>1549</v>
      </c>
      <c r="C127" s="463" t="s">
        <v>320</v>
      </c>
      <c r="D127" s="463" t="s">
        <v>147</v>
      </c>
      <c r="E127" s="465">
        <v>18</v>
      </c>
      <c r="F127" s="465">
        <v>16</v>
      </c>
      <c r="G127" s="465">
        <f t="shared" si="38"/>
        <v>18</v>
      </c>
      <c r="H127" s="465">
        <v>2018</v>
      </c>
      <c r="I127" s="465">
        <v>2020</v>
      </c>
      <c r="J127" s="463">
        <f t="shared" si="30"/>
        <v>29.7</v>
      </c>
      <c r="K127" s="463">
        <f t="shared" si="39"/>
        <v>9.9</v>
      </c>
      <c r="L127" s="463">
        <f t="shared" si="40"/>
        <v>9.9</v>
      </c>
      <c r="M127" s="463">
        <f t="shared" si="41"/>
        <v>9.9</v>
      </c>
      <c r="N127" s="463">
        <f t="shared" si="36"/>
        <v>22.95</v>
      </c>
      <c r="O127" s="483"/>
      <c r="P127" s="463">
        <f t="shared" si="37"/>
        <v>6.75</v>
      </c>
      <c r="Q127" s="483"/>
      <c r="R127" s="483"/>
      <c r="S127" s="462" t="str">
        <f t="shared" si="29"/>
        <v>正确</v>
      </c>
      <c r="T127" s="462"/>
      <c r="U127" s="462"/>
      <c r="V127" s="462"/>
      <c r="W127" s="462"/>
    </row>
    <row r="128" ht="23.25" customHeight="1" spans="1:23">
      <c r="A128" s="464"/>
      <c r="B128" s="462" t="s">
        <v>1550</v>
      </c>
      <c r="C128" s="463" t="s">
        <v>320</v>
      </c>
      <c r="D128" s="463" t="s">
        <v>147</v>
      </c>
      <c r="E128" s="465">
        <v>2</v>
      </c>
      <c r="F128" s="465">
        <v>2</v>
      </c>
      <c r="G128" s="465">
        <f t="shared" si="38"/>
        <v>2</v>
      </c>
      <c r="H128" s="465">
        <v>2018</v>
      </c>
      <c r="I128" s="465">
        <v>2020</v>
      </c>
      <c r="J128" s="463">
        <f t="shared" si="30"/>
        <v>3.3</v>
      </c>
      <c r="K128" s="463">
        <f t="shared" si="39"/>
        <v>1.1</v>
      </c>
      <c r="L128" s="463">
        <f t="shared" si="40"/>
        <v>1.1</v>
      </c>
      <c r="M128" s="463">
        <f t="shared" si="41"/>
        <v>1.1</v>
      </c>
      <c r="N128" s="463">
        <f t="shared" si="36"/>
        <v>2.55</v>
      </c>
      <c r="O128" s="483"/>
      <c r="P128" s="463">
        <f t="shared" si="37"/>
        <v>0.75</v>
      </c>
      <c r="Q128" s="483"/>
      <c r="R128" s="483"/>
      <c r="S128" s="462" t="str">
        <f t="shared" si="29"/>
        <v>正确</v>
      </c>
      <c r="T128" s="462"/>
      <c r="U128" s="462"/>
      <c r="V128" s="462"/>
      <c r="W128" s="462"/>
    </row>
    <row r="129" ht="23.25" customHeight="1" spans="1:23">
      <c r="A129" s="464"/>
      <c r="B129" s="462" t="s">
        <v>1551</v>
      </c>
      <c r="C129" s="463" t="s">
        <v>320</v>
      </c>
      <c r="D129" s="463" t="s">
        <v>147</v>
      </c>
      <c r="E129" s="465">
        <v>7</v>
      </c>
      <c r="F129" s="465">
        <v>7</v>
      </c>
      <c r="G129" s="465">
        <f t="shared" si="38"/>
        <v>7</v>
      </c>
      <c r="H129" s="465">
        <v>2018</v>
      </c>
      <c r="I129" s="465">
        <v>2020</v>
      </c>
      <c r="J129" s="463">
        <f t="shared" si="30"/>
        <v>11.55</v>
      </c>
      <c r="K129" s="463">
        <f t="shared" si="39"/>
        <v>3.85</v>
      </c>
      <c r="L129" s="463">
        <f t="shared" si="40"/>
        <v>3.85</v>
      </c>
      <c r="M129" s="463">
        <f t="shared" si="41"/>
        <v>3.85</v>
      </c>
      <c r="N129" s="463">
        <f t="shared" si="36"/>
        <v>8.925</v>
      </c>
      <c r="O129" s="483"/>
      <c r="P129" s="463">
        <f t="shared" si="37"/>
        <v>2.625</v>
      </c>
      <c r="Q129" s="483"/>
      <c r="R129" s="483"/>
      <c r="S129" s="462" t="str">
        <f t="shared" si="29"/>
        <v>正确</v>
      </c>
      <c r="T129" s="462"/>
      <c r="U129" s="462"/>
      <c r="V129" s="462"/>
      <c r="W129" s="462"/>
    </row>
    <row r="130" ht="23.25" customHeight="1" spans="1:23">
      <c r="A130" s="464">
        <v>2</v>
      </c>
      <c r="B130" s="462" t="s">
        <v>322</v>
      </c>
      <c r="C130" s="463" t="s">
        <v>320</v>
      </c>
      <c r="D130" s="463" t="s">
        <v>147</v>
      </c>
      <c r="E130" s="465">
        <v>103</v>
      </c>
      <c r="F130" s="465">
        <v>102</v>
      </c>
      <c r="G130" s="465">
        <v>103</v>
      </c>
      <c r="H130" s="465">
        <v>2018</v>
      </c>
      <c r="I130" s="465">
        <v>2020</v>
      </c>
      <c r="J130" s="463">
        <f>SUM(K130:M130)</f>
        <v>169.95</v>
      </c>
      <c r="K130" s="463">
        <f>E130*0.55</f>
        <v>56.65</v>
      </c>
      <c r="L130" s="463">
        <f>E130*0.55</f>
        <v>56.65</v>
      </c>
      <c r="M130" s="463">
        <f>E130*0.55</f>
        <v>56.65</v>
      </c>
      <c r="N130" s="463">
        <f t="shared" ref="N130:N142" si="42">E130*0.2*3</f>
        <v>61.8</v>
      </c>
      <c r="O130" s="463">
        <f t="shared" ref="O130:O142" si="43">E130*0.3*3</f>
        <v>92.7</v>
      </c>
      <c r="P130" s="463">
        <f t="shared" ref="P130:P142" si="44">E130*0.05*3</f>
        <v>15.45</v>
      </c>
      <c r="Q130" s="463"/>
      <c r="R130" s="463"/>
      <c r="S130" s="462" t="str">
        <f t="shared" si="29"/>
        <v>正确</v>
      </c>
      <c r="T130" s="462" t="s">
        <v>1559</v>
      </c>
      <c r="U130" s="462" t="s">
        <v>1560</v>
      </c>
      <c r="V130" s="462" t="s">
        <v>294</v>
      </c>
      <c r="W130" s="462" t="s">
        <v>41</v>
      </c>
    </row>
    <row r="131" ht="23.25" customHeight="1" spans="1:23">
      <c r="A131" s="464"/>
      <c r="B131" s="462" t="s">
        <v>1540</v>
      </c>
      <c r="C131" s="463" t="s">
        <v>320</v>
      </c>
      <c r="D131" s="463" t="s">
        <v>147</v>
      </c>
      <c r="E131" s="465">
        <v>13</v>
      </c>
      <c r="F131" s="465">
        <v>13</v>
      </c>
      <c r="G131" s="465">
        <f t="shared" ref="G131:G142" si="45">E131</f>
        <v>13</v>
      </c>
      <c r="H131" s="465">
        <v>2018</v>
      </c>
      <c r="I131" s="465">
        <v>2020</v>
      </c>
      <c r="J131" s="463">
        <f t="shared" ref="J131:J155" si="46">K131+L131+M131</f>
        <v>21.45</v>
      </c>
      <c r="K131" s="463">
        <f t="shared" ref="K131:K142" si="47">0.55*E131</f>
        <v>7.15</v>
      </c>
      <c r="L131" s="463">
        <f t="shared" ref="L131:L142" si="48">0.55*E131</f>
        <v>7.15</v>
      </c>
      <c r="M131" s="463">
        <f t="shared" ref="M131:M142" si="49">0.55*G131</f>
        <v>7.15</v>
      </c>
      <c r="N131" s="463">
        <f t="shared" si="42"/>
        <v>7.8</v>
      </c>
      <c r="O131" s="463">
        <f t="shared" si="43"/>
        <v>11.7</v>
      </c>
      <c r="P131" s="463">
        <f t="shared" si="44"/>
        <v>1.95</v>
      </c>
      <c r="Q131" s="483"/>
      <c r="R131" s="483"/>
      <c r="S131" s="462" t="str">
        <f t="shared" si="29"/>
        <v>正确</v>
      </c>
      <c r="T131" s="462"/>
      <c r="U131" s="462"/>
      <c r="V131" s="462"/>
      <c r="W131" s="462"/>
    </row>
    <row r="132" ht="23.25" customHeight="1" spans="1:23">
      <c r="A132" s="464"/>
      <c r="B132" s="462" t="s">
        <v>1541</v>
      </c>
      <c r="C132" s="463" t="s">
        <v>320</v>
      </c>
      <c r="D132" s="463" t="s">
        <v>147</v>
      </c>
      <c r="E132" s="465">
        <v>10</v>
      </c>
      <c r="F132" s="465">
        <v>10</v>
      </c>
      <c r="G132" s="465">
        <f t="shared" si="45"/>
        <v>10</v>
      </c>
      <c r="H132" s="465">
        <v>2018</v>
      </c>
      <c r="I132" s="465">
        <v>2020</v>
      </c>
      <c r="J132" s="463">
        <f t="shared" si="46"/>
        <v>16.5</v>
      </c>
      <c r="K132" s="463">
        <f t="shared" si="47"/>
        <v>5.5</v>
      </c>
      <c r="L132" s="463">
        <f t="shared" si="48"/>
        <v>5.5</v>
      </c>
      <c r="M132" s="463">
        <f t="shared" si="49"/>
        <v>5.5</v>
      </c>
      <c r="N132" s="463">
        <f t="shared" si="42"/>
        <v>6</v>
      </c>
      <c r="O132" s="463">
        <f t="shared" si="43"/>
        <v>9</v>
      </c>
      <c r="P132" s="463">
        <f t="shared" si="44"/>
        <v>1.5</v>
      </c>
      <c r="Q132" s="483"/>
      <c r="R132" s="483"/>
      <c r="S132" s="462" t="str">
        <f t="shared" si="29"/>
        <v>正确</v>
      </c>
      <c r="T132" s="462"/>
      <c r="U132" s="462"/>
      <c r="V132" s="462"/>
      <c r="W132" s="462"/>
    </row>
    <row r="133" ht="23.25" customHeight="1" spans="1:23">
      <c r="A133" s="464"/>
      <c r="B133" s="462" t="s">
        <v>1542</v>
      </c>
      <c r="C133" s="463" t="s">
        <v>320</v>
      </c>
      <c r="D133" s="463" t="s">
        <v>147</v>
      </c>
      <c r="E133" s="465">
        <v>4</v>
      </c>
      <c r="F133" s="465">
        <v>4</v>
      </c>
      <c r="G133" s="465">
        <f t="shared" si="45"/>
        <v>4</v>
      </c>
      <c r="H133" s="465">
        <v>2018</v>
      </c>
      <c r="I133" s="465">
        <v>2020</v>
      </c>
      <c r="J133" s="463">
        <f t="shared" si="46"/>
        <v>6.6</v>
      </c>
      <c r="K133" s="463">
        <f t="shared" si="47"/>
        <v>2.2</v>
      </c>
      <c r="L133" s="463">
        <f t="shared" si="48"/>
        <v>2.2</v>
      </c>
      <c r="M133" s="463">
        <f t="shared" si="49"/>
        <v>2.2</v>
      </c>
      <c r="N133" s="463">
        <f t="shared" si="42"/>
        <v>2.4</v>
      </c>
      <c r="O133" s="463">
        <f t="shared" si="43"/>
        <v>3.6</v>
      </c>
      <c r="P133" s="463">
        <f t="shared" si="44"/>
        <v>0.6</v>
      </c>
      <c r="Q133" s="483"/>
      <c r="R133" s="483"/>
      <c r="S133" s="462" t="str">
        <f t="shared" si="29"/>
        <v>正确</v>
      </c>
      <c r="T133" s="462"/>
      <c r="U133" s="462"/>
      <c r="V133" s="462"/>
      <c r="W133" s="462"/>
    </row>
    <row r="134" ht="23.25" customHeight="1" spans="1:23">
      <c r="A134" s="464"/>
      <c r="B134" s="462" t="s">
        <v>1543</v>
      </c>
      <c r="C134" s="463" t="s">
        <v>320</v>
      </c>
      <c r="D134" s="463" t="s">
        <v>147</v>
      </c>
      <c r="E134" s="465">
        <v>7</v>
      </c>
      <c r="F134" s="465">
        <v>7</v>
      </c>
      <c r="G134" s="465">
        <f t="shared" si="45"/>
        <v>7</v>
      </c>
      <c r="H134" s="465">
        <v>2018</v>
      </c>
      <c r="I134" s="465">
        <v>2020</v>
      </c>
      <c r="J134" s="463">
        <f t="shared" si="46"/>
        <v>11.55</v>
      </c>
      <c r="K134" s="463">
        <f t="shared" si="47"/>
        <v>3.85</v>
      </c>
      <c r="L134" s="463">
        <f t="shared" si="48"/>
        <v>3.85</v>
      </c>
      <c r="M134" s="463">
        <f t="shared" si="49"/>
        <v>3.85</v>
      </c>
      <c r="N134" s="463">
        <f t="shared" si="42"/>
        <v>4.2</v>
      </c>
      <c r="O134" s="463">
        <f t="shared" si="43"/>
        <v>6.3</v>
      </c>
      <c r="P134" s="463">
        <f t="shared" si="44"/>
        <v>1.05</v>
      </c>
      <c r="Q134" s="483"/>
      <c r="R134" s="483"/>
      <c r="S134" s="462" t="str">
        <f t="shared" si="29"/>
        <v>正确</v>
      </c>
      <c r="T134" s="462"/>
      <c r="U134" s="462"/>
      <c r="V134" s="462"/>
      <c r="W134" s="462"/>
    </row>
    <row r="135" ht="23.25" customHeight="1" spans="1:23">
      <c r="A135" s="464"/>
      <c r="B135" s="462" t="s">
        <v>1544</v>
      </c>
      <c r="C135" s="463" t="s">
        <v>320</v>
      </c>
      <c r="D135" s="463" t="s">
        <v>147</v>
      </c>
      <c r="E135" s="465">
        <v>9</v>
      </c>
      <c r="F135" s="465">
        <v>9</v>
      </c>
      <c r="G135" s="465">
        <f t="shared" si="45"/>
        <v>9</v>
      </c>
      <c r="H135" s="465">
        <v>2018</v>
      </c>
      <c r="I135" s="465">
        <v>2020</v>
      </c>
      <c r="J135" s="463">
        <f t="shared" si="46"/>
        <v>14.85</v>
      </c>
      <c r="K135" s="463">
        <f t="shared" si="47"/>
        <v>4.95</v>
      </c>
      <c r="L135" s="463">
        <f t="shared" si="48"/>
        <v>4.95</v>
      </c>
      <c r="M135" s="463">
        <f t="shared" si="49"/>
        <v>4.95</v>
      </c>
      <c r="N135" s="463">
        <f t="shared" si="42"/>
        <v>5.4</v>
      </c>
      <c r="O135" s="463">
        <f t="shared" si="43"/>
        <v>8.1</v>
      </c>
      <c r="P135" s="463">
        <f t="shared" si="44"/>
        <v>1.35</v>
      </c>
      <c r="Q135" s="483"/>
      <c r="R135" s="483"/>
      <c r="S135" s="462" t="str">
        <f t="shared" ref="S135:S198" si="50">IF(SUM(K135:M135)=SUM(N135:R135),"正确","错误")</f>
        <v>正确</v>
      </c>
      <c r="T135" s="462"/>
      <c r="U135" s="462"/>
      <c r="V135" s="462"/>
      <c r="W135" s="462"/>
    </row>
    <row r="136" ht="23.25" customHeight="1" spans="1:23">
      <c r="A136" s="464"/>
      <c r="B136" s="462" t="s">
        <v>1545</v>
      </c>
      <c r="C136" s="463" t="s">
        <v>320</v>
      </c>
      <c r="D136" s="463" t="s">
        <v>147</v>
      </c>
      <c r="E136" s="465">
        <v>12</v>
      </c>
      <c r="F136" s="465">
        <v>11</v>
      </c>
      <c r="G136" s="465">
        <f t="shared" si="45"/>
        <v>12</v>
      </c>
      <c r="H136" s="465">
        <v>2018</v>
      </c>
      <c r="I136" s="465">
        <v>2020</v>
      </c>
      <c r="J136" s="463">
        <f t="shared" si="46"/>
        <v>19.8</v>
      </c>
      <c r="K136" s="463">
        <f t="shared" si="47"/>
        <v>6.6</v>
      </c>
      <c r="L136" s="463">
        <f t="shared" si="48"/>
        <v>6.6</v>
      </c>
      <c r="M136" s="463">
        <f t="shared" si="49"/>
        <v>6.6</v>
      </c>
      <c r="N136" s="463">
        <f t="shared" si="42"/>
        <v>7.2</v>
      </c>
      <c r="O136" s="463">
        <f t="shared" si="43"/>
        <v>10.8</v>
      </c>
      <c r="P136" s="463">
        <f t="shared" si="44"/>
        <v>1.8</v>
      </c>
      <c r="Q136" s="463"/>
      <c r="R136" s="463"/>
      <c r="S136" s="462" t="str">
        <f t="shared" si="50"/>
        <v>正确</v>
      </c>
      <c r="T136" s="462"/>
      <c r="U136" s="462"/>
      <c r="V136" s="462"/>
      <c r="W136" s="462"/>
    </row>
    <row r="137" ht="23.25" customHeight="1" spans="1:23">
      <c r="A137" s="464"/>
      <c r="B137" s="462" t="s">
        <v>1546</v>
      </c>
      <c r="C137" s="463" t="s">
        <v>320</v>
      </c>
      <c r="D137" s="463" t="s">
        <v>147</v>
      </c>
      <c r="E137" s="465">
        <v>8</v>
      </c>
      <c r="F137" s="465">
        <v>8</v>
      </c>
      <c r="G137" s="465">
        <f t="shared" si="45"/>
        <v>8</v>
      </c>
      <c r="H137" s="465">
        <v>2018</v>
      </c>
      <c r="I137" s="465">
        <v>2020</v>
      </c>
      <c r="J137" s="463">
        <f t="shared" si="46"/>
        <v>13.2</v>
      </c>
      <c r="K137" s="463">
        <f t="shared" si="47"/>
        <v>4.4</v>
      </c>
      <c r="L137" s="463">
        <f t="shared" si="48"/>
        <v>4.4</v>
      </c>
      <c r="M137" s="463">
        <f t="shared" si="49"/>
        <v>4.4</v>
      </c>
      <c r="N137" s="463">
        <f t="shared" si="42"/>
        <v>4.8</v>
      </c>
      <c r="O137" s="463">
        <f t="shared" si="43"/>
        <v>7.2</v>
      </c>
      <c r="P137" s="463">
        <f t="shared" si="44"/>
        <v>1.2</v>
      </c>
      <c r="Q137" s="463"/>
      <c r="R137" s="463"/>
      <c r="S137" s="462" t="str">
        <f t="shared" si="50"/>
        <v>正确</v>
      </c>
      <c r="T137" s="462"/>
      <c r="U137" s="462"/>
      <c r="V137" s="462"/>
      <c r="W137" s="462"/>
    </row>
    <row r="138" ht="23.25" customHeight="1" spans="1:23">
      <c r="A138" s="464"/>
      <c r="B138" s="462" t="s">
        <v>1547</v>
      </c>
      <c r="C138" s="463" t="s">
        <v>320</v>
      </c>
      <c r="D138" s="463" t="s">
        <v>147</v>
      </c>
      <c r="E138" s="465">
        <v>15</v>
      </c>
      <c r="F138" s="465">
        <v>15</v>
      </c>
      <c r="G138" s="465">
        <f t="shared" si="45"/>
        <v>15</v>
      </c>
      <c r="H138" s="465">
        <v>2018</v>
      </c>
      <c r="I138" s="465">
        <v>2020</v>
      </c>
      <c r="J138" s="463">
        <f t="shared" si="46"/>
        <v>24.75</v>
      </c>
      <c r="K138" s="463">
        <f t="shared" si="47"/>
        <v>8.25</v>
      </c>
      <c r="L138" s="463">
        <f t="shared" si="48"/>
        <v>8.25</v>
      </c>
      <c r="M138" s="463">
        <f t="shared" si="49"/>
        <v>8.25</v>
      </c>
      <c r="N138" s="463">
        <f t="shared" si="42"/>
        <v>9</v>
      </c>
      <c r="O138" s="463">
        <f t="shared" si="43"/>
        <v>13.5</v>
      </c>
      <c r="P138" s="463">
        <f t="shared" si="44"/>
        <v>2.25</v>
      </c>
      <c r="Q138" s="463"/>
      <c r="R138" s="463"/>
      <c r="S138" s="462" t="str">
        <f t="shared" si="50"/>
        <v>正确</v>
      </c>
      <c r="T138" s="462"/>
      <c r="U138" s="462"/>
      <c r="V138" s="462"/>
      <c r="W138" s="462"/>
    </row>
    <row r="139" ht="23.25" customHeight="1" spans="1:23">
      <c r="A139" s="464"/>
      <c r="B139" s="462" t="s">
        <v>1548</v>
      </c>
      <c r="C139" s="463" t="s">
        <v>320</v>
      </c>
      <c r="D139" s="463" t="s">
        <v>147</v>
      </c>
      <c r="E139" s="465">
        <v>9</v>
      </c>
      <c r="F139" s="465">
        <v>9</v>
      </c>
      <c r="G139" s="465">
        <f t="shared" si="45"/>
        <v>9</v>
      </c>
      <c r="H139" s="465">
        <v>2018</v>
      </c>
      <c r="I139" s="465">
        <v>2020</v>
      </c>
      <c r="J139" s="463">
        <f t="shared" si="46"/>
        <v>14.85</v>
      </c>
      <c r="K139" s="463">
        <f t="shared" si="47"/>
        <v>4.95</v>
      </c>
      <c r="L139" s="463">
        <f t="shared" si="48"/>
        <v>4.95</v>
      </c>
      <c r="M139" s="463">
        <f t="shared" si="49"/>
        <v>4.95</v>
      </c>
      <c r="N139" s="463">
        <f t="shared" si="42"/>
        <v>5.4</v>
      </c>
      <c r="O139" s="463">
        <f t="shared" si="43"/>
        <v>8.1</v>
      </c>
      <c r="P139" s="463">
        <f t="shared" si="44"/>
        <v>1.35</v>
      </c>
      <c r="Q139" s="463"/>
      <c r="R139" s="463"/>
      <c r="S139" s="462" t="str">
        <f t="shared" si="50"/>
        <v>正确</v>
      </c>
      <c r="T139" s="462"/>
      <c r="U139" s="462"/>
      <c r="V139" s="462"/>
      <c r="W139" s="462"/>
    </row>
    <row r="140" ht="23.25" customHeight="1" spans="1:23">
      <c r="A140" s="464"/>
      <c r="B140" s="462" t="s">
        <v>1549</v>
      </c>
      <c r="C140" s="463" t="s">
        <v>320</v>
      </c>
      <c r="D140" s="463" t="s">
        <v>147</v>
      </c>
      <c r="E140" s="465">
        <v>4</v>
      </c>
      <c r="F140" s="465">
        <v>4</v>
      </c>
      <c r="G140" s="465">
        <f t="shared" si="45"/>
        <v>4</v>
      </c>
      <c r="H140" s="465">
        <v>2018</v>
      </c>
      <c r="I140" s="465">
        <v>2020</v>
      </c>
      <c r="J140" s="463">
        <f t="shared" si="46"/>
        <v>6.6</v>
      </c>
      <c r="K140" s="463">
        <f t="shared" si="47"/>
        <v>2.2</v>
      </c>
      <c r="L140" s="463">
        <f t="shared" si="48"/>
        <v>2.2</v>
      </c>
      <c r="M140" s="463">
        <f t="shared" si="49"/>
        <v>2.2</v>
      </c>
      <c r="N140" s="463">
        <f t="shared" si="42"/>
        <v>2.4</v>
      </c>
      <c r="O140" s="463">
        <f t="shared" si="43"/>
        <v>3.6</v>
      </c>
      <c r="P140" s="463">
        <f t="shared" si="44"/>
        <v>0.6</v>
      </c>
      <c r="Q140" s="463"/>
      <c r="R140" s="463"/>
      <c r="S140" s="462" t="str">
        <f t="shared" si="50"/>
        <v>正确</v>
      </c>
      <c r="T140" s="462"/>
      <c r="U140" s="462"/>
      <c r="V140" s="462"/>
      <c r="W140" s="462"/>
    </row>
    <row r="141" ht="23.25" customHeight="1" spans="1:23">
      <c r="A141" s="464"/>
      <c r="B141" s="462" t="s">
        <v>1550</v>
      </c>
      <c r="C141" s="463" t="s">
        <v>320</v>
      </c>
      <c r="D141" s="463" t="s">
        <v>147</v>
      </c>
      <c r="E141" s="465">
        <v>7</v>
      </c>
      <c r="F141" s="465">
        <v>7</v>
      </c>
      <c r="G141" s="465">
        <f t="shared" si="45"/>
        <v>7</v>
      </c>
      <c r="H141" s="465">
        <v>2018</v>
      </c>
      <c r="I141" s="465">
        <v>2020</v>
      </c>
      <c r="J141" s="463">
        <f t="shared" si="46"/>
        <v>11.55</v>
      </c>
      <c r="K141" s="463">
        <f t="shared" si="47"/>
        <v>3.85</v>
      </c>
      <c r="L141" s="463">
        <f t="shared" si="48"/>
        <v>3.85</v>
      </c>
      <c r="M141" s="463">
        <f t="shared" si="49"/>
        <v>3.85</v>
      </c>
      <c r="N141" s="463">
        <f t="shared" si="42"/>
        <v>4.2</v>
      </c>
      <c r="O141" s="463">
        <f t="shared" si="43"/>
        <v>6.3</v>
      </c>
      <c r="P141" s="463">
        <f t="shared" si="44"/>
        <v>1.05</v>
      </c>
      <c r="Q141" s="463"/>
      <c r="R141" s="463"/>
      <c r="S141" s="462" t="str">
        <f t="shared" si="50"/>
        <v>正确</v>
      </c>
      <c r="T141" s="462"/>
      <c r="U141" s="462"/>
      <c r="V141" s="462"/>
      <c r="W141" s="462"/>
    </row>
    <row r="142" ht="23.25" customHeight="1" spans="1:23">
      <c r="A142" s="464"/>
      <c r="B142" s="462" t="s">
        <v>1551</v>
      </c>
      <c r="C142" s="463" t="s">
        <v>320</v>
      </c>
      <c r="D142" s="463" t="s">
        <v>147</v>
      </c>
      <c r="E142" s="465">
        <v>5</v>
      </c>
      <c r="F142" s="465">
        <v>5</v>
      </c>
      <c r="G142" s="465">
        <f t="shared" si="45"/>
        <v>5</v>
      </c>
      <c r="H142" s="465">
        <v>2018</v>
      </c>
      <c r="I142" s="465">
        <v>2020</v>
      </c>
      <c r="J142" s="463">
        <f t="shared" si="46"/>
        <v>8.25</v>
      </c>
      <c r="K142" s="463">
        <f t="shared" si="47"/>
        <v>2.75</v>
      </c>
      <c r="L142" s="463">
        <f t="shared" si="48"/>
        <v>2.75</v>
      </c>
      <c r="M142" s="463">
        <f t="shared" si="49"/>
        <v>2.75</v>
      </c>
      <c r="N142" s="463">
        <f t="shared" si="42"/>
        <v>3</v>
      </c>
      <c r="O142" s="463">
        <f t="shared" si="43"/>
        <v>4.5</v>
      </c>
      <c r="P142" s="463">
        <f t="shared" si="44"/>
        <v>0.75</v>
      </c>
      <c r="Q142" s="463"/>
      <c r="R142" s="463"/>
      <c r="S142" s="462" t="str">
        <f t="shared" si="50"/>
        <v>正确</v>
      </c>
      <c r="T142" s="462"/>
      <c r="U142" s="462"/>
      <c r="V142" s="462"/>
      <c r="W142" s="462"/>
    </row>
    <row r="143" ht="23.25" customHeight="1" spans="1:23">
      <c r="A143" s="464">
        <v>2</v>
      </c>
      <c r="B143" s="462" t="s">
        <v>323</v>
      </c>
      <c r="C143" s="463" t="s">
        <v>320</v>
      </c>
      <c r="D143" s="463" t="s">
        <v>147</v>
      </c>
      <c r="E143" s="465">
        <v>216</v>
      </c>
      <c r="F143" s="465">
        <v>204</v>
      </c>
      <c r="G143" s="465">
        <v>216</v>
      </c>
      <c r="H143" s="465">
        <v>2018</v>
      </c>
      <c r="I143" s="465">
        <v>2020</v>
      </c>
      <c r="J143" s="463">
        <f t="shared" si="46"/>
        <v>283.95</v>
      </c>
      <c r="K143" s="463">
        <f t="shared" ref="K143:M143" si="51">(75*0.6+30*0.55+110*0.3+1*0.15)</f>
        <v>94.65</v>
      </c>
      <c r="L143" s="463">
        <f t="shared" si="51"/>
        <v>94.65</v>
      </c>
      <c r="M143" s="463">
        <f t="shared" si="51"/>
        <v>94.65</v>
      </c>
      <c r="N143" s="463">
        <f>(75*0.15*3+30*0.1*3+110*0.15*3)</f>
        <v>92.25</v>
      </c>
      <c r="O143" s="463">
        <f>(75*0.3+30*0.3)*3</f>
        <v>94.5</v>
      </c>
      <c r="P143" s="463">
        <f>(75*0.15+30*0.15+110*0.15+1*0.15)*3</f>
        <v>97.2</v>
      </c>
      <c r="Q143" s="463"/>
      <c r="R143" s="463"/>
      <c r="S143" s="462" t="str">
        <f t="shared" si="50"/>
        <v>正确</v>
      </c>
      <c r="T143" s="462" t="s">
        <v>1559</v>
      </c>
      <c r="U143" s="462" t="s">
        <v>1560</v>
      </c>
      <c r="V143" s="462" t="s">
        <v>294</v>
      </c>
      <c r="W143" s="462" t="s">
        <v>41</v>
      </c>
    </row>
    <row r="144" ht="23.25" customHeight="1" spans="1:23">
      <c r="A144" s="464"/>
      <c r="B144" s="462" t="s">
        <v>1540</v>
      </c>
      <c r="C144" s="463" t="s">
        <v>320</v>
      </c>
      <c r="D144" s="463" t="s">
        <v>147</v>
      </c>
      <c r="E144" s="465">
        <v>25</v>
      </c>
      <c r="F144" s="465">
        <v>25</v>
      </c>
      <c r="G144" s="465">
        <v>25</v>
      </c>
      <c r="H144" s="465">
        <v>2018</v>
      </c>
      <c r="I144" s="465">
        <v>2020</v>
      </c>
      <c r="J144" s="463">
        <f t="shared" si="46"/>
        <v>32.8645833333333</v>
      </c>
      <c r="K144" s="463">
        <f t="shared" ref="K144:K155" si="52">94.65/216*E144</f>
        <v>10.9548611111111</v>
      </c>
      <c r="L144" s="463">
        <f t="shared" ref="L144:L155" si="53">94.65/216*E144</f>
        <v>10.9548611111111</v>
      </c>
      <c r="M144" s="463">
        <f t="shared" ref="M144:M155" si="54">94.65/216*G144</f>
        <v>10.9548611111111</v>
      </c>
      <c r="N144" s="463"/>
      <c r="O144" s="463"/>
      <c r="P144" s="463"/>
      <c r="Q144" s="463"/>
      <c r="R144" s="463"/>
      <c r="S144" s="462" t="str">
        <f t="shared" si="50"/>
        <v>错误</v>
      </c>
      <c r="T144" s="462"/>
      <c r="U144" s="462"/>
      <c r="V144" s="462"/>
      <c r="W144" s="462"/>
    </row>
    <row r="145" ht="23.25" customHeight="1" spans="1:23">
      <c r="A145" s="464"/>
      <c r="B145" s="462" t="s">
        <v>1541</v>
      </c>
      <c r="C145" s="463" t="s">
        <v>320</v>
      </c>
      <c r="D145" s="463" t="s">
        <v>147</v>
      </c>
      <c r="E145" s="465">
        <v>26</v>
      </c>
      <c r="F145" s="465">
        <v>26</v>
      </c>
      <c r="G145" s="465">
        <v>26</v>
      </c>
      <c r="H145" s="465">
        <v>2018</v>
      </c>
      <c r="I145" s="465">
        <v>2020</v>
      </c>
      <c r="J145" s="463">
        <f t="shared" si="46"/>
        <v>34.1791666666667</v>
      </c>
      <c r="K145" s="463">
        <f t="shared" si="52"/>
        <v>11.3930555555556</v>
      </c>
      <c r="L145" s="463">
        <f t="shared" si="53"/>
        <v>11.3930555555556</v>
      </c>
      <c r="M145" s="463">
        <f t="shared" si="54"/>
        <v>11.3930555555556</v>
      </c>
      <c r="N145" s="463"/>
      <c r="O145" s="463"/>
      <c r="P145" s="463"/>
      <c r="Q145" s="463"/>
      <c r="R145" s="463"/>
      <c r="S145" s="462" t="str">
        <f t="shared" si="50"/>
        <v>错误</v>
      </c>
      <c r="T145" s="462"/>
      <c r="U145" s="462"/>
      <c r="V145" s="462"/>
      <c r="W145" s="462"/>
    </row>
    <row r="146" ht="23.25" customHeight="1" spans="1:23">
      <c r="A146" s="464"/>
      <c r="B146" s="462" t="s">
        <v>1542</v>
      </c>
      <c r="C146" s="463" t="s">
        <v>320</v>
      </c>
      <c r="D146" s="463" t="s">
        <v>147</v>
      </c>
      <c r="E146" s="465">
        <v>15</v>
      </c>
      <c r="F146" s="465">
        <v>14</v>
      </c>
      <c r="G146" s="465">
        <v>15</v>
      </c>
      <c r="H146" s="465">
        <v>2018</v>
      </c>
      <c r="I146" s="465">
        <v>2020</v>
      </c>
      <c r="J146" s="463">
        <f t="shared" si="46"/>
        <v>19.71875</v>
      </c>
      <c r="K146" s="463">
        <f t="shared" si="52"/>
        <v>6.57291666666667</v>
      </c>
      <c r="L146" s="463">
        <f t="shared" si="53"/>
        <v>6.57291666666667</v>
      </c>
      <c r="M146" s="463">
        <f t="shared" si="54"/>
        <v>6.57291666666667</v>
      </c>
      <c r="N146" s="463"/>
      <c r="O146" s="463"/>
      <c r="P146" s="463"/>
      <c r="Q146" s="463"/>
      <c r="R146" s="463"/>
      <c r="S146" s="462" t="str">
        <f t="shared" si="50"/>
        <v>错误</v>
      </c>
      <c r="T146" s="462"/>
      <c r="U146" s="462"/>
      <c r="V146" s="462"/>
      <c r="W146" s="462"/>
    </row>
    <row r="147" ht="23.25" customHeight="1" spans="1:23">
      <c r="A147" s="464"/>
      <c r="B147" s="462" t="s">
        <v>1543</v>
      </c>
      <c r="C147" s="463" t="s">
        <v>320</v>
      </c>
      <c r="D147" s="463" t="s">
        <v>147</v>
      </c>
      <c r="E147" s="465">
        <v>8</v>
      </c>
      <c r="F147" s="465">
        <v>7</v>
      </c>
      <c r="G147" s="465">
        <v>8</v>
      </c>
      <c r="H147" s="465">
        <v>2018</v>
      </c>
      <c r="I147" s="465">
        <v>2020</v>
      </c>
      <c r="J147" s="463">
        <f t="shared" si="46"/>
        <v>10.5166666666667</v>
      </c>
      <c r="K147" s="463">
        <f t="shared" si="52"/>
        <v>3.50555555555556</v>
      </c>
      <c r="L147" s="463">
        <f t="shared" si="53"/>
        <v>3.50555555555556</v>
      </c>
      <c r="M147" s="463">
        <f t="shared" si="54"/>
        <v>3.50555555555556</v>
      </c>
      <c r="N147" s="463"/>
      <c r="O147" s="463"/>
      <c r="P147" s="463"/>
      <c r="Q147" s="463"/>
      <c r="R147" s="463"/>
      <c r="S147" s="462" t="str">
        <f t="shared" si="50"/>
        <v>错误</v>
      </c>
      <c r="T147" s="462"/>
      <c r="U147" s="462"/>
      <c r="V147" s="462"/>
      <c r="W147" s="462"/>
    </row>
    <row r="148" ht="23.25" customHeight="1" spans="1:23">
      <c r="A148" s="464"/>
      <c r="B148" s="462" t="s">
        <v>1544</v>
      </c>
      <c r="C148" s="463" t="s">
        <v>320</v>
      </c>
      <c r="D148" s="463" t="s">
        <v>147</v>
      </c>
      <c r="E148" s="465">
        <v>16</v>
      </c>
      <c r="F148" s="465">
        <v>16</v>
      </c>
      <c r="G148" s="465">
        <v>16</v>
      </c>
      <c r="H148" s="465">
        <v>2018</v>
      </c>
      <c r="I148" s="465">
        <v>2020</v>
      </c>
      <c r="J148" s="463">
        <f t="shared" si="46"/>
        <v>21.0333333333333</v>
      </c>
      <c r="K148" s="463">
        <f t="shared" si="52"/>
        <v>7.01111111111111</v>
      </c>
      <c r="L148" s="463">
        <f t="shared" si="53"/>
        <v>7.01111111111111</v>
      </c>
      <c r="M148" s="463">
        <f t="shared" si="54"/>
        <v>7.01111111111111</v>
      </c>
      <c r="N148" s="463"/>
      <c r="O148" s="463"/>
      <c r="P148" s="463"/>
      <c r="Q148" s="463"/>
      <c r="R148" s="463"/>
      <c r="S148" s="462" t="str">
        <f t="shared" si="50"/>
        <v>错误</v>
      </c>
      <c r="T148" s="462"/>
      <c r="U148" s="462"/>
      <c r="V148" s="462"/>
      <c r="W148" s="462"/>
    </row>
    <row r="149" ht="23.25" customHeight="1" spans="1:23">
      <c r="A149" s="464"/>
      <c r="B149" s="462" t="s">
        <v>1545</v>
      </c>
      <c r="C149" s="463" t="s">
        <v>320</v>
      </c>
      <c r="D149" s="463" t="s">
        <v>147</v>
      </c>
      <c r="E149" s="465">
        <v>16</v>
      </c>
      <c r="F149" s="465">
        <v>15</v>
      </c>
      <c r="G149" s="465">
        <v>16</v>
      </c>
      <c r="H149" s="465">
        <v>2018</v>
      </c>
      <c r="I149" s="465">
        <v>2020</v>
      </c>
      <c r="J149" s="463">
        <f t="shared" si="46"/>
        <v>21.0333333333333</v>
      </c>
      <c r="K149" s="463">
        <f t="shared" si="52"/>
        <v>7.01111111111111</v>
      </c>
      <c r="L149" s="463">
        <f t="shared" si="53"/>
        <v>7.01111111111111</v>
      </c>
      <c r="M149" s="463">
        <f t="shared" si="54"/>
        <v>7.01111111111111</v>
      </c>
      <c r="N149" s="463"/>
      <c r="O149" s="463"/>
      <c r="P149" s="463"/>
      <c r="Q149" s="463"/>
      <c r="R149" s="463"/>
      <c r="S149" s="462" t="str">
        <f t="shared" si="50"/>
        <v>错误</v>
      </c>
      <c r="T149" s="462"/>
      <c r="U149" s="462"/>
      <c r="V149" s="462"/>
      <c r="W149" s="462"/>
    </row>
    <row r="150" ht="23.25" customHeight="1" spans="1:23">
      <c r="A150" s="464"/>
      <c r="B150" s="462" t="s">
        <v>1546</v>
      </c>
      <c r="C150" s="463" t="s">
        <v>320</v>
      </c>
      <c r="D150" s="463" t="s">
        <v>147</v>
      </c>
      <c r="E150" s="465">
        <v>27</v>
      </c>
      <c r="F150" s="465">
        <v>25</v>
      </c>
      <c r="G150" s="465">
        <v>27</v>
      </c>
      <c r="H150" s="465">
        <v>2018</v>
      </c>
      <c r="I150" s="465">
        <v>2020</v>
      </c>
      <c r="J150" s="463">
        <f t="shared" si="46"/>
        <v>35.49375</v>
      </c>
      <c r="K150" s="463">
        <f t="shared" si="52"/>
        <v>11.83125</v>
      </c>
      <c r="L150" s="463">
        <f t="shared" si="53"/>
        <v>11.83125</v>
      </c>
      <c r="M150" s="463">
        <f t="shared" si="54"/>
        <v>11.83125</v>
      </c>
      <c r="N150" s="463"/>
      <c r="O150" s="463"/>
      <c r="P150" s="463"/>
      <c r="Q150" s="463"/>
      <c r="R150" s="463"/>
      <c r="S150" s="462" t="str">
        <f t="shared" si="50"/>
        <v>错误</v>
      </c>
      <c r="T150" s="462"/>
      <c r="U150" s="462"/>
      <c r="V150" s="462"/>
      <c r="W150" s="462"/>
    </row>
    <row r="151" ht="23.25" customHeight="1" spans="1:23">
      <c r="A151" s="464"/>
      <c r="B151" s="462" t="s">
        <v>1547</v>
      </c>
      <c r="C151" s="463" t="s">
        <v>320</v>
      </c>
      <c r="D151" s="463" t="s">
        <v>147</v>
      </c>
      <c r="E151" s="465">
        <v>27</v>
      </c>
      <c r="F151" s="465">
        <v>22</v>
      </c>
      <c r="G151" s="465">
        <v>27</v>
      </c>
      <c r="H151" s="465">
        <v>2018</v>
      </c>
      <c r="I151" s="465">
        <v>2020</v>
      </c>
      <c r="J151" s="463">
        <f t="shared" si="46"/>
        <v>35.49375</v>
      </c>
      <c r="K151" s="463">
        <f t="shared" si="52"/>
        <v>11.83125</v>
      </c>
      <c r="L151" s="463">
        <f t="shared" si="53"/>
        <v>11.83125</v>
      </c>
      <c r="M151" s="463">
        <f t="shared" si="54"/>
        <v>11.83125</v>
      </c>
      <c r="N151" s="463"/>
      <c r="O151" s="463"/>
      <c r="P151" s="463"/>
      <c r="Q151" s="463"/>
      <c r="R151" s="463"/>
      <c r="S151" s="462" t="str">
        <f t="shared" si="50"/>
        <v>错误</v>
      </c>
      <c r="T151" s="462"/>
      <c r="U151" s="462"/>
      <c r="V151" s="462"/>
      <c r="W151" s="462"/>
    </row>
    <row r="152" ht="23.25" customHeight="1" spans="1:23">
      <c r="A152" s="464"/>
      <c r="B152" s="462" t="s">
        <v>1548</v>
      </c>
      <c r="C152" s="463" t="s">
        <v>320</v>
      </c>
      <c r="D152" s="463" t="s">
        <v>147</v>
      </c>
      <c r="E152" s="465">
        <v>27</v>
      </c>
      <c r="F152" s="465">
        <v>27</v>
      </c>
      <c r="G152" s="465">
        <v>27</v>
      </c>
      <c r="H152" s="465">
        <v>2018</v>
      </c>
      <c r="I152" s="465">
        <v>2020</v>
      </c>
      <c r="J152" s="463">
        <f t="shared" si="46"/>
        <v>35.49375</v>
      </c>
      <c r="K152" s="463">
        <f t="shared" si="52"/>
        <v>11.83125</v>
      </c>
      <c r="L152" s="463">
        <f t="shared" si="53"/>
        <v>11.83125</v>
      </c>
      <c r="M152" s="463">
        <f t="shared" si="54"/>
        <v>11.83125</v>
      </c>
      <c r="N152" s="463"/>
      <c r="O152" s="463"/>
      <c r="P152" s="463"/>
      <c r="Q152" s="463"/>
      <c r="R152" s="463"/>
      <c r="S152" s="462" t="str">
        <f t="shared" si="50"/>
        <v>错误</v>
      </c>
      <c r="T152" s="462"/>
      <c r="U152" s="462"/>
      <c r="V152" s="462"/>
      <c r="W152" s="462"/>
    </row>
    <row r="153" ht="23.25" customHeight="1" spans="1:23">
      <c r="A153" s="464"/>
      <c r="B153" s="462" t="s">
        <v>1549</v>
      </c>
      <c r="C153" s="463" t="s">
        <v>320</v>
      </c>
      <c r="D153" s="463" t="s">
        <v>147</v>
      </c>
      <c r="E153" s="465">
        <v>13</v>
      </c>
      <c r="F153" s="465">
        <v>13</v>
      </c>
      <c r="G153" s="465">
        <v>13</v>
      </c>
      <c r="H153" s="465">
        <v>2018</v>
      </c>
      <c r="I153" s="465">
        <v>2020</v>
      </c>
      <c r="J153" s="463">
        <f t="shared" si="46"/>
        <v>17.0895833333333</v>
      </c>
      <c r="K153" s="463">
        <f t="shared" si="52"/>
        <v>5.69652777777778</v>
      </c>
      <c r="L153" s="463">
        <f t="shared" si="53"/>
        <v>5.69652777777778</v>
      </c>
      <c r="M153" s="463">
        <f t="shared" si="54"/>
        <v>5.69652777777778</v>
      </c>
      <c r="N153" s="463"/>
      <c r="O153" s="463"/>
      <c r="P153" s="463"/>
      <c r="Q153" s="463"/>
      <c r="R153" s="463"/>
      <c r="S153" s="462" t="str">
        <f t="shared" si="50"/>
        <v>错误</v>
      </c>
      <c r="T153" s="462"/>
      <c r="U153" s="462"/>
      <c r="V153" s="462"/>
      <c r="W153" s="462"/>
    </row>
    <row r="154" ht="23.25" customHeight="1" spans="1:23">
      <c r="A154" s="464"/>
      <c r="B154" s="462" t="s">
        <v>1550</v>
      </c>
      <c r="C154" s="463" t="s">
        <v>320</v>
      </c>
      <c r="D154" s="463" t="s">
        <v>147</v>
      </c>
      <c r="E154" s="465">
        <v>5</v>
      </c>
      <c r="F154" s="465">
        <v>4</v>
      </c>
      <c r="G154" s="465">
        <v>5</v>
      </c>
      <c r="H154" s="465">
        <v>2018</v>
      </c>
      <c r="I154" s="465">
        <v>2020</v>
      </c>
      <c r="J154" s="463">
        <f t="shared" si="46"/>
        <v>6.57291666666667</v>
      </c>
      <c r="K154" s="463">
        <f t="shared" si="52"/>
        <v>2.19097222222222</v>
      </c>
      <c r="L154" s="463">
        <f t="shared" si="53"/>
        <v>2.19097222222222</v>
      </c>
      <c r="M154" s="463">
        <f t="shared" si="54"/>
        <v>2.19097222222222</v>
      </c>
      <c r="N154" s="463"/>
      <c r="O154" s="463"/>
      <c r="P154" s="463"/>
      <c r="Q154" s="463"/>
      <c r="R154" s="463"/>
      <c r="S154" s="462" t="str">
        <f t="shared" si="50"/>
        <v>错误</v>
      </c>
      <c r="T154" s="462"/>
      <c r="U154" s="462"/>
      <c r="V154" s="462"/>
      <c r="W154" s="462"/>
    </row>
    <row r="155" ht="23.25" customHeight="1" spans="1:23">
      <c r="A155" s="464"/>
      <c r="B155" s="462" t="s">
        <v>1551</v>
      </c>
      <c r="C155" s="463" t="s">
        <v>320</v>
      </c>
      <c r="D155" s="463" t="s">
        <v>147</v>
      </c>
      <c r="E155" s="465">
        <v>11</v>
      </c>
      <c r="F155" s="465">
        <v>10</v>
      </c>
      <c r="G155" s="465">
        <v>11</v>
      </c>
      <c r="H155" s="465">
        <v>2018</v>
      </c>
      <c r="I155" s="465">
        <v>2020</v>
      </c>
      <c r="J155" s="463">
        <f t="shared" si="46"/>
        <v>14.4604166666667</v>
      </c>
      <c r="K155" s="463">
        <f t="shared" si="52"/>
        <v>4.82013888888889</v>
      </c>
      <c r="L155" s="463">
        <f t="shared" si="53"/>
        <v>4.82013888888889</v>
      </c>
      <c r="M155" s="463">
        <f t="shared" si="54"/>
        <v>4.82013888888889</v>
      </c>
      <c r="N155" s="463"/>
      <c r="O155" s="463"/>
      <c r="P155" s="463"/>
      <c r="Q155" s="463"/>
      <c r="R155" s="463"/>
      <c r="S155" s="462" t="str">
        <f t="shared" si="50"/>
        <v>错误</v>
      </c>
      <c r="T155" s="462"/>
      <c r="U155" s="462"/>
      <c r="V155" s="462"/>
      <c r="W155" s="462"/>
    </row>
    <row r="156" ht="23.25" customHeight="1" spans="1:23">
      <c r="A156" s="464">
        <v>2</v>
      </c>
      <c r="B156" s="462" t="s">
        <v>324</v>
      </c>
      <c r="C156" s="463" t="s">
        <v>320</v>
      </c>
      <c r="D156" s="463" t="s">
        <v>147</v>
      </c>
      <c r="E156" s="465"/>
      <c r="F156" s="465"/>
      <c r="G156" s="465"/>
      <c r="H156" s="465"/>
      <c r="I156" s="465"/>
      <c r="J156" s="463"/>
      <c r="K156" s="463"/>
      <c r="L156" s="463"/>
      <c r="M156" s="463"/>
      <c r="N156" s="483"/>
      <c r="O156" s="483"/>
      <c r="P156" s="483"/>
      <c r="Q156" s="483"/>
      <c r="R156" s="483"/>
      <c r="S156" s="462" t="str">
        <f t="shared" si="50"/>
        <v>正确</v>
      </c>
      <c r="T156" s="462" t="s">
        <v>1559</v>
      </c>
      <c r="U156" s="462" t="s">
        <v>1560</v>
      </c>
      <c r="V156" s="462" t="s">
        <v>294</v>
      </c>
      <c r="W156" s="462" t="s">
        <v>41</v>
      </c>
    </row>
    <row r="157" ht="23.25" customHeight="1" spans="1:23">
      <c r="A157" s="464"/>
      <c r="B157" s="462" t="s">
        <v>1540</v>
      </c>
      <c r="C157" s="463" t="s">
        <v>320</v>
      </c>
      <c r="D157" s="463" t="s">
        <v>147</v>
      </c>
      <c r="E157" s="465"/>
      <c r="F157" s="465"/>
      <c r="G157" s="465"/>
      <c r="H157" s="465"/>
      <c r="I157" s="465"/>
      <c r="J157" s="463"/>
      <c r="K157" s="463"/>
      <c r="L157" s="463"/>
      <c r="M157" s="463"/>
      <c r="N157" s="483"/>
      <c r="O157" s="483"/>
      <c r="P157" s="483"/>
      <c r="Q157" s="483"/>
      <c r="R157" s="483"/>
      <c r="S157" s="462" t="str">
        <f t="shared" si="50"/>
        <v>正确</v>
      </c>
      <c r="T157" s="462"/>
      <c r="U157" s="462"/>
      <c r="V157" s="462"/>
      <c r="W157" s="462"/>
    </row>
    <row r="158" ht="23.25" customHeight="1" spans="1:23">
      <c r="A158" s="464"/>
      <c r="B158" s="462" t="s">
        <v>1541</v>
      </c>
      <c r="C158" s="463" t="s">
        <v>320</v>
      </c>
      <c r="D158" s="463" t="s">
        <v>147</v>
      </c>
      <c r="E158" s="465"/>
      <c r="F158" s="465"/>
      <c r="G158" s="465"/>
      <c r="H158" s="465"/>
      <c r="I158" s="465"/>
      <c r="J158" s="463"/>
      <c r="K158" s="463"/>
      <c r="L158" s="463"/>
      <c r="M158" s="463"/>
      <c r="N158" s="483"/>
      <c r="O158" s="483"/>
      <c r="P158" s="483"/>
      <c r="Q158" s="483"/>
      <c r="R158" s="483"/>
      <c r="S158" s="462" t="str">
        <f t="shared" si="50"/>
        <v>正确</v>
      </c>
      <c r="T158" s="462"/>
      <c r="U158" s="462"/>
      <c r="V158" s="462"/>
      <c r="W158" s="462"/>
    </row>
    <row r="159" ht="23.25" customHeight="1" spans="1:23">
      <c r="A159" s="464"/>
      <c r="B159" s="462" t="s">
        <v>1542</v>
      </c>
      <c r="C159" s="463" t="s">
        <v>320</v>
      </c>
      <c r="D159" s="463" t="s">
        <v>147</v>
      </c>
      <c r="E159" s="465"/>
      <c r="F159" s="465"/>
      <c r="G159" s="465"/>
      <c r="H159" s="465"/>
      <c r="I159" s="465"/>
      <c r="J159" s="463"/>
      <c r="K159" s="463"/>
      <c r="L159" s="463"/>
      <c r="M159" s="463"/>
      <c r="N159" s="483"/>
      <c r="O159" s="483"/>
      <c r="P159" s="483"/>
      <c r="Q159" s="483"/>
      <c r="R159" s="483"/>
      <c r="S159" s="462" t="str">
        <f t="shared" si="50"/>
        <v>正确</v>
      </c>
      <c r="T159" s="462"/>
      <c r="U159" s="462"/>
      <c r="V159" s="462"/>
      <c r="W159" s="462"/>
    </row>
    <row r="160" ht="23.25" customHeight="1" spans="1:23">
      <c r="A160" s="464"/>
      <c r="B160" s="462" t="s">
        <v>1543</v>
      </c>
      <c r="C160" s="463" t="s">
        <v>320</v>
      </c>
      <c r="D160" s="463" t="s">
        <v>147</v>
      </c>
      <c r="E160" s="465"/>
      <c r="F160" s="465"/>
      <c r="G160" s="465"/>
      <c r="H160" s="465"/>
      <c r="I160" s="465"/>
      <c r="J160" s="463"/>
      <c r="K160" s="463"/>
      <c r="L160" s="463"/>
      <c r="M160" s="463"/>
      <c r="N160" s="483"/>
      <c r="O160" s="483"/>
      <c r="P160" s="483"/>
      <c r="Q160" s="483"/>
      <c r="R160" s="483"/>
      <c r="S160" s="462" t="str">
        <f t="shared" si="50"/>
        <v>正确</v>
      </c>
      <c r="T160" s="462"/>
      <c r="U160" s="462"/>
      <c r="V160" s="462"/>
      <c r="W160" s="462"/>
    </row>
    <row r="161" ht="23.25" customHeight="1" spans="1:23">
      <c r="A161" s="464"/>
      <c r="B161" s="462" t="s">
        <v>1544</v>
      </c>
      <c r="C161" s="463" t="s">
        <v>320</v>
      </c>
      <c r="D161" s="463" t="s">
        <v>147</v>
      </c>
      <c r="E161" s="465"/>
      <c r="F161" s="465"/>
      <c r="G161" s="465"/>
      <c r="H161" s="465"/>
      <c r="I161" s="465"/>
      <c r="J161" s="463"/>
      <c r="K161" s="463"/>
      <c r="L161" s="463"/>
      <c r="M161" s="463"/>
      <c r="N161" s="483"/>
      <c r="O161" s="483"/>
      <c r="P161" s="483"/>
      <c r="Q161" s="483"/>
      <c r="R161" s="483"/>
      <c r="S161" s="462" t="str">
        <f t="shared" si="50"/>
        <v>正确</v>
      </c>
      <c r="T161" s="462"/>
      <c r="U161" s="462"/>
      <c r="V161" s="462"/>
      <c r="W161" s="462"/>
    </row>
    <row r="162" ht="23.25" customHeight="1" spans="1:23">
      <c r="A162" s="464"/>
      <c r="B162" s="462" t="s">
        <v>1545</v>
      </c>
      <c r="C162" s="463" t="s">
        <v>320</v>
      </c>
      <c r="D162" s="463" t="s">
        <v>147</v>
      </c>
      <c r="E162" s="465"/>
      <c r="F162" s="465"/>
      <c r="G162" s="465"/>
      <c r="H162" s="465"/>
      <c r="I162" s="465"/>
      <c r="J162" s="463"/>
      <c r="K162" s="463"/>
      <c r="L162" s="463"/>
      <c r="M162" s="463"/>
      <c r="N162" s="483"/>
      <c r="O162" s="483"/>
      <c r="P162" s="483"/>
      <c r="Q162" s="483"/>
      <c r="R162" s="483"/>
      <c r="S162" s="462" t="str">
        <f t="shared" si="50"/>
        <v>正确</v>
      </c>
      <c r="T162" s="462"/>
      <c r="U162" s="462"/>
      <c r="V162" s="462"/>
      <c r="W162" s="462"/>
    </row>
    <row r="163" ht="23.25" customHeight="1" spans="1:23">
      <c r="A163" s="464"/>
      <c r="B163" s="462" t="s">
        <v>1546</v>
      </c>
      <c r="C163" s="463" t="s">
        <v>320</v>
      </c>
      <c r="D163" s="463" t="s">
        <v>147</v>
      </c>
      <c r="E163" s="465"/>
      <c r="F163" s="465"/>
      <c r="G163" s="465"/>
      <c r="H163" s="465"/>
      <c r="I163" s="465"/>
      <c r="J163" s="463"/>
      <c r="K163" s="463"/>
      <c r="L163" s="463"/>
      <c r="M163" s="463"/>
      <c r="N163" s="483"/>
      <c r="O163" s="483"/>
      <c r="P163" s="483"/>
      <c r="Q163" s="483"/>
      <c r="R163" s="483"/>
      <c r="S163" s="462" t="str">
        <f t="shared" si="50"/>
        <v>正确</v>
      </c>
      <c r="T163" s="462"/>
      <c r="U163" s="462"/>
      <c r="V163" s="462"/>
      <c r="W163" s="462"/>
    </row>
    <row r="164" ht="23.25" customHeight="1" spans="1:23">
      <c r="A164" s="464"/>
      <c r="B164" s="462" t="s">
        <v>1547</v>
      </c>
      <c r="C164" s="463" t="s">
        <v>320</v>
      </c>
      <c r="D164" s="463" t="s">
        <v>147</v>
      </c>
      <c r="E164" s="465"/>
      <c r="F164" s="465"/>
      <c r="G164" s="465"/>
      <c r="H164" s="465"/>
      <c r="I164" s="465"/>
      <c r="J164" s="463"/>
      <c r="K164" s="463"/>
      <c r="L164" s="463"/>
      <c r="M164" s="463"/>
      <c r="N164" s="483"/>
      <c r="O164" s="483"/>
      <c r="P164" s="483"/>
      <c r="Q164" s="483"/>
      <c r="R164" s="483"/>
      <c r="S164" s="462" t="str">
        <f t="shared" si="50"/>
        <v>正确</v>
      </c>
      <c r="T164" s="462"/>
      <c r="U164" s="462"/>
      <c r="V164" s="462"/>
      <c r="W164" s="462"/>
    </row>
    <row r="165" ht="23.25" customHeight="1" spans="1:23">
      <c r="A165" s="464"/>
      <c r="B165" s="462" t="s">
        <v>1548</v>
      </c>
      <c r="C165" s="463" t="s">
        <v>320</v>
      </c>
      <c r="D165" s="463" t="s">
        <v>147</v>
      </c>
      <c r="E165" s="465"/>
      <c r="F165" s="465"/>
      <c r="G165" s="465"/>
      <c r="H165" s="465"/>
      <c r="I165" s="465"/>
      <c r="J165" s="463"/>
      <c r="K165" s="463"/>
      <c r="L165" s="463"/>
      <c r="M165" s="463"/>
      <c r="N165" s="483"/>
      <c r="O165" s="483"/>
      <c r="P165" s="483"/>
      <c r="Q165" s="483"/>
      <c r="R165" s="483"/>
      <c r="S165" s="462" t="str">
        <f t="shared" si="50"/>
        <v>正确</v>
      </c>
      <c r="T165" s="462"/>
      <c r="U165" s="462"/>
      <c r="V165" s="462"/>
      <c r="W165" s="462"/>
    </row>
    <row r="166" ht="23.25" customHeight="1" spans="1:23">
      <c r="A166" s="464"/>
      <c r="B166" s="462" t="s">
        <v>1549</v>
      </c>
      <c r="C166" s="463" t="s">
        <v>320</v>
      </c>
      <c r="D166" s="463" t="s">
        <v>147</v>
      </c>
      <c r="E166" s="465"/>
      <c r="F166" s="465"/>
      <c r="G166" s="465"/>
      <c r="H166" s="465"/>
      <c r="I166" s="465"/>
      <c r="J166" s="463"/>
      <c r="K166" s="463"/>
      <c r="L166" s="463"/>
      <c r="M166" s="463"/>
      <c r="N166" s="483"/>
      <c r="O166" s="483"/>
      <c r="P166" s="483"/>
      <c r="Q166" s="483"/>
      <c r="R166" s="483"/>
      <c r="S166" s="462" t="str">
        <f t="shared" si="50"/>
        <v>正确</v>
      </c>
      <c r="T166" s="462"/>
      <c r="U166" s="462"/>
      <c r="V166" s="462"/>
      <c r="W166" s="462"/>
    </row>
    <row r="167" ht="23.25" customHeight="1" spans="1:23">
      <c r="A167" s="464"/>
      <c r="B167" s="462" t="s">
        <v>1550</v>
      </c>
      <c r="C167" s="463" t="s">
        <v>320</v>
      </c>
      <c r="D167" s="463" t="s">
        <v>147</v>
      </c>
      <c r="E167" s="465"/>
      <c r="F167" s="465"/>
      <c r="G167" s="465"/>
      <c r="H167" s="465"/>
      <c r="I167" s="465"/>
      <c r="J167" s="463"/>
      <c r="K167" s="463"/>
      <c r="L167" s="463"/>
      <c r="M167" s="463"/>
      <c r="N167" s="483"/>
      <c r="O167" s="483"/>
      <c r="P167" s="483"/>
      <c r="Q167" s="483"/>
      <c r="R167" s="483"/>
      <c r="S167" s="462" t="str">
        <f t="shared" si="50"/>
        <v>正确</v>
      </c>
      <c r="T167" s="462"/>
      <c r="U167" s="462"/>
      <c r="V167" s="462"/>
      <c r="W167" s="462"/>
    </row>
    <row r="168" ht="23.25" customHeight="1" spans="1:23">
      <c r="A168" s="464"/>
      <c r="B168" s="462" t="s">
        <v>1551</v>
      </c>
      <c r="C168" s="463" t="s">
        <v>320</v>
      </c>
      <c r="D168" s="463" t="s">
        <v>147</v>
      </c>
      <c r="E168" s="465"/>
      <c r="F168" s="465"/>
      <c r="G168" s="465"/>
      <c r="H168" s="465"/>
      <c r="I168" s="465"/>
      <c r="J168" s="463"/>
      <c r="K168" s="463"/>
      <c r="L168" s="463"/>
      <c r="M168" s="463"/>
      <c r="N168" s="483"/>
      <c r="O168" s="483"/>
      <c r="P168" s="483"/>
      <c r="Q168" s="483"/>
      <c r="R168" s="483"/>
      <c r="S168" s="462" t="str">
        <f t="shared" si="50"/>
        <v>正确</v>
      </c>
      <c r="T168" s="462"/>
      <c r="U168" s="462"/>
      <c r="V168" s="462"/>
      <c r="W168" s="462"/>
    </row>
    <row r="169" ht="54" customHeight="1" spans="1:23">
      <c r="A169" s="464">
        <v>1</v>
      </c>
      <c r="B169" s="462" t="s">
        <v>802</v>
      </c>
      <c r="C169" s="463" t="s">
        <v>320</v>
      </c>
      <c r="D169" s="463" t="s">
        <v>320</v>
      </c>
      <c r="E169" s="465">
        <f t="shared" ref="E169:G169" si="55">E170+E183+E196+E209+E222</f>
        <v>28785</v>
      </c>
      <c r="F169" s="465">
        <f t="shared" si="55"/>
        <v>4580</v>
      </c>
      <c r="G169" s="465">
        <f t="shared" si="55"/>
        <v>28783</v>
      </c>
      <c r="H169" s="465">
        <v>2018</v>
      </c>
      <c r="I169" s="465">
        <v>2020</v>
      </c>
      <c r="J169" s="463">
        <f>K169+L169+M169</f>
        <v>891.829</v>
      </c>
      <c r="K169" s="463">
        <f t="shared" ref="K169:N169" si="56">K170+K183+K196+K209+K222</f>
        <v>260.554</v>
      </c>
      <c r="L169" s="463">
        <f t="shared" si="56"/>
        <v>296.923</v>
      </c>
      <c r="M169" s="463">
        <f t="shared" si="56"/>
        <v>334.352</v>
      </c>
      <c r="N169" s="463">
        <f t="shared" si="56"/>
        <v>660.0583</v>
      </c>
      <c r="O169" s="463"/>
      <c r="P169" s="463">
        <f>P170+P183+P196+P209+P222</f>
        <v>231.7707</v>
      </c>
      <c r="Q169" s="463"/>
      <c r="R169" s="463"/>
      <c r="S169" s="462" t="str">
        <f t="shared" si="50"/>
        <v>正确</v>
      </c>
      <c r="T169" s="462"/>
      <c r="U169" s="462"/>
      <c r="V169" s="462" t="s">
        <v>320</v>
      </c>
      <c r="W169" s="462" t="s">
        <v>41</v>
      </c>
    </row>
    <row r="170" ht="23.25" customHeight="1" spans="1:23">
      <c r="A170" s="464">
        <v>2</v>
      </c>
      <c r="B170" s="462" t="s">
        <v>327</v>
      </c>
      <c r="C170" s="463" t="s">
        <v>320</v>
      </c>
      <c r="D170" s="463" t="s">
        <v>147</v>
      </c>
      <c r="E170" s="465">
        <f t="shared" ref="E170:G170" si="57">SUM(E171:E182)</f>
        <v>8612</v>
      </c>
      <c r="F170" s="465">
        <f t="shared" si="57"/>
        <v>2290</v>
      </c>
      <c r="G170" s="465">
        <f t="shared" si="57"/>
        <v>8611</v>
      </c>
      <c r="H170" s="465">
        <v>2018</v>
      </c>
      <c r="I170" s="465">
        <v>2020</v>
      </c>
      <c r="J170" s="484">
        <v>541.359</v>
      </c>
      <c r="K170" s="484">
        <v>154.674</v>
      </c>
      <c r="L170" s="484">
        <v>180.453</v>
      </c>
      <c r="M170" s="484">
        <v>206.232</v>
      </c>
      <c r="N170" s="484">
        <v>309.5883</v>
      </c>
      <c r="O170" s="484"/>
      <c r="P170" s="143">
        <v>231.7707</v>
      </c>
      <c r="Q170" s="143"/>
      <c r="R170" s="143"/>
      <c r="S170" s="462" t="str">
        <f t="shared" si="50"/>
        <v>正确</v>
      </c>
      <c r="T170" s="462" t="s">
        <v>1559</v>
      </c>
      <c r="U170" s="462" t="s">
        <v>1562</v>
      </c>
      <c r="V170" s="462" t="s">
        <v>195</v>
      </c>
      <c r="W170" s="462" t="s">
        <v>41</v>
      </c>
    </row>
    <row r="171" ht="23.25" customHeight="1" spans="1:23">
      <c r="A171" s="464"/>
      <c r="B171" s="462" t="s">
        <v>1540</v>
      </c>
      <c r="C171" s="463" t="s">
        <v>320</v>
      </c>
      <c r="D171" s="463" t="s">
        <v>147</v>
      </c>
      <c r="E171" s="150">
        <v>978</v>
      </c>
      <c r="F171" s="150">
        <v>252</v>
      </c>
      <c r="G171" s="150">
        <v>978</v>
      </c>
      <c r="H171" s="465">
        <v>2018</v>
      </c>
      <c r="I171" s="465">
        <v>2020</v>
      </c>
      <c r="J171" s="463"/>
      <c r="K171" s="463"/>
      <c r="L171" s="463"/>
      <c r="M171" s="463"/>
      <c r="N171" s="483"/>
      <c r="O171" s="483"/>
      <c r="P171" s="483"/>
      <c r="Q171" s="483"/>
      <c r="R171" s="483"/>
      <c r="S171" s="462" t="str">
        <f t="shared" si="50"/>
        <v>正确</v>
      </c>
      <c r="T171" s="462"/>
      <c r="U171" s="462"/>
      <c r="V171" s="462"/>
      <c r="W171" s="462"/>
    </row>
    <row r="172" ht="23.25" customHeight="1" spans="1:23">
      <c r="A172" s="464"/>
      <c r="B172" s="462" t="s">
        <v>1541</v>
      </c>
      <c r="C172" s="463" t="s">
        <v>320</v>
      </c>
      <c r="D172" s="463" t="s">
        <v>147</v>
      </c>
      <c r="E172" s="150">
        <v>879</v>
      </c>
      <c r="F172" s="150">
        <v>229</v>
      </c>
      <c r="G172" s="150">
        <v>879</v>
      </c>
      <c r="H172" s="465">
        <v>2018</v>
      </c>
      <c r="I172" s="465">
        <v>2020</v>
      </c>
      <c r="J172" s="463"/>
      <c r="K172" s="463"/>
      <c r="L172" s="463"/>
      <c r="M172" s="463"/>
      <c r="N172" s="483"/>
      <c r="O172" s="483"/>
      <c r="P172" s="483"/>
      <c r="Q172" s="483"/>
      <c r="R172" s="483"/>
      <c r="S172" s="462" t="str">
        <f t="shared" si="50"/>
        <v>正确</v>
      </c>
      <c r="T172" s="462"/>
      <c r="U172" s="462"/>
      <c r="V172" s="462"/>
      <c r="W172" s="462"/>
    </row>
    <row r="173" ht="23.25" customHeight="1" spans="1:23">
      <c r="A173" s="464"/>
      <c r="B173" s="462" t="s">
        <v>1542</v>
      </c>
      <c r="C173" s="463" t="s">
        <v>320</v>
      </c>
      <c r="D173" s="463" t="s">
        <v>147</v>
      </c>
      <c r="E173" s="465">
        <v>506</v>
      </c>
      <c r="F173" s="465">
        <v>139</v>
      </c>
      <c r="G173" s="465">
        <v>505</v>
      </c>
      <c r="H173" s="465">
        <v>2018</v>
      </c>
      <c r="I173" s="465">
        <v>2020</v>
      </c>
      <c r="J173" s="463"/>
      <c r="K173" s="463"/>
      <c r="L173" s="463"/>
      <c r="M173" s="463"/>
      <c r="N173" s="483"/>
      <c r="O173" s="483"/>
      <c r="P173" s="483"/>
      <c r="Q173" s="483"/>
      <c r="R173" s="483"/>
      <c r="S173" s="462" t="str">
        <f t="shared" si="50"/>
        <v>正确</v>
      </c>
      <c r="T173" s="462"/>
      <c r="U173" s="462"/>
      <c r="V173" s="462"/>
      <c r="W173" s="462"/>
    </row>
    <row r="174" ht="23.25" customHeight="1" spans="1:23">
      <c r="A174" s="464"/>
      <c r="B174" s="462" t="s">
        <v>1543</v>
      </c>
      <c r="C174" s="463" t="s">
        <v>320</v>
      </c>
      <c r="D174" s="463" t="s">
        <v>147</v>
      </c>
      <c r="E174" s="150">
        <v>327</v>
      </c>
      <c r="F174" s="150">
        <v>96</v>
      </c>
      <c r="G174" s="150">
        <v>327</v>
      </c>
      <c r="H174" s="465">
        <v>2018</v>
      </c>
      <c r="I174" s="465">
        <v>2020</v>
      </c>
      <c r="J174" s="463"/>
      <c r="K174" s="463"/>
      <c r="L174" s="463"/>
      <c r="M174" s="463"/>
      <c r="N174" s="483"/>
      <c r="O174" s="483"/>
      <c r="P174" s="483"/>
      <c r="Q174" s="483"/>
      <c r="R174" s="483"/>
      <c r="S174" s="462" t="str">
        <f t="shared" si="50"/>
        <v>正确</v>
      </c>
      <c r="T174" s="462"/>
      <c r="U174" s="462"/>
      <c r="V174" s="462"/>
      <c r="W174" s="462"/>
    </row>
    <row r="175" ht="23.25" customHeight="1" spans="1:23">
      <c r="A175" s="464"/>
      <c r="B175" s="462" t="s">
        <v>1544</v>
      </c>
      <c r="C175" s="463" t="s">
        <v>320</v>
      </c>
      <c r="D175" s="463" t="s">
        <v>147</v>
      </c>
      <c r="E175" s="465">
        <v>502</v>
      </c>
      <c r="F175" s="465">
        <v>141</v>
      </c>
      <c r="G175" s="465">
        <v>502</v>
      </c>
      <c r="H175" s="465">
        <v>2018</v>
      </c>
      <c r="I175" s="465">
        <v>2020</v>
      </c>
      <c r="J175" s="463"/>
      <c r="K175" s="463"/>
      <c r="L175" s="463"/>
      <c r="M175" s="463"/>
      <c r="N175" s="483"/>
      <c r="O175" s="483"/>
      <c r="P175" s="483"/>
      <c r="Q175" s="483"/>
      <c r="R175" s="483"/>
      <c r="S175" s="462" t="str">
        <f t="shared" si="50"/>
        <v>正确</v>
      </c>
      <c r="T175" s="462"/>
      <c r="U175" s="462"/>
      <c r="V175" s="462"/>
      <c r="W175" s="462"/>
    </row>
    <row r="176" ht="23.25" customHeight="1" spans="1:23">
      <c r="A176" s="464"/>
      <c r="B176" s="462" t="s">
        <v>1545</v>
      </c>
      <c r="C176" s="463" t="s">
        <v>320</v>
      </c>
      <c r="D176" s="463" t="s">
        <v>147</v>
      </c>
      <c r="E176" s="150">
        <v>796</v>
      </c>
      <c r="F176" s="150">
        <v>224</v>
      </c>
      <c r="G176" s="150">
        <v>796</v>
      </c>
      <c r="H176" s="465">
        <v>2018</v>
      </c>
      <c r="I176" s="465">
        <v>2020</v>
      </c>
      <c r="J176" s="463"/>
      <c r="K176" s="463"/>
      <c r="L176" s="463"/>
      <c r="M176" s="463"/>
      <c r="N176" s="483"/>
      <c r="O176" s="483"/>
      <c r="P176" s="483"/>
      <c r="Q176" s="483"/>
      <c r="R176" s="483"/>
      <c r="S176" s="462" t="str">
        <f t="shared" si="50"/>
        <v>正确</v>
      </c>
      <c r="T176" s="462"/>
      <c r="U176" s="462"/>
      <c r="V176" s="462"/>
      <c r="W176" s="462"/>
    </row>
    <row r="177" ht="23.25" customHeight="1" spans="1:23">
      <c r="A177" s="464"/>
      <c r="B177" s="462" t="s">
        <v>1546</v>
      </c>
      <c r="C177" s="463" t="s">
        <v>320</v>
      </c>
      <c r="D177" s="463" t="s">
        <v>147</v>
      </c>
      <c r="E177" s="150">
        <v>1164</v>
      </c>
      <c r="F177" s="150">
        <v>291</v>
      </c>
      <c r="G177" s="150">
        <v>1164</v>
      </c>
      <c r="H177" s="465">
        <v>2018</v>
      </c>
      <c r="I177" s="465">
        <v>2020</v>
      </c>
      <c r="J177" s="463"/>
      <c r="K177" s="463"/>
      <c r="L177" s="463"/>
      <c r="M177" s="463"/>
      <c r="N177" s="483"/>
      <c r="O177" s="483"/>
      <c r="P177" s="483"/>
      <c r="Q177" s="483"/>
      <c r="R177" s="483"/>
      <c r="S177" s="462" t="str">
        <f t="shared" si="50"/>
        <v>正确</v>
      </c>
      <c r="T177" s="462"/>
      <c r="U177" s="462"/>
      <c r="V177" s="462"/>
      <c r="W177" s="462"/>
    </row>
    <row r="178" ht="23.25" customHeight="1" spans="1:23">
      <c r="A178" s="464"/>
      <c r="B178" s="462" t="s">
        <v>1547</v>
      </c>
      <c r="C178" s="463" t="s">
        <v>320</v>
      </c>
      <c r="D178" s="463" t="s">
        <v>147</v>
      </c>
      <c r="E178" s="465">
        <v>1046</v>
      </c>
      <c r="F178" s="465">
        <v>254</v>
      </c>
      <c r="G178" s="465">
        <v>1046</v>
      </c>
      <c r="H178" s="465">
        <v>2018</v>
      </c>
      <c r="I178" s="465">
        <v>2020</v>
      </c>
      <c r="J178" s="463"/>
      <c r="K178" s="463"/>
      <c r="L178" s="463"/>
      <c r="M178" s="463"/>
      <c r="N178" s="483"/>
      <c r="O178" s="483"/>
      <c r="P178" s="483"/>
      <c r="Q178" s="483"/>
      <c r="R178" s="483"/>
      <c r="S178" s="462" t="str">
        <f t="shared" si="50"/>
        <v>正确</v>
      </c>
      <c r="T178" s="462"/>
      <c r="U178" s="462"/>
      <c r="V178" s="462"/>
      <c r="W178" s="462"/>
    </row>
    <row r="179" ht="23.25" customHeight="1" spans="1:23">
      <c r="A179" s="464"/>
      <c r="B179" s="462" t="s">
        <v>1548</v>
      </c>
      <c r="C179" s="463" t="s">
        <v>320</v>
      </c>
      <c r="D179" s="463" t="s">
        <v>147</v>
      </c>
      <c r="E179" s="465">
        <v>1373</v>
      </c>
      <c r="F179" s="465">
        <v>372</v>
      </c>
      <c r="G179" s="465">
        <v>1373</v>
      </c>
      <c r="H179" s="465">
        <v>2018</v>
      </c>
      <c r="I179" s="465">
        <v>2020</v>
      </c>
      <c r="J179" s="463"/>
      <c r="K179" s="463"/>
      <c r="L179" s="463"/>
      <c r="M179" s="463"/>
      <c r="N179" s="483"/>
      <c r="O179" s="483"/>
      <c r="P179" s="483"/>
      <c r="Q179" s="483"/>
      <c r="R179" s="483"/>
      <c r="S179" s="462" t="str">
        <f t="shared" si="50"/>
        <v>正确</v>
      </c>
      <c r="T179" s="462"/>
      <c r="U179" s="462"/>
      <c r="V179" s="462"/>
      <c r="W179" s="462"/>
    </row>
    <row r="180" ht="23.25" customHeight="1" spans="1:23">
      <c r="A180" s="464"/>
      <c r="B180" s="462" t="s">
        <v>1549</v>
      </c>
      <c r="C180" s="463" t="s">
        <v>320</v>
      </c>
      <c r="D180" s="463" t="s">
        <v>147</v>
      </c>
      <c r="E180" s="465">
        <v>473</v>
      </c>
      <c r="F180" s="465">
        <v>125</v>
      </c>
      <c r="G180" s="465">
        <v>473</v>
      </c>
      <c r="H180" s="465">
        <v>2018</v>
      </c>
      <c r="I180" s="465">
        <v>2020</v>
      </c>
      <c r="J180" s="463"/>
      <c r="K180" s="463"/>
      <c r="L180" s="463"/>
      <c r="M180" s="463"/>
      <c r="N180" s="463"/>
      <c r="O180" s="463"/>
      <c r="P180" s="463"/>
      <c r="Q180" s="463"/>
      <c r="R180" s="463"/>
      <c r="S180" s="462" t="str">
        <f t="shared" si="50"/>
        <v>正确</v>
      </c>
      <c r="T180" s="462"/>
      <c r="U180" s="462"/>
      <c r="V180" s="462"/>
      <c r="W180" s="462"/>
    </row>
    <row r="181" ht="23.25" customHeight="1" spans="1:23">
      <c r="A181" s="464"/>
      <c r="B181" s="462" t="s">
        <v>1550</v>
      </c>
      <c r="C181" s="463" t="s">
        <v>320</v>
      </c>
      <c r="D181" s="463" t="s">
        <v>147</v>
      </c>
      <c r="E181" s="150">
        <v>260</v>
      </c>
      <c r="F181" s="150">
        <v>84</v>
      </c>
      <c r="G181" s="150">
        <v>260</v>
      </c>
      <c r="H181" s="465">
        <v>2018</v>
      </c>
      <c r="I181" s="465">
        <v>2020</v>
      </c>
      <c r="J181" s="463"/>
      <c r="K181" s="463"/>
      <c r="L181" s="463"/>
      <c r="M181" s="463"/>
      <c r="N181" s="463"/>
      <c r="O181" s="463"/>
      <c r="P181" s="463"/>
      <c r="Q181" s="463"/>
      <c r="R181" s="463"/>
      <c r="S181" s="462" t="str">
        <f t="shared" si="50"/>
        <v>正确</v>
      </c>
      <c r="T181" s="462"/>
      <c r="U181" s="462"/>
      <c r="V181" s="462"/>
      <c r="W181" s="462"/>
    </row>
    <row r="182" ht="23.25" customHeight="1" spans="1:23">
      <c r="A182" s="464"/>
      <c r="B182" s="462" t="s">
        <v>1551</v>
      </c>
      <c r="C182" s="463" t="s">
        <v>320</v>
      </c>
      <c r="D182" s="463" t="s">
        <v>147</v>
      </c>
      <c r="E182" s="150">
        <v>308</v>
      </c>
      <c r="F182" s="150">
        <v>83</v>
      </c>
      <c r="G182" s="150">
        <v>308</v>
      </c>
      <c r="H182" s="465">
        <v>2018</v>
      </c>
      <c r="I182" s="465">
        <v>2020</v>
      </c>
      <c r="J182" s="463"/>
      <c r="K182" s="463"/>
      <c r="L182" s="463"/>
      <c r="M182" s="463"/>
      <c r="N182" s="463"/>
      <c r="O182" s="463"/>
      <c r="P182" s="463"/>
      <c r="Q182" s="463"/>
      <c r="R182" s="463"/>
      <c r="S182" s="462" t="str">
        <f t="shared" si="50"/>
        <v>正确</v>
      </c>
      <c r="T182" s="462"/>
      <c r="U182" s="462"/>
      <c r="V182" s="462"/>
      <c r="W182" s="462"/>
    </row>
    <row r="183" ht="23.25" customHeight="1" spans="1:23">
      <c r="A183" s="464">
        <v>2</v>
      </c>
      <c r="B183" s="462" t="s">
        <v>332</v>
      </c>
      <c r="C183" s="463" t="s">
        <v>320</v>
      </c>
      <c r="D183" s="463" t="s">
        <v>147</v>
      </c>
      <c r="E183" s="465">
        <f t="shared" ref="E183:G183" si="58">SUM(E184:E195)</f>
        <v>8612</v>
      </c>
      <c r="F183" s="465">
        <f t="shared" si="58"/>
        <v>2290</v>
      </c>
      <c r="G183" s="465">
        <f t="shared" si="58"/>
        <v>8611</v>
      </c>
      <c r="H183" s="465">
        <v>2018</v>
      </c>
      <c r="I183" s="465">
        <v>2020</v>
      </c>
      <c r="J183" s="463"/>
      <c r="K183" s="463"/>
      <c r="L183" s="463"/>
      <c r="M183" s="463"/>
      <c r="N183" s="463"/>
      <c r="O183" s="463"/>
      <c r="P183" s="463"/>
      <c r="Q183" s="463"/>
      <c r="R183" s="463"/>
      <c r="S183" s="462" t="str">
        <f t="shared" si="50"/>
        <v>正确</v>
      </c>
      <c r="T183" s="462" t="s">
        <v>1559</v>
      </c>
      <c r="U183" s="462" t="s">
        <v>1562</v>
      </c>
      <c r="V183" s="462" t="s">
        <v>195</v>
      </c>
      <c r="W183" s="462" t="s">
        <v>41</v>
      </c>
    </row>
    <row r="184" ht="23.25" customHeight="1" spans="1:23">
      <c r="A184" s="464"/>
      <c r="B184" s="462" t="s">
        <v>1540</v>
      </c>
      <c r="C184" s="463" t="s">
        <v>320</v>
      </c>
      <c r="D184" s="463" t="s">
        <v>147</v>
      </c>
      <c r="E184" s="150">
        <v>978</v>
      </c>
      <c r="F184" s="150">
        <v>252</v>
      </c>
      <c r="G184" s="150">
        <v>978</v>
      </c>
      <c r="H184" s="465">
        <v>2018</v>
      </c>
      <c r="I184" s="465">
        <v>2020</v>
      </c>
      <c r="J184" s="463"/>
      <c r="K184" s="463"/>
      <c r="L184" s="463"/>
      <c r="M184" s="463"/>
      <c r="N184" s="463"/>
      <c r="O184" s="463"/>
      <c r="P184" s="463"/>
      <c r="Q184" s="463"/>
      <c r="R184" s="463"/>
      <c r="S184" s="462" t="str">
        <f t="shared" si="50"/>
        <v>正确</v>
      </c>
      <c r="T184" s="462"/>
      <c r="U184" s="462"/>
      <c r="V184" s="462"/>
      <c r="W184" s="462"/>
    </row>
    <row r="185" ht="23.25" customHeight="1" spans="1:23">
      <c r="A185" s="464"/>
      <c r="B185" s="462" t="s">
        <v>1541</v>
      </c>
      <c r="C185" s="463" t="s">
        <v>320</v>
      </c>
      <c r="D185" s="463" t="s">
        <v>147</v>
      </c>
      <c r="E185" s="150">
        <v>879</v>
      </c>
      <c r="F185" s="150">
        <v>229</v>
      </c>
      <c r="G185" s="150">
        <v>879</v>
      </c>
      <c r="H185" s="465">
        <v>2018</v>
      </c>
      <c r="I185" s="465">
        <v>2020</v>
      </c>
      <c r="J185" s="463"/>
      <c r="K185" s="463"/>
      <c r="L185" s="463"/>
      <c r="M185" s="463"/>
      <c r="N185" s="463"/>
      <c r="O185" s="463"/>
      <c r="P185" s="463"/>
      <c r="Q185" s="463"/>
      <c r="R185" s="463"/>
      <c r="S185" s="462" t="str">
        <f t="shared" si="50"/>
        <v>正确</v>
      </c>
      <c r="T185" s="462"/>
      <c r="U185" s="462"/>
      <c r="V185" s="462"/>
      <c r="W185" s="462"/>
    </row>
    <row r="186" ht="23.25" customHeight="1" spans="1:23">
      <c r="A186" s="464"/>
      <c r="B186" s="462" t="s">
        <v>1542</v>
      </c>
      <c r="C186" s="463" t="s">
        <v>320</v>
      </c>
      <c r="D186" s="463" t="s">
        <v>147</v>
      </c>
      <c r="E186" s="465">
        <v>506</v>
      </c>
      <c r="F186" s="465">
        <v>139</v>
      </c>
      <c r="G186" s="465">
        <v>505</v>
      </c>
      <c r="H186" s="465">
        <v>2018</v>
      </c>
      <c r="I186" s="465">
        <v>2020</v>
      </c>
      <c r="J186" s="463"/>
      <c r="K186" s="463"/>
      <c r="L186" s="463"/>
      <c r="M186" s="463"/>
      <c r="N186" s="463"/>
      <c r="O186" s="463"/>
      <c r="P186" s="463"/>
      <c r="Q186" s="463"/>
      <c r="R186" s="463"/>
      <c r="S186" s="462" t="str">
        <f t="shared" si="50"/>
        <v>正确</v>
      </c>
      <c r="T186" s="462"/>
      <c r="U186" s="462"/>
      <c r="V186" s="462"/>
      <c r="W186" s="462"/>
    </row>
    <row r="187" ht="23.25" customHeight="1" spans="1:23">
      <c r="A187" s="464"/>
      <c r="B187" s="462" t="s">
        <v>1543</v>
      </c>
      <c r="C187" s="463" t="s">
        <v>320</v>
      </c>
      <c r="D187" s="463" t="s">
        <v>147</v>
      </c>
      <c r="E187" s="150">
        <v>327</v>
      </c>
      <c r="F187" s="150">
        <v>96</v>
      </c>
      <c r="G187" s="150">
        <v>327</v>
      </c>
      <c r="H187" s="465">
        <v>2018</v>
      </c>
      <c r="I187" s="465">
        <v>2020</v>
      </c>
      <c r="J187" s="463"/>
      <c r="K187" s="463"/>
      <c r="L187" s="463"/>
      <c r="M187" s="463"/>
      <c r="N187" s="463"/>
      <c r="O187" s="463"/>
      <c r="P187" s="463"/>
      <c r="Q187" s="463"/>
      <c r="R187" s="463"/>
      <c r="S187" s="462" t="str">
        <f t="shared" si="50"/>
        <v>正确</v>
      </c>
      <c r="T187" s="462"/>
      <c r="U187" s="462"/>
      <c r="V187" s="462"/>
      <c r="W187" s="462"/>
    </row>
    <row r="188" ht="23.25" customHeight="1" spans="1:23">
      <c r="A188" s="464"/>
      <c r="B188" s="462" t="s">
        <v>1544</v>
      </c>
      <c r="C188" s="463" t="s">
        <v>320</v>
      </c>
      <c r="D188" s="463" t="s">
        <v>147</v>
      </c>
      <c r="E188" s="465">
        <v>502</v>
      </c>
      <c r="F188" s="465">
        <v>141</v>
      </c>
      <c r="G188" s="465">
        <v>502</v>
      </c>
      <c r="H188" s="465">
        <v>2018</v>
      </c>
      <c r="I188" s="465">
        <v>2020</v>
      </c>
      <c r="J188" s="463"/>
      <c r="K188" s="463"/>
      <c r="L188" s="463"/>
      <c r="M188" s="463"/>
      <c r="N188" s="463"/>
      <c r="O188" s="463"/>
      <c r="P188" s="463"/>
      <c r="Q188" s="463"/>
      <c r="R188" s="463"/>
      <c r="S188" s="462" t="str">
        <f t="shared" si="50"/>
        <v>正确</v>
      </c>
      <c r="T188" s="462"/>
      <c r="U188" s="462"/>
      <c r="V188" s="462"/>
      <c r="W188" s="462"/>
    </row>
    <row r="189" ht="23.25" customHeight="1" spans="1:23">
      <c r="A189" s="464"/>
      <c r="B189" s="462" t="s">
        <v>1545</v>
      </c>
      <c r="C189" s="463" t="s">
        <v>320</v>
      </c>
      <c r="D189" s="463" t="s">
        <v>147</v>
      </c>
      <c r="E189" s="465">
        <v>796</v>
      </c>
      <c r="F189" s="465">
        <v>224</v>
      </c>
      <c r="G189" s="465">
        <v>796</v>
      </c>
      <c r="H189" s="465">
        <v>2018</v>
      </c>
      <c r="I189" s="465">
        <v>2020</v>
      </c>
      <c r="J189" s="463"/>
      <c r="K189" s="463"/>
      <c r="L189" s="463"/>
      <c r="M189" s="463"/>
      <c r="N189" s="463"/>
      <c r="O189" s="463"/>
      <c r="P189" s="463"/>
      <c r="Q189" s="463"/>
      <c r="R189" s="463"/>
      <c r="S189" s="462" t="str">
        <f t="shared" si="50"/>
        <v>正确</v>
      </c>
      <c r="T189" s="462"/>
      <c r="U189" s="462"/>
      <c r="V189" s="462"/>
      <c r="W189" s="462"/>
    </row>
    <row r="190" ht="23.25" customHeight="1" spans="1:23">
      <c r="A190" s="464"/>
      <c r="B190" s="462" t="s">
        <v>1546</v>
      </c>
      <c r="C190" s="463" t="s">
        <v>320</v>
      </c>
      <c r="D190" s="463" t="s">
        <v>147</v>
      </c>
      <c r="E190" s="150">
        <v>1164</v>
      </c>
      <c r="F190" s="150">
        <v>291</v>
      </c>
      <c r="G190" s="150">
        <v>1164</v>
      </c>
      <c r="H190" s="465">
        <v>2018</v>
      </c>
      <c r="I190" s="465">
        <v>2020</v>
      </c>
      <c r="J190" s="463"/>
      <c r="K190" s="463"/>
      <c r="L190" s="463"/>
      <c r="M190" s="463"/>
      <c r="N190" s="463"/>
      <c r="O190" s="463"/>
      <c r="P190" s="463"/>
      <c r="Q190" s="463"/>
      <c r="R190" s="463"/>
      <c r="S190" s="462" t="str">
        <f t="shared" si="50"/>
        <v>正确</v>
      </c>
      <c r="T190" s="462"/>
      <c r="U190" s="462"/>
      <c r="V190" s="462"/>
      <c r="W190" s="462"/>
    </row>
    <row r="191" ht="23.25" customHeight="1" spans="1:23">
      <c r="A191" s="464"/>
      <c r="B191" s="462" t="s">
        <v>1547</v>
      </c>
      <c r="C191" s="463" t="s">
        <v>320</v>
      </c>
      <c r="D191" s="463" t="s">
        <v>147</v>
      </c>
      <c r="E191" s="465">
        <v>1046</v>
      </c>
      <c r="F191" s="465">
        <v>254</v>
      </c>
      <c r="G191" s="465">
        <v>1046</v>
      </c>
      <c r="H191" s="465">
        <v>2018</v>
      </c>
      <c r="I191" s="465">
        <v>2020</v>
      </c>
      <c r="J191" s="463"/>
      <c r="K191" s="463"/>
      <c r="L191" s="463"/>
      <c r="M191" s="463"/>
      <c r="N191" s="463"/>
      <c r="O191" s="463"/>
      <c r="P191" s="463"/>
      <c r="Q191" s="463"/>
      <c r="R191" s="463"/>
      <c r="S191" s="462" t="str">
        <f t="shared" si="50"/>
        <v>正确</v>
      </c>
      <c r="T191" s="462"/>
      <c r="U191" s="462"/>
      <c r="V191" s="462"/>
      <c r="W191" s="462"/>
    </row>
    <row r="192" ht="23.25" customHeight="1" spans="1:23">
      <c r="A192" s="464"/>
      <c r="B192" s="462" t="s">
        <v>1548</v>
      </c>
      <c r="C192" s="463" t="s">
        <v>320</v>
      </c>
      <c r="D192" s="463" t="s">
        <v>147</v>
      </c>
      <c r="E192" s="465">
        <v>1373</v>
      </c>
      <c r="F192" s="465">
        <v>372</v>
      </c>
      <c r="G192" s="465">
        <v>1373</v>
      </c>
      <c r="H192" s="465">
        <v>2018</v>
      </c>
      <c r="I192" s="465">
        <v>2020</v>
      </c>
      <c r="J192" s="463"/>
      <c r="K192" s="463"/>
      <c r="L192" s="463"/>
      <c r="M192" s="463"/>
      <c r="N192" s="463"/>
      <c r="O192" s="463"/>
      <c r="P192" s="463"/>
      <c r="Q192" s="463"/>
      <c r="R192" s="463"/>
      <c r="S192" s="462" t="str">
        <f t="shared" si="50"/>
        <v>正确</v>
      </c>
      <c r="T192" s="462"/>
      <c r="U192" s="462"/>
      <c r="V192" s="462"/>
      <c r="W192" s="462"/>
    </row>
    <row r="193" ht="23.25" customHeight="1" spans="1:23">
      <c r="A193" s="464"/>
      <c r="B193" s="462" t="s">
        <v>1549</v>
      </c>
      <c r="C193" s="463" t="s">
        <v>320</v>
      </c>
      <c r="D193" s="463" t="s">
        <v>147</v>
      </c>
      <c r="E193" s="465">
        <v>473</v>
      </c>
      <c r="F193" s="465">
        <v>125</v>
      </c>
      <c r="G193" s="465">
        <v>473</v>
      </c>
      <c r="H193" s="465">
        <v>2018</v>
      </c>
      <c r="I193" s="465">
        <v>2020</v>
      </c>
      <c r="J193" s="463"/>
      <c r="K193" s="463"/>
      <c r="L193" s="463"/>
      <c r="M193" s="463"/>
      <c r="N193" s="483"/>
      <c r="O193" s="483"/>
      <c r="P193" s="483"/>
      <c r="Q193" s="483"/>
      <c r="R193" s="483"/>
      <c r="S193" s="462" t="str">
        <f t="shared" si="50"/>
        <v>正确</v>
      </c>
      <c r="T193" s="462"/>
      <c r="U193" s="462"/>
      <c r="V193" s="462"/>
      <c r="W193" s="462"/>
    </row>
    <row r="194" ht="23.25" customHeight="1" spans="1:23">
      <c r="A194" s="464"/>
      <c r="B194" s="462" t="s">
        <v>1550</v>
      </c>
      <c r="C194" s="463" t="s">
        <v>320</v>
      </c>
      <c r="D194" s="463" t="s">
        <v>147</v>
      </c>
      <c r="E194" s="150">
        <v>260</v>
      </c>
      <c r="F194" s="150">
        <v>84</v>
      </c>
      <c r="G194" s="150">
        <v>260</v>
      </c>
      <c r="H194" s="465">
        <v>2018</v>
      </c>
      <c r="I194" s="465">
        <v>2020</v>
      </c>
      <c r="J194" s="463"/>
      <c r="K194" s="463"/>
      <c r="L194" s="463"/>
      <c r="M194" s="463"/>
      <c r="N194" s="483"/>
      <c r="O194" s="483"/>
      <c r="P194" s="483"/>
      <c r="Q194" s="483"/>
      <c r="R194" s="483"/>
      <c r="S194" s="462" t="str">
        <f t="shared" si="50"/>
        <v>正确</v>
      </c>
      <c r="T194" s="462"/>
      <c r="U194" s="462"/>
      <c r="V194" s="462"/>
      <c r="W194" s="462"/>
    </row>
    <row r="195" ht="23.25" customHeight="1" spans="1:23">
      <c r="A195" s="464"/>
      <c r="B195" s="462" t="s">
        <v>1551</v>
      </c>
      <c r="C195" s="463" t="s">
        <v>320</v>
      </c>
      <c r="D195" s="463" t="s">
        <v>147</v>
      </c>
      <c r="E195" s="150">
        <v>308</v>
      </c>
      <c r="F195" s="150">
        <v>83</v>
      </c>
      <c r="G195" s="150">
        <v>308</v>
      </c>
      <c r="H195" s="465">
        <v>2018</v>
      </c>
      <c r="I195" s="465">
        <v>2020</v>
      </c>
      <c r="J195" s="463"/>
      <c r="K195" s="463"/>
      <c r="L195" s="463"/>
      <c r="M195" s="463"/>
      <c r="N195" s="483"/>
      <c r="O195" s="483"/>
      <c r="P195" s="483"/>
      <c r="Q195" s="483"/>
      <c r="R195" s="483"/>
      <c r="S195" s="462" t="str">
        <f t="shared" si="50"/>
        <v>正确</v>
      </c>
      <c r="T195" s="462"/>
      <c r="U195" s="462"/>
      <c r="V195" s="462"/>
      <c r="W195" s="462"/>
    </row>
    <row r="196" ht="23.25" customHeight="1" spans="1:23">
      <c r="A196" s="464">
        <v>2</v>
      </c>
      <c r="B196" s="462" t="s">
        <v>335</v>
      </c>
      <c r="C196" s="463" t="s">
        <v>320</v>
      </c>
      <c r="D196" s="463" t="s">
        <v>194</v>
      </c>
      <c r="E196" s="465">
        <v>5969</v>
      </c>
      <c r="F196" s="465"/>
      <c r="G196" s="465">
        <v>5969</v>
      </c>
      <c r="H196" s="465">
        <v>2018</v>
      </c>
      <c r="I196" s="465">
        <v>2020</v>
      </c>
      <c r="J196" s="463">
        <f>K196+L196+M196</f>
        <v>251.56</v>
      </c>
      <c r="K196" s="463">
        <v>76</v>
      </c>
      <c r="L196" s="463">
        <v>83.6</v>
      </c>
      <c r="M196" s="463">
        <v>91.96</v>
      </c>
      <c r="N196" s="463">
        <f>J196</f>
        <v>251.56</v>
      </c>
      <c r="O196" s="463"/>
      <c r="P196" s="463"/>
      <c r="Q196" s="463"/>
      <c r="R196" s="463"/>
      <c r="S196" s="462" t="str">
        <f t="shared" si="50"/>
        <v>正确</v>
      </c>
      <c r="T196" s="462" t="s">
        <v>1559</v>
      </c>
      <c r="U196" s="462" t="s">
        <v>1563</v>
      </c>
      <c r="V196" s="462" t="s">
        <v>358</v>
      </c>
      <c r="W196" s="462" t="s">
        <v>41</v>
      </c>
    </row>
    <row r="197" ht="23.25" customHeight="1" spans="1:23">
      <c r="A197" s="464"/>
      <c r="B197" s="462" t="s">
        <v>1540</v>
      </c>
      <c r="C197" s="463" t="s">
        <v>320</v>
      </c>
      <c r="D197" s="463" t="s">
        <v>194</v>
      </c>
      <c r="E197" s="150"/>
      <c r="F197" s="150"/>
      <c r="G197" s="150"/>
      <c r="H197" s="465">
        <v>2018</v>
      </c>
      <c r="I197" s="465">
        <v>2020</v>
      </c>
      <c r="J197" s="463"/>
      <c r="K197" s="463"/>
      <c r="L197" s="463"/>
      <c r="M197" s="463"/>
      <c r="N197" s="483"/>
      <c r="O197" s="483"/>
      <c r="P197" s="483"/>
      <c r="Q197" s="483"/>
      <c r="R197" s="483"/>
      <c r="S197" s="462" t="str">
        <f t="shared" si="50"/>
        <v>正确</v>
      </c>
      <c r="T197" s="462"/>
      <c r="U197" s="462"/>
      <c r="V197" s="462"/>
      <c r="W197" s="462"/>
    </row>
    <row r="198" ht="23.25" customHeight="1" spans="1:23">
      <c r="A198" s="464"/>
      <c r="B198" s="462" t="s">
        <v>1541</v>
      </c>
      <c r="C198" s="463" t="s">
        <v>320</v>
      </c>
      <c r="D198" s="463" t="s">
        <v>194</v>
      </c>
      <c r="E198" s="150"/>
      <c r="F198" s="150"/>
      <c r="G198" s="150"/>
      <c r="H198" s="465">
        <v>2018</v>
      </c>
      <c r="I198" s="465">
        <v>2020</v>
      </c>
      <c r="J198" s="463"/>
      <c r="K198" s="463"/>
      <c r="L198" s="463"/>
      <c r="M198" s="463"/>
      <c r="N198" s="483"/>
      <c r="O198" s="483"/>
      <c r="P198" s="483"/>
      <c r="Q198" s="483"/>
      <c r="R198" s="483"/>
      <c r="S198" s="462" t="str">
        <f t="shared" si="50"/>
        <v>正确</v>
      </c>
      <c r="T198" s="462"/>
      <c r="U198" s="462"/>
      <c r="V198" s="462"/>
      <c r="W198" s="462"/>
    </row>
    <row r="199" ht="23.25" customHeight="1" spans="1:23">
      <c r="A199" s="464"/>
      <c r="B199" s="462" t="s">
        <v>1542</v>
      </c>
      <c r="C199" s="463" t="s">
        <v>320</v>
      </c>
      <c r="D199" s="463" t="s">
        <v>194</v>
      </c>
      <c r="E199" s="150"/>
      <c r="F199" s="150"/>
      <c r="G199" s="150"/>
      <c r="H199" s="465">
        <v>2018</v>
      </c>
      <c r="I199" s="465">
        <v>2020</v>
      </c>
      <c r="J199" s="463"/>
      <c r="K199" s="463"/>
      <c r="L199" s="463"/>
      <c r="M199" s="463"/>
      <c r="N199" s="463"/>
      <c r="O199" s="463"/>
      <c r="P199" s="463"/>
      <c r="Q199" s="463"/>
      <c r="R199" s="463"/>
      <c r="S199" s="462" t="str">
        <f t="shared" ref="S199:S262" si="59">IF(SUM(K199:M199)=SUM(N199:R199),"正确","错误")</f>
        <v>正确</v>
      </c>
      <c r="T199" s="462"/>
      <c r="U199" s="462"/>
      <c r="V199" s="462"/>
      <c r="W199" s="462"/>
    </row>
    <row r="200" ht="23.25" customHeight="1" spans="1:23">
      <c r="A200" s="464"/>
      <c r="B200" s="462" t="s">
        <v>1543</v>
      </c>
      <c r="C200" s="463" t="s">
        <v>320</v>
      </c>
      <c r="D200" s="463" t="s">
        <v>194</v>
      </c>
      <c r="E200" s="465"/>
      <c r="F200" s="465"/>
      <c r="G200" s="465"/>
      <c r="H200" s="465">
        <v>2018</v>
      </c>
      <c r="I200" s="465">
        <v>2020</v>
      </c>
      <c r="J200" s="463"/>
      <c r="K200" s="463"/>
      <c r="L200" s="463"/>
      <c r="M200" s="463"/>
      <c r="N200" s="463"/>
      <c r="O200" s="463"/>
      <c r="P200" s="463"/>
      <c r="Q200" s="463"/>
      <c r="R200" s="463"/>
      <c r="S200" s="462" t="str">
        <f t="shared" si="59"/>
        <v>正确</v>
      </c>
      <c r="T200" s="462"/>
      <c r="U200" s="462"/>
      <c r="V200" s="462"/>
      <c r="W200" s="462"/>
    </row>
    <row r="201" ht="23.25" customHeight="1" spans="1:23">
      <c r="A201" s="464"/>
      <c r="B201" s="462" t="s">
        <v>1544</v>
      </c>
      <c r="C201" s="463" t="s">
        <v>320</v>
      </c>
      <c r="D201" s="463" t="s">
        <v>194</v>
      </c>
      <c r="E201" s="150"/>
      <c r="F201" s="150"/>
      <c r="G201" s="150"/>
      <c r="H201" s="465">
        <v>2018</v>
      </c>
      <c r="I201" s="465">
        <v>2020</v>
      </c>
      <c r="J201" s="463"/>
      <c r="K201" s="463"/>
      <c r="L201" s="463"/>
      <c r="M201" s="463"/>
      <c r="N201" s="463"/>
      <c r="O201" s="463"/>
      <c r="P201" s="463"/>
      <c r="Q201" s="463"/>
      <c r="R201" s="463"/>
      <c r="S201" s="462" t="str">
        <f t="shared" si="59"/>
        <v>正确</v>
      </c>
      <c r="T201" s="462"/>
      <c r="U201" s="462"/>
      <c r="V201" s="462"/>
      <c r="W201" s="462"/>
    </row>
    <row r="202" ht="23.25" customHeight="1" spans="1:23">
      <c r="A202" s="464"/>
      <c r="B202" s="462" t="s">
        <v>1545</v>
      </c>
      <c r="C202" s="463" t="s">
        <v>320</v>
      </c>
      <c r="D202" s="463" t="s">
        <v>194</v>
      </c>
      <c r="E202" s="150"/>
      <c r="F202" s="150"/>
      <c r="G202" s="465"/>
      <c r="H202" s="465">
        <v>2018</v>
      </c>
      <c r="I202" s="465">
        <v>2020</v>
      </c>
      <c r="J202" s="463"/>
      <c r="K202" s="463"/>
      <c r="L202" s="463"/>
      <c r="M202" s="463"/>
      <c r="N202" s="463"/>
      <c r="O202" s="463"/>
      <c r="P202" s="463"/>
      <c r="Q202" s="463"/>
      <c r="R202" s="463"/>
      <c r="S202" s="462" t="str">
        <f t="shared" si="59"/>
        <v>正确</v>
      </c>
      <c r="T202" s="462"/>
      <c r="U202" s="462"/>
      <c r="V202" s="462"/>
      <c r="W202" s="462"/>
    </row>
    <row r="203" ht="23.25" customHeight="1" spans="1:23">
      <c r="A203" s="464"/>
      <c r="B203" s="462" t="s">
        <v>1546</v>
      </c>
      <c r="C203" s="463" t="s">
        <v>320</v>
      </c>
      <c r="D203" s="463" t="s">
        <v>194</v>
      </c>
      <c r="E203" s="150"/>
      <c r="F203" s="150"/>
      <c r="G203" s="150"/>
      <c r="H203" s="465">
        <v>2018</v>
      </c>
      <c r="I203" s="465">
        <v>2020</v>
      </c>
      <c r="J203" s="463"/>
      <c r="K203" s="463"/>
      <c r="L203" s="463"/>
      <c r="M203" s="463"/>
      <c r="N203" s="463"/>
      <c r="O203" s="463"/>
      <c r="P203" s="463"/>
      <c r="Q203" s="463"/>
      <c r="R203" s="463"/>
      <c r="S203" s="462" t="str">
        <f t="shared" si="59"/>
        <v>正确</v>
      </c>
      <c r="T203" s="462"/>
      <c r="U203" s="462"/>
      <c r="V203" s="462"/>
      <c r="W203" s="462"/>
    </row>
    <row r="204" ht="23.25" customHeight="1" spans="1:23">
      <c r="A204" s="464"/>
      <c r="B204" s="462" t="s">
        <v>1547</v>
      </c>
      <c r="C204" s="463" t="s">
        <v>320</v>
      </c>
      <c r="D204" s="463" t="s">
        <v>194</v>
      </c>
      <c r="E204" s="150"/>
      <c r="F204" s="150"/>
      <c r="G204" s="150"/>
      <c r="H204" s="465">
        <v>2018</v>
      </c>
      <c r="I204" s="465">
        <v>2020</v>
      </c>
      <c r="J204" s="463"/>
      <c r="K204" s="463"/>
      <c r="L204" s="463"/>
      <c r="M204" s="463"/>
      <c r="N204" s="463"/>
      <c r="O204" s="463"/>
      <c r="P204" s="463"/>
      <c r="Q204" s="463"/>
      <c r="R204" s="463"/>
      <c r="S204" s="462" t="str">
        <f t="shared" si="59"/>
        <v>正确</v>
      </c>
      <c r="T204" s="462"/>
      <c r="U204" s="462"/>
      <c r="V204" s="462"/>
      <c r="W204" s="462"/>
    </row>
    <row r="205" ht="23.25" customHeight="1" spans="1:23">
      <c r="A205" s="464"/>
      <c r="B205" s="462" t="s">
        <v>1548</v>
      </c>
      <c r="C205" s="463" t="s">
        <v>320</v>
      </c>
      <c r="D205" s="463" t="s">
        <v>194</v>
      </c>
      <c r="E205" s="465"/>
      <c r="F205" s="465"/>
      <c r="G205" s="465"/>
      <c r="H205" s="465">
        <v>2018</v>
      </c>
      <c r="I205" s="465">
        <v>2020</v>
      </c>
      <c r="J205" s="463"/>
      <c r="K205" s="463"/>
      <c r="L205" s="463"/>
      <c r="M205" s="463"/>
      <c r="N205" s="463"/>
      <c r="O205" s="463"/>
      <c r="P205" s="463"/>
      <c r="Q205" s="463"/>
      <c r="R205" s="463"/>
      <c r="S205" s="462" t="str">
        <f t="shared" si="59"/>
        <v>正确</v>
      </c>
      <c r="T205" s="462"/>
      <c r="U205" s="462"/>
      <c r="V205" s="462"/>
      <c r="W205" s="462"/>
    </row>
    <row r="206" ht="23.25" customHeight="1" spans="1:23">
      <c r="A206" s="464"/>
      <c r="B206" s="462" t="s">
        <v>1549</v>
      </c>
      <c r="C206" s="463" t="s">
        <v>320</v>
      </c>
      <c r="D206" s="463" t="s">
        <v>194</v>
      </c>
      <c r="E206" s="150"/>
      <c r="F206" s="150"/>
      <c r="G206" s="465"/>
      <c r="H206" s="465">
        <v>2018</v>
      </c>
      <c r="I206" s="465">
        <v>2020</v>
      </c>
      <c r="J206" s="463"/>
      <c r="K206" s="463"/>
      <c r="L206" s="463"/>
      <c r="M206" s="463"/>
      <c r="N206" s="463"/>
      <c r="O206" s="463"/>
      <c r="P206" s="463"/>
      <c r="Q206" s="463"/>
      <c r="R206" s="463"/>
      <c r="S206" s="462" t="str">
        <f t="shared" si="59"/>
        <v>正确</v>
      </c>
      <c r="T206" s="462"/>
      <c r="U206" s="462"/>
      <c r="V206" s="462"/>
      <c r="W206" s="462"/>
    </row>
    <row r="207" ht="23.25" customHeight="1" spans="1:23">
      <c r="A207" s="464"/>
      <c r="B207" s="462" t="s">
        <v>1550</v>
      </c>
      <c r="C207" s="463" t="s">
        <v>320</v>
      </c>
      <c r="D207" s="463" t="s">
        <v>194</v>
      </c>
      <c r="E207" s="150"/>
      <c r="F207" s="150"/>
      <c r="G207" s="150"/>
      <c r="H207" s="465">
        <v>2018</v>
      </c>
      <c r="I207" s="465">
        <v>2020</v>
      </c>
      <c r="J207" s="463"/>
      <c r="K207" s="463"/>
      <c r="L207" s="463"/>
      <c r="M207" s="463"/>
      <c r="N207" s="484"/>
      <c r="O207" s="484"/>
      <c r="P207" s="484"/>
      <c r="Q207" s="484"/>
      <c r="R207" s="484"/>
      <c r="S207" s="462" t="str">
        <f t="shared" si="59"/>
        <v>正确</v>
      </c>
      <c r="T207" s="462"/>
      <c r="U207" s="462"/>
      <c r="V207" s="462"/>
      <c r="W207" s="462"/>
    </row>
    <row r="208" ht="23.25" customHeight="1" spans="1:23">
      <c r="A208" s="464"/>
      <c r="B208" s="462" t="s">
        <v>1551</v>
      </c>
      <c r="C208" s="463" t="s">
        <v>320</v>
      </c>
      <c r="D208" s="463" t="s">
        <v>194</v>
      </c>
      <c r="E208" s="465"/>
      <c r="F208" s="465"/>
      <c r="G208" s="465"/>
      <c r="H208" s="465">
        <v>2018</v>
      </c>
      <c r="I208" s="465">
        <v>2020</v>
      </c>
      <c r="J208" s="463"/>
      <c r="K208" s="463"/>
      <c r="L208" s="463"/>
      <c r="M208" s="463"/>
      <c r="N208" s="484"/>
      <c r="O208" s="484"/>
      <c r="P208" s="484"/>
      <c r="Q208" s="484"/>
      <c r="R208" s="484"/>
      <c r="S208" s="462" t="str">
        <f t="shared" si="59"/>
        <v>正确</v>
      </c>
      <c r="T208" s="462"/>
      <c r="U208" s="462"/>
      <c r="V208" s="462"/>
      <c r="W208" s="462"/>
    </row>
    <row r="209" ht="23.25" customHeight="1" spans="1:23">
      <c r="A209" s="464">
        <v>2</v>
      </c>
      <c r="B209" s="462" t="s">
        <v>355</v>
      </c>
      <c r="C209" s="463" t="s">
        <v>320</v>
      </c>
      <c r="D209" s="463" t="s">
        <v>147</v>
      </c>
      <c r="E209" s="465">
        <v>55</v>
      </c>
      <c r="F209" s="465"/>
      <c r="G209" s="465">
        <v>55</v>
      </c>
      <c r="H209" s="465">
        <v>2018</v>
      </c>
      <c r="I209" s="465">
        <v>2020</v>
      </c>
      <c r="J209" s="463"/>
      <c r="K209" s="463"/>
      <c r="L209" s="463"/>
      <c r="M209" s="463"/>
      <c r="N209" s="463"/>
      <c r="O209" s="463"/>
      <c r="P209" s="463"/>
      <c r="Q209" s="463"/>
      <c r="R209" s="463"/>
      <c r="S209" s="462" t="str">
        <f t="shared" si="59"/>
        <v>正确</v>
      </c>
      <c r="T209" s="462" t="s">
        <v>1564</v>
      </c>
      <c r="U209" s="462" t="s">
        <v>1565</v>
      </c>
      <c r="V209" s="462" t="s">
        <v>358</v>
      </c>
      <c r="W209" s="462" t="s">
        <v>41</v>
      </c>
    </row>
    <row r="210" ht="23.25" customHeight="1" spans="1:23">
      <c r="A210" s="464"/>
      <c r="B210" s="462" t="s">
        <v>1540</v>
      </c>
      <c r="C210" s="463" t="s">
        <v>320</v>
      </c>
      <c r="D210" s="463" t="s">
        <v>147</v>
      </c>
      <c r="E210" s="150"/>
      <c r="F210" s="150"/>
      <c r="G210" s="150"/>
      <c r="H210" s="465">
        <v>2018</v>
      </c>
      <c r="I210" s="465">
        <v>2020</v>
      </c>
      <c r="J210" s="463"/>
      <c r="K210" s="463"/>
      <c r="L210" s="463"/>
      <c r="M210" s="463"/>
      <c r="N210" s="463"/>
      <c r="O210" s="463"/>
      <c r="P210" s="463"/>
      <c r="Q210" s="463"/>
      <c r="R210" s="463"/>
      <c r="S210" s="462" t="str">
        <f t="shared" si="59"/>
        <v>正确</v>
      </c>
      <c r="T210" s="462"/>
      <c r="U210" s="462"/>
      <c r="V210" s="462"/>
      <c r="W210" s="462"/>
    </row>
    <row r="211" ht="23.25" customHeight="1" spans="1:23">
      <c r="A211" s="464"/>
      <c r="B211" s="462" t="s">
        <v>1541</v>
      </c>
      <c r="C211" s="463" t="s">
        <v>320</v>
      </c>
      <c r="D211" s="463" t="s">
        <v>147</v>
      </c>
      <c r="E211" s="150"/>
      <c r="F211" s="150"/>
      <c r="G211" s="150"/>
      <c r="H211" s="465">
        <v>2018</v>
      </c>
      <c r="I211" s="465">
        <v>2020</v>
      </c>
      <c r="J211" s="463"/>
      <c r="K211" s="463"/>
      <c r="L211" s="463"/>
      <c r="M211" s="463"/>
      <c r="N211" s="484"/>
      <c r="O211" s="484"/>
      <c r="P211" s="484"/>
      <c r="Q211" s="484"/>
      <c r="R211" s="484"/>
      <c r="S211" s="462" t="str">
        <f t="shared" si="59"/>
        <v>正确</v>
      </c>
      <c r="T211" s="462"/>
      <c r="U211" s="462"/>
      <c r="V211" s="462"/>
      <c r="W211" s="462"/>
    </row>
    <row r="212" ht="23.25" customHeight="1" spans="1:23">
      <c r="A212" s="464"/>
      <c r="B212" s="462" t="s">
        <v>1542</v>
      </c>
      <c r="C212" s="463" t="s">
        <v>320</v>
      </c>
      <c r="D212" s="463" t="s">
        <v>147</v>
      </c>
      <c r="E212" s="150"/>
      <c r="F212" s="150"/>
      <c r="G212" s="150"/>
      <c r="H212" s="465">
        <v>2018</v>
      </c>
      <c r="I212" s="465">
        <v>2020</v>
      </c>
      <c r="J212" s="463"/>
      <c r="K212" s="463"/>
      <c r="L212" s="463"/>
      <c r="M212" s="463"/>
      <c r="N212" s="484"/>
      <c r="O212" s="484"/>
      <c r="P212" s="484"/>
      <c r="Q212" s="484"/>
      <c r="R212" s="484"/>
      <c r="S212" s="462" t="str">
        <f t="shared" si="59"/>
        <v>正确</v>
      </c>
      <c r="T212" s="462"/>
      <c r="U212" s="462"/>
      <c r="V212" s="462"/>
      <c r="W212" s="462"/>
    </row>
    <row r="213" ht="23.25" customHeight="1" spans="1:23">
      <c r="A213" s="464"/>
      <c r="B213" s="462" t="s">
        <v>1543</v>
      </c>
      <c r="C213" s="463" t="s">
        <v>320</v>
      </c>
      <c r="D213" s="463" t="s">
        <v>147</v>
      </c>
      <c r="E213" s="150"/>
      <c r="F213" s="150"/>
      <c r="G213" s="150"/>
      <c r="H213" s="465">
        <v>2018</v>
      </c>
      <c r="I213" s="465">
        <v>2020</v>
      </c>
      <c r="J213" s="463"/>
      <c r="K213" s="463"/>
      <c r="L213" s="463"/>
      <c r="M213" s="463"/>
      <c r="N213" s="484"/>
      <c r="O213" s="484"/>
      <c r="P213" s="484"/>
      <c r="Q213" s="484"/>
      <c r="R213" s="484"/>
      <c r="S213" s="462" t="str">
        <f t="shared" si="59"/>
        <v>正确</v>
      </c>
      <c r="T213" s="462"/>
      <c r="U213" s="462"/>
      <c r="V213" s="462"/>
      <c r="W213" s="462"/>
    </row>
    <row r="214" ht="23.25" customHeight="1" spans="1:23">
      <c r="A214" s="464"/>
      <c r="B214" s="462" t="s">
        <v>1544</v>
      </c>
      <c r="C214" s="463" t="s">
        <v>320</v>
      </c>
      <c r="D214" s="463" t="s">
        <v>147</v>
      </c>
      <c r="E214" s="150"/>
      <c r="F214" s="150"/>
      <c r="G214" s="150"/>
      <c r="H214" s="465">
        <v>2018</v>
      </c>
      <c r="I214" s="465">
        <v>2020</v>
      </c>
      <c r="J214" s="463"/>
      <c r="K214" s="463"/>
      <c r="L214" s="463"/>
      <c r="M214" s="463"/>
      <c r="N214" s="484"/>
      <c r="O214" s="484"/>
      <c r="P214" s="484"/>
      <c r="Q214" s="484"/>
      <c r="R214" s="484"/>
      <c r="S214" s="462" t="str">
        <f t="shared" si="59"/>
        <v>正确</v>
      </c>
      <c r="T214" s="462"/>
      <c r="U214" s="462"/>
      <c r="V214" s="462"/>
      <c r="W214" s="462"/>
    </row>
    <row r="215" ht="23.25" customHeight="1" spans="1:23">
      <c r="A215" s="464"/>
      <c r="B215" s="462" t="s">
        <v>1545</v>
      </c>
      <c r="C215" s="463" t="s">
        <v>320</v>
      </c>
      <c r="D215" s="463" t="s">
        <v>147</v>
      </c>
      <c r="E215" s="465"/>
      <c r="F215" s="465"/>
      <c r="G215" s="465"/>
      <c r="H215" s="465">
        <v>2018</v>
      </c>
      <c r="I215" s="465">
        <v>2020</v>
      </c>
      <c r="J215" s="463"/>
      <c r="K215" s="463"/>
      <c r="L215" s="463"/>
      <c r="M215" s="463"/>
      <c r="N215" s="484"/>
      <c r="O215" s="484"/>
      <c r="P215" s="484"/>
      <c r="Q215" s="484"/>
      <c r="R215" s="484"/>
      <c r="S215" s="462" t="str">
        <f t="shared" si="59"/>
        <v>正确</v>
      </c>
      <c r="T215" s="462"/>
      <c r="U215" s="462"/>
      <c r="V215" s="462"/>
      <c r="W215" s="462"/>
    </row>
    <row r="216" ht="23.25" customHeight="1" spans="1:23">
      <c r="A216" s="464"/>
      <c r="B216" s="462" t="s">
        <v>1546</v>
      </c>
      <c r="C216" s="463" t="s">
        <v>320</v>
      </c>
      <c r="D216" s="463" t="s">
        <v>147</v>
      </c>
      <c r="E216" s="150"/>
      <c r="F216" s="150"/>
      <c r="G216" s="150"/>
      <c r="H216" s="465">
        <v>2018</v>
      </c>
      <c r="I216" s="465">
        <v>2020</v>
      </c>
      <c r="J216" s="463"/>
      <c r="K216" s="463"/>
      <c r="L216" s="463"/>
      <c r="M216" s="463"/>
      <c r="N216" s="484"/>
      <c r="O216" s="484"/>
      <c r="P216" s="484"/>
      <c r="Q216" s="484"/>
      <c r="R216" s="484"/>
      <c r="S216" s="462" t="str">
        <f t="shared" si="59"/>
        <v>正确</v>
      </c>
      <c r="T216" s="462"/>
      <c r="U216" s="462"/>
      <c r="V216" s="462"/>
      <c r="W216" s="462"/>
    </row>
    <row r="217" ht="23.25" customHeight="1" spans="1:23">
      <c r="A217" s="464"/>
      <c r="B217" s="462" t="s">
        <v>1547</v>
      </c>
      <c r="C217" s="463" t="s">
        <v>320</v>
      </c>
      <c r="D217" s="463" t="s">
        <v>147</v>
      </c>
      <c r="E217" s="150"/>
      <c r="F217" s="150"/>
      <c r="G217" s="150"/>
      <c r="H217" s="465">
        <v>2018</v>
      </c>
      <c r="I217" s="465">
        <v>2020</v>
      </c>
      <c r="J217" s="463"/>
      <c r="K217" s="463"/>
      <c r="L217" s="463"/>
      <c r="M217" s="463"/>
      <c r="N217" s="484"/>
      <c r="O217" s="484"/>
      <c r="P217" s="484"/>
      <c r="Q217" s="484"/>
      <c r="R217" s="484"/>
      <c r="S217" s="462" t="str">
        <f t="shared" si="59"/>
        <v>正确</v>
      </c>
      <c r="T217" s="462"/>
      <c r="U217" s="462"/>
      <c r="V217" s="462"/>
      <c r="W217" s="462"/>
    </row>
    <row r="218" ht="23.25" customHeight="1" spans="1:23">
      <c r="A218" s="464"/>
      <c r="B218" s="462" t="s">
        <v>1548</v>
      </c>
      <c r="C218" s="463" t="s">
        <v>320</v>
      </c>
      <c r="D218" s="463" t="s">
        <v>147</v>
      </c>
      <c r="E218" s="465"/>
      <c r="F218" s="465"/>
      <c r="G218" s="465"/>
      <c r="H218" s="465">
        <v>2018</v>
      </c>
      <c r="I218" s="465">
        <v>2020</v>
      </c>
      <c r="J218" s="463"/>
      <c r="K218" s="463"/>
      <c r="L218" s="463"/>
      <c r="M218" s="463"/>
      <c r="N218" s="484"/>
      <c r="O218" s="484"/>
      <c r="P218" s="484"/>
      <c r="Q218" s="484"/>
      <c r="R218" s="484"/>
      <c r="S218" s="462" t="str">
        <f t="shared" si="59"/>
        <v>正确</v>
      </c>
      <c r="T218" s="462"/>
      <c r="U218" s="462"/>
      <c r="V218" s="462"/>
      <c r="W218" s="462"/>
    </row>
    <row r="219" ht="23.25" customHeight="1" spans="1:23">
      <c r="A219" s="464"/>
      <c r="B219" s="462" t="s">
        <v>1549</v>
      </c>
      <c r="C219" s="463" t="s">
        <v>320</v>
      </c>
      <c r="D219" s="463" t="s">
        <v>147</v>
      </c>
      <c r="E219" s="465"/>
      <c r="F219" s="465"/>
      <c r="G219" s="465"/>
      <c r="H219" s="465">
        <v>2018</v>
      </c>
      <c r="I219" s="465">
        <v>2020</v>
      </c>
      <c r="J219" s="463"/>
      <c r="K219" s="463"/>
      <c r="L219" s="463"/>
      <c r="M219" s="463"/>
      <c r="N219" s="484"/>
      <c r="O219" s="484"/>
      <c r="P219" s="484"/>
      <c r="Q219" s="484"/>
      <c r="R219" s="484"/>
      <c r="S219" s="462" t="str">
        <f t="shared" si="59"/>
        <v>正确</v>
      </c>
      <c r="T219" s="462"/>
      <c r="U219" s="462"/>
      <c r="V219" s="462"/>
      <c r="W219" s="462"/>
    </row>
    <row r="220" ht="23.25" customHeight="1" spans="1:23">
      <c r="A220" s="464"/>
      <c r="B220" s="462" t="s">
        <v>1550</v>
      </c>
      <c r="C220" s="463" t="s">
        <v>320</v>
      </c>
      <c r="D220" s="463" t="s">
        <v>147</v>
      </c>
      <c r="E220" s="150"/>
      <c r="F220" s="150"/>
      <c r="G220" s="150"/>
      <c r="H220" s="465">
        <v>2018</v>
      </c>
      <c r="I220" s="465">
        <v>2020</v>
      </c>
      <c r="J220" s="463"/>
      <c r="K220" s="463"/>
      <c r="L220" s="463"/>
      <c r="M220" s="463"/>
      <c r="N220" s="484"/>
      <c r="O220" s="484"/>
      <c r="P220" s="484"/>
      <c r="Q220" s="484"/>
      <c r="R220" s="484"/>
      <c r="S220" s="462" t="str">
        <f t="shared" si="59"/>
        <v>正确</v>
      </c>
      <c r="T220" s="462"/>
      <c r="U220" s="462"/>
      <c r="V220" s="462"/>
      <c r="W220" s="462"/>
    </row>
    <row r="221" ht="23.25" customHeight="1" spans="1:23">
      <c r="A221" s="464"/>
      <c r="B221" s="462" t="s">
        <v>1551</v>
      </c>
      <c r="C221" s="463" t="s">
        <v>320</v>
      </c>
      <c r="D221" s="463" t="s">
        <v>147</v>
      </c>
      <c r="E221" s="465"/>
      <c r="F221" s="465"/>
      <c r="G221" s="465"/>
      <c r="H221" s="465">
        <v>2018</v>
      </c>
      <c r="I221" s="465">
        <v>2020</v>
      </c>
      <c r="J221" s="463"/>
      <c r="K221" s="463"/>
      <c r="L221" s="463"/>
      <c r="M221" s="463"/>
      <c r="N221" s="484"/>
      <c r="O221" s="484"/>
      <c r="P221" s="484"/>
      <c r="Q221" s="484"/>
      <c r="R221" s="484"/>
      <c r="S221" s="462" t="str">
        <f t="shared" si="59"/>
        <v>正确</v>
      </c>
      <c r="T221" s="462"/>
      <c r="U221" s="462"/>
      <c r="V221" s="462"/>
      <c r="W221" s="462"/>
    </row>
    <row r="222" ht="23.25" customHeight="1" spans="1:26">
      <c r="A222" s="464">
        <v>2</v>
      </c>
      <c r="B222" s="462" t="s">
        <v>370</v>
      </c>
      <c r="C222" s="463" t="s">
        <v>320</v>
      </c>
      <c r="D222" s="463" t="s">
        <v>147</v>
      </c>
      <c r="E222" s="465">
        <v>5537</v>
      </c>
      <c r="F222" s="465"/>
      <c r="G222" s="465">
        <v>5537</v>
      </c>
      <c r="H222" s="465">
        <v>2018</v>
      </c>
      <c r="I222" s="465">
        <v>2020</v>
      </c>
      <c r="J222" s="463">
        <f>K222+L222+M222</f>
        <v>98.91</v>
      </c>
      <c r="K222" s="463">
        <v>29.88</v>
      </c>
      <c r="L222" s="463">
        <v>32.87</v>
      </c>
      <c r="M222" s="463">
        <v>36.16</v>
      </c>
      <c r="N222" s="463">
        <f>J222</f>
        <v>98.91</v>
      </c>
      <c r="O222" s="463"/>
      <c r="P222" s="463"/>
      <c r="Q222" s="463"/>
      <c r="R222" s="463"/>
      <c r="S222" s="462" t="str">
        <f t="shared" si="59"/>
        <v>正确</v>
      </c>
      <c r="T222" s="462" t="s">
        <v>1564</v>
      </c>
      <c r="U222" s="462" t="s">
        <v>1565</v>
      </c>
      <c r="V222" s="462" t="s">
        <v>358</v>
      </c>
      <c r="W222" s="462" t="s">
        <v>41</v>
      </c>
      <c r="X222" s="480"/>
      <c r="Y222" s="480"/>
      <c r="Z222" s="480"/>
    </row>
    <row r="223" ht="23.25" customHeight="1" spans="1:23">
      <c r="A223" s="464"/>
      <c r="B223" s="462" t="s">
        <v>1540</v>
      </c>
      <c r="C223" s="463" t="s">
        <v>320</v>
      </c>
      <c r="D223" s="463" t="s">
        <v>147</v>
      </c>
      <c r="E223" s="150"/>
      <c r="F223" s="150"/>
      <c r="G223" s="150"/>
      <c r="H223" s="465">
        <v>2018</v>
      </c>
      <c r="I223" s="465">
        <v>2020</v>
      </c>
      <c r="J223" s="463"/>
      <c r="K223" s="463"/>
      <c r="L223" s="463"/>
      <c r="M223" s="463"/>
      <c r="N223" s="484"/>
      <c r="O223" s="484"/>
      <c r="P223" s="484"/>
      <c r="Q223" s="484"/>
      <c r="R223" s="484"/>
      <c r="S223" s="462" t="str">
        <f t="shared" si="59"/>
        <v>正确</v>
      </c>
      <c r="T223" s="462"/>
      <c r="U223" s="462"/>
      <c r="V223" s="462"/>
      <c r="W223" s="462"/>
    </row>
    <row r="224" ht="23.25" customHeight="1" spans="1:23">
      <c r="A224" s="464"/>
      <c r="B224" s="462" t="s">
        <v>1541</v>
      </c>
      <c r="C224" s="463" t="s">
        <v>320</v>
      </c>
      <c r="D224" s="463" t="s">
        <v>147</v>
      </c>
      <c r="E224" s="150"/>
      <c r="F224" s="150"/>
      <c r="G224" s="150"/>
      <c r="H224" s="465">
        <v>2018</v>
      </c>
      <c r="I224" s="465">
        <v>2020</v>
      </c>
      <c r="J224" s="463"/>
      <c r="K224" s="463"/>
      <c r="L224" s="463"/>
      <c r="M224" s="463"/>
      <c r="N224" s="484"/>
      <c r="O224" s="484"/>
      <c r="P224" s="484"/>
      <c r="Q224" s="484"/>
      <c r="R224" s="484"/>
      <c r="S224" s="462" t="str">
        <f t="shared" si="59"/>
        <v>正确</v>
      </c>
      <c r="T224" s="462"/>
      <c r="U224" s="462"/>
      <c r="V224" s="462"/>
      <c r="W224" s="462"/>
    </row>
    <row r="225" ht="23.25" customHeight="1" spans="1:23">
      <c r="A225" s="464"/>
      <c r="B225" s="462" t="s">
        <v>1542</v>
      </c>
      <c r="C225" s="463" t="s">
        <v>320</v>
      </c>
      <c r="D225" s="463" t="s">
        <v>147</v>
      </c>
      <c r="E225" s="150"/>
      <c r="F225" s="150"/>
      <c r="G225" s="150"/>
      <c r="H225" s="465">
        <v>2018</v>
      </c>
      <c r="I225" s="465">
        <v>2020</v>
      </c>
      <c r="J225" s="463"/>
      <c r="K225" s="463"/>
      <c r="L225" s="463"/>
      <c r="M225" s="463"/>
      <c r="N225" s="484"/>
      <c r="O225" s="484"/>
      <c r="P225" s="484"/>
      <c r="Q225" s="484"/>
      <c r="R225" s="484"/>
      <c r="S225" s="462" t="str">
        <f t="shared" si="59"/>
        <v>正确</v>
      </c>
      <c r="T225" s="462"/>
      <c r="U225" s="462"/>
      <c r="V225" s="462"/>
      <c r="W225" s="462"/>
    </row>
    <row r="226" ht="23.25" customHeight="1" spans="1:23">
      <c r="A226" s="464"/>
      <c r="B226" s="462" t="s">
        <v>1543</v>
      </c>
      <c r="C226" s="463" t="s">
        <v>320</v>
      </c>
      <c r="D226" s="463" t="s">
        <v>147</v>
      </c>
      <c r="E226" s="150"/>
      <c r="F226" s="150"/>
      <c r="G226" s="150"/>
      <c r="H226" s="465">
        <v>2018</v>
      </c>
      <c r="I226" s="465">
        <v>2020</v>
      </c>
      <c r="J226" s="463"/>
      <c r="K226" s="463"/>
      <c r="L226" s="463"/>
      <c r="M226" s="463"/>
      <c r="N226" s="484"/>
      <c r="O226" s="484"/>
      <c r="P226" s="484"/>
      <c r="Q226" s="484"/>
      <c r="R226" s="484"/>
      <c r="S226" s="462" t="str">
        <f t="shared" si="59"/>
        <v>正确</v>
      </c>
      <c r="T226" s="462"/>
      <c r="U226" s="462"/>
      <c r="V226" s="462"/>
      <c r="W226" s="462"/>
    </row>
    <row r="227" ht="23.25" customHeight="1" spans="1:23">
      <c r="A227" s="464"/>
      <c r="B227" s="462" t="s">
        <v>1544</v>
      </c>
      <c r="C227" s="463" t="s">
        <v>320</v>
      </c>
      <c r="D227" s="463" t="s">
        <v>147</v>
      </c>
      <c r="E227" s="150"/>
      <c r="F227" s="150"/>
      <c r="G227" s="150"/>
      <c r="H227" s="465">
        <v>2018</v>
      </c>
      <c r="I227" s="465">
        <v>2020</v>
      </c>
      <c r="J227" s="463"/>
      <c r="K227" s="463"/>
      <c r="L227" s="463"/>
      <c r="M227" s="463"/>
      <c r="N227" s="484"/>
      <c r="O227" s="484"/>
      <c r="P227" s="484"/>
      <c r="Q227" s="484"/>
      <c r="R227" s="484"/>
      <c r="S227" s="462" t="str">
        <f t="shared" si="59"/>
        <v>正确</v>
      </c>
      <c r="T227" s="462"/>
      <c r="U227" s="462"/>
      <c r="V227" s="462"/>
      <c r="W227" s="462"/>
    </row>
    <row r="228" ht="23.25" customHeight="1" spans="1:23">
      <c r="A228" s="464"/>
      <c r="B228" s="462" t="s">
        <v>1545</v>
      </c>
      <c r="C228" s="463" t="s">
        <v>320</v>
      </c>
      <c r="D228" s="463" t="s">
        <v>147</v>
      </c>
      <c r="E228" s="465"/>
      <c r="F228" s="150"/>
      <c r="G228" s="465"/>
      <c r="H228" s="465">
        <v>2018</v>
      </c>
      <c r="I228" s="465">
        <v>2020</v>
      </c>
      <c r="J228" s="463"/>
      <c r="K228" s="463"/>
      <c r="L228" s="463"/>
      <c r="M228" s="463"/>
      <c r="N228" s="484"/>
      <c r="O228" s="484"/>
      <c r="P228" s="484"/>
      <c r="Q228" s="484"/>
      <c r="R228" s="484"/>
      <c r="S228" s="462" t="str">
        <f t="shared" si="59"/>
        <v>正确</v>
      </c>
      <c r="T228" s="462"/>
      <c r="U228" s="462"/>
      <c r="V228" s="462"/>
      <c r="W228" s="462"/>
    </row>
    <row r="229" ht="23.25" customHeight="1" spans="1:23">
      <c r="A229" s="464"/>
      <c r="B229" s="462" t="s">
        <v>1546</v>
      </c>
      <c r="C229" s="463" t="s">
        <v>320</v>
      </c>
      <c r="D229" s="463" t="s">
        <v>147</v>
      </c>
      <c r="E229" s="150"/>
      <c r="F229" s="150"/>
      <c r="G229" s="150"/>
      <c r="H229" s="465">
        <v>2018</v>
      </c>
      <c r="I229" s="465">
        <v>2020</v>
      </c>
      <c r="J229" s="463"/>
      <c r="K229" s="463"/>
      <c r="L229" s="463"/>
      <c r="M229" s="463"/>
      <c r="N229" s="484"/>
      <c r="O229" s="484"/>
      <c r="P229" s="484"/>
      <c r="Q229" s="484"/>
      <c r="R229" s="484"/>
      <c r="S229" s="462" t="str">
        <f t="shared" si="59"/>
        <v>正确</v>
      </c>
      <c r="T229" s="462"/>
      <c r="U229" s="462"/>
      <c r="V229" s="462"/>
      <c r="W229" s="462"/>
    </row>
    <row r="230" ht="23.25" customHeight="1" spans="1:23">
      <c r="A230" s="464"/>
      <c r="B230" s="462" t="s">
        <v>1547</v>
      </c>
      <c r="C230" s="463" t="s">
        <v>320</v>
      </c>
      <c r="D230" s="463" t="s">
        <v>147</v>
      </c>
      <c r="E230" s="150"/>
      <c r="F230" s="150"/>
      <c r="G230" s="150"/>
      <c r="H230" s="465">
        <v>2018</v>
      </c>
      <c r="I230" s="465">
        <v>2020</v>
      </c>
      <c r="J230" s="463"/>
      <c r="K230" s="463"/>
      <c r="L230" s="463"/>
      <c r="M230" s="463"/>
      <c r="N230" s="484"/>
      <c r="O230" s="484"/>
      <c r="P230" s="484"/>
      <c r="Q230" s="484"/>
      <c r="R230" s="484"/>
      <c r="S230" s="462" t="str">
        <f t="shared" si="59"/>
        <v>正确</v>
      </c>
      <c r="T230" s="462"/>
      <c r="U230" s="462"/>
      <c r="V230" s="462"/>
      <c r="W230" s="462"/>
    </row>
    <row r="231" ht="23.25" customHeight="1" spans="1:23">
      <c r="A231" s="464"/>
      <c r="B231" s="462" t="s">
        <v>1548</v>
      </c>
      <c r="C231" s="463" t="s">
        <v>320</v>
      </c>
      <c r="D231" s="463" t="s">
        <v>147</v>
      </c>
      <c r="E231" s="465"/>
      <c r="F231" s="465"/>
      <c r="G231" s="465"/>
      <c r="H231" s="465">
        <v>2018</v>
      </c>
      <c r="I231" s="465">
        <v>2020</v>
      </c>
      <c r="J231" s="463"/>
      <c r="K231" s="463"/>
      <c r="L231" s="463"/>
      <c r="M231" s="463"/>
      <c r="N231" s="484"/>
      <c r="O231" s="484"/>
      <c r="P231" s="484"/>
      <c r="Q231" s="484"/>
      <c r="R231" s="484"/>
      <c r="S231" s="462" t="str">
        <f t="shared" si="59"/>
        <v>正确</v>
      </c>
      <c r="T231" s="462"/>
      <c r="U231" s="462"/>
      <c r="V231" s="462"/>
      <c r="W231" s="462"/>
    </row>
    <row r="232" ht="23.25" customHeight="1" spans="1:23">
      <c r="A232" s="464"/>
      <c r="B232" s="462" t="s">
        <v>1549</v>
      </c>
      <c r="C232" s="463" t="s">
        <v>320</v>
      </c>
      <c r="D232" s="463" t="s">
        <v>147</v>
      </c>
      <c r="E232" s="465"/>
      <c r="F232" s="150"/>
      <c r="G232" s="465"/>
      <c r="H232" s="465">
        <v>2018</v>
      </c>
      <c r="I232" s="465">
        <v>2020</v>
      </c>
      <c r="J232" s="463"/>
      <c r="K232" s="463"/>
      <c r="L232" s="463"/>
      <c r="M232" s="463"/>
      <c r="N232" s="484"/>
      <c r="O232" s="484"/>
      <c r="P232" s="484"/>
      <c r="Q232" s="484"/>
      <c r="R232" s="484"/>
      <c r="S232" s="462" t="str">
        <f t="shared" si="59"/>
        <v>正确</v>
      </c>
      <c r="T232" s="462"/>
      <c r="U232" s="462"/>
      <c r="V232" s="462"/>
      <c r="W232" s="462"/>
    </row>
    <row r="233" ht="23.25" customHeight="1" spans="1:23">
      <c r="A233" s="464"/>
      <c r="B233" s="462" t="s">
        <v>1550</v>
      </c>
      <c r="C233" s="463" t="s">
        <v>320</v>
      </c>
      <c r="D233" s="463" t="s">
        <v>147</v>
      </c>
      <c r="E233" s="150"/>
      <c r="F233" s="150"/>
      <c r="G233" s="150"/>
      <c r="H233" s="465">
        <v>2018</v>
      </c>
      <c r="I233" s="465">
        <v>2020</v>
      </c>
      <c r="J233" s="463"/>
      <c r="K233" s="463"/>
      <c r="L233" s="463"/>
      <c r="M233" s="463"/>
      <c r="N233" s="484"/>
      <c r="O233" s="484"/>
      <c r="P233" s="484"/>
      <c r="Q233" s="484"/>
      <c r="R233" s="484"/>
      <c r="S233" s="462" t="str">
        <f t="shared" si="59"/>
        <v>正确</v>
      </c>
      <c r="T233" s="462"/>
      <c r="U233" s="462"/>
      <c r="V233" s="462"/>
      <c r="W233" s="462"/>
    </row>
    <row r="234" ht="23.25" customHeight="1" spans="1:23">
      <c r="A234" s="464"/>
      <c r="B234" s="462" t="s">
        <v>1551</v>
      </c>
      <c r="C234" s="463" t="s">
        <v>320</v>
      </c>
      <c r="D234" s="463" t="s">
        <v>147</v>
      </c>
      <c r="E234" s="465"/>
      <c r="F234" s="465"/>
      <c r="G234" s="465"/>
      <c r="H234" s="465">
        <v>2018</v>
      </c>
      <c r="I234" s="465">
        <v>2020</v>
      </c>
      <c r="J234" s="463"/>
      <c r="K234" s="463"/>
      <c r="L234" s="463"/>
      <c r="M234" s="463"/>
      <c r="N234" s="484"/>
      <c r="O234" s="484"/>
      <c r="P234" s="484"/>
      <c r="Q234" s="484"/>
      <c r="R234" s="484"/>
      <c r="S234" s="462" t="str">
        <f t="shared" si="59"/>
        <v>正确</v>
      </c>
      <c r="T234" s="462"/>
      <c r="U234" s="462"/>
      <c r="V234" s="462"/>
      <c r="W234" s="462"/>
    </row>
    <row r="235" ht="23.25" customHeight="1" spans="1:23">
      <c r="A235" s="464">
        <v>1</v>
      </c>
      <c r="B235" s="485" t="s">
        <v>819</v>
      </c>
      <c r="C235" s="463" t="s">
        <v>320</v>
      </c>
      <c r="D235" s="463"/>
      <c r="E235" s="465">
        <f t="shared" ref="E235:G235" si="60">E236+E289+E302</f>
        <v>13849</v>
      </c>
      <c r="F235" s="465">
        <f t="shared" si="60"/>
        <v>5800</v>
      </c>
      <c r="G235" s="465">
        <f t="shared" si="60"/>
        <v>5928</v>
      </c>
      <c r="H235" s="465">
        <v>2018</v>
      </c>
      <c r="I235" s="465">
        <v>2020</v>
      </c>
      <c r="J235" s="463">
        <f t="shared" ref="J235:N235" si="61">J236+J289+J302</f>
        <v>192.6312</v>
      </c>
      <c r="K235" s="463">
        <f t="shared" si="61"/>
        <v>20.4264</v>
      </c>
      <c r="L235" s="463">
        <f t="shared" si="61"/>
        <v>86.1024</v>
      </c>
      <c r="M235" s="463">
        <f t="shared" si="61"/>
        <v>86.1024</v>
      </c>
      <c r="N235" s="463">
        <f t="shared" si="61"/>
        <v>11.2068</v>
      </c>
      <c r="O235" s="463"/>
      <c r="P235" s="463">
        <f>P236+P289+P302</f>
        <v>22.1568</v>
      </c>
      <c r="Q235" s="463">
        <f>Q236+Q289+Q302</f>
        <v>159.2676</v>
      </c>
      <c r="R235" s="463"/>
      <c r="S235" s="462" t="str">
        <f t="shared" si="59"/>
        <v>正确</v>
      </c>
      <c r="T235" s="462"/>
      <c r="U235" s="462"/>
      <c r="V235" s="462" t="s">
        <v>320</v>
      </c>
      <c r="W235" s="462" t="s">
        <v>41</v>
      </c>
    </row>
    <row r="236" ht="23.25" customHeight="1" spans="1:23">
      <c r="A236" s="464">
        <v>2</v>
      </c>
      <c r="B236" s="462" t="s">
        <v>239</v>
      </c>
      <c r="C236" s="463" t="s">
        <v>320</v>
      </c>
      <c r="D236" s="463" t="s">
        <v>147</v>
      </c>
      <c r="E236" s="465">
        <f t="shared" ref="E236:G236" si="62">E237+E250+E263+E276</f>
        <v>9576</v>
      </c>
      <c r="F236" s="465">
        <f t="shared" si="62"/>
        <v>2058</v>
      </c>
      <c r="G236" s="465">
        <f t="shared" si="62"/>
        <v>3955</v>
      </c>
      <c r="H236" s="465">
        <v>2018</v>
      </c>
      <c r="I236" s="465">
        <v>2020</v>
      </c>
      <c r="J236" s="463"/>
      <c r="K236" s="463"/>
      <c r="L236" s="463"/>
      <c r="M236" s="463"/>
      <c r="N236" s="463"/>
      <c r="O236" s="463"/>
      <c r="P236" s="463"/>
      <c r="Q236" s="463"/>
      <c r="R236" s="463"/>
      <c r="S236" s="462" t="str">
        <f t="shared" si="59"/>
        <v>正确</v>
      </c>
      <c r="T236" s="462" t="s">
        <v>1559</v>
      </c>
      <c r="U236" s="462" t="s">
        <v>1562</v>
      </c>
      <c r="V236" s="462" t="s">
        <v>195</v>
      </c>
      <c r="W236" s="462" t="s">
        <v>41</v>
      </c>
    </row>
    <row r="237" ht="23.25" customHeight="1" spans="1:23">
      <c r="A237" s="464">
        <v>3</v>
      </c>
      <c r="B237" s="462" t="s">
        <v>241</v>
      </c>
      <c r="C237" s="463" t="s">
        <v>320</v>
      </c>
      <c r="D237" s="463" t="s">
        <v>147</v>
      </c>
      <c r="E237" s="465">
        <f t="shared" ref="E237:G237" si="63">SUM(E238:E249)</f>
        <v>5144</v>
      </c>
      <c r="F237" s="465">
        <f t="shared" si="63"/>
        <v>1266</v>
      </c>
      <c r="G237" s="465">
        <f t="shared" si="63"/>
        <v>2469</v>
      </c>
      <c r="H237" s="465">
        <v>2018</v>
      </c>
      <c r="I237" s="465">
        <v>2020</v>
      </c>
      <c r="J237" s="463"/>
      <c r="K237" s="463"/>
      <c r="L237" s="463"/>
      <c r="M237" s="463"/>
      <c r="N237" s="463"/>
      <c r="O237" s="463"/>
      <c r="P237" s="463"/>
      <c r="Q237" s="463"/>
      <c r="R237" s="463"/>
      <c r="S237" s="462" t="str">
        <f t="shared" si="59"/>
        <v>正确</v>
      </c>
      <c r="T237" s="462" t="s">
        <v>1559</v>
      </c>
      <c r="U237" s="462" t="s">
        <v>1562</v>
      </c>
      <c r="V237" s="462" t="s">
        <v>195</v>
      </c>
      <c r="W237" s="462" t="s">
        <v>41</v>
      </c>
    </row>
    <row r="238" ht="23.25" customHeight="1" spans="1:23">
      <c r="A238" s="464"/>
      <c r="B238" s="462" t="s">
        <v>1540</v>
      </c>
      <c r="C238" s="463" t="s">
        <v>320</v>
      </c>
      <c r="D238" s="463" t="s">
        <v>147</v>
      </c>
      <c r="E238" s="150">
        <v>682</v>
      </c>
      <c r="F238" s="150">
        <v>103</v>
      </c>
      <c r="G238" s="150">
        <v>220</v>
      </c>
      <c r="H238" s="465">
        <v>2018</v>
      </c>
      <c r="I238" s="465">
        <v>2020</v>
      </c>
      <c r="J238" s="463"/>
      <c r="K238" s="463"/>
      <c r="L238" s="463"/>
      <c r="M238" s="463"/>
      <c r="N238" s="484"/>
      <c r="O238" s="484"/>
      <c r="P238" s="484"/>
      <c r="Q238" s="484"/>
      <c r="R238" s="484"/>
      <c r="S238" s="462" t="str">
        <f t="shared" si="59"/>
        <v>正确</v>
      </c>
      <c r="T238" s="462"/>
      <c r="U238" s="462"/>
      <c r="V238" s="462"/>
      <c r="W238" s="462"/>
    </row>
    <row r="239" ht="23.25" customHeight="1" spans="1:23">
      <c r="A239" s="464"/>
      <c r="B239" s="462" t="s">
        <v>1541</v>
      </c>
      <c r="C239" s="463" t="s">
        <v>320</v>
      </c>
      <c r="D239" s="463" t="s">
        <v>147</v>
      </c>
      <c r="E239" s="150">
        <v>787</v>
      </c>
      <c r="F239" s="150">
        <v>154</v>
      </c>
      <c r="G239" s="150">
        <v>154</v>
      </c>
      <c r="H239" s="465">
        <v>2018</v>
      </c>
      <c r="I239" s="465">
        <v>2020</v>
      </c>
      <c r="J239" s="463"/>
      <c r="K239" s="463"/>
      <c r="L239" s="463"/>
      <c r="M239" s="463"/>
      <c r="N239" s="484"/>
      <c r="O239" s="484"/>
      <c r="P239" s="484"/>
      <c r="Q239" s="484"/>
      <c r="R239" s="484"/>
      <c r="S239" s="462" t="str">
        <f t="shared" si="59"/>
        <v>正确</v>
      </c>
      <c r="T239" s="462"/>
      <c r="U239" s="462"/>
      <c r="V239" s="462"/>
      <c r="W239" s="462"/>
    </row>
    <row r="240" ht="23.25" customHeight="1" spans="1:23">
      <c r="A240" s="464"/>
      <c r="B240" s="462" t="s">
        <v>1542</v>
      </c>
      <c r="C240" s="463" t="s">
        <v>320</v>
      </c>
      <c r="D240" s="463" t="s">
        <v>147</v>
      </c>
      <c r="E240" s="150">
        <v>622</v>
      </c>
      <c r="F240" s="150">
        <v>100</v>
      </c>
      <c r="G240" s="150">
        <v>155</v>
      </c>
      <c r="H240" s="465">
        <v>2018</v>
      </c>
      <c r="I240" s="465">
        <v>2020</v>
      </c>
      <c r="J240" s="463"/>
      <c r="K240" s="463"/>
      <c r="L240" s="463"/>
      <c r="M240" s="463"/>
      <c r="N240" s="484"/>
      <c r="O240" s="484"/>
      <c r="P240" s="484"/>
      <c r="Q240" s="484"/>
      <c r="R240" s="484"/>
      <c r="S240" s="462" t="str">
        <f t="shared" si="59"/>
        <v>正确</v>
      </c>
      <c r="T240" s="462"/>
      <c r="U240" s="462"/>
      <c r="V240" s="462"/>
      <c r="W240" s="462"/>
    </row>
    <row r="241" ht="23.25" customHeight="1" spans="1:23">
      <c r="A241" s="464"/>
      <c r="B241" s="462" t="s">
        <v>1543</v>
      </c>
      <c r="C241" s="463" t="s">
        <v>320</v>
      </c>
      <c r="D241" s="463" t="s">
        <v>147</v>
      </c>
      <c r="E241" s="150">
        <v>450</v>
      </c>
      <c r="F241" s="150">
        <v>55</v>
      </c>
      <c r="G241" s="150">
        <v>80</v>
      </c>
      <c r="H241" s="465">
        <v>2018</v>
      </c>
      <c r="I241" s="465">
        <v>2020</v>
      </c>
      <c r="J241" s="463"/>
      <c r="K241" s="463"/>
      <c r="L241" s="463"/>
      <c r="M241" s="463"/>
      <c r="N241" s="484"/>
      <c r="O241" s="484"/>
      <c r="P241" s="484"/>
      <c r="Q241" s="484"/>
      <c r="R241" s="484"/>
      <c r="S241" s="462" t="str">
        <f t="shared" si="59"/>
        <v>正确</v>
      </c>
      <c r="T241" s="462"/>
      <c r="U241" s="462"/>
      <c r="V241" s="462"/>
      <c r="W241" s="462"/>
    </row>
    <row r="242" ht="23.25" customHeight="1" spans="1:23">
      <c r="A242" s="464"/>
      <c r="B242" s="462" t="s">
        <v>1544</v>
      </c>
      <c r="C242" s="463" t="s">
        <v>320</v>
      </c>
      <c r="D242" s="463" t="s">
        <v>147</v>
      </c>
      <c r="E242" s="150">
        <v>107</v>
      </c>
      <c r="F242" s="150">
        <v>94</v>
      </c>
      <c r="G242" s="150">
        <v>110</v>
      </c>
      <c r="H242" s="465">
        <v>2018</v>
      </c>
      <c r="I242" s="465">
        <v>2020</v>
      </c>
      <c r="J242" s="463"/>
      <c r="K242" s="463"/>
      <c r="L242" s="463"/>
      <c r="M242" s="463"/>
      <c r="N242" s="484"/>
      <c r="O242" s="484"/>
      <c r="P242" s="484"/>
      <c r="Q242" s="484"/>
      <c r="R242" s="484"/>
      <c r="S242" s="462" t="str">
        <f t="shared" si="59"/>
        <v>正确</v>
      </c>
      <c r="T242" s="462"/>
      <c r="U242" s="462"/>
      <c r="V242" s="462"/>
      <c r="W242" s="462"/>
    </row>
    <row r="243" ht="23.25" customHeight="1" spans="1:23">
      <c r="A243" s="464"/>
      <c r="B243" s="462" t="s">
        <v>1545</v>
      </c>
      <c r="C243" s="463" t="s">
        <v>320</v>
      </c>
      <c r="D243" s="463" t="s">
        <v>147</v>
      </c>
      <c r="E243" s="150">
        <v>192</v>
      </c>
      <c r="F243" s="150">
        <v>112</v>
      </c>
      <c r="G243" s="150">
        <v>192</v>
      </c>
      <c r="H243" s="465">
        <v>2018</v>
      </c>
      <c r="I243" s="465">
        <v>2020</v>
      </c>
      <c r="J243" s="463"/>
      <c r="K243" s="463"/>
      <c r="L243" s="463"/>
      <c r="M243" s="463"/>
      <c r="N243" s="484"/>
      <c r="O243" s="484"/>
      <c r="P243" s="484"/>
      <c r="Q243" s="484"/>
      <c r="R243" s="484"/>
      <c r="S243" s="462" t="str">
        <f t="shared" si="59"/>
        <v>正确</v>
      </c>
      <c r="T243" s="462"/>
      <c r="U243" s="462"/>
      <c r="V243" s="462"/>
      <c r="W243" s="462"/>
    </row>
    <row r="244" ht="23.25" customHeight="1" spans="1:23">
      <c r="A244" s="464"/>
      <c r="B244" s="462" t="s">
        <v>1546</v>
      </c>
      <c r="C244" s="463" t="s">
        <v>320</v>
      </c>
      <c r="D244" s="463" t="s">
        <v>147</v>
      </c>
      <c r="E244" s="150">
        <v>810</v>
      </c>
      <c r="F244" s="150">
        <v>212</v>
      </c>
      <c r="G244" s="150">
        <v>885</v>
      </c>
      <c r="H244" s="465">
        <v>2018</v>
      </c>
      <c r="I244" s="465">
        <v>2020</v>
      </c>
      <c r="J244" s="463"/>
      <c r="K244" s="463"/>
      <c r="L244" s="463"/>
      <c r="M244" s="463"/>
      <c r="N244" s="484"/>
      <c r="O244" s="484"/>
      <c r="P244" s="484"/>
      <c r="Q244" s="484"/>
      <c r="R244" s="484"/>
      <c r="S244" s="462" t="str">
        <f t="shared" si="59"/>
        <v>正确</v>
      </c>
      <c r="T244" s="462"/>
      <c r="U244" s="462"/>
      <c r="V244" s="462"/>
      <c r="W244" s="462"/>
    </row>
    <row r="245" ht="23.25" customHeight="1" spans="1:23">
      <c r="A245" s="464"/>
      <c r="B245" s="462" t="s">
        <v>1547</v>
      </c>
      <c r="C245" s="463" t="s">
        <v>320</v>
      </c>
      <c r="D245" s="463" t="s">
        <v>147</v>
      </c>
      <c r="E245" s="150">
        <v>300</v>
      </c>
      <c r="F245" s="150">
        <v>116</v>
      </c>
      <c r="G245" s="150">
        <v>205</v>
      </c>
      <c r="H245" s="465">
        <v>2018</v>
      </c>
      <c r="I245" s="465">
        <v>2020</v>
      </c>
      <c r="J245" s="463"/>
      <c r="K245" s="463"/>
      <c r="L245" s="463"/>
      <c r="M245" s="463"/>
      <c r="N245" s="484"/>
      <c r="O245" s="484"/>
      <c r="P245" s="484"/>
      <c r="Q245" s="484"/>
      <c r="R245" s="484"/>
      <c r="S245" s="462" t="str">
        <f t="shared" si="59"/>
        <v>正确</v>
      </c>
      <c r="T245" s="462"/>
      <c r="U245" s="462"/>
      <c r="V245" s="462"/>
      <c r="W245" s="462"/>
    </row>
    <row r="246" ht="23.25" customHeight="1" spans="1:23">
      <c r="A246" s="464"/>
      <c r="B246" s="462" t="s">
        <v>1548</v>
      </c>
      <c r="C246" s="463" t="s">
        <v>320</v>
      </c>
      <c r="D246" s="463" t="s">
        <v>147</v>
      </c>
      <c r="E246" s="465">
        <v>212</v>
      </c>
      <c r="F246" s="465">
        <v>135</v>
      </c>
      <c r="G246" s="465">
        <v>212</v>
      </c>
      <c r="H246" s="465">
        <v>2018</v>
      </c>
      <c r="I246" s="465">
        <v>2020</v>
      </c>
      <c r="J246" s="463"/>
      <c r="K246" s="463"/>
      <c r="L246" s="463"/>
      <c r="M246" s="463"/>
      <c r="N246" s="484"/>
      <c r="O246" s="484"/>
      <c r="P246" s="484"/>
      <c r="Q246" s="484"/>
      <c r="R246" s="484"/>
      <c r="S246" s="462" t="str">
        <f t="shared" si="59"/>
        <v>正确</v>
      </c>
      <c r="T246" s="462"/>
      <c r="U246" s="462"/>
      <c r="V246" s="462"/>
      <c r="W246" s="462"/>
    </row>
    <row r="247" ht="23.25" customHeight="1" spans="1:23">
      <c r="A247" s="464"/>
      <c r="B247" s="462" t="s">
        <v>1549</v>
      </c>
      <c r="C247" s="463" t="s">
        <v>320</v>
      </c>
      <c r="D247" s="463" t="s">
        <v>147</v>
      </c>
      <c r="E247" s="465">
        <v>570</v>
      </c>
      <c r="F247" s="465">
        <v>93</v>
      </c>
      <c r="G247" s="465">
        <v>138</v>
      </c>
      <c r="H247" s="465">
        <v>2018</v>
      </c>
      <c r="I247" s="465">
        <v>2020</v>
      </c>
      <c r="J247" s="463"/>
      <c r="K247" s="463"/>
      <c r="L247" s="463"/>
      <c r="M247" s="463"/>
      <c r="N247" s="484"/>
      <c r="O247" s="484"/>
      <c r="P247" s="484"/>
      <c r="Q247" s="484"/>
      <c r="R247" s="484"/>
      <c r="S247" s="462" t="str">
        <f t="shared" si="59"/>
        <v>正确</v>
      </c>
      <c r="T247" s="462"/>
      <c r="U247" s="462"/>
      <c r="V247" s="462"/>
      <c r="W247" s="462"/>
    </row>
    <row r="248" ht="23.25" customHeight="1" spans="1:23">
      <c r="A248" s="464"/>
      <c r="B248" s="462" t="s">
        <v>1550</v>
      </c>
      <c r="C248" s="463" t="s">
        <v>320</v>
      </c>
      <c r="D248" s="463" t="s">
        <v>147</v>
      </c>
      <c r="E248" s="150">
        <v>268</v>
      </c>
      <c r="F248" s="150">
        <v>62</v>
      </c>
      <c r="G248" s="150">
        <v>88</v>
      </c>
      <c r="H248" s="465">
        <v>2018</v>
      </c>
      <c r="I248" s="465">
        <v>2020</v>
      </c>
      <c r="J248" s="463"/>
      <c r="K248" s="463"/>
      <c r="L248" s="463"/>
      <c r="M248" s="463"/>
      <c r="N248" s="484"/>
      <c r="O248" s="484"/>
      <c r="P248" s="484"/>
      <c r="Q248" s="484"/>
      <c r="R248" s="484"/>
      <c r="S248" s="462" t="str">
        <f t="shared" si="59"/>
        <v>正确</v>
      </c>
      <c r="T248" s="462"/>
      <c r="U248" s="462"/>
      <c r="V248" s="462"/>
      <c r="W248" s="462"/>
    </row>
    <row r="249" ht="23.25" customHeight="1" spans="1:23">
      <c r="A249" s="464"/>
      <c r="B249" s="462" t="s">
        <v>1551</v>
      </c>
      <c r="C249" s="463" t="s">
        <v>320</v>
      </c>
      <c r="D249" s="463" t="s">
        <v>147</v>
      </c>
      <c r="E249" s="150">
        <v>144</v>
      </c>
      <c r="F249" s="150">
        <v>30</v>
      </c>
      <c r="G249" s="150">
        <v>30</v>
      </c>
      <c r="H249" s="465">
        <v>2018</v>
      </c>
      <c r="I249" s="465">
        <v>2020</v>
      </c>
      <c r="J249" s="463"/>
      <c r="K249" s="463"/>
      <c r="L249" s="463"/>
      <c r="M249" s="463"/>
      <c r="N249" s="484"/>
      <c r="O249" s="484"/>
      <c r="P249" s="484"/>
      <c r="Q249" s="484"/>
      <c r="R249" s="484"/>
      <c r="S249" s="462" t="str">
        <f t="shared" si="59"/>
        <v>正确</v>
      </c>
      <c r="T249" s="462"/>
      <c r="U249" s="462"/>
      <c r="V249" s="462"/>
      <c r="W249" s="462"/>
    </row>
    <row r="250" ht="23.25" customHeight="1" spans="1:23">
      <c r="A250" s="464">
        <v>3</v>
      </c>
      <c r="B250" s="462" t="s">
        <v>264</v>
      </c>
      <c r="C250" s="463" t="s">
        <v>320</v>
      </c>
      <c r="D250" s="463" t="s">
        <v>147</v>
      </c>
      <c r="E250" s="465">
        <f t="shared" ref="E250:G250" si="64">SUM(E251:E262)</f>
        <v>2583</v>
      </c>
      <c r="F250" s="465">
        <f t="shared" si="64"/>
        <v>453</v>
      </c>
      <c r="G250" s="465">
        <f t="shared" si="64"/>
        <v>713</v>
      </c>
      <c r="H250" s="465">
        <v>2018</v>
      </c>
      <c r="I250" s="465">
        <v>2020</v>
      </c>
      <c r="J250" s="463"/>
      <c r="K250" s="463"/>
      <c r="L250" s="463"/>
      <c r="M250" s="463"/>
      <c r="N250" s="463"/>
      <c r="O250" s="463"/>
      <c r="P250" s="463"/>
      <c r="Q250" s="463"/>
      <c r="R250" s="463"/>
      <c r="S250" s="462" t="str">
        <f t="shared" si="59"/>
        <v>正确</v>
      </c>
      <c r="T250" s="462" t="s">
        <v>1559</v>
      </c>
      <c r="U250" s="462" t="s">
        <v>1562</v>
      </c>
      <c r="V250" s="462" t="s">
        <v>195</v>
      </c>
      <c r="W250" s="462" t="s">
        <v>41</v>
      </c>
    </row>
    <row r="251" ht="23.25" customHeight="1" spans="1:23">
      <c r="A251" s="464"/>
      <c r="B251" s="462" t="s">
        <v>1540</v>
      </c>
      <c r="C251" s="463" t="s">
        <v>320</v>
      </c>
      <c r="D251" s="463" t="s">
        <v>147</v>
      </c>
      <c r="E251" s="150">
        <v>103</v>
      </c>
      <c r="F251" s="150">
        <v>23</v>
      </c>
      <c r="G251" s="150">
        <v>47</v>
      </c>
      <c r="H251" s="465">
        <v>2018</v>
      </c>
      <c r="I251" s="465">
        <v>2020</v>
      </c>
      <c r="J251" s="463"/>
      <c r="K251" s="463"/>
      <c r="L251" s="463"/>
      <c r="M251" s="463"/>
      <c r="N251" s="484"/>
      <c r="O251" s="484"/>
      <c r="P251" s="484"/>
      <c r="Q251" s="484"/>
      <c r="R251" s="484"/>
      <c r="S251" s="462" t="str">
        <f t="shared" si="59"/>
        <v>正确</v>
      </c>
      <c r="T251" s="462"/>
      <c r="U251" s="462"/>
      <c r="V251" s="462"/>
      <c r="W251" s="462"/>
    </row>
    <row r="252" ht="23.25" customHeight="1" spans="1:23">
      <c r="A252" s="464"/>
      <c r="B252" s="462" t="s">
        <v>1541</v>
      </c>
      <c r="C252" s="463" t="s">
        <v>320</v>
      </c>
      <c r="D252" s="463" t="s">
        <v>147</v>
      </c>
      <c r="E252" s="150">
        <v>788</v>
      </c>
      <c r="F252" s="150">
        <v>30</v>
      </c>
      <c r="G252" s="150">
        <v>30</v>
      </c>
      <c r="H252" s="465">
        <v>2018</v>
      </c>
      <c r="I252" s="465">
        <v>2020</v>
      </c>
      <c r="J252" s="463"/>
      <c r="K252" s="463"/>
      <c r="L252" s="463"/>
      <c r="M252" s="463"/>
      <c r="N252" s="484"/>
      <c r="O252" s="484"/>
      <c r="P252" s="484"/>
      <c r="Q252" s="484"/>
      <c r="R252" s="484"/>
      <c r="S252" s="462" t="str">
        <f t="shared" si="59"/>
        <v>正确</v>
      </c>
      <c r="T252" s="462"/>
      <c r="U252" s="462"/>
      <c r="V252" s="462"/>
      <c r="W252" s="462"/>
    </row>
    <row r="253" ht="23.25" customHeight="1" spans="1:23">
      <c r="A253" s="464"/>
      <c r="B253" s="462" t="s">
        <v>1542</v>
      </c>
      <c r="C253" s="463" t="s">
        <v>320</v>
      </c>
      <c r="D253" s="463" t="s">
        <v>147</v>
      </c>
      <c r="E253" s="150">
        <v>569</v>
      </c>
      <c r="F253" s="150">
        <v>37</v>
      </c>
      <c r="G253" s="150">
        <v>54</v>
      </c>
      <c r="H253" s="465">
        <v>2018</v>
      </c>
      <c r="I253" s="465">
        <v>2020</v>
      </c>
      <c r="J253" s="463"/>
      <c r="K253" s="463"/>
      <c r="L253" s="463"/>
      <c r="M253" s="463"/>
      <c r="N253" s="484"/>
      <c r="O253" s="484"/>
      <c r="P253" s="484"/>
      <c r="Q253" s="484"/>
      <c r="R253" s="484"/>
      <c r="S253" s="462" t="str">
        <f t="shared" si="59"/>
        <v>正确</v>
      </c>
      <c r="T253" s="462"/>
      <c r="U253" s="462"/>
      <c r="V253" s="462"/>
      <c r="W253" s="462"/>
    </row>
    <row r="254" ht="23.25" customHeight="1" spans="1:23">
      <c r="A254" s="464"/>
      <c r="B254" s="462" t="s">
        <v>1543</v>
      </c>
      <c r="C254" s="463" t="s">
        <v>320</v>
      </c>
      <c r="D254" s="463" t="s">
        <v>147</v>
      </c>
      <c r="E254" s="150">
        <v>332</v>
      </c>
      <c r="F254" s="150">
        <v>9</v>
      </c>
      <c r="G254" s="150">
        <v>10</v>
      </c>
      <c r="H254" s="465">
        <v>2018</v>
      </c>
      <c r="I254" s="465">
        <v>2020</v>
      </c>
      <c r="J254" s="463"/>
      <c r="K254" s="463"/>
      <c r="L254" s="463"/>
      <c r="M254" s="463"/>
      <c r="N254" s="484"/>
      <c r="O254" s="484"/>
      <c r="P254" s="484"/>
      <c r="Q254" s="484"/>
      <c r="R254" s="484"/>
      <c r="S254" s="462" t="str">
        <f t="shared" si="59"/>
        <v>正确</v>
      </c>
      <c r="T254" s="462"/>
      <c r="U254" s="462"/>
      <c r="V254" s="462"/>
      <c r="W254" s="462"/>
    </row>
    <row r="255" ht="23.25" customHeight="1" spans="1:23">
      <c r="A255" s="464"/>
      <c r="B255" s="462" t="s">
        <v>1544</v>
      </c>
      <c r="C255" s="463" t="s">
        <v>320</v>
      </c>
      <c r="D255" s="463" t="s">
        <v>147</v>
      </c>
      <c r="E255" s="150">
        <v>34</v>
      </c>
      <c r="F255" s="150">
        <v>28</v>
      </c>
      <c r="G255" s="150">
        <v>34</v>
      </c>
      <c r="H255" s="465">
        <v>2018</v>
      </c>
      <c r="I255" s="465">
        <v>2020</v>
      </c>
      <c r="J255" s="463"/>
      <c r="K255" s="463"/>
      <c r="L255" s="463"/>
      <c r="M255" s="463"/>
      <c r="N255" s="484"/>
      <c r="O255" s="484"/>
      <c r="P255" s="484"/>
      <c r="Q255" s="484"/>
      <c r="R255" s="484"/>
      <c r="S255" s="462" t="str">
        <f t="shared" si="59"/>
        <v>正确</v>
      </c>
      <c r="T255" s="462"/>
      <c r="U255" s="462"/>
      <c r="V255" s="462"/>
      <c r="W255" s="462"/>
    </row>
    <row r="256" ht="23.25" customHeight="1" spans="1:23">
      <c r="A256" s="464"/>
      <c r="B256" s="462" t="s">
        <v>1545</v>
      </c>
      <c r="C256" s="463" t="s">
        <v>320</v>
      </c>
      <c r="D256" s="463" t="s">
        <v>147</v>
      </c>
      <c r="E256" s="150">
        <v>39</v>
      </c>
      <c r="F256" s="150">
        <v>15</v>
      </c>
      <c r="G256" s="150">
        <v>39</v>
      </c>
      <c r="H256" s="465">
        <v>2018</v>
      </c>
      <c r="I256" s="465">
        <v>2020</v>
      </c>
      <c r="J256" s="463"/>
      <c r="K256" s="463"/>
      <c r="L256" s="463"/>
      <c r="M256" s="463"/>
      <c r="N256" s="484"/>
      <c r="O256" s="484"/>
      <c r="P256" s="484"/>
      <c r="Q256" s="484"/>
      <c r="R256" s="484"/>
      <c r="S256" s="462" t="str">
        <f t="shared" si="59"/>
        <v>正确</v>
      </c>
      <c r="T256" s="462"/>
      <c r="U256" s="462"/>
      <c r="V256" s="462"/>
      <c r="W256" s="462"/>
    </row>
    <row r="257" ht="23.25" customHeight="1" spans="1:23">
      <c r="A257" s="464"/>
      <c r="B257" s="462" t="s">
        <v>1546</v>
      </c>
      <c r="C257" s="463" t="s">
        <v>320</v>
      </c>
      <c r="D257" s="463" t="s">
        <v>147</v>
      </c>
      <c r="E257" s="150">
        <v>130</v>
      </c>
      <c r="F257" s="150">
        <v>46</v>
      </c>
      <c r="G257" s="150">
        <v>187</v>
      </c>
      <c r="H257" s="465">
        <v>2018</v>
      </c>
      <c r="I257" s="465">
        <v>2020</v>
      </c>
      <c r="J257" s="463"/>
      <c r="K257" s="463"/>
      <c r="L257" s="463"/>
      <c r="M257" s="463"/>
      <c r="N257" s="484"/>
      <c r="O257" s="484"/>
      <c r="P257" s="484"/>
      <c r="Q257" s="484"/>
      <c r="R257" s="484"/>
      <c r="S257" s="462" t="str">
        <f t="shared" si="59"/>
        <v>正确</v>
      </c>
      <c r="T257" s="462"/>
      <c r="U257" s="462"/>
      <c r="V257" s="462"/>
      <c r="W257" s="462"/>
    </row>
    <row r="258" ht="23.25" customHeight="1" spans="1:23">
      <c r="A258" s="464"/>
      <c r="B258" s="462" t="s">
        <v>1547</v>
      </c>
      <c r="C258" s="463" t="s">
        <v>320</v>
      </c>
      <c r="D258" s="463" t="s">
        <v>147</v>
      </c>
      <c r="E258" s="150">
        <v>245</v>
      </c>
      <c r="F258" s="150">
        <v>120</v>
      </c>
      <c r="G258" s="150">
        <v>132</v>
      </c>
      <c r="H258" s="465">
        <v>2018</v>
      </c>
      <c r="I258" s="465">
        <v>2020</v>
      </c>
      <c r="J258" s="463"/>
      <c r="K258" s="463"/>
      <c r="L258" s="463"/>
      <c r="M258" s="463"/>
      <c r="N258" s="484"/>
      <c r="O258" s="484"/>
      <c r="P258" s="484"/>
      <c r="Q258" s="484"/>
      <c r="R258" s="484"/>
      <c r="S258" s="462" t="str">
        <f t="shared" si="59"/>
        <v>正确</v>
      </c>
      <c r="T258" s="462"/>
      <c r="U258" s="462"/>
      <c r="V258" s="462"/>
      <c r="W258" s="462"/>
    </row>
    <row r="259" ht="23.25" customHeight="1" spans="1:23">
      <c r="A259" s="464"/>
      <c r="B259" s="462" t="s">
        <v>1548</v>
      </c>
      <c r="C259" s="463" t="s">
        <v>320</v>
      </c>
      <c r="D259" s="463" t="s">
        <v>147</v>
      </c>
      <c r="E259" s="465">
        <v>123</v>
      </c>
      <c r="F259" s="465">
        <v>93</v>
      </c>
      <c r="G259" s="465">
        <v>123</v>
      </c>
      <c r="H259" s="465">
        <v>2018</v>
      </c>
      <c r="I259" s="465">
        <v>2020</v>
      </c>
      <c r="J259" s="463"/>
      <c r="K259" s="463"/>
      <c r="L259" s="463"/>
      <c r="M259" s="463"/>
      <c r="N259" s="484"/>
      <c r="O259" s="484"/>
      <c r="P259" s="484"/>
      <c r="Q259" s="484"/>
      <c r="R259" s="484"/>
      <c r="S259" s="462" t="str">
        <f t="shared" si="59"/>
        <v>正确</v>
      </c>
      <c r="T259" s="462"/>
      <c r="U259" s="462"/>
      <c r="V259" s="462"/>
      <c r="W259" s="462"/>
    </row>
    <row r="260" ht="23.25" customHeight="1" spans="1:23">
      <c r="A260" s="464"/>
      <c r="B260" s="462" t="s">
        <v>1549</v>
      </c>
      <c r="C260" s="463" t="s">
        <v>320</v>
      </c>
      <c r="D260" s="463" t="s">
        <v>147</v>
      </c>
      <c r="E260" s="150">
        <v>58</v>
      </c>
      <c r="F260" s="150">
        <v>21</v>
      </c>
      <c r="G260" s="150">
        <v>23</v>
      </c>
      <c r="H260" s="465">
        <v>2018</v>
      </c>
      <c r="I260" s="465">
        <v>2020</v>
      </c>
      <c r="J260" s="463"/>
      <c r="K260" s="463"/>
      <c r="L260" s="463"/>
      <c r="M260" s="463"/>
      <c r="N260" s="484"/>
      <c r="O260" s="484"/>
      <c r="P260" s="484"/>
      <c r="Q260" s="484"/>
      <c r="R260" s="484"/>
      <c r="S260" s="462" t="str">
        <f t="shared" si="59"/>
        <v>正确</v>
      </c>
      <c r="T260" s="462"/>
      <c r="U260" s="462"/>
      <c r="V260" s="462"/>
      <c r="W260" s="462"/>
    </row>
    <row r="261" ht="23.25" customHeight="1" spans="1:23">
      <c r="A261" s="464"/>
      <c r="B261" s="462" t="s">
        <v>1550</v>
      </c>
      <c r="C261" s="463" t="s">
        <v>320</v>
      </c>
      <c r="D261" s="463" t="s">
        <v>147</v>
      </c>
      <c r="E261" s="150">
        <v>91</v>
      </c>
      <c r="F261" s="150">
        <v>22</v>
      </c>
      <c r="G261" s="150">
        <v>25</v>
      </c>
      <c r="H261" s="465">
        <v>2018</v>
      </c>
      <c r="I261" s="465">
        <v>2020</v>
      </c>
      <c r="J261" s="463"/>
      <c r="K261" s="463"/>
      <c r="L261" s="463"/>
      <c r="M261" s="463"/>
      <c r="N261" s="484"/>
      <c r="O261" s="484"/>
      <c r="P261" s="484"/>
      <c r="Q261" s="484"/>
      <c r="R261" s="484"/>
      <c r="S261" s="462" t="str">
        <f t="shared" si="59"/>
        <v>正确</v>
      </c>
      <c r="T261" s="462"/>
      <c r="U261" s="462"/>
      <c r="V261" s="462"/>
      <c r="W261" s="462"/>
    </row>
    <row r="262" ht="23.25" customHeight="1" spans="1:23">
      <c r="A262" s="464"/>
      <c r="B262" s="462" t="s">
        <v>1551</v>
      </c>
      <c r="C262" s="463" t="s">
        <v>320</v>
      </c>
      <c r="D262" s="463" t="s">
        <v>147</v>
      </c>
      <c r="E262" s="150">
        <v>71</v>
      </c>
      <c r="F262" s="150">
        <v>9</v>
      </c>
      <c r="G262" s="150">
        <v>9</v>
      </c>
      <c r="H262" s="465">
        <v>2018</v>
      </c>
      <c r="I262" s="465">
        <v>2020</v>
      </c>
      <c r="J262" s="463"/>
      <c r="K262" s="463"/>
      <c r="L262" s="463"/>
      <c r="M262" s="463"/>
      <c r="N262" s="484"/>
      <c r="O262" s="484"/>
      <c r="P262" s="484"/>
      <c r="Q262" s="484"/>
      <c r="R262" s="484"/>
      <c r="S262" s="462" t="str">
        <f t="shared" si="59"/>
        <v>正确</v>
      </c>
      <c r="T262" s="462"/>
      <c r="U262" s="462"/>
      <c r="V262" s="462"/>
      <c r="W262" s="462"/>
    </row>
    <row r="263" ht="23.25" customHeight="1" spans="1:23">
      <c r="A263" s="464">
        <v>3</v>
      </c>
      <c r="B263" s="462" t="s">
        <v>265</v>
      </c>
      <c r="C263" s="463" t="s">
        <v>320</v>
      </c>
      <c r="D263" s="463" t="s">
        <v>147</v>
      </c>
      <c r="E263" s="465">
        <f t="shared" ref="E263:G263" si="65">SUM(E264:E275)</f>
        <v>1848</v>
      </c>
      <c r="F263" s="465">
        <f t="shared" si="65"/>
        <v>339</v>
      </c>
      <c r="G263" s="465">
        <f t="shared" si="65"/>
        <v>772</v>
      </c>
      <c r="H263" s="465">
        <v>2018</v>
      </c>
      <c r="I263" s="465">
        <v>2020</v>
      </c>
      <c r="J263" s="463"/>
      <c r="K263" s="463"/>
      <c r="L263" s="463"/>
      <c r="M263" s="463"/>
      <c r="N263" s="463"/>
      <c r="O263" s="463"/>
      <c r="P263" s="463"/>
      <c r="Q263" s="463"/>
      <c r="R263" s="463"/>
      <c r="S263" s="462" t="str">
        <f t="shared" ref="S263:S326" si="66">IF(SUM(K263:M263)=SUM(N263:R263),"正确","错误")</f>
        <v>正确</v>
      </c>
      <c r="T263" s="462" t="s">
        <v>1559</v>
      </c>
      <c r="U263" s="462" t="s">
        <v>1562</v>
      </c>
      <c r="V263" s="462" t="s">
        <v>195</v>
      </c>
      <c r="W263" s="462" t="s">
        <v>41</v>
      </c>
    </row>
    <row r="264" ht="23.25" customHeight="1" spans="1:23">
      <c r="A264" s="464"/>
      <c r="B264" s="462" t="s">
        <v>1540</v>
      </c>
      <c r="C264" s="463" t="s">
        <v>320</v>
      </c>
      <c r="D264" s="463" t="s">
        <v>147</v>
      </c>
      <c r="E264" s="150">
        <v>190</v>
      </c>
      <c r="F264" s="150">
        <v>40</v>
      </c>
      <c r="G264" s="150">
        <v>46</v>
      </c>
      <c r="H264" s="465">
        <v>2018</v>
      </c>
      <c r="I264" s="465">
        <v>2020</v>
      </c>
      <c r="J264" s="463"/>
      <c r="K264" s="463"/>
      <c r="L264" s="463"/>
      <c r="M264" s="463"/>
      <c r="N264" s="484"/>
      <c r="O264" s="484"/>
      <c r="P264" s="484"/>
      <c r="Q264" s="484"/>
      <c r="R264" s="484"/>
      <c r="S264" s="462" t="str">
        <f t="shared" si="66"/>
        <v>正确</v>
      </c>
      <c r="T264" s="462"/>
      <c r="U264" s="462"/>
      <c r="V264" s="462"/>
      <c r="W264" s="462"/>
    </row>
    <row r="265" ht="23.25" customHeight="1" spans="1:23">
      <c r="A265" s="464"/>
      <c r="B265" s="462" t="s">
        <v>1541</v>
      </c>
      <c r="C265" s="463" t="s">
        <v>320</v>
      </c>
      <c r="D265" s="463" t="s">
        <v>147</v>
      </c>
      <c r="E265" s="150">
        <v>540</v>
      </c>
      <c r="F265" s="150">
        <v>19</v>
      </c>
      <c r="G265" s="150">
        <v>19</v>
      </c>
      <c r="H265" s="465">
        <v>2018</v>
      </c>
      <c r="I265" s="465">
        <v>2020</v>
      </c>
      <c r="J265" s="463"/>
      <c r="K265" s="463"/>
      <c r="L265" s="463"/>
      <c r="M265" s="463"/>
      <c r="N265" s="484"/>
      <c r="O265" s="484"/>
      <c r="P265" s="484"/>
      <c r="Q265" s="484"/>
      <c r="R265" s="484"/>
      <c r="S265" s="462" t="str">
        <f t="shared" si="66"/>
        <v>正确</v>
      </c>
      <c r="T265" s="462"/>
      <c r="U265" s="462"/>
      <c r="V265" s="462"/>
      <c r="W265" s="462"/>
    </row>
    <row r="266" ht="23.25" customHeight="1" spans="1:23">
      <c r="A266" s="464"/>
      <c r="B266" s="462" t="s">
        <v>1542</v>
      </c>
      <c r="C266" s="463" t="s">
        <v>320</v>
      </c>
      <c r="D266" s="463" t="s">
        <v>147</v>
      </c>
      <c r="E266" s="150">
        <v>300</v>
      </c>
      <c r="F266" s="150">
        <v>53</v>
      </c>
      <c r="G266" s="150">
        <v>83</v>
      </c>
      <c r="H266" s="465">
        <v>2018</v>
      </c>
      <c r="I266" s="465">
        <v>2020</v>
      </c>
      <c r="J266" s="463"/>
      <c r="K266" s="463"/>
      <c r="L266" s="463"/>
      <c r="M266" s="463"/>
      <c r="N266" s="484"/>
      <c r="O266" s="484"/>
      <c r="P266" s="484"/>
      <c r="Q266" s="484"/>
      <c r="R266" s="484"/>
      <c r="S266" s="462" t="str">
        <f t="shared" si="66"/>
        <v>正确</v>
      </c>
      <c r="T266" s="462"/>
      <c r="U266" s="462"/>
      <c r="V266" s="462"/>
      <c r="W266" s="462"/>
    </row>
    <row r="267" ht="23.25" customHeight="1" spans="1:23">
      <c r="A267" s="464"/>
      <c r="B267" s="462" t="s">
        <v>1543</v>
      </c>
      <c r="C267" s="463" t="s">
        <v>320</v>
      </c>
      <c r="D267" s="463" t="s">
        <v>147</v>
      </c>
      <c r="E267" s="150">
        <v>68</v>
      </c>
      <c r="F267" s="150">
        <v>18</v>
      </c>
      <c r="G267" s="150">
        <v>18</v>
      </c>
      <c r="H267" s="465">
        <v>2018</v>
      </c>
      <c r="I267" s="465">
        <v>2020</v>
      </c>
      <c r="J267" s="463"/>
      <c r="K267" s="463"/>
      <c r="L267" s="463"/>
      <c r="M267" s="463"/>
      <c r="N267" s="484"/>
      <c r="O267" s="484"/>
      <c r="P267" s="484"/>
      <c r="Q267" s="484"/>
      <c r="R267" s="484"/>
      <c r="S267" s="462" t="str">
        <f t="shared" si="66"/>
        <v>正确</v>
      </c>
      <c r="T267" s="462"/>
      <c r="U267" s="462"/>
      <c r="V267" s="462"/>
      <c r="W267" s="462"/>
    </row>
    <row r="268" ht="23.25" customHeight="1" spans="1:23">
      <c r="A268" s="464"/>
      <c r="B268" s="462" t="s">
        <v>1544</v>
      </c>
      <c r="C268" s="463" t="s">
        <v>320</v>
      </c>
      <c r="D268" s="463" t="s">
        <v>147</v>
      </c>
      <c r="E268" s="150">
        <v>21</v>
      </c>
      <c r="F268" s="150">
        <v>22</v>
      </c>
      <c r="G268" s="150">
        <v>21</v>
      </c>
      <c r="H268" s="465">
        <v>2018</v>
      </c>
      <c r="I268" s="465">
        <v>2020</v>
      </c>
      <c r="J268" s="463"/>
      <c r="K268" s="463"/>
      <c r="L268" s="463"/>
      <c r="M268" s="463"/>
      <c r="N268" s="484"/>
      <c r="O268" s="484"/>
      <c r="P268" s="484"/>
      <c r="Q268" s="484"/>
      <c r="R268" s="484"/>
      <c r="S268" s="462" t="str">
        <f t="shared" si="66"/>
        <v>正确</v>
      </c>
      <c r="T268" s="462"/>
      <c r="U268" s="462"/>
      <c r="V268" s="462"/>
      <c r="W268" s="462"/>
    </row>
    <row r="269" ht="23.25" customHeight="1" spans="1:23">
      <c r="A269" s="464"/>
      <c r="B269" s="462" t="s">
        <v>1545</v>
      </c>
      <c r="C269" s="463" t="s">
        <v>320</v>
      </c>
      <c r="D269" s="463" t="s">
        <v>147</v>
      </c>
      <c r="E269" s="150">
        <v>85</v>
      </c>
      <c r="F269" s="150">
        <v>27</v>
      </c>
      <c r="G269" s="150">
        <v>85</v>
      </c>
      <c r="H269" s="465">
        <v>2018</v>
      </c>
      <c r="I269" s="465">
        <v>2020</v>
      </c>
      <c r="J269" s="463"/>
      <c r="K269" s="463"/>
      <c r="L269" s="463"/>
      <c r="M269" s="463"/>
      <c r="N269" s="484"/>
      <c r="O269" s="484"/>
      <c r="P269" s="484"/>
      <c r="Q269" s="484"/>
      <c r="R269" s="484"/>
      <c r="S269" s="462" t="str">
        <f t="shared" si="66"/>
        <v>正确</v>
      </c>
      <c r="T269" s="462"/>
      <c r="U269" s="462"/>
      <c r="V269" s="462"/>
      <c r="W269" s="462"/>
    </row>
    <row r="270" ht="23.25" customHeight="1" spans="1:23">
      <c r="A270" s="464"/>
      <c r="B270" s="462" t="s">
        <v>1546</v>
      </c>
      <c r="C270" s="463" t="s">
        <v>320</v>
      </c>
      <c r="D270" s="463" t="s">
        <v>147</v>
      </c>
      <c r="E270" s="150">
        <v>239</v>
      </c>
      <c r="F270" s="150">
        <v>64</v>
      </c>
      <c r="G270" s="150">
        <v>280</v>
      </c>
      <c r="H270" s="465">
        <v>2018</v>
      </c>
      <c r="I270" s="465">
        <v>2020</v>
      </c>
      <c r="J270" s="463"/>
      <c r="K270" s="463"/>
      <c r="L270" s="463"/>
      <c r="M270" s="463"/>
      <c r="N270" s="484"/>
      <c r="O270" s="484"/>
      <c r="P270" s="484"/>
      <c r="Q270" s="484"/>
      <c r="R270" s="484"/>
      <c r="S270" s="462" t="str">
        <f t="shared" si="66"/>
        <v>正确</v>
      </c>
      <c r="T270" s="462"/>
      <c r="U270" s="462"/>
      <c r="V270" s="462"/>
      <c r="W270" s="462"/>
    </row>
    <row r="271" ht="23.25" customHeight="1" spans="1:23">
      <c r="A271" s="464"/>
      <c r="B271" s="462" t="s">
        <v>1547</v>
      </c>
      <c r="C271" s="463" t="s">
        <v>320</v>
      </c>
      <c r="D271" s="463" t="s">
        <v>147</v>
      </c>
      <c r="E271" s="150">
        <v>50</v>
      </c>
      <c r="F271" s="150">
        <v>10</v>
      </c>
      <c r="G271" s="150">
        <v>10</v>
      </c>
      <c r="H271" s="465">
        <v>2018</v>
      </c>
      <c r="I271" s="465">
        <v>2020</v>
      </c>
      <c r="J271" s="463"/>
      <c r="K271" s="463"/>
      <c r="L271" s="463"/>
      <c r="M271" s="463"/>
      <c r="N271" s="484"/>
      <c r="O271" s="484"/>
      <c r="P271" s="484"/>
      <c r="Q271" s="484"/>
      <c r="R271" s="484"/>
      <c r="S271" s="462" t="str">
        <f t="shared" si="66"/>
        <v>正确</v>
      </c>
      <c r="T271" s="462"/>
      <c r="U271" s="462"/>
      <c r="V271" s="462"/>
      <c r="W271" s="462"/>
    </row>
    <row r="272" ht="23.25" customHeight="1" spans="1:23">
      <c r="A272" s="464"/>
      <c r="B272" s="462" t="s">
        <v>1548</v>
      </c>
      <c r="C272" s="463" t="s">
        <v>320</v>
      </c>
      <c r="D272" s="463" t="s">
        <v>147</v>
      </c>
      <c r="E272" s="465">
        <v>163</v>
      </c>
      <c r="F272" s="465">
        <v>49</v>
      </c>
      <c r="G272" s="465">
        <v>163</v>
      </c>
      <c r="H272" s="465">
        <v>2018</v>
      </c>
      <c r="I272" s="465">
        <v>2020</v>
      </c>
      <c r="J272" s="463"/>
      <c r="K272" s="463"/>
      <c r="L272" s="463"/>
      <c r="M272" s="463"/>
      <c r="N272" s="484"/>
      <c r="O272" s="484"/>
      <c r="P272" s="484"/>
      <c r="Q272" s="484"/>
      <c r="R272" s="484"/>
      <c r="S272" s="462" t="str">
        <f t="shared" si="66"/>
        <v>正确</v>
      </c>
      <c r="T272" s="462"/>
      <c r="U272" s="462"/>
      <c r="V272" s="462"/>
      <c r="W272" s="462"/>
    </row>
    <row r="273" ht="23.25" customHeight="1" spans="1:23">
      <c r="A273" s="464"/>
      <c r="B273" s="462" t="s">
        <v>1549</v>
      </c>
      <c r="C273" s="463" t="s">
        <v>320</v>
      </c>
      <c r="D273" s="463" t="s">
        <v>147</v>
      </c>
      <c r="E273" s="150">
        <v>95</v>
      </c>
      <c r="F273" s="150">
        <v>22</v>
      </c>
      <c r="G273" s="150">
        <v>28</v>
      </c>
      <c r="H273" s="465">
        <v>2018</v>
      </c>
      <c r="I273" s="465">
        <v>2020</v>
      </c>
      <c r="J273" s="463"/>
      <c r="K273" s="463"/>
      <c r="L273" s="463"/>
      <c r="M273" s="463"/>
      <c r="N273" s="484"/>
      <c r="O273" s="484"/>
      <c r="P273" s="484"/>
      <c r="Q273" s="484"/>
      <c r="R273" s="484"/>
      <c r="S273" s="462" t="str">
        <f t="shared" si="66"/>
        <v>正确</v>
      </c>
      <c r="T273" s="462"/>
      <c r="U273" s="462"/>
      <c r="V273" s="462"/>
      <c r="W273" s="462"/>
    </row>
    <row r="274" ht="23.25" customHeight="1" spans="1:23">
      <c r="A274" s="464"/>
      <c r="B274" s="462" t="s">
        <v>1550</v>
      </c>
      <c r="C274" s="463" t="s">
        <v>320</v>
      </c>
      <c r="D274" s="463" t="s">
        <v>147</v>
      </c>
      <c r="E274" s="150">
        <v>52</v>
      </c>
      <c r="F274" s="150">
        <v>14</v>
      </c>
      <c r="G274" s="150">
        <v>18</v>
      </c>
      <c r="H274" s="465">
        <v>2018</v>
      </c>
      <c r="I274" s="465">
        <v>2020</v>
      </c>
      <c r="J274" s="463"/>
      <c r="K274" s="463"/>
      <c r="L274" s="463"/>
      <c r="M274" s="463"/>
      <c r="N274" s="484"/>
      <c r="O274" s="484"/>
      <c r="P274" s="484"/>
      <c r="Q274" s="484"/>
      <c r="R274" s="484"/>
      <c r="S274" s="462" t="str">
        <f t="shared" si="66"/>
        <v>正确</v>
      </c>
      <c r="T274" s="462"/>
      <c r="U274" s="462"/>
      <c r="V274" s="462"/>
      <c r="W274" s="462"/>
    </row>
    <row r="275" ht="23.25" customHeight="1" spans="1:23">
      <c r="A275" s="464"/>
      <c r="B275" s="462" t="s">
        <v>1551</v>
      </c>
      <c r="C275" s="463" t="s">
        <v>320</v>
      </c>
      <c r="D275" s="463" t="s">
        <v>147</v>
      </c>
      <c r="E275" s="150">
        <v>45</v>
      </c>
      <c r="F275" s="150">
        <v>1</v>
      </c>
      <c r="G275" s="150">
        <v>1</v>
      </c>
      <c r="H275" s="465">
        <v>2018</v>
      </c>
      <c r="I275" s="465">
        <v>2020</v>
      </c>
      <c r="J275" s="463"/>
      <c r="K275" s="463"/>
      <c r="L275" s="463"/>
      <c r="M275" s="463"/>
      <c r="N275" s="484"/>
      <c r="O275" s="484"/>
      <c r="P275" s="484"/>
      <c r="Q275" s="484"/>
      <c r="R275" s="484"/>
      <c r="S275" s="462" t="str">
        <f t="shared" si="66"/>
        <v>正确</v>
      </c>
      <c r="T275" s="462"/>
      <c r="U275" s="462"/>
      <c r="V275" s="462"/>
      <c r="W275" s="462"/>
    </row>
    <row r="276" ht="23.25" customHeight="1" spans="1:23">
      <c r="A276" s="464">
        <v>3</v>
      </c>
      <c r="B276" s="462" t="s">
        <v>266</v>
      </c>
      <c r="C276" s="463" t="s">
        <v>320</v>
      </c>
      <c r="D276" s="463" t="s">
        <v>147</v>
      </c>
      <c r="E276" s="465">
        <f t="shared" ref="E276:G276" si="67">E282</f>
        <v>1</v>
      </c>
      <c r="F276" s="465">
        <f t="shared" si="67"/>
        <v>0</v>
      </c>
      <c r="G276" s="465">
        <f t="shared" si="67"/>
        <v>1</v>
      </c>
      <c r="H276" s="465">
        <v>2018</v>
      </c>
      <c r="I276" s="465">
        <v>2020</v>
      </c>
      <c r="J276" s="463"/>
      <c r="K276" s="463"/>
      <c r="L276" s="463"/>
      <c r="M276" s="463"/>
      <c r="N276" s="463"/>
      <c r="O276" s="463"/>
      <c r="P276" s="463"/>
      <c r="Q276" s="463"/>
      <c r="R276" s="463"/>
      <c r="S276" s="462" t="str">
        <f t="shared" si="66"/>
        <v>正确</v>
      </c>
      <c r="T276" s="462" t="s">
        <v>1559</v>
      </c>
      <c r="U276" s="462" t="s">
        <v>1562</v>
      </c>
      <c r="V276" s="462" t="s">
        <v>195</v>
      </c>
      <c r="W276" s="462" t="s">
        <v>41</v>
      </c>
    </row>
    <row r="277" ht="23.25" customHeight="1" spans="1:23">
      <c r="A277" s="464"/>
      <c r="B277" s="462" t="s">
        <v>1540</v>
      </c>
      <c r="C277" s="463" t="s">
        <v>320</v>
      </c>
      <c r="D277" s="463" t="s">
        <v>147</v>
      </c>
      <c r="E277" s="465"/>
      <c r="F277" s="465"/>
      <c r="G277" s="465"/>
      <c r="H277" s="465"/>
      <c r="I277" s="465"/>
      <c r="J277" s="463"/>
      <c r="K277" s="463"/>
      <c r="L277" s="463"/>
      <c r="M277" s="463"/>
      <c r="N277" s="484"/>
      <c r="O277" s="484"/>
      <c r="P277" s="484"/>
      <c r="Q277" s="484"/>
      <c r="R277" s="484"/>
      <c r="S277" s="462" t="str">
        <f t="shared" si="66"/>
        <v>正确</v>
      </c>
      <c r="T277" s="462"/>
      <c r="U277" s="462"/>
      <c r="V277" s="462"/>
      <c r="W277" s="462"/>
    </row>
    <row r="278" ht="23.25" customHeight="1" spans="1:23">
      <c r="A278" s="464"/>
      <c r="B278" s="462" t="s">
        <v>1541</v>
      </c>
      <c r="C278" s="463" t="s">
        <v>320</v>
      </c>
      <c r="D278" s="463" t="s">
        <v>147</v>
      </c>
      <c r="E278" s="465"/>
      <c r="F278" s="465"/>
      <c r="G278" s="465"/>
      <c r="H278" s="465"/>
      <c r="I278" s="465"/>
      <c r="J278" s="463"/>
      <c r="K278" s="463"/>
      <c r="L278" s="463"/>
      <c r="M278" s="463"/>
      <c r="N278" s="484"/>
      <c r="O278" s="484"/>
      <c r="P278" s="484"/>
      <c r="Q278" s="484"/>
      <c r="R278" s="484"/>
      <c r="S278" s="462" t="str">
        <f t="shared" si="66"/>
        <v>正确</v>
      </c>
      <c r="T278" s="462"/>
      <c r="U278" s="462"/>
      <c r="V278" s="462"/>
      <c r="W278" s="462"/>
    </row>
    <row r="279" ht="23.25" customHeight="1" spans="1:23">
      <c r="A279" s="464"/>
      <c r="B279" s="462" t="s">
        <v>1542</v>
      </c>
      <c r="C279" s="463" t="s">
        <v>320</v>
      </c>
      <c r="D279" s="463" t="s">
        <v>147</v>
      </c>
      <c r="E279" s="465"/>
      <c r="F279" s="465"/>
      <c r="G279" s="465"/>
      <c r="H279" s="465"/>
      <c r="I279" s="465"/>
      <c r="J279" s="463"/>
      <c r="K279" s="463"/>
      <c r="L279" s="463"/>
      <c r="M279" s="463"/>
      <c r="N279" s="484"/>
      <c r="O279" s="484"/>
      <c r="P279" s="484"/>
      <c r="Q279" s="484"/>
      <c r="R279" s="484"/>
      <c r="S279" s="462" t="str">
        <f t="shared" si="66"/>
        <v>正确</v>
      </c>
      <c r="T279" s="462"/>
      <c r="U279" s="462"/>
      <c r="V279" s="462"/>
      <c r="W279" s="462"/>
    </row>
    <row r="280" ht="23.25" customHeight="1" spans="1:23">
      <c r="A280" s="464"/>
      <c r="B280" s="462" t="s">
        <v>1543</v>
      </c>
      <c r="C280" s="463" t="s">
        <v>320</v>
      </c>
      <c r="D280" s="463" t="s">
        <v>147</v>
      </c>
      <c r="E280" s="465"/>
      <c r="F280" s="465"/>
      <c r="G280" s="465"/>
      <c r="H280" s="465"/>
      <c r="I280" s="465"/>
      <c r="J280" s="463"/>
      <c r="K280" s="463"/>
      <c r="L280" s="463"/>
      <c r="M280" s="463"/>
      <c r="N280" s="484"/>
      <c r="O280" s="484"/>
      <c r="P280" s="484"/>
      <c r="Q280" s="484"/>
      <c r="R280" s="484"/>
      <c r="S280" s="462" t="str">
        <f t="shared" si="66"/>
        <v>正确</v>
      </c>
      <c r="T280" s="462"/>
      <c r="U280" s="462"/>
      <c r="V280" s="462"/>
      <c r="W280" s="462"/>
    </row>
    <row r="281" ht="23.25" customHeight="1" spans="1:23">
      <c r="A281" s="464"/>
      <c r="B281" s="462" t="s">
        <v>1544</v>
      </c>
      <c r="C281" s="463" t="s">
        <v>320</v>
      </c>
      <c r="D281" s="463" t="s">
        <v>147</v>
      </c>
      <c r="E281" s="465"/>
      <c r="F281" s="465"/>
      <c r="G281" s="465"/>
      <c r="H281" s="465"/>
      <c r="I281" s="465"/>
      <c r="J281" s="463"/>
      <c r="K281" s="463"/>
      <c r="L281" s="463"/>
      <c r="M281" s="463"/>
      <c r="N281" s="484"/>
      <c r="O281" s="484"/>
      <c r="P281" s="484"/>
      <c r="Q281" s="484"/>
      <c r="R281" s="484"/>
      <c r="S281" s="462" t="str">
        <f t="shared" si="66"/>
        <v>正确</v>
      </c>
      <c r="T281" s="462"/>
      <c r="U281" s="462"/>
      <c r="V281" s="462"/>
      <c r="W281" s="462"/>
    </row>
    <row r="282" ht="23.25" customHeight="1" spans="1:23">
      <c r="A282" s="464"/>
      <c r="B282" s="462" t="s">
        <v>1545</v>
      </c>
      <c r="C282" s="463" t="s">
        <v>320</v>
      </c>
      <c r="D282" s="463" t="s">
        <v>147</v>
      </c>
      <c r="E282" s="465">
        <v>1</v>
      </c>
      <c r="F282" s="465">
        <v>0</v>
      </c>
      <c r="G282" s="465">
        <v>1</v>
      </c>
      <c r="H282" s="465">
        <v>2018</v>
      </c>
      <c r="I282" s="465">
        <v>2020</v>
      </c>
      <c r="J282" s="463"/>
      <c r="K282" s="463"/>
      <c r="L282" s="463"/>
      <c r="M282" s="463"/>
      <c r="N282" s="484"/>
      <c r="O282" s="484"/>
      <c r="P282" s="484"/>
      <c r="Q282" s="484"/>
      <c r="R282" s="484"/>
      <c r="S282" s="462" t="str">
        <f t="shared" si="66"/>
        <v>正确</v>
      </c>
      <c r="T282" s="462"/>
      <c r="U282" s="462"/>
      <c r="V282" s="462"/>
      <c r="W282" s="462"/>
    </row>
    <row r="283" ht="23.25" customHeight="1" spans="1:23">
      <c r="A283" s="464"/>
      <c r="B283" s="462" t="s">
        <v>1546</v>
      </c>
      <c r="C283" s="463" t="s">
        <v>320</v>
      </c>
      <c r="D283" s="463" t="s">
        <v>147</v>
      </c>
      <c r="E283" s="465"/>
      <c r="F283" s="465"/>
      <c r="G283" s="465"/>
      <c r="H283" s="465"/>
      <c r="I283" s="465"/>
      <c r="J283" s="463"/>
      <c r="K283" s="463"/>
      <c r="L283" s="463"/>
      <c r="M283" s="463"/>
      <c r="N283" s="484"/>
      <c r="O283" s="484"/>
      <c r="P283" s="484"/>
      <c r="Q283" s="484"/>
      <c r="R283" s="484"/>
      <c r="S283" s="462" t="str">
        <f t="shared" si="66"/>
        <v>正确</v>
      </c>
      <c r="T283" s="462"/>
      <c r="U283" s="462"/>
      <c r="V283" s="462"/>
      <c r="W283" s="462"/>
    </row>
    <row r="284" ht="23.25" customHeight="1" spans="1:23">
      <c r="A284" s="464"/>
      <c r="B284" s="462" t="s">
        <v>1547</v>
      </c>
      <c r="C284" s="463" t="s">
        <v>320</v>
      </c>
      <c r="D284" s="463" t="s">
        <v>147</v>
      </c>
      <c r="E284" s="465"/>
      <c r="F284" s="465"/>
      <c r="G284" s="465"/>
      <c r="H284" s="465"/>
      <c r="I284" s="465"/>
      <c r="J284" s="463"/>
      <c r="K284" s="463"/>
      <c r="L284" s="463"/>
      <c r="M284" s="463"/>
      <c r="N284" s="484"/>
      <c r="O284" s="484"/>
      <c r="P284" s="484"/>
      <c r="Q284" s="484"/>
      <c r="R284" s="484"/>
      <c r="S284" s="462" t="str">
        <f t="shared" si="66"/>
        <v>正确</v>
      </c>
      <c r="T284" s="462"/>
      <c r="U284" s="462"/>
      <c r="V284" s="462"/>
      <c r="W284" s="462"/>
    </row>
    <row r="285" ht="23.25" customHeight="1" spans="1:23">
      <c r="A285" s="464"/>
      <c r="B285" s="462" t="s">
        <v>1548</v>
      </c>
      <c r="C285" s="463" t="s">
        <v>320</v>
      </c>
      <c r="D285" s="463" t="s">
        <v>147</v>
      </c>
      <c r="E285" s="465"/>
      <c r="F285" s="465"/>
      <c r="G285" s="465"/>
      <c r="H285" s="465"/>
      <c r="I285" s="465"/>
      <c r="J285" s="463"/>
      <c r="K285" s="463"/>
      <c r="L285" s="463"/>
      <c r="M285" s="463"/>
      <c r="N285" s="484"/>
      <c r="O285" s="484"/>
      <c r="P285" s="484"/>
      <c r="Q285" s="484"/>
      <c r="R285" s="484"/>
      <c r="S285" s="462" t="str">
        <f t="shared" si="66"/>
        <v>正确</v>
      </c>
      <c r="T285" s="462"/>
      <c r="U285" s="462"/>
      <c r="V285" s="462"/>
      <c r="W285" s="462"/>
    </row>
    <row r="286" ht="23.25" customHeight="1" spans="1:23">
      <c r="A286" s="464"/>
      <c r="B286" s="462" t="s">
        <v>1549</v>
      </c>
      <c r="C286" s="463" t="s">
        <v>320</v>
      </c>
      <c r="D286" s="463" t="s">
        <v>147</v>
      </c>
      <c r="E286" s="465"/>
      <c r="F286" s="465"/>
      <c r="G286" s="465"/>
      <c r="H286" s="465"/>
      <c r="I286" s="465"/>
      <c r="J286" s="463"/>
      <c r="K286" s="463"/>
      <c r="L286" s="463"/>
      <c r="M286" s="463"/>
      <c r="N286" s="484"/>
      <c r="O286" s="484"/>
      <c r="P286" s="484"/>
      <c r="Q286" s="484"/>
      <c r="R286" s="484"/>
      <c r="S286" s="462" t="str">
        <f t="shared" si="66"/>
        <v>正确</v>
      </c>
      <c r="T286" s="462"/>
      <c r="U286" s="462"/>
      <c r="V286" s="462"/>
      <c r="W286" s="462"/>
    </row>
    <row r="287" ht="23.25" customHeight="1" spans="1:23">
      <c r="A287" s="464"/>
      <c r="B287" s="462" t="s">
        <v>1550</v>
      </c>
      <c r="C287" s="463" t="s">
        <v>320</v>
      </c>
      <c r="D287" s="463" t="s">
        <v>147</v>
      </c>
      <c r="E287" s="465"/>
      <c r="F287" s="465"/>
      <c r="G287" s="465"/>
      <c r="H287" s="465"/>
      <c r="I287" s="465"/>
      <c r="J287" s="463"/>
      <c r="K287" s="463"/>
      <c r="L287" s="463"/>
      <c r="M287" s="463"/>
      <c r="N287" s="484"/>
      <c r="O287" s="484"/>
      <c r="P287" s="484"/>
      <c r="Q287" s="484"/>
      <c r="R287" s="484"/>
      <c r="S287" s="462" t="str">
        <f t="shared" si="66"/>
        <v>正确</v>
      </c>
      <c r="T287" s="462"/>
      <c r="U287" s="462"/>
      <c r="V287" s="462"/>
      <c r="W287" s="462"/>
    </row>
    <row r="288" ht="23.25" customHeight="1" spans="1:23">
      <c r="A288" s="464"/>
      <c r="B288" s="462" t="s">
        <v>1551</v>
      </c>
      <c r="C288" s="463" t="s">
        <v>320</v>
      </c>
      <c r="D288" s="463" t="s">
        <v>147</v>
      </c>
      <c r="E288" s="465"/>
      <c r="F288" s="465"/>
      <c r="G288" s="465"/>
      <c r="H288" s="465"/>
      <c r="I288" s="465"/>
      <c r="J288" s="463"/>
      <c r="K288" s="463"/>
      <c r="L288" s="463"/>
      <c r="M288" s="463"/>
      <c r="N288" s="484"/>
      <c r="O288" s="484"/>
      <c r="P288" s="484"/>
      <c r="Q288" s="484"/>
      <c r="R288" s="484"/>
      <c r="S288" s="462" t="str">
        <f t="shared" si="66"/>
        <v>正确</v>
      </c>
      <c r="T288" s="462"/>
      <c r="U288" s="462"/>
      <c r="V288" s="462"/>
      <c r="W288" s="462"/>
    </row>
    <row r="289" ht="23.25" customHeight="1" spans="1:23">
      <c r="A289" s="464">
        <v>2</v>
      </c>
      <c r="B289" s="462" t="s">
        <v>267</v>
      </c>
      <c r="C289" s="463" t="s">
        <v>52</v>
      </c>
      <c r="D289" s="463" t="s">
        <v>194</v>
      </c>
      <c r="E289" s="465">
        <f t="shared" ref="E289:G289" si="68">SUM(E290:E301)</f>
        <v>3777</v>
      </c>
      <c r="F289" s="465">
        <f t="shared" si="68"/>
        <v>1450</v>
      </c>
      <c r="G289" s="465">
        <f t="shared" si="68"/>
        <v>1973</v>
      </c>
      <c r="H289" s="465">
        <v>2018</v>
      </c>
      <c r="I289" s="465">
        <v>2020</v>
      </c>
      <c r="J289" s="463"/>
      <c r="K289" s="463"/>
      <c r="L289" s="463"/>
      <c r="M289" s="463"/>
      <c r="N289" s="463"/>
      <c r="O289" s="463"/>
      <c r="P289" s="463"/>
      <c r="Q289" s="463"/>
      <c r="R289" s="463"/>
      <c r="S289" s="462" t="str">
        <f t="shared" si="66"/>
        <v>正确</v>
      </c>
      <c r="T289" s="462" t="s">
        <v>1559</v>
      </c>
      <c r="U289" s="462" t="s">
        <v>1562</v>
      </c>
      <c r="V289" s="462" t="s">
        <v>195</v>
      </c>
      <c r="W289" s="462" t="s">
        <v>41</v>
      </c>
    </row>
    <row r="290" ht="23.25" customHeight="1" spans="1:23">
      <c r="A290" s="464"/>
      <c r="B290" s="462" t="s">
        <v>1540</v>
      </c>
      <c r="C290" s="463" t="s">
        <v>52</v>
      </c>
      <c r="D290" s="463" t="s">
        <v>194</v>
      </c>
      <c r="E290" s="150">
        <v>556</v>
      </c>
      <c r="F290" s="150">
        <v>149</v>
      </c>
      <c r="G290" s="143">
        <v>149</v>
      </c>
      <c r="H290" s="465">
        <v>2018</v>
      </c>
      <c r="I290" s="465">
        <v>2020</v>
      </c>
      <c r="J290" s="463"/>
      <c r="K290" s="463"/>
      <c r="L290" s="463"/>
      <c r="M290" s="463"/>
      <c r="N290" s="484"/>
      <c r="O290" s="484"/>
      <c r="P290" s="484"/>
      <c r="Q290" s="484"/>
      <c r="R290" s="484"/>
      <c r="S290" s="462" t="str">
        <f t="shared" si="66"/>
        <v>正确</v>
      </c>
      <c r="T290" s="462"/>
      <c r="U290" s="462"/>
      <c r="V290" s="462"/>
      <c r="W290" s="462"/>
    </row>
    <row r="291" ht="23.25" customHeight="1" spans="1:23">
      <c r="A291" s="464"/>
      <c r="B291" s="462" t="s">
        <v>1541</v>
      </c>
      <c r="C291" s="463" t="s">
        <v>52</v>
      </c>
      <c r="D291" s="463" t="s">
        <v>194</v>
      </c>
      <c r="E291" s="150">
        <v>888</v>
      </c>
      <c r="F291" s="150">
        <v>96</v>
      </c>
      <c r="G291" s="143">
        <v>96</v>
      </c>
      <c r="H291" s="465">
        <v>2018</v>
      </c>
      <c r="I291" s="465">
        <v>2020</v>
      </c>
      <c r="J291" s="463"/>
      <c r="K291" s="463"/>
      <c r="L291" s="463"/>
      <c r="M291" s="463"/>
      <c r="N291" s="484"/>
      <c r="O291" s="484"/>
      <c r="P291" s="484"/>
      <c r="Q291" s="484"/>
      <c r="R291" s="484"/>
      <c r="S291" s="462" t="str">
        <f t="shared" si="66"/>
        <v>正确</v>
      </c>
      <c r="T291" s="462"/>
      <c r="U291" s="462"/>
      <c r="V291" s="462"/>
      <c r="W291" s="462"/>
    </row>
    <row r="292" ht="23.25" customHeight="1" spans="1:23">
      <c r="A292" s="464"/>
      <c r="B292" s="462" t="s">
        <v>1542</v>
      </c>
      <c r="C292" s="463" t="s">
        <v>52</v>
      </c>
      <c r="D292" s="463" t="s">
        <v>194</v>
      </c>
      <c r="E292" s="150">
        <v>483</v>
      </c>
      <c r="F292" s="150">
        <v>136</v>
      </c>
      <c r="G292" s="143">
        <v>292</v>
      </c>
      <c r="H292" s="465">
        <v>2018</v>
      </c>
      <c r="I292" s="465">
        <v>2020</v>
      </c>
      <c r="J292" s="463"/>
      <c r="K292" s="463"/>
      <c r="L292" s="463"/>
      <c r="M292" s="463"/>
      <c r="N292" s="484"/>
      <c r="O292" s="484"/>
      <c r="P292" s="484"/>
      <c r="Q292" s="484"/>
      <c r="R292" s="484"/>
      <c r="S292" s="462" t="str">
        <f t="shared" si="66"/>
        <v>正确</v>
      </c>
      <c r="T292" s="462"/>
      <c r="U292" s="462"/>
      <c r="V292" s="462"/>
      <c r="W292" s="462"/>
    </row>
    <row r="293" ht="23.25" customHeight="1" spans="1:23">
      <c r="A293" s="464"/>
      <c r="B293" s="462" t="s">
        <v>1543</v>
      </c>
      <c r="C293" s="463" t="s">
        <v>52</v>
      </c>
      <c r="D293" s="463" t="s">
        <v>194</v>
      </c>
      <c r="E293" s="150">
        <v>105</v>
      </c>
      <c r="F293" s="150">
        <v>86</v>
      </c>
      <c r="G293" s="150">
        <v>105</v>
      </c>
      <c r="H293" s="465">
        <v>2018</v>
      </c>
      <c r="I293" s="465">
        <v>2020</v>
      </c>
      <c r="J293" s="463"/>
      <c r="K293" s="463"/>
      <c r="L293" s="463"/>
      <c r="M293" s="463"/>
      <c r="N293" s="484"/>
      <c r="O293" s="484"/>
      <c r="P293" s="484"/>
      <c r="Q293" s="484"/>
      <c r="R293" s="484"/>
      <c r="S293" s="462" t="str">
        <f t="shared" si="66"/>
        <v>正确</v>
      </c>
      <c r="T293" s="462"/>
      <c r="U293" s="462"/>
      <c r="V293" s="462"/>
      <c r="W293" s="462"/>
    </row>
    <row r="294" ht="23.25" customHeight="1" spans="1:23">
      <c r="A294" s="464"/>
      <c r="B294" s="462" t="s">
        <v>1544</v>
      </c>
      <c r="C294" s="463" t="s">
        <v>52</v>
      </c>
      <c r="D294" s="463" t="s">
        <v>194</v>
      </c>
      <c r="E294" s="150">
        <v>164</v>
      </c>
      <c r="F294" s="150">
        <v>123</v>
      </c>
      <c r="G294" s="150">
        <v>164</v>
      </c>
      <c r="H294" s="465">
        <v>2018</v>
      </c>
      <c r="I294" s="465">
        <v>2020</v>
      </c>
      <c r="J294" s="463"/>
      <c r="K294" s="463"/>
      <c r="L294" s="463"/>
      <c r="M294" s="463"/>
      <c r="N294" s="484"/>
      <c r="O294" s="484"/>
      <c r="P294" s="484"/>
      <c r="Q294" s="484"/>
      <c r="R294" s="484"/>
      <c r="S294" s="462" t="str">
        <f t="shared" si="66"/>
        <v>正确</v>
      </c>
      <c r="T294" s="462"/>
      <c r="U294" s="462"/>
      <c r="V294" s="462"/>
      <c r="W294" s="462"/>
    </row>
    <row r="295" ht="23.25" customHeight="1" spans="1:23">
      <c r="A295" s="464"/>
      <c r="B295" s="462" t="s">
        <v>1545</v>
      </c>
      <c r="C295" s="463" t="s">
        <v>52</v>
      </c>
      <c r="D295" s="463" t="s">
        <v>194</v>
      </c>
      <c r="E295" s="150">
        <v>276</v>
      </c>
      <c r="F295" s="150">
        <v>224</v>
      </c>
      <c r="G295" s="143">
        <v>276</v>
      </c>
      <c r="H295" s="465">
        <v>2018</v>
      </c>
      <c r="I295" s="465">
        <v>2020</v>
      </c>
      <c r="J295" s="463"/>
      <c r="K295" s="463"/>
      <c r="L295" s="463"/>
      <c r="M295" s="463"/>
      <c r="N295" s="484"/>
      <c r="O295" s="484"/>
      <c r="P295" s="484"/>
      <c r="Q295" s="484"/>
      <c r="R295" s="484"/>
      <c r="S295" s="462" t="str">
        <f t="shared" si="66"/>
        <v>正确</v>
      </c>
      <c r="T295" s="462"/>
      <c r="U295" s="462"/>
      <c r="V295" s="462"/>
      <c r="W295" s="462"/>
    </row>
    <row r="296" ht="23.25" customHeight="1" spans="1:23">
      <c r="A296" s="464"/>
      <c r="B296" s="462" t="s">
        <v>1546</v>
      </c>
      <c r="C296" s="463" t="s">
        <v>52</v>
      </c>
      <c r="D296" s="463" t="s">
        <v>194</v>
      </c>
      <c r="E296" s="150">
        <v>140</v>
      </c>
      <c r="F296" s="150">
        <v>120</v>
      </c>
      <c r="G296" s="150">
        <v>121</v>
      </c>
      <c r="H296" s="465">
        <v>2018</v>
      </c>
      <c r="I296" s="465">
        <v>2020</v>
      </c>
      <c r="J296" s="463"/>
      <c r="K296" s="463"/>
      <c r="L296" s="463"/>
      <c r="M296" s="463"/>
      <c r="N296" s="484"/>
      <c r="O296" s="484"/>
      <c r="P296" s="484"/>
      <c r="Q296" s="484"/>
      <c r="R296" s="484"/>
      <c r="S296" s="462" t="str">
        <f t="shared" si="66"/>
        <v>正确</v>
      </c>
      <c r="T296" s="462"/>
      <c r="U296" s="462"/>
      <c r="V296" s="462"/>
      <c r="W296" s="462"/>
    </row>
    <row r="297" ht="23.25" customHeight="1" spans="1:23">
      <c r="A297" s="464"/>
      <c r="B297" s="462" t="s">
        <v>1547</v>
      </c>
      <c r="C297" s="463" t="s">
        <v>52</v>
      </c>
      <c r="D297" s="463" t="s">
        <v>194</v>
      </c>
      <c r="E297" s="150">
        <v>337</v>
      </c>
      <c r="F297" s="150">
        <v>236</v>
      </c>
      <c r="G297" s="143">
        <v>337</v>
      </c>
      <c r="H297" s="465">
        <v>2018</v>
      </c>
      <c r="I297" s="465">
        <v>2020</v>
      </c>
      <c r="J297" s="463"/>
      <c r="K297" s="463"/>
      <c r="L297" s="463"/>
      <c r="M297" s="463"/>
      <c r="N297" s="484"/>
      <c r="O297" s="484"/>
      <c r="P297" s="484"/>
      <c r="Q297" s="484"/>
      <c r="R297" s="484"/>
      <c r="S297" s="462" t="str">
        <f t="shared" si="66"/>
        <v>正确</v>
      </c>
      <c r="T297" s="462"/>
      <c r="U297" s="462"/>
      <c r="V297" s="462"/>
      <c r="W297" s="462"/>
    </row>
    <row r="298" ht="23.25" customHeight="1" spans="1:23">
      <c r="A298" s="464"/>
      <c r="B298" s="462" t="s">
        <v>1548</v>
      </c>
      <c r="C298" s="463" t="s">
        <v>52</v>
      </c>
      <c r="D298" s="463" t="s">
        <v>194</v>
      </c>
      <c r="E298" s="465">
        <v>297</v>
      </c>
      <c r="F298" s="465">
        <v>70</v>
      </c>
      <c r="G298" s="486">
        <v>70</v>
      </c>
      <c r="H298" s="465">
        <v>2018</v>
      </c>
      <c r="I298" s="465">
        <v>2020</v>
      </c>
      <c r="J298" s="463"/>
      <c r="K298" s="463"/>
      <c r="L298" s="463"/>
      <c r="M298" s="463"/>
      <c r="N298" s="484"/>
      <c r="O298" s="484"/>
      <c r="P298" s="484"/>
      <c r="Q298" s="484"/>
      <c r="R298" s="484"/>
      <c r="S298" s="462" t="str">
        <f t="shared" si="66"/>
        <v>正确</v>
      </c>
      <c r="T298" s="462"/>
      <c r="U298" s="462"/>
      <c r="V298" s="462"/>
      <c r="W298" s="462"/>
    </row>
    <row r="299" ht="23.25" customHeight="1" spans="1:23">
      <c r="A299" s="464"/>
      <c r="B299" s="462" t="s">
        <v>1549</v>
      </c>
      <c r="C299" s="463" t="s">
        <v>52</v>
      </c>
      <c r="D299" s="463" t="s">
        <v>194</v>
      </c>
      <c r="E299" s="150">
        <v>203</v>
      </c>
      <c r="F299" s="150">
        <v>99</v>
      </c>
      <c r="G299" s="143">
        <v>203</v>
      </c>
      <c r="H299" s="465">
        <v>2018</v>
      </c>
      <c r="I299" s="465">
        <v>2020</v>
      </c>
      <c r="J299" s="463"/>
      <c r="K299" s="463"/>
      <c r="L299" s="463"/>
      <c r="M299" s="463"/>
      <c r="N299" s="484"/>
      <c r="O299" s="484"/>
      <c r="P299" s="484"/>
      <c r="Q299" s="484"/>
      <c r="R299" s="484"/>
      <c r="S299" s="462" t="str">
        <f t="shared" si="66"/>
        <v>正确</v>
      </c>
      <c r="T299" s="462"/>
      <c r="U299" s="462"/>
      <c r="V299" s="462"/>
      <c r="W299" s="462"/>
    </row>
    <row r="300" ht="23.25" customHeight="1" spans="1:23">
      <c r="A300" s="464"/>
      <c r="B300" s="462" t="s">
        <v>1550</v>
      </c>
      <c r="C300" s="463" t="s">
        <v>52</v>
      </c>
      <c r="D300" s="463" t="s">
        <v>194</v>
      </c>
      <c r="E300" s="150">
        <v>93</v>
      </c>
      <c r="F300" s="150">
        <v>45</v>
      </c>
      <c r="G300" s="150">
        <v>93</v>
      </c>
      <c r="H300" s="465">
        <v>2018</v>
      </c>
      <c r="I300" s="465">
        <v>2020</v>
      </c>
      <c r="J300" s="463"/>
      <c r="K300" s="463"/>
      <c r="L300" s="463"/>
      <c r="M300" s="463"/>
      <c r="N300" s="484"/>
      <c r="O300" s="484"/>
      <c r="P300" s="484"/>
      <c r="Q300" s="484"/>
      <c r="R300" s="484"/>
      <c r="S300" s="462" t="str">
        <f t="shared" si="66"/>
        <v>正确</v>
      </c>
      <c r="T300" s="462"/>
      <c r="U300" s="462"/>
      <c r="V300" s="462"/>
      <c r="W300" s="462"/>
    </row>
    <row r="301" ht="23.25" customHeight="1" spans="1:23">
      <c r="A301" s="464"/>
      <c r="B301" s="462" t="s">
        <v>1551</v>
      </c>
      <c r="C301" s="463" t="s">
        <v>52</v>
      </c>
      <c r="D301" s="463" t="s">
        <v>194</v>
      </c>
      <c r="E301" s="150">
        <v>235</v>
      </c>
      <c r="F301" s="150">
        <v>66</v>
      </c>
      <c r="G301" s="150">
        <v>67</v>
      </c>
      <c r="H301" s="465">
        <v>2018</v>
      </c>
      <c r="I301" s="465">
        <v>2020</v>
      </c>
      <c r="J301" s="463"/>
      <c r="K301" s="463"/>
      <c r="L301" s="463"/>
      <c r="M301" s="463"/>
      <c r="N301" s="484"/>
      <c r="O301" s="484"/>
      <c r="P301" s="484"/>
      <c r="Q301" s="484"/>
      <c r="R301" s="484"/>
      <c r="S301" s="462" t="str">
        <f t="shared" si="66"/>
        <v>正确</v>
      </c>
      <c r="T301" s="462"/>
      <c r="U301" s="462"/>
      <c r="V301" s="462"/>
      <c r="W301" s="462"/>
    </row>
    <row r="302" ht="23.25" customHeight="1" spans="1:23">
      <c r="A302" s="464">
        <v>2</v>
      </c>
      <c r="B302" s="462" t="s">
        <v>268</v>
      </c>
      <c r="C302" s="463" t="s">
        <v>320</v>
      </c>
      <c r="D302" s="463" t="s">
        <v>147</v>
      </c>
      <c r="E302" s="465">
        <f>E303+E316+E329+E342+E355+E356+E357+E358+E359+E360+E361+E362</f>
        <v>496</v>
      </c>
      <c r="F302" s="465">
        <v>2292</v>
      </c>
      <c r="G302" s="465"/>
      <c r="H302" s="465">
        <v>2018</v>
      </c>
      <c r="I302" s="465">
        <v>2020</v>
      </c>
      <c r="J302" s="463">
        <f>K302+L302+M302</f>
        <v>192.6312</v>
      </c>
      <c r="K302" s="463">
        <f t="shared" ref="K302:R302" si="69">K303+K316+K329+K342+K355+K356+K357+K358+K359+K360+K361+K362</f>
        <v>20.4264</v>
      </c>
      <c r="L302" s="463">
        <f t="shared" si="69"/>
        <v>86.1024</v>
      </c>
      <c r="M302" s="463">
        <f t="shared" si="69"/>
        <v>86.1024</v>
      </c>
      <c r="N302" s="463">
        <f t="shared" si="69"/>
        <v>11.2068</v>
      </c>
      <c r="O302" s="463">
        <f t="shared" si="69"/>
        <v>0</v>
      </c>
      <c r="P302" s="463">
        <f t="shared" si="69"/>
        <v>22.1568</v>
      </c>
      <c r="Q302" s="463">
        <f t="shared" si="69"/>
        <v>159.2676</v>
      </c>
      <c r="R302" s="463">
        <f t="shared" si="69"/>
        <v>0</v>
      </c>
      <c r="S302" s="462" t="str">
        <f t="shared" si="66"/>
        <v>正确</v>
      </c>
      <c r="T302" s="462"/>
      <c r="U302" s="462" t="s">
        <v>1562</v>
      </c>
      <c r="V302" s="487" t="s">
        <v>201</v>
      </c>
      <c r="W302" s="462" t="s">
        <v>41</v>
      </c>
    </row>
    <row r="303" ht="23.25" customHeight="1" spans="1:23">
      <c r="A303" s="464">
        <v>3</v>
      </c>
      <c r="B303" s="462" t="s">
        <v>269</v>
      </c>
      <c r="C303" s="484" t="s">
        <v>320</v>
      </c>
      <c r="D303" s="484" t="s">
        <v>147</v>
      </c>
      <c r="E303" s="486">
        <v>3</v>
      </c>
      <c r="F303" s="486"/>
      <c r="G303" s="486"/>
      <c r="H303" s="486">
        <v>2019</v>
      </c>
      <c r="I303" s="486">
        <v>2020</v>
      </c>
      <c r="J303" s="463">
        <f>K303+L303+M303</f>
        <v>0.1908</v>
      </c>
      <c r="K303" s="484"/>
      <c r="L303" s="484">
        <f>E303*318/10000</f>
        <v>0.0954</v>
      </c>
      <c r="M303" s="484">
        <f>L303</f>
        <v>0.0954</v>
      </c>
      <c r="N303" s="484">
        <f>K303+L303+M303</f>
        <v>0.1908</v>
      </c>
      <c r="O303" s="484"/>
      <c r="P303" s="484"/>
      <c r="Q303" s="484"/>
      <c r="R303" s="484"/>
      <c r="S303" s="462" t="str">
        <f t="shared" si="66"/>
        <v>正确</v>
      </c>
      <c r="T303" s="487"/>
      <c r="U303" s="453"/>
      <c r="V303" s="487"/>
      <c r="W303" s="462" t="s">
        <v>41</v>
      </c>
    </row>
    <row r="304" ht="23.25" customHeight="1" spans="1:23">
      <c r="A304" s="464"/>
      <c r="B304" s="462" t="s">
        <v>1540</v>
      </c>
      <c r="C304" s="484" t="s">
        <v>320</v>
      </c>
      <c r="D304" s="484" t="s">
        <v>147</v>
      </c>
      <c r="E304" s="486"/>
      <c r="F304" s="486"/>
      <c r="G304" s="486"/>
      <c r="H304" s="486"/>
      <c r="I304" s="486"/>
      <c r="J304" s="463"/>
      <c r="K304" s="484"/>
      <c r="L304" s="484"/>
      <c r="M304" s="484"/>
      <c r="N304" s="484"/>
      <c r="O304" s="484"/>
      <c r="P304" s="484"/>
      <c r="Q304" s="484"/>
      <c r="R304" s="484"/>
      <c r="S304" s="462" t="str">
        <f t="shared" si="66"/>
        <v>正确</v>
      </c>
      <c r="T304" s="487"/>
      <c r="U304" s="487"/>
      <c r="V304" s="487"/>
      <c r="W304" s="462"/>
    </row>
    <row r="305" ht="23.25" customHeight="1" spans="1:23">
      <c r="A305" s="464"/>
      <c r="B305" s="462" t="s">
        <v>1541</v>
      </c>
      <c r="C305" s="484" t="s">
        <v>320</v>
      </c>
      <c r="D305" s="484" t="s">
        <v>147</v>
      </c>
      <c r="E305" s="486"/>
      <c r="F305" s="486"/>
      <c r="G305" s="486"/>
      <c r="H305" s="486"/>
      <c r="I305" s="486"/>
      <c r="J305" s="463"/>
      <c r="K305" s="484"/>
      <c r="L305" s="484"/>
      <c r="M305" s="484"/>
      <c r="N305" s="484"/>
      <c r="O305" s="484"/>
      <c r="P305" s="484"/>
      <c r="Q305" s="484"/>
      <c r="R305" s="484"/>
      <c r="S305" s="462" t="str">
        <f t="shared" si="66"/>
        <v>正确</v>
      </c>
      <c r="T305" s="487"/>
      <c r="U305" s="487"/>
      <c r="V305" s="487"/>
      <c r="W305" s="462"/>
    </row>
    <row r="306" ht="23.25" customHeight="1" spans="1:23">
      <c r="A306" s="464"/>
      <c r="B306" s="462" t="s">
        <v>1542</v>
      </c>
      <c r="C306" s="484" t="s">
        <v>320</v>
      </c>
      <c r="D306" s="484" t="s">
        <v>147</v>
      </c>
      <c r="E306" s="486"/>
      <c r="F306" s="486"/>
      <c r="G306" s="486"/>
      <c r="H306" s="486"/>
      <c r="I306" s="486"/>
      <c r="J306" s="463"/>
      <c r="K306" s="484"/>
      <c r="L306" s="484"/>
      <c r="M306" s="484"/>
      <c r="N306" s="484"/>
      <c r="O306" s="484"/>
      <c r="P306" s="484"/>
      <c r="Q306" s="484"/>
      <c r="R306" s="484"/>
      <c r="S306" s="462" t="str">
        <f t="shared" si="66"/>
        <v>正确</v>
      </c>
      <c r="T306" s="487"/>
      <c r="U306" s="487"/>
      <c r="V306" s="487"/>
      <c r="W306" s="462"/>
    </row>
    <row r="307" ht="23.25" customHeight="1" spans="1:23">
      <c r="A307" s="464"/>
      <c r="B307" s="462" t="s">
        <v>1543</v>
      </c>
      <c r="C307" s="484" t="s">
        <v>320</v>
      </c>
      <c r="D307" s="484" t="s">
        <v>147</v>
      </c>
      <c r="E307" s="486"/>
      <c r="F307" s="486"/>
      <c r="G307" s="486"/>
      <c r="H307" s="486"/>
      <c r="I307" s="486"/>
      <c r="J307" s="463"/>
      <c r="K307" s="484"/>
      <c r="L307" s="484"/>
      <c r="M307" s="484"/>
      <c r="N307" s="484"/>
      <c r="O307" s="484"/>
      <c r="P307" s="484"/>
      <c r="Q307" s="484"/>
      <c r="R307" s="484"/>
      <c r="S307" s="462" t="str">
        <f t="shared" si="66"/>
        <v>正确</v>
      </c>
      <c r="T307" s="487"/>
      <c r="U307" s="487"/>
      <c r="V307" s="487"/>
      <c r="W307" s="462"/>
    </row>
    <row r="308" ht="23.25" customHeight="1" spans="1:23">
      <c r="A308" s="464"/>
      <c r="B308" s="462" t="s">
        <v>1544</v>
      </c>
      <c r="C308" s="484" t="s">
        <v>320</v>
      </c>
      <c r="D308" s="484" t="s">
        <v>147</v>
      </c>
      <c r="E308" s="486"/>
      <c r="F308" s="486"/>
      <c r="G308" s="486"/>
      <c r="H308" s="486"/>
      <c r="I308" s="486"/>
      <c r="J308" s="463"/>
      <c r="K308" s="484"/>
      <c r="L308" s="484"/>
      <c r="M308" s="484"/>
      <c r="N308" s="484"/>
      <c r="O308" s="484"/>
      <c r="P308" s="484"/>
      <c r="Q308" s="484"/>
      <c r="R308" s="484"/>
      <c r="S308" s="462" t="str">
        <f t="shared" si="66"/>
        <v>正确</v>
      </c>
      <c r="T308" s="487"/>
      <c r="U308" s="487"/>
      <c r="V308" s="487"/>
      <c r="W308" s="462"/>
    </row>
    <row r="309" ht="23.25" customHeight="1" spans="1:23">
      <c r="A309" s="464"/>
      <c r="B309" s="462" t="s">
        <v>1545</v>
      </c>
      <c r="C309" s="484" t="s">
        <v>320</v>
      </c>
      <c r="D309" s="484" t="s">
        <v>147</v>
      </c>
      <c r="E309" s="486"/>
      <c r="F309" s="486"/>
      <c r="G309" s="486"/>
      <c r="H309" s="486"/>
      <c r="I309" s="486"/>
      <c r="J309" s="463"/>
      <c r="K309" s="484"/>
      <c r="L309" s="484"/>
      <c r="M309" s="484"/>
      <c r="N309" s="484"/>
      <c r="O309" s="484"/>
      <c r="P309" s="484"/>
      <c r="Q309" s="484"/>
      <c r="R309" s="484"/>
      <c r="S309" s="462" t="str">
        <f t="shared" si="66"/>
        <v>正确</v>
      </c>
      <c r="T309" s="487"/>
      <c r="U309" s="487"/>
      <c r="V309" s="487"/>
      <c r="W309" s="462"/>
    </row>
    <row r="310" ht="23.25" customHeight="1" spans="1:23">
      <c r="A310" s="464"/>
      <c r="B310" s="462" t="s">
        <v>1546</v>
      </c>
      <c r="C310" s="484" t="s">
        <v>320</v>
      </c>
      <c r="D310" s="484" t="s">
        <v>147</v>
      </c>
      <c r="E310" s="486"/>
      <c r="F310" s="486"/>
      <c r="G310" s="486"/>
      <c r="H310" s="486"/>
      <c r="I310" s="486"/>
      <c r="J310" s="463"/>
      <c r="K310" s="484"/>
      <c r="L310" s="484"/>
      <c r="M310" s="484"/>
      <c r="N310" s="484"/>
      <c r="O310" s="484"/>
      <c r="P310" s="484"/>
      <c r="Q310" s="484"/>
      <c r="R310" s="484"/>
      <c r="S310" s="462" t="str">
        <f t="shared" si="66"/>
        <v>正确</v>
      </c>
      <c r="T310" s="487"/>
      <c r="U310" s="487"/>
      <c r="V310" s="487"/>
      <c r="W310" s="462"/>
    </row>
    <row r="311" ht="23.25" customHeight="1" spans="1:23">
      <c r="A311" s="464"/>
      <c r="B311" s="462" t="s">
        <v>1547</v>
      </c>
      <c r="C311" s="484" t="s">
        <v>320</v>
      </c>
      <c r="D311" s="484" t="s">
        <v>147</v>
      </c>
      <c r="E311" s="486"/>
      <c r="F311" s="486"/>
      <c r="G311" s="486"/>
      <c r="H311" s="486"/>
      <c r="I311" s="486"/>
      <c r="J311" s="463"/>
      <c r="K311" s="484"/>
      <c r="L311" s="484"/>
      <c r="M311" s="484"/>
      <c r="N311" s="484"/>
      <c r="O311" s="484"/>
      <c r="P311" s="484"/>
      <c r="Q311" s="484"/>
      <c r="R311" s="484"/>
      <c r="S311" s="462" t="str">
        <f t="shared" si="66"/>
        <v>正确</v>
      </c>
      <c r="T311" s="487"/>
      <c r="U311" s="487"/>
      <c r="V311" s="487"/>
      <c r="W311" s="462"/>
    </row>
    <row r="312" ht="23.25" customHeight="1" spans="1:23">
      <c r="A312" s="464"/>
      <c r="B312" s="462" t="s">
        <v>1548</v>
      </c>
      <c r="C312" s="484" t="s">
        <v>320</v>
      </c>
      <c r="D312" s="484" t="s">
        <v>147</v>
      </c>
      <c r="E312" s="486">
        <v>3</v>
      </c>
      <c r="F312" s="486">
        <v>0</v>
      </c>
      <c r="G312" s="486">
        <v>0</v>
      </c>
      <c r="H312" s="486">
        <v>2019</v>
      </c>
      <c r="I312" s="486">
        <v>2020</v>
      </c>
      <c r="J312" s="463">
        <f t="shared" ref="J312:J350" si="70">K312+L312+M312</f>
        <v>0.1908</v>
      </c>
      <c r="K312" s="484"/>
      <c r="L312" s="484">
        <f t="shared" ref="L312:L350" si="71">E312*318/10000</f>
        <v>0.0954</v>
      </c>
      <c r="M312" s="484">
        <f t="shared" ref="M312:M341" si="72">L312</f>
        <v>0.0954</v>
      </c>
      <c r="N312" s="484">
        <f t="shared" ref="N312:N328" si="73">K312+L312+M312</f>
        <v>0.1908</v>
      </c>
      <c r="O312" s="484"/>
      <c r="P312" s="484"/>
      <c r="Q312" s="484"/>
      <c r="R312" s="484"/>
      <c r="S312" s="462" t="str">
        <f t="shared" si="66"/>
        <v>正确</v>
      </c>
      <c r="T312" s="487"/>
      <c r="U312" s="487"/>
      <c r="V312" s="487"/>
      <c r="W312" s="462"/>
    </row>
    <row r="313" ht="23.25" customHeight="1" spans="1:23">
      <c r="A313" s="464"/>
      <c r="B313" s="462" t="s">
        <v>1549</v>
      </c>
      <c r="C313" s="484" t="s">
        <v>320</v>
      </c>
      <c r="D313" s="484" t="s">
        <v>147</v>
      </c>
      <c r="E313" s="486"/>
      <c r="F313" s="486"/>
      <c r="G313" s="486"/>
      <c r="H313" s="486"/>
      <c r="I313" s="486"/>
      <c r="J313" s="463"/>
      <c r="K313" s="484"/>
      <c r="L313" s="484"/>
      <c r="M313" s="484"/>
      <c r="N313" s="484"/>
      <c r="O313" s="484"/>
      <c r="P313" s="484"/>
      <c r="Q313" s="484"/>
      <c r="R313" s="484"/>
      <c r="S313" s="462" t="str">
        <f t="shared" si="66"/>
        <v>正确</v>
      </c>
      <c r="T313" s="487"/>
      <c r="U313" s="487"/>
      <c r="V313" s="487"/>
      <c r="W313" s="462"/>
    </row>
    <row r="314" ht="23.25" customHeight="1" spans="1:23">
      <c r="A314" s="464"/>
      <c r="B314" s="462" t="s">
        <v>1550</v>
      </c>
      <c r="C314" s="484" t="s">
        <v>320</v>
      </c>
      <c r="D314" s="484" t="s">
        <v>147</v>
      </c>
      <c r="E314" s="486"/>
      <c r="F314" s="486"/>
      <c r="G314" s="486"/>
      <c r="H314" s="486"/>
      <c r="I314" s="486"/>
      <c r="J314" s="463"/>
      <c r="K314" s="484"/>
      <c r="L314" s="484"/>
      <c r="M314" s="484"/>
      <c r="N314" s="484"/>
      <c r="O314" s="484"/>
      <c r="P314" s="484"/>
      <c r="Q314" s="484"/>
      <c r="R314" s="484"/>
      <c r="S314" s="462" t="str">
        <f t="shared" si="66"/>
        <v>正确</v>
      </c>
      <c r="T314" s="487"/>
      <c r="U314" s="487"/>
      <c r="V314" s="487"/>
      <c r="W314" s="462"/>
    </row>
    <row r="315" ht="23.25" customHeight="1" spans="1:23">
      <c r="A315" s="464"/>
      <c r="B315" s="462" t="s">
        <v>1551</v>
      </c>
      <c r="C315" s="484" t="s">
        <v>320</v>
      </c>
      <c r="D315" s="484" t="s">
        <v>147</v>
      </c>
      <c r="E315" s="486"/>
      <c r="F315" s="486"/>
      <c r="G315" s="486"/>
      <c r="H315" s="486"/>
      <c r="I315" s="486"/>
      <c r="J315" s="463"/>
      <c r="K315" s="484"/>
      <c r="L315" s="484"/>
      <c r="M315" s="484"/>
      <c r="N315" s="484"/>
      <c r="O315" s="484"/>
      <c r="P315" s="484"/>
      <c r="Q315" s="484"/>
      <c r="R315" s="484"/>
      <c r="S315" s="462" t="str">
        <f t="shared" si="66"/>
        <v>正确</v>
      </c>
      <c r="T315" s="487"/>
      <c r="U315" s="487"/>
      <c r="V315" s="487"/>
      <c r="W315" s="462"/>
    </row>
    <row r="316" ht="23.25" customHeight="1" spans="1:23">
      <c r="A316" s="464">
        <v>3</v>
      </c>
      <c r="B316" s="462" t="s">
        <v>270</v>
      </c>
      <c r="C316" s="484" t="s">
        <v>320</v>
      </c>
      <c r="D316" s="484" t="s">
        <v>147</v>
      </c>
      <c r="E316" s="486">
        <f t="shared" ref="E316:G316" si="74">SUM(E317:E328)</f>
        <v>60</v>
      </c>
      <c r="F316" s="486">
        <f t="shared" si="74"/>
        <v>60</v>
      </c>
      <c r="G316" s="486">
        <f t="shared" si="74"/>
        <v>60</v>
      </c>
      <c r="H316" s="486">
        <v>2019</v>
      </c>
      <c r="I316" s="486">
        <v>2020</v>
      </c>
      <c r="J316" s="463">
        <f t="shared" si="70"/>
        <v>3.816</v>
      </c>
      <c r="K316" s="484"/>
      <c r="L316" s="484">
        <f t="shared" si="71"/>
        <v>1.908</v>
      </c>
      <c r="M316" s="484">
        <f t="shared" si="72"/>
        <v>1.908</v>
      </c>
      <c r="N316" s="484">
        <f t="shared" si="73"/>
        <v>3.816</v>
      </c>
      <c r="O316" s="484"/>
      <c r="P316" s="484"/>
      <c r="Q316" s="484"/>
      <c r="R316" s="484"/>
      <c r="S316" s="462" t="str">
        <f t="shared" si="66"/>
        <v>正确</v>
      </c>
      <c r="T316" s="487"/>
      <c r="U316" s="453"/>
      <c r="V316" s="487" t="s">
        <v>271</v>
      </c>
      <c r="W316" s="462" t="s">
        <v>41</v>
      </c>
    </row>
    <row r="317" ht="23.25" customHeight="1" spans="1:23">
      <c r="A317" s="464"/>
      <c r="B317" s="462" t="s">
        <v>1540</v>
      </c>
      <c r="C317" s="484" t="s">
        <v>320</v>
      </c>
      <c r="D317" s="484" t="s">
        <v>147</v>
      </c>
      <c r="E317" s="486">
        <v>5</v>
      </c>
      <c r="F317" s="486">
        <v>5</v>
      </c>
      <c r="G317" s="486">
        <v>5</v>
      </c>
      <c r="H317" s="486">
        <v>2019</v>
      </c>
      <c r="I317" s="486">
        <v>2020</v>
      </c>
      <c r="J317" s="463">
        <f t="shared" si="70"/>
        <v>0.318</v>
      </c>
      <c r="K317" s="484"/>
      <c r="L317" s="484">
        <f t="shared" si="71"/>
        <v>0.159</v>
      </c>
      <c r="M317" s="484">
        <f t="shared" si="72"/>
        <v>0.159</v>
      </c>
      <c r="N317" s="484">
        <f t="shared" si="73"/>
        <v>0.318</v>
      </c>
      <c r="O317" s="484"/>
      <c r="P317" s="484"/>
      <c r="Q317" s="484"/>
      <c r="R317" s="484"/>
      <c r="S317" s="462" t="str">
        <f t="shared" si="66"/>
        <v>正确</v>
      </c>
      <c r="T317" s="487"/>
      <c r="U317" s="487"/>
      <c r="V317" s="487"/>
      <c r="W317" s="462"/>
    </row>
    <row r="318" ht="23.25" customHeight="1" spans="1:23">
      <c r="A318" s="464"/>
      <c r="B318" s="462" t="s">
        <v>1541</v>
      </c>
      <c r="C318" s="484" t="s">
        <v>320</v>
      </c>
      <c r="D318" s="484" t="s">
        <v>147</v>
      </c>
      <c r="E318" s="486">
        <v>6</v>
      </c>
      <c r="F318" s="486">
        <v>6</v>
      </c>
      <c r="G318" s="486">
        <v>6</v>
      </c>
      <c r="H318" s="486">
        <v>2019</v>
      </c>
      <c r="I318" s="486">
        <v>2020</v>
      </c>
      <c r="J318" s="463">
        <f t="shared" si="70"/>
        <v>0.3816</v>
      </c>
      <c r="K318" s="484"/>
      <c r="L318" s="484">
        <f t="shared" si="71"/>
        <v>0.1908</v>
      </c>
      <c r="M318" s="484">
        <f t="shared" si="72"/>
        <v>0.1908</v>
      </c>
      <c r="N318" s="484">
        <f t="shared" si="73"/>
        <v>0.3816</v>
      </c>
      <c r="O318" s="484"/>
      <c r="P318" s="484"/>
      <c r="Q318" s="484"/>
      <c r="R318" s="484"/>
      <c r="S318" s="462" t="str">
        <f t="shared" si="66"/>
        <v>正确</v>
      </c>
      <c r="T318" s="487"/>
      <c r="U318" s="487"/>
      <c r="V318" s="487"/>
      <c r="W318" s="462"/>
    </row>
    <row r="319" ht="23.25" customHeight="1" spans="1:23">
      <c r="A319" s="464"/>
      <c r="B319" s="462" t="s">
        <v>1542</v>
      </c>
      <c r="C319" s="484" t="s">
        <v>320</v>
      </c>
      <c r="D319" s="484" t="s">
        <v>147</v>
      </c>
      <c r="E319" s="486">
        <v>5</v>
      </c>
      <c r="F319" s="486">
        <v>5</v>
      </c>
      <c r="G319" s="486">
        <v>5</v>
      </c>
      <c r="H319" s="486">
        <v>2019</v>
      </c>
      <c r="I319" s="486">
        <v>2020</v>
      </c>
      <c r="J319" s="463">
        <f t="shared" si="70"/>
        <v>0.318</v>
      </c>
      <c r="K319" s="484"/>
      <c r="L319" s="484">
        <f t="shared" si="71"/>
        <v>0.159</v>
      </c>
      <c r="M319" s="484">
        <f t="shared" si="72"/>
        <v>0.159</v>
      </c>
      <c r="N319" s="484">
        <f t="shared" si="73"/>
        <v>0.318</v>
      </c>
      <c r="O319" s="484"/>
      <c r="P319" s="484"/>
      <c r="Q319" s="484"/>
      <c r="R319" s="484"/>
      <c r="S319" s="462" t="str">
        <f t="shared" si="66"/>
        <v>正确</v>
      </c>
      <c r="T319" s="487"/>
      <c r="U319" s="487"/>
      <c r="V319" s="487"/>
      <c r="W319" s="462"/>
    </row>
    <row r="320" ht="23.25" customHeight="1" spans="1:23">
      <c r="A320" s="464"/>
      <c r="B320" s="462" t="s">
        <v>1543</v>
      </c>
      <c r="C320" s="484" t="s">
        <v>320</v>
      </c>
      <c r="D320" s="484" t="s">
        <v>147</v>
      </c>
      <c r="E320" s="486">
        <v>4</v>
      </c>
      <c r="F320" s="486">
        <v>4</v>
      </c>
      <c r="G320" s="486">
        <v>4</v>
      </c>
      <c r="H320" s="486">
        <v>2019</v>
      </c>
      <c r="I320" s="486">
        <v>2020</v>
      </c>
      <c r="J320" s="463">
        <f t="shared" si="70"/>
        <v>0.2544</v>
      </c>
      <c r="K320" s="484"/>
      <c r="L320" s="484">
        <f t="shared" si="71"/>
        <v>0.1272</v>
      </c>
      <c r="M320" s="484">
        <f t="shared" si="72"/>
        <v>0.1272</v>
      </c>
      <c r="N320" s="484">
        <f t="shared" si="73"/>
        <v>0.2544</v>
      </c>
      <c r="O320" s="484"/>
      <c r="P320" s="484"/>
      <c r="Q320" s="484"/>
      <c r="R320" s="484"/>
      <c r="S320" s="462" t="str">
        <f t="shared" si="66"/>
        <v>正确</v>
      </c>
      <c r="T320" s="487"/>
      <c r="U320" s="487"/>
      <c r="V320" s="487"/>
      <c r="W320" s="462"/>
    </row>
    <row r="321" ht="23.25" customHeight="1" spans="1:23">
      <c r="A321" s="464"/>
      <c r="B321" s="462" t="s">
        <v>1544</v>
      </c>
      <c r="C321" s="484" t="s">
        <v>320</v>
      </c>
      <c r="D321" s="484" t="s">
        <v>147</v>
      </c>
      <c r="E321" s="486">
        <v>4</v>
      </c>
      <c r="F321" s="486">
        <v>4</v>
      </c>
      <c r="G321" s="486">
        <v>4</v>
      </c>
      <c r="H321" s="486">
        <v>2019</v>
      </c>
      <c r="I321" s="486">
        <v>2020</v>
      </c>
      <c r="J321" s="463">
        <f t="shared" si="70"/>
        <v>0.2544</v>
      </c>
      <c r="K321" s="484"/>
      <c r="L321" s="484">
        <f t="shared" si="71"/>
        <v>0.1272</v>
      </c>
      <c r="M321" s="484">
        <f t="shared" si="72"/>
        <v>0.1272</v>
      </c>
      <c r="N321" s="484">
        <f t="shared" si="73"/>
        <v>0.2544</v>
      </c>
      <c r="O321" s="484"/>
      <c r="P321" s="484"/>
      <c r="Q321" s="484"/>
      <c r="R321" s="484"/>
      <c r="S321" s="462" t="str">
        <f t="shared" si="66"/>
        <v>正确</v>
      </c>
      <c r="T321" s="487"/>
      <c r="U321" s="487"/>
      <c r="V321" s="487"/>
      <c r="W321" s="462"/>
    </row>
    <row r="322" ht="23.25" customHeight="1" spans="1:23">
      <c r="A322" s="464"/>
      <c r="B322" s="462" t="s">
        <v>1545</v>
      </c>
      <c r="C322" s="484" t="s">
        <v>320</v>
      </c>
      <c r="D322" s="484" t="s">
        <v>147</v>
      </c>
      <c r="E322" s="486">
        <v>6</v>
      </c>
      <c r="F322" s="486">
        <v>6</v>
      </c>
      <c r="G322" s="486">
        <v>6</v>
      </c>
      <c r="H322" s="486">
        <v>2019</v>
      </c>
      <c r="I322" s="486">
        <v>2020</v>
      </c>
      <c r="J322" s="463">
        <f t="shared" si="70"/>
        <v>0.3816</v>
      </c>
      <c r="K322" s="484"/>
      <c r="L322" s="484">
        <f t="shared" si="71"/>
        <v>0.1908</v>
      </c>
      <c r="M322" s="484">
        <f t="shared" si="72"/>
        <v>0.1908</v>
      </c>
      <c r="N322" s="484">
        <f t="shared" si="73"/>
        <v>0.3816</v>
      </c>
      <c r="O322" s="484"/>
      <c r="P322" s="484"/>
      <c r="Q322" s="484"/>
      <c r="R322" s="484"/>
      <c r="S322" s="462" t="str">
        <f t="shared" si="66"/>
        <v>正确</v>
      </c>
      <c r="T322" s="487"/>
      <c r="U322" s="487"/>
      <c r="V322" s="487"/>
      <c r="W322" s="462"/>
    </row>
    <row r="323" ht="23.25" customHeight="1" spans="1:23">
      <c r="A323" s="464"/>
      <c r="B323" s="462" t="s">
        <v>1546</v>
      </c>
      <c r="C323" s="484" t="s">
        <v>320</v>
      </c>
      <c r="D323" s="484" t="s">
        <v>147</v>
      </c>
      <c r="E323" s="486">
        <v>5</v>
      </c>
      <c r="F323" s="486">
        <v>5</v>
      </c>
      <c r="G323" s="486">
        <v>5</v>
      </c>
      <c r="H323" s="486">
        <v>2019</v>
      </c>
      <c r="I323" s="486">
        <v>2020</v>
      </c>
      <c r="J323" s="463">
        <f t="shared" si="70"/>
        <v>0.318</v>
      </c>
      <c r="K323" s="484"/>
      <c r="L323" s="484">
        <f t="shared" si="71"/>
        <v>0.159</v>
      </c>
      <c r="M323" s="484">
        <f t="shared" si="72"/>
        <v>0.159</v>
      </c>
      <c r="N323" s="484">
        <f t="shared" si="73"/>
        <v>0.318</v>
      </c>
      <c r="O323" s="484"/>
      <c r="P323" s="484"/>
      <c r="Q323" s="484"/>
      <c r="R323" s="484"/>
      <c r="S323" s="462" t="str">
        <f t="shared" si="66"/>
        <v>正确</v>
      </c>
      <c r="T323" s="487"/>
      <c r="U323" s="487"/>
      <c r="V323" s="487"/>
      <c r="W323" s="462"/>
    </row>
    <row r="324" ht="23.25" customHeight="1" spans="1:23">
      <c r="A324" s="464"/>
      <c r="B324" s="462" t="s">
        <v>1547</v>
      </c>
      <c r="C324" s="484" t="s">
        <v>320</v>
      </c>
      <c r="D324" s="484" t="s">
        <v>147</v>
      </c>
      <c r="E324" s="486">
        <v>6</v>
      </c>
      <c r="F324" s="486">
        <v>6</v>
      </c>
      <c r="G324" s="486">
        <v>6</v>
      </c>
      <c r="H324" s="486">
        <v>2019</v>
      </c>
      <c r="I324" s="486">
        <v>2020</v>
      </c>
      <c r="J324" s="463">
        <f t="shared" si="70"/>
        <v>0.3816</v>
      </c>
      <c r="K324" s="484"/>
      <c r="L324" s="484">
        <f t="shared" si="71"/>
        <v>0.1908</v>
      </c>
      <c r="M324" s="484">
        <f t="shared" si="72"/>
        <v>0.1908</v>
      </c>
      <c r="N324" s="484">
        <f t="shared" si="73"/>
        <v>0.3816</v>
      </c>
      <c r="O324" s="484"/>
      <c r="P324" s="484"/>
      <c r="Q324" s="484"/>
      <c r="R324" s="484"/>
      <c r="S324" s="462" t="str">
        <f t="shared" si="66"/>
        <v>正确</v>
      </c>
      <c r="T324" s="487"/>
      <c r="U324" s="487"/>
      <c r="V324" s="487"/>
      <c r="W324" s="462"/>
    </row>
    <row r="325" ht="23.25" customHeight="1" spans="1:23">
      <c r="A325" s="464"/>
      <c r="B325" s="462" t="s">
        <v>1548</v>
      </c>
      <c r="C325" s="484" t="s">
        <v>320</v>
      </c>
      <c r="D325" s="484" t="s">
        <v>147</v>
      </c>
      <c r="E325" s="486">
        <v>6</v>
      </c>
      <c r="F325" s="486">
        <v>6</v>
      </c>
      <c r="G325" s="486">
        <v>6</v>
      </c>
      <c r="H325" s="486">
        <v>2019</v>
      </c>
      <c r="I325" s="486">
        <v>2020</v>
      </c>
      <c r="J325" s="463">
        <f t="shared" si="70"/>
        <v>0.3816</v>
      </c>
      <c r="K325" s="484"/>
      <c r="L325" s="484">
        <f t="shared" si="71"/>
        <v>0.1908</v>
      </c>
      <c r="M325" s="484">
        <f t="shared" si="72"/>
        <v>0.1908</v>
      </c>
      <c r="N325" s="484">
        <f t="shared" si="73"/>
        <v>0.3816</v>
      </c>
      <c r="O325" s="484"/>
      <c r="P325" s="484"/>
      <c r="Q325" s="484"/>
      <c r="R325" s="484"/>
      <c r="S325" s="462" t="str">
        <f t="shared" si="66"/>
        <v>正确</v>
      </c>
      <c r="T325" s="487"/>
      <c r="U325" s="487"/>
      <c r="V325" s="487"/>
      <c r="W325" s="462"/>
    </row>
    <row r="326" ht="23.25" customHeight="1" spans="1:23">
      <c r="A326" s="464"/>
      <c r="B326" s="462" t="s">
        <v>1549</v>
      </c>
      <c r="C326" s="484" t="s">
        <v>320</v>
      </c>
      <c r="D326" s="484" t="s">
        <v>147</v>
      </c>
      <c r="E326" s="486">
        <v>5</v>
      </c>
      <c r="F326" s="486">
        <v>5</v>
      </c>
      <c r="G326" s="486">
        <v>5</v>
      </c>
      <c r="H326" s="486">
        <v>2019</v>
      </c>
      <c r="I326" s="486">
        <v>2020</v>
      </c>
      <c r="J326" s="463">
        <f t="shared" si="70"/>
        <v>0.318</v>
      </c>
      <c r="K326" s="484"/>
      <c r="L326" s="484">
        <f t="shared" si="71"/>
        <v>0.159</v>
      </c>
      <c r="M326" s="484">
        <f t="shared" si="72"/>
        <v>0.159</v>
      </c>
      <c r="N326" s="484">
        <f t="shared" si="73"/>
        <v>0.318</v>
      </c>
      <c r="O326" s="484"/>
      <c r="P326" s="484"/>
      <c r="Q326" s="484"/>
      <c r="R326" s="484"/>
      <c r="S326" s="462" t="str">
        <f t="shared" si="66"/>
        <v>正确</v>
      </c>
      <c r="T326" s="487"/>
      <c r="U326" s="487"/>
      <c r="V326" s="487"/>
      <c r="W326" s="462"/>
    </row>
    <row r="327" ht="23.25" customHeight="1" spans="1:23">
      <c r="A327" s="464"/>
      <c r="B327" s="462" t="s">
        <v>1550</v>
      </c>
      <c r="C327" s="484" t="s">
        <v>320</v>
      </c>
      <c r="D327" s="484" t="s">
        <v>147</v>
      </c>
      <c r="E327" s="486">
        <v>4</v>
      </c>
      <c r="F327" s="486">
        <v>4</v>
      </c>
      <c r="G327" s="486">
        <v>4</v>
      </c>
      <c r="H327" s="486">
        <v>2019</v>
      </c>
      <c r="I327" s="486">
        <v>2020</v>
      </c>
      <c r="J327" s="463">
        <f t="shared" si="70"/>
        <v>0.2544</v>
      </c>
      <c r="K327" s="484"/>
      <c r="L327" s="484">
        <f t="shared" si="71"/>
        <v>0.1272</v>
      </c>
      <c r="M327" s="484">
        <f t="shared" si="72"/>
        <v>0.1272</v>
      </c>
      <c r="N327" s="484">
        <f t="shared" si="73"/>
        <v>0.2544</v>
      </c>
      <c r="O327" s="484"/>
      <c r="P327" s="484"/>
      <c r="Q327" s="484"/>
      <c r="R327" s="484"/>
      <c r="S327" s="462" t="str">
        <f t="shared" ref="S327:S390" si="75">IF(SUM(K327:M327)=SUM(N327:R327),"正确","错误")</f>
        <v>正确</v>
      </c>
      <c r="T327" s="487"/>
      <c r="U327" s="487"/>
      <c r="V327" s="487"/>
      <c r="W327" s="462"/>
    </row>
    <row r="328" ht="23.25" customHeight="1" spans="1:23">
      <c r="A328" s="464"/>
      <c r="B328" s="462" t="s">
        <v>1551</v>
      </c>
      <c r="C328" s="484" t="s">
        <v>320</v>
      </c>
      <c r="D328" s="484" t="s">
        <v>147</v>
      </c>
      <c r="E328" s="486">
        <v>4</v>
      </c>
      <c r="F328" s="486">
        <v>4</v>
      </c>
      <c r="G328" s="486">
        <v>4</v>
      </c>
      <c r="H328" s="486">
        <v>2019</v>
      </c>
      <c r="I328" s="486">
        <v>2020</v>
      </c>
      <c r="J328" s="463">
        <f t="shared" si="70"/>
        <v>0.2544</v>
      </c>
      <c r="K328" s="484"/>
      <c r="L328" s="484">
        <f t="shared" si="71"/>
        <v>0.1272</v>
      </c>
      <c r="M328" s="484">
        <f t="shared" si="72"/>
        <v>0.1272</v>
      </c>
      <c r="N328" s="484">
        <f t="shared" si="73"/>
        <v>0.2544</v>
      </c>
      <c r="O328" s="484"/>
      <c r="P328" s="484"/>
      <c r="Q328" s="484"/>
      <c r="R328" s="484"/>
      <c r="S328" s="462" t="str">
        <f t="shared" si="75"/>
        <v>正确</v>
      </c>
      <c r="T328" s="487"/>
      <c r="U328" s="487"/>
      <c r="V328" s="487"/>
      <c r="W328" s="462"/>
    </row>
    <row r="329" ht="23.25" customHeight="1" spans="1:23">
      <c r="A329" s="464">
        <v>3</v>
      </c>
      <c r="B329" s="462" t="s">
        <v>272</v>
      </c>
      <c r="C329" s="484" t="s">
        <v>320</v>
      </c>
      <c r="D329" s="484" t="s">
        <v>147</v>
      </c>
      <c r="E329" s="486">
        <v>282</v>
      </c>
      <c r="F329" s="486">
        <v>282</v>
      </c>
      <c r="G329" s="486">
        <v>282</v>
      </c>
      <c r="H329" s="486">
        <v>2019</v>
      </c>
      <c r="I329" s="486">
        <v>2020</v>
      </c>
      <c r="J329" s="463">
        <f t="shared" si="70"/>
        <v>17.9352</v>
      </c>
      <c r="K329" s="484"/>
      <c r="L329" s="484">
        <f t="shared" si="71"/>
        <v>8.9676</v>
      </c>
      <c r="M329" s="484">
        <f t="shared" si="72"/>
        <v>8.9676</v>
      </c>
      <c r="N329" s="484"/>
      <c r="O329" s="484"/>
      <c r="P329" s="484">
        <f t="shared" ref="P329:P341" si="76">J329</f>
        <v>17.9352</v>
      </c>
      <c r="Q329" s="484"/>
      <c r="R329" s="484"/>
      <c r="S329" s="462" t="str">
        <f t="shared" si="75"/>
        <v>正确</v>
      </c>
      <c r="T329" s="487"/>
      <c r="U329" s="453"/>
      <c r="V329" s="487" t="s">
        <v>273</v>
      </c>
      <c r="W329" s="462" t="s">
        <v>41</v>
      </c>
    </row>
    <row r="330" ht="23.25" customHeight="1" spans="1:23">
      <c r="A330" s="464"/>
      <c r="B330" s="462" t="s">
        <v>1540</v>
      </c>
      <c r="C330" s="484" t="s">
        <v>320</v>
      </c>
      <c r="D330" s="484" t="s">
        <v>147</v>
      </c>
      <c r="E330" s="486">
        <v>27</v>
      </c>
      <c r="F330" s="486">
        <v>27</v>
      </c>
      <c r="G330" s="486">
        <v>27</v>
      </c>
      <c r="H330" s="486">
        <v>2019</v>
      </c>
      <c r="I330" s="486">
        <v>2020</v>
      </c>
      <c r="J330" s="463">
        <f t="shared" si="70"/>
        <v>1.7172</v>
      </c>
      <c r="K330" s="484"/>
      <c r="L330" s="484">
        <f t="shared" si="71"/>
        <v>0.8586</v>
      </c>
      <c r="M330" s="484">
        <f t="shared" si="72"/>
        <v>0.8586</v>
      </c>
      <c r="N330" s="484"/>
      <c r="O330" s="484"/>
      <c r="P330" s="484">
        <f t="shared" si="76"/>
        <v>1.7172</v>
      </c>
      <c r="Q330" s="484"/>
      <c r="R330" s="484"/>
      <c r="S330" s="462" t="str">
        <f t="shared" si="75"/>
        <v>正确</v>
      </c>
      <c r="T330" s="487"/>
      <c r="U330" s="487"/>
      <c r="V330" s="487"/>
      <c r="W330" s="462"/>
    </row>
    <row r="331" ht="23.25" customHeight="1" spans="1:23">
      <c r="A331" s="464"/>
      <c r="B331" s="462" t="s">
        <v>1541</v>
      </c>
      <c r="C331" s="484" t="s">
        <v>320</v>
      </c>
      <c r="D331" s="484" t="s">
        <v>147</v>
      </c>
      <c r="E331" s="486">
        <v>32</v>
      </c>
      <c r="F331" s="486">
        <v>32</v>
      </c>
      <c r="G331" s="486">
        <v>32</v>
      </c>
      <c r="H331" s="486">
        <v>2019</v>
      </c>
      <c r="I331" s="486">
        <v>2020</v>
      </c>
      <c r="J331" s="463">
        <f t="shared" si="70"/>
        <v>2.0352</v>
      </c>
      <c r="K331" s="484"/>
      <c r="L331" s="484">
        <f t="shared" si="71"/>
        <v>1.0176</v>
      </c>
      <c r="M331" s="484">
        <f t="shared" si="72"/>
        <v>1.0176</v>
      </c>
      <c r="N331" s="484"/>
      <c r="O331" s="484"/>
      <c r="P331" s="484">
        <f t="shared" si="76"/>
        <v>2.0352</v>
      </c>
      <c r="Q331" s="484"/>
      <c r="R331" s="484"/>
      <c r="S331" s="462" t="str">
        <f t="shared" si="75"/>
        <v>正确</v>
      </c>
      <c r="T331" s="487"/>
      <c r="U331" s="487"/>
      <c r="V331" s="487"/>
      <c r="W331" s="462"/>
    </row>
    <row r="332" ht="23.25" customHeight="1" spans="1:23">
      <c r="A332" s="464"/>
      <c r="B332" s="462" t="s">
        <v>1542</v>
      </c>
      <c r="C332" s="484" t="s">
        <v>320</v>
      </c>
      <c r="D332" s="484" t="s">
        <v>147</v>
      </c>
      <c r="E332" s="486">
        <v>24</v>
      </c>
      <c r="F332" s="486">
        <v>24</v>
      </c>
      <c r="G332" s="486">
        <v>24</v>
      </c>
      <c r="H332" s="486">
        <v>2019</v>
      </c>
      <c r="I332" s="486">
        <v>2020</v>
      </c>
      <c r="J332" s="463">
        <f t="shared" si="70"/>
        <v>1.5264</v>
      </c>
      <c r="K332" s="484"/>
      <c r="L332" s="484">
        <f t="shared" si="71"/>
        <v>0.7632</v>
      </c>
      <c r="M332" s="484">
        <f t="shared" si="72"/>
        <v>0.7632</v>
      </c>
      <c r="N332" s="484"/>
      <c r="O332" s="484"/>
      <c r="P332" s="484">
        <f t="shared" si="76"/>
        <v>1.5264</v>
      </c>
      <c r="Q332" s="484"/>
      <c r="R332" s="484"/>
      <c r="S332" s="462" t="str">
        <f t="shared" si="75"/>
        <v>正确</v>
      </c>
      <c r="T332" s="487"/>
      <c r="U332" s="487"/>
      <c r="V332" s="487"/>
      <c r="W332" s="462"/>
    </row>
    <row r="333" ht="23.25" customHeight="1" spans="1:23">
      <c r="A333" s="464"/>
      <c r="B333" s="462" t="s">
        <v>1543</v>
      </c>
      <c r="C333" s="484" t="s">
        <v>320</v>
      </c>
      <c r="D333" s="484" t="s">
        <v>147</v>
      </c>
      <c r="E333" s="486">
        <v>12</v>
      </c>
      <c r="F333" s="486">
        <v>12</v>
      </c>
      <c r="G333" s="486">
        <v>12</v>
      </c>
      <c r="H333" s="486">
        <v>2019</v>
      </c>
      <c r="I333" s="486">
        <v>2020</v>
      </c>
      <c r="J333" s="463">
        <f t="shared" si="70"/>
        <v>0.7632</v>
      </c>
      <c r="K333" s="484"/>
      <c r="L333" s="484">
        <f t="shared" si="71"/>
        <v>0.3816</v>
      </c>
      <c r="M333" s="484">
        <f t="shared" si="72"/>
        <v>0.3816</v>
      </c>
      <c r="N333" s="484"/>
      <c r="O333" s="484"/>
      <c r="P333" s="484">
        <f t="shared" si="76"/>
        <v>0.7632</v>
      </c>
      <c r="Q333" s="484"/>
      <c r="R333" s="484"/>
      <c r="S333" s="462" t="str">
        <f t="shared" si="75"/>
        <v>正确</v>
      </c>
      <c r="T333" s="487"/>
      <c r="U333" s="487"/>
      <c r="V333" s="487"/>
      <c r="W333" s="462"/>
    </row>
    <row r="334" ht="23.25" customHeight="1" spans="1:23">
      <c r="A334" s="464"/>
      <c r="B334" s="462" t="s">
        <v>1544</v>
      </c>
      <c r="C334" s="484" t="s">
        <v>320</v>
      </c>
      <c r="D334" s="484" t="s">
        <v>147</v>
      </c>
      <c r="E334" s="486">
        <v>17</v>
      </c>
      <c r="F334" s="486">
        <v>17</v>
      </c>
      <c r="G334" s="486">
        <v>17</v>
      </c>
      <c r="H334" s="486">
        <v>2019</v>
      </c>
      <c r="I334" s="486">
        <v>2020</v>
      </c>
      <c r="J334" s="463">
        <f t="shared" si="70"/>
        <v>1.0812</v>
      </c>
      <c r="K334" s="484"/>
      <c r="L334" s="484">
        <f t="shared" si="71"/>
        <v>0.5406</v>
      </c>
      <c r="M334" s="484">
        <f t="shared" si="72"/>
        <v>0.5406</v>
      </c>
      <c r="N334" s="484"/>
      <c r="O334" s="484"/>
      <c r="P334" s="484">
        <f t="shared" si="76"/>
        <v>1.0812</v>
      </c>
      <c r="Q334" s="484"/>
      <c r="R334" s="484"/>
      <c r="S334" s="462" t="str">
        <f t="shared" si="75"/>
        <v>正确</v>
      </c>
      <c r="T334" s="487"/>
      <c r="U334" s="487"/>
      <c r="V334" s="487"/>
      <c r="W334" s="462"/>
    </row>
    <row r="335" ht="23.25" customHeight="1" spans="1:23">
      <c r="A335" s="464"/>
      <c r="B335" s="462" t="s">
        <v>1545</v>
      </c>
      <c r="C335" s="484" t="s">
        <v>320</v>
      </c>
      <c r="D335" s="484" t="s">
        <v>147</v>
      </c>
      <c r="E335" s="486">
        <v>30</v>
      </c>
      <c r="F335" s="486">
        <v>30</v>
      </c>
      <c r="G335" s="486">
        <v>30</v>
      </c>
      <c r="H335" s="486">
        <v>2019</v>
      </c>
      <c r="I335" s="486">
        <v>2020</v>
      </c>
      <c r="J335" s="463">
        <f t="shared" si="70"/>
        <v>1.908</v>
      </c>
      <c r="K335" s="484"/>
      <c r="L335" s="484">
        <f t="shared" si="71"/>
        <v>0.954</v>
      </c>
      <c r="M335" s="484">
        <f t="shared" si="72"/>
        <v>0.954</v>
      </c>
      <c r="N335" s="484"/>
      <c r="O335" s="484"/>
      <c r="P335" s="484">
        <f t="shared" si="76"/>
        <v>1.908</v>
      </c>
      <c r="Q335" s="484"/>
      <c r="R335" s="484"/>
      <c r="S335" s="462" t="str">
        <f t="shared" si="75"/>
        <v>正确</v>
      </c>
      <c r="T335" s="487"/>
      <c r="U335" s="487"/>
      <c r="V335" s="487"/>
      <c r="W335" s="462"/>
    </row>
    <row r="336" ht="23.25" customHeight="1" spans="1:23">
      <c r="A336" s="464"/>
      <c r="B336" s="462" t="s">
        <v>1546</v>
      </c>
      <c r="C336" s="484" t="s">
        <v>320</v>
      </c>
      <c r="D336" s="484" t="s">
        <v>147</v>
      </c>
      <c r="E336" s="486">
        <v>31</v>
      </c>
      <c r="F336" s="486">
        <v>31</v>
      </c>
      <c r="G336" s="486">
        <v>31</v>
      </c>
      <c r="H336" s="486">
        <v>2019</v>
      </c>
      <c r="I336" s="486">
        <v>2020</v>
      </c>
      <c r="J336" s="463">
        <f t="shared" si="70"/>
        <v>1.9716</v>
      </c>
      <c r="K336" s="484"/>
      <c r="L336" s="484">
        <f t="shared" si="71"/>
        <v>0.9858</v>
      </c>
      <c r="M336" s="484">
        <f t="shared" si="72"/>
        <v>0.9858</v>
      </c>
      <c r="N336" s="484"/>
      <c r="O336" s="484"/>
      <c r="P336" s="484">
        <f t="shared" si="76"/>
        <v>1.9716</v>
      </c>
      <c r="Q336" s="484"/>
      <c r="R336" s="484"/>
      <c r="S336" s="462" t="str">
        <f t="shared" si="75"/>
        <v>正确</v>
      </c>
      <c r="T336" s="487"/>
      <c r="U336" s="487"/>
      <c r="V336" s="487"/>
      <c r="W336" s="462"/>
    </row>
    <row r="337" ht="23.25" customHeight="1" spans="1:23">
      <c r="A337" s="464"/>
      <c r="B337" s="462" t="s">
        <v>1547</v>
      </c>
      <c r="C337" s="484" t="s">
        <v>320</v>
      </c>
      <c r="D337" s="484" t="s">
        <v>147</v>
      </c>
      <c r="E337" s="486">
        <v>25</v>
      </c>
      <c r="F337" s="486">
        <v>25</v>
      </c>
      <c r="G337" s="486">
        <v>25</v>
      </c>
      <c r="H337" s="486">
        <v>2019</v>
      </c>
      <c r="I337" s="486">
        <v>2020</v>
      </c>
      <c r="J337" s="463">
        <f t="shared" si="70"/>
        <v>1.59</v>
      </c>
      <c r="K337" s="484"/>
      <c r="L337" s="484">
        <f t="shared" si="71"/>
        <v>0.795</v>
      </c>
      <c r="M337" s="484">
        <f t="shared" si="72"/>
        <v>0.795</v>
      </c>
      <c r="N337" s="484"/>
      <c r="O337" s="484"/>
      <c r="P337" s="484">
        <f t="shared" si="76"/>
        <v>1.59</v>
      </c>
      <c r="Q337" s="484"/>
      <c r="R337" s="484"/>
      <c r="S337" s="462" t="str">
        <f t="shared" si="75"/>
        <v>正确</v>
      </c>
      <c r="T337" s="487"/>
      <c r="U337" s="487"/>
      <c r="V337" s="487"/>
      <c r="W337" s="462"/>
    </row>
    <row r="338" ht="23.25" customHeight="1" spans="1:23">
      <c r="A338" s="464"/>
      <c r="B338" s="462" t="s">
        <v>1548</v>
      </c>
      <c r="C338" s="484" t="s">
        <v>320</v>
      </c>
      <c r="D338" s="484" t="s">
        <v>147</v>
      </c>
      <c r="E338" s="486">
        <v>42</v>
      </c>
      <c r="F338" s="486">
        <v>42</v>
      </c>
      <c r="G338" s="486">
        <v>42</v>
      </c>
      <c r="H338" s="486">
        <v>2019</v>
      </c>
      <c r="I338" s="486">
        <v>2020</v>
      </c>
      <c r="J338" s="463">
        <f t="shared" si="70"/>
        <v>2.6712</v>
      </c>
      <c r="K338" s="484"/>
      <c r="L338" s="484">
        <f t="shared" si="71"/>
        <v>1.3356</v>
      </c>
      <c r="M338" s="484">
        <f t="shared" si="72"/>
        <v>1.3356</v>
      </c>
      <c r="N338" s="484"/>
      <c r="O338" s="484"/>
      <c r="P338" s="484">
        <f t="shared" si="76"/>
        <v>2.6712</v>
      </c>
      <c r="Q338" s="484"/>
      <c r="R338" s="484"/>
      <c r="S338" s="462" t="str">
        <f t="shared" si="75"/>
        <v>正确</v>
      </c>
      <c r="T338" s="487"/>
      <c r="U338" s="487"/>
      <c r="V338" s="487"/>
      <c r="W338" s="462"/>
    </row>
    <row r="339" ht="23.25" customHeight="1" spans="1:23">
      <c r="A339" s="464"/>
      <c r="B339" s="462" t="s">
        <v>1549</v>
      </c>
      <c r="C339" s="484" t="s">
        <v>320</v>
      </c>
      <c r="D339" s="484" t="s">
        <v>147</v>
      </c>
      <c r="E339" s="486">
        <v>27</v>
      </c>
      <c r="F339" s="486">
        <v>27</v>
      </c>
      <c r="G339" s="486">
        <v>27</v>
      </c>
      <c r="H339" s="486">
        <v>2019</v>
      </c>
      <c r="I339" s="486">
        <v>2020</v>
      </c>
      <c r="J339" s="463">
        <f t="shared" si="70"/>
        <v>1.7172</v>
      </c>
      <c r="K339" s="484"/>
      <c r="L339" s="484">
        <f t="shared" si="71"/>
        <v>0.8586</v>
      </c>
      <c r="M339" s="484">
        <f t="shared" si="72"/>
        <v>0.8586</v>
      </c>
      <c r="N339" s="484"/>
      <c r="O339" s="484"/>
      <c r="P339" s="484">
        <f t="shared" si="76"/>
        <v>1.7172</v>
      </c>
      <c r="Q339" s="484"/>
      <c r="R339" s="484"/>
      <c r="S339" s="462" t="str">
        <f t="shared" si="75"/>
        <v>正确</v>
      </c>
      <c r="T339" s="487"/>
      <c r="U339" s="487"/>
      <c r="V339" s="487"/>
      <c r="W339" s="462"/>
    </row>
    <row r="340" ht="23.25" customHeight="1" spans="1:23">
      <c r="A340" s="464"/>
      <c r="B340" s="462" t="s">
        <v>1550</v>
      </c>
      <c r="C340" s="484" t="s">
        <v>320</v>
      </c>
      <c r="D340" s="484" t="s">
        <v>147</v>
      </c>
      <c r="E340" s="486">
        <v>9</v>
      </c>
      <c r="F340" s="486">
        <v>9</v>
      </c>
      <c r="G340" s="486">
        <v>9</v>
      </c>
      <c r="H340" s="486">
        <v>2019</v>
      </c>
      <c r="I340" s="486">
        <v>2020</v>
      </c>
      <c r="J340" s="463">
        <f t="shared" si="70"/>
        <v>0.5724</v>
      </c>
      <c r="K340" s="484"/>
      <c r="L340" s="484">
        <f t="shared" si="71"/>
        <v>0.2862</v>
      </c>
      <c r="M340" s="484">
        <f t="shared" si="72"/>
        <v>0.2862</v>
      </c>
      <c r="N340" s="484"/>
      <c r="O340" s="484"/>
      <c r="P340" s="484">
        <f t="shared" si="76"/>
        <v>0.5724</v>
      </c>
      <c r="Q340" s="484"/>
      <c r="R340" s="484"/>
      <c r="S340" s="462" t="str">
        <f t="shared" si="75"/>
        <v>正确</v>
      </c>
      <c r="T340" s="487"/>
      <c r="U340" s="487"/>
      <c r="V340" s="487"/>
      <c r="W340" s="462"/>
    </row>
    <row r="341" ht="23.25" customHeight="1" spans="1:23">
      <c r="A341" s="464"/>
      <c r="B341" s="462" t="s">
        <v>1551</v>
      </c>
      <c r="C341" s="484" t="s">
        <v>320</v>
      </c>
      <c r="D341" s="484" t="s">
        <v>147</v>
      </c>
      <c r="E341" s="486">
        <v>6</v>
      </c>
      <c r="F341" s="486">
        <v>6</v>
      </c>
      <c r="G341" s="486">
        <v>6</v>
      </c>
      <c r="H341" s="486">
        <v>2019</v>
      </c>
      <c r="I341" s="486">
        <v>2020</v>
      </c>
      <c r="J341" s="463">
        <f t="shared" si="70"/>
        <v>0.3816</v>
      </c>
      <c r="K341" s="484"/>
      <c r="L341" s="484">
        <f t="shared" si="71"/>
        <v>0.1908</v>
      </c>
      <c r="M341" s="484">
        <f t="shared" si="72"/>
        <v>0.1908</v>
      </c>
      <c r="N341" s="484"/>
      <c r="O341" s="484"/>
      <c r="P341" s="484">
        <f t="shared" si="76"/>
        <v>0.3816</v>
      </c>
      <c r="Q341" s="484"/>
      <c r="R341" s="484"/>
      <c r="S341" s="462" t="str">
        <f t="shared" si="75"/>
        <v>正确</v>
      </c>
      <c r="T341" s="487"/>
      <c r="U341" s="487"/>
      <c r="V341" s="487"/>
      <c r="W341" s="462"/>
    </row>
    <row r="342" ht="23.25" customHeight="1" spans="1:23">
      <c r="A342" s="464">
        <v>3</v>
      </c>
      <c r="B342" s="462" t="s">
        <v>274</v>
      </c>
      <c r="C342" s="484" t="s">
        <v>320</v>
      </c>
      <c r="D342" s="484" t="s">
        <v>147</v>
      </c>
      <c r="E342" s="486">
        <f t="shared" ref="E342:G342" si="77">E343+E344+E345+E346+E347+E348+E349+E350+E351+E352+E353+E354</f>
        <v>19</v>
      </c>
      <c r="F342" s="486">
        <f t="shared" si="77"/>
        <v>19</v>
      </c>
      <c r="G342" s="486">
        <f t="shared" si="77"/>
        <v>19</v>
      </c>
      <c r="H342" s="486">
        <v>2019</v>
      </c>
      <c r="I342" s="486">
        <v>2020</v>
      </c>
      <c r="J342" s="463">
        <f t="shared" si="70"/>
        <v>1.2084</v>
      </c>
      <c r="K342" s="484"/>
      <c r="L342" s="484">
        <f t="shared" si="71"/>
        <v>0.6042</v>
      </c>
      <c r="M342" s="484">
        <f t="shared" ref="M342:M350" si="78">F342*318/10000</f>
        <v>0.6042</v>
      </c>
      <c r="N342" s="484"/>
      <c r="O342" s="484"/>
      <c r="P342" s="484">
        <f t="shared" ref="P342:P350" si="79">L342+M342</f>
        <v>1.2084</v>
      </c>
      <c r="Q342" s="484"/>
      <c r="R342" s="484"/>
      <c r="S342" s="462" t="str">
        <f t="shared" si="75"/>
        <v>正确</v>
      </c>
      <c r="T342" s="487" t="s">
        <v>1539</v>
      </c>
      <c r="U342" s="453"/>
      <c r="V342" s="487" t="s">
        <v>275</v>
      </c>
      <c r="W342" s="462" t="s">
        <v>41</v>
      </c>
    </row>
    <row r="343" ht="23.25" customHeight="1" spans="1:23">
      <c r="A343" s="464"/>
      <c r="B343" s="462" t="s">
        <v>1540</v>
      </c>
      <c r="C343" s="484" t="s">
        <v>320</v>
      </c>
      <c r="D343" s="484" t="s">
        <v>147</v>
      </c>
      <c r="E343" s="486">
        <v>1</v>
      </c>
      <c r="F343" s="486">
        <v>1</v>
      </c>
      <c r="G343" s="486">
        <v>1</v>
      </c>
      <c r="H343" s="486">
        <v>2019</v>
      </c>
      <c r="I343" s="486">
        <v>2020</v>
      </c>
      <c r="J343" s="463">
        <f t="shared" si="70"/>
        <v>0.0636</v>
      </c>
      <c r="K343" s="484"/>
      <c r="L343" s="484">
        <f t="shared" si="71"/>
        <v>0.0318</v>
      </c>
      <c r="M343" s="484">
        <f t="shared" si="78"/>
        <v>0.0318</v>
      </c>
      <c r="N343" s="484"/>
      <c r="O343" s="484"/>
      <c r="P343" s="484">
        <f t="shared" si="79"/>
        <v>0.0636</v>
      </c>
      <c r="Q343" s="484"/>
      <c r="R343" s="484"/>
      <c r="S343" s="462" t="str">
        <f t="shared" si="75"/>
        <v>正确</v>
      </c>
      <c r="T343" s="487"/>
      <c r="U343" s="487"/>
      <c r="V343" s="487"/>
      <c r="W343" s="462"/>
    </row>
    <row r="344" ht="23.25" customHeight="1" spans="1:23">
      <c r="A344" s="464"/>
      <c r="B344" s="462" t="s">
        <v>1541</v>
      </c>
      <c r="C344" s="484" t="s">
        <v>320</v>
      </c>
      <c r="D344" s="484" t="s">
        <v>147</v>
      </c>
      <c r="E344" s="486">
        <v>2</v>
      </c>
      <c r="F344" s="486">
        <v>2</v>
      </c>
      <c r="G344" s="486">
        <v>2</v>
      </c>
      <c r="H344" s="486">
        <v>2019</v>
      </c>
      <c r="I344" s="486">
        <v>2020</v>
      </c>
      <c r="J344" s="463">
        <f t="shared" si="70"/>
        <v>0.1272</v>
      </c>
      <c r="K344" s="484"/>
      <c r="L344" s="484">
        <f t="shared" si="71"/>
        <v>0.0636</v>
      </c>
      <c r="M344" s="484">
        <f t="shared" si="78"/>
        <v>0.0636</v>
      </c>
      <c r="N344" s="484"/>
      <c r="O344" s="484"/>
      <c r="P344" s="484">
        <f t="shared" si="79"/>
        <v>0.1272</v>
      </c>
      <c r="Q344" s="484"/>
      <c r="R344" s="484"/>
      <c r="S344" s="462" t="str">
        <f t="shared" si="75"/>
        <v>正确</v>
      </c>
      <c r="T344" s="487"/>
      <c r="U344" s="487"/>
      <c r="V344" s="487"/>
      <c r="W344" s="462"/>
    </row>
    <row r="345" ht="23.25" customHeight="1" spans="1:23">
      <c r="A345" s="464"/>
      <c r="B345" s="462" t="s">
        <v>1542</v>
      </c>
      <c r="C345" s="484" t="s">
        <v>320</v>
      </c>
      <c r="D345" s="484" t="s">
        <v>147</v>
      </c>
      <c r="E345" s="486">
        <v>2</v>
      </c>
      <c r="F345" s="486">
        <v>2</v>
      </c>
      <c r="G345" s="486">
        <v>2</v>
      </c>
      <c r="H345" s="486">
        <v>2019</v>
      </c>
      <c r="I345" s="486">
        <v>2020</v>
      </c>
      <c r="J345" s="463">
        <f t="shared" si="70"/>
        <v>0.1272</v>
      </c>
      <c r="K345" s="484"/>
      <c r="L345" s="484">
        <f t="shared" si="71"/>
        <v>0.0636</v>
      </c>
      <c r="M345" s="484">
        <f t="shared" si="78"/>
        <v>0.0636</v>
      </c>
      <c r="N345" s="484"/>
      <c r="O345" s="484"/>
      <c r="P345" s="484">
        <f t="shared" si="79"/>
        <v>0.1272</v>
      </c>
      <c r="Q345" s="484"/>
      <c r="R345" s="484"/>
      <c r="S345" s="462" t="str">
        <f t="shared" si="75"/>
        <v>正确</v>
      </c>
      <c r="T345" s="487"/>
      <c r="U345" s="487"/>
      <c r="V345" s="487"/>
      <c r="W345" s="462"/>
    </row>
    <row r="346" ht="23.25" customHeight="1" spans="1:23">
      <c r="A346" s="464"/>
      <c r="B346" s="462" t="s">
        <v>1543</v>
      </c>
      <c r="C346" s="484" t="s">
        <v>320</v>
      </c>
      <c r="D346" s="484" t="s">
        <v>147</v>
      </c>
      <c r="E346" s="486">
        <v>2</v>
      </c>
      <c r="F346" s="486">
        <v>2</v>
      </c>
      <c r="G346" s="486">
        <v>2</v>
      </c>
      <c r="H346" s="486">
        <v>2019</v>
      </c>
      <c r="I346" s="486">
        <v>2020</v>
      </c>
      <c r="J346" s="463">
        <f t="shared" si="70"/>
        <v>0.1272</v>
      </c>
      <c r="K346" s="484"/>
      <c r="L346" s="484">
        <f t="shared" si="71"/>
        <v>0.0636</v>
      </c>
      <c r="M346" s="484">
        <f t="shared" si="78"/>
        <v>0.0636</v>
      </c>
      <c r="N346" s="484"/>
      <c r="O346" s="484"/>
      <c r="P346" s="484">
        <f t="shared" si="79"/>
        <v>0.1272</v>
      </c>
      <c r="Q346" s="484"/>
      <c r="R346" s="484"/>
      <c r="S346" s="462" t="str">
        <f t="shared" si="75"/>
        <v>正确</v>
      </c>
      <c r="T346" s="487"/>
      <c r="U346" s="487"/>
      <c r="V346" s="487"/>
      <c r="W346" s="462"/>
    </row>
    <row r="347" ht="23.25" customHeight="1" spans="1:23">
      <c r="A347" s="464"/>
      <c r="B347" s="462" t="s">
        <v>1544</v>
      </c>
      <c r="C347" s="484" t="s">
        <v>320</v>
      </c>
      <c r="D347" s="484" t="s">
        <v>147</v>
      </c>
      <c r="E347" s="486">
        <v>2</v>
      </c>
      <c r="F347" s="486">
        <v>2</v>
      </c>
      <c r="G347" s="486">
        <v>2</v>
      </c>
      <c r="H347" s="486">
        <v>2019</v>
      </c>
      <c r="I347" s="486">
        <v>2020</v>
      </c>
      <c r="J347" s="463">
        <f t="shared" si="70"/>
        <v>0.1272</v>
      </c>
      <c r="K347" s="484"/>
      <c r="L347" s="484">
        <f t="shared" si="71"/>
        <v>0.0636</v>
      </c>
      <c r="M347" s="484">
        <f t="shared" si="78"/>
        <v>0.0636</v>
      </c>
      <c r="N347" s="484"/>
      <c r="O347" s="484"/>
      <c r="P347" s="484">
        <f t="shared" si="79"/>
        <v>0.1272</v>
      </c>
      <c r="Q347" s="484"/>
      <c r="R347" s="484"/>
      <c r="S347" s="462" t="str">
        <f t="shared" si="75"/>
        <v>正确</v>
      </c>
      <c r="T347" s="487"/>
      <c r="U347" s="487"/>
      <c r="V347" s="487"/>
      <c r="W347" s="462"/>
    </row>
    <row r="348" ht="23.25" customHeight="1" spans="1:23">
      <c r="A348" s="464"/>
      <c r="B348" s="462" t="s">
        <v>1545</v>
      </c>
      <c r="C348" s="484" t="s">
        <v>320</v>
      </c>
      <c r="D348" s="484" t="s">
        <v>147</v>
      </c>
      <c r="E348" s="486">
        <v>4</v>
      </c>
      <c r="F348" s="486">
        <v>4</v>
      </c>
      <c r="G348" s="486">
        <v>4</v>
      </c>
      <c r="H348" s="486">
        <v>2019</v>
      </c>
      <c r="I348" s="486">
        <v>2020</v>
      </c>
      <c r="J348" s="463">
        <f t="shared" si="70"/>
        <v>0.2544</v>
      </c>
      <c r="K348" s="484"/>
      <c r="L348" s="484">
        <f t="shared" si="71"/>
        <v>0.1272</v>
      </c>
      <c r="M348" s="484">
        <f t="shared" si="78"/>
        <v>0.1272</v>
      </c>
      <c r="N348" s="484"/>
      <c r="O348" s="484"/>
      <c r="P348" s="484">
        <f t="shared" si="79"/>
        <v>0.2544</v>
      </c>
      <c r="Q348" s="484"/>
      <c r="R348" s="484"/>
      <c r="S348" s="462" t="str">
        <f t="shared" si="75"/>
        <v>正确</v>
      </c>
      <c r="T348" s="487"/>
      <c r="U348" s="487"/>
      <c r="V348" s="487"/>
      <c r="W348" s="462"/>
    </row>
    <row r="349" ht="23.25" customHeight="1" spans="1:23">
      <c r="A349" s="464"/>
      <c r="B349" s="462" t="s">
        <v>1546</v>
      </c>
      <c r="C349" s="484" t="s">
        <v>320</v>
      </c>
      <c r="D349" s="484" t="s">
        <v>147</v>
      </c>
      <c r="E349" s="486">
        <v>2</v>
      </c>
      <c r="F349" s="486">
        <v>2</v>
      </c>
      <c r="G349" s="486">
        <v>2</v>
      </c>
      <c r="H349" s="486">
        <v>2019</v>
      </c>
      <c r="I349" s="486">
        <v>2020</v>
      </c>
      <c r="J349" s="463">
        <f t="shared" si="70"/>
        <v>0.1272</v>
      </c>
      <c r="K349" s="484"/>
      <c r="L349" s="484">
        <f t="shared" si="71"/>
        <v>0.0636</v>
      </c>
      <c r="M349" s="484">
        <f t="shared" si="78"/>
        <v>0.0636</v>
      </c>
      <c r="N349" s="484"/>
      <c r="O349" s="484"/>
      <c r="P349" s="484">
        <f t="shared" si="79"/>
        <v>0.1272</v>
      </c>
      <c r="Q349" s="484"/>
      <c r="R349" s="484"/>
      <c r="S349" s="462" t="str">
        <f t="shared" si="75"/>
        <v>正确</v>
      </c>
      <c r="T349" s="487"/>
      <c r="U349" s="487"/>
      <c r="V349" s="487"/>
      <c r="W349" s="462"/>
    </row>
    <row r="350" ht="23.25" customHeight="1" spans="1:23">
      <c r="A350" s="464"/>
      <c r="B350" s="462" t="s">
        <v>1547</v>
      </c>
      <c r="C350" s="484" t="s">
        <v>320</v>
      </c>
      <c r="D350" s="484" t="s">
        <v>147</v>
      </c>
      <c r="E350" s="486">
        <v>1</v>
      </c>
      <c r="F350" s="486">
        <v>1</v>
      </c>
      <c r="G350" s="486">
        <v>1</v>
      </c>
      <c r="H350" s="486">
        <v>2019</v>
      </c>
      <c r="I350" s="486">
        <v>2020</v>
      </c>
      <c r="J350" s="463">
        <f t="shared" si="70"/>
        <v>0.0636</v>
      </c>
      <c r="K350" s="484"/>
      <c r="L350" s="484">
        <f t="shared" si="71"/>
        <v>0.0318</v>
      </c>
      <c r="M350" s="484">
        <f t="shared" si="78"/>
        <v>0.0318</v>
      </c>
      <c r="N350" s="484"/>
      <c r="O350" s="484"/>
      <c r="P350" s="484">
        <f t="shared" si="79"/>
        <v>0.0636</v>
      </c>
      <c r="Q350" s="484"/>
      <c r="R350" s="484"/>
      <c r="S350" s="462" t="str">
        <f t="shared" si="75"/>
        <v>正确</v>
      </c>
      <c r="T350" s="487"/>
      <c r="U350" s="487"/>
      <c r="V350" s="487"/>
      <c r="W350" s="462"/>
    </row>
    <row r="351" ht="23.25" customHeight="1" spans="1:23">
      <c r="A351" s="464"/>
      <c r="B351" s="462" t="s">
        <v>1548</v>
      </c>
      <c r="C351" s="484" t="s">
        <v>320</v>
      </c>
      <c r="D351" s="484" t="s">
        <v>147</v>
      </c>
      <c r="E351" s="486"/>
      <c r="F351" s="486"/>
      <c r="G351" s="486"/>
      <c r="H351" s="486"/>
      <c r="I351" s="486"/>
      <c r="J351" s="463"/>
      <c r="K351" s="484"/>
      <c r="L351" s="484"/>
      <c r="M351" s="484"/>
      <c r="N351" s="484"/>
      <c r="O351" s="484"/>
      <c r="P351" s="484"/>
      <c r="Q351" s="484"/>
      <c r="R351" s="484"/>
      <c r="S351" s="462" t="str">
        <f t="shared" si="75"/>
        <v>正确</v>
      </c>
      <c r="T351" s="487"/>
      <c r="U351" s="487"/>
      <c r="V351" s="487"/>
      <c r="W351" s="462"/>
    </row>
    <row r="352" ht="23.25" customHeight="1" spans="1:23">
      <c r="A352" s="464"/>
      <c r="B352" s="462" t="s">
        <v>1549</v>
      </c>
      <c r="C352" s="484" t="s">
        <v>320</v>
      </c>
      <c r="D352" s="484" t="s">
        <v>147</v>
      </c>
      <c r="E352" s="486">
        <v>1</v>
      </c>
      <c r="F352" s="486">
        <v>1</v>
      </c>
      <c r="G352" s="486">
        <v>1</v>
      </c>
      <c r="H352" s="486">
        <v>2019</v>
      </c>
      <c r="I352" s="486">
        <v>2020</v>
      </c>
      <c r="J352" s="463">
        <f t="shared" ref="J352:J354" si="80">K352+L352+M352</f>
        <v>0.0636</v>
      </c>
      <c r="K352" s="484"/>
      <c r="L352" s="484">
        <f t="shared" ref="L352:L354" si="81">E352*318/10000</f>
        <v>0.0318</v>
      </c>
      <c r="M352" s="484">
        <f t="shared" ref="M352:M354" si="82">F352*318/10000</f>
        <v>0.0318</v>
      </c>
      <c r="N352" s="484"/>
      <c r="O352" s="484"/>
      <c r="P352" s="484">
        <f t="shared" ref="P352:P354" si="83">L352+M352</f>
        <v>0.0636</v>
      </c>
      <c r="Q352" s="484"/>
      <c r="R352" s="484"/>
      <c r="S352" s="462" t="str">
        <f t="shared" si="75"/>
        <v>正确</v>
      </c>
      <c r="T352" s="487"/>
      <c r="U352" s="487"/>
      <c r="V352" s="487"/>
      <c r="W352" s="462"/>
    </row>
    <row r="353" ht="23.25" customHeight="1" spans="1:23">
      <c r="A353" s="464"/>
      <c r="B353" s="462" t="s">
        <v>1550</v>
      </c>
      <c r="C353" s="484" t="s">
        <v>320</v>
      </c>
      <c r="D353" s="484" t="s">
        <v>147</v>
      </c>
      <c r="E353" s="486">
        <v>1</v>
      </c>
      <c r="F353" s="486">
        <v>1</v>
      </c>
      <c r="G353" s="486">
        <v>1</v>
      </c>
      <c r="H353" s="486">
        <v>2019</v>
      </c>
      <c r="I353" s="486">
        <v>2020</v>
      </c>
      <c r="J353" s="463">
        <f t="shared" si="80"/>
        <v>0.0636</v>
      </c>
      <c r="K353" s="484"/>
      <c r="L353" s="484">
        <f t="shared" si="81"/>
        <v>0.0318</v>
      </c>
      <c r="M353" s="484">
        <f t="shared" si="82"/>
        <v>0.0318</v>
      </c>
      <c r="N353" s="484"/>
      <c r="O353" s="484"/>
      <c r="P353" s="484">
        <f t="shared" si="83"/>
        <v>0.0636</v>
      </c>
      <c r="Q353" s="484"/>
      <c r="R353" s="484"/>
      <c r="S353" s="462" t="str">
        <f t="shared" si="75"/>
        <v>正确</v>
      </c>
      <c r="T353" s="487"/>
      <c r="U353" s="487"/>
      <c r="V353" s="487"/>
      <c r="W353" s="462"/>
    </row>
    <row r="354" ht="23.25" customHeight="1" spans="1:23">
      <c r="A354" s="464"/>
      <c r="B354" s="462" t="s">
        <v>1551</v>
      </c>
      <c r="C354" s="484" t="s">
        <v>320</v>
      </c>
      <c r="D354" s="484" t="s">
        <v>147</v>
      </c>
      <c r="E354" s="486">
        <v>1</v>
      </c>
      <c r="F354" s="486">
        <v>1</v>
      </c>
      <c r="G354" s="486">
        <v>1</v>
      </c>
      <c r="H354" s="486">
        <v>2019</v>
      </c>
      <c r="I354" s="486">
        <v>2020</v>
      </c>
      <c r="J354" s="463">
        <f t="shared" si="80"/>
        <v>0.0636</v>
      </c>
      <c r="K354" s="484"/>
      <c r="L354" s="484">
        <f t="shared" si="81"/>
        <v>0.0318</v>
      </c>
      <c r="M354" s="484">
        <f t="shared" si="82"/>
        <v>0.0318</v>
      </c>
      <c r="N354" s="484"/>
      <c r="O354" s="484"/>
      <c r="P354" s="484">
        <f t="shared" si="83"/>
        <v>0.0636</v>
      </c>
      <c r="Q354" s="484"/>
      <c r="R354" s="484"/>
      <c r="S354" s="462" t="str">
        <f t="shared" si="75"/>
        <v>正确</v>
      </c>
      <c r="T354" s="487"/>
      <c r="U354" s="487"/>
      <c r="V354" s="487"/>
      <c r="W354" s="462"/>
    </row>
    <row r="355" spans="1:24">
      <c r="A355" s="464"/>
      <c r="B355" s="462" t="s">
        <v>1566</v>
      </c>
      <c r="C355" s="484" t="s">
        <v>320</v>
      </c>
      <c r="D355" s="484" t="s">
        <v>147</v>
      </c>
      <c r="E355" s="486">
        <v>40</v>
      </c>
      <c r="F355" s="486">
        <v>40</v>
      </c>
      <c r="G355" s="486">
        <v>40</v>
      </c>
      <c r="H355" s="486">
        <v>2018</v>
      </c>
      <c r="I355" s="486">
        <v>2020</v>
      </c>
      <c r="J355" s="463">
        <v>55.976</v>
      </c>
      <c r="K355" s="484">
        <v>6.216</v>
      </c>
      <c r="L355" s="484">
        <v>24.88</v>
      </c>
      <c r="M355" s="484">
        <v>24.88</v>
      </c>
      <c r="N355" s="484"/>
      <c r="O355" s="484"/>
      <c r="P355" s="484"/>
      <c r="Q355" s="484">
        <v>55.976</v>
      </c>
      <c r="R355" s="484"/>
      <c r="S355" s="462" t="str">
        <f t="shared" si="75"/>
        <v>正确</v>
      </c>
      <c r="T355" s="487"/>
      <c r="U355" s="453"/>
      <c r="V355" s="487" t="s">
        <v>271</v>
      </c>
      <c r="W355" s="487" t="s">
        <v>1567</v>
      </c>
      <c r="X355" s="480"/>
    </row>
    <row r="356" spans="1:24">
      <c r="A356" s="464"/>
      <c r="B356" s="462" t="s">
        <v>1568</v>
      </c>
      <c r="C356" s="484" t="s">
        <v>320</v>
      </c>
      <c r="D356" s="484" t="s">
        <v>147</v>
      </c>
      <c r="E356" s="486">
        <v>62</v>
      </c>
      <c r="F356" s="486">
        <v>62</v>
      </c>
      <c r="G356" s="486">
        <v>62</v>
      </c>
      <c r="H356" s="486">
        <v>2018</v>
      </c>
      <c r="I356" s="486">
        <v>2020</v>
      </c>
      <c r="J356" s="463">
        <v>86.7132</v>
      </c>
      <c r="K356" s="484">
        <v>9.6348</v>
      </c>
      <c r="L356" s="484">
        <v>38.5392</v>
      </c>
      <c r="M356" s="484">
        <v>38.5392</v>
      </c>
      <c r="N356" s="484"/>
      <c r="O356" s="484"/>
      <c r="P356" s="484">
        <v>3.0132</v>
      </c>
      <c r="Q356" s="484">
        <v>83.7</v>
      </c>
      <c r="R356" s="484"/>
      <c r="S356" s="462" t="str">
        <f t="shared" si="75"/>
        <v>正确</v>
      </c>
      <c r="T356" s="487"/>
      <c r="U356" s="487"/>
      <c r="V356" s="487"/>
      <c r="W356" s="487" t="s">
        <v>1567</v>
      </c>
      <c r="X356" s="480"/>
    </row>
    <row r="357" ht="27" spans="1:24">
      <c r="A357" s="464"/>
      <c r="B357" s="462" t="s">
        <v>1569</v>
      </c>
      <c r="C357" s="484" t="s">
        <v>320</v>
      </c>
      <c r="D357" s="484" t="s">
        <v>147</v>
      </c>
      <c r="E357" s="486">
        <v>5</v>
      </c>
      <c r="F357" s="486">
        <v>5</v>
      </c>
      <c r="G357" s="486">
        <v>5</v>
      </c>
      <c r="H357" s="486">
        <v>2018</v>
      </c>
      <c r="I357" s="486">
        <v>2020</v>
      </c>
      <c r="J357" s="463">
        <v>6.997</v>
      </c>
      <c r="K357" s="484">
        <v>0.777</v>
      </c>
      <c r="L357" s="484">
        <v>3.11</v>
      </c>
      <c r="M357" s="484">
        <v>3.11</v>
      </c>
      <c r="N357" s="484"/>
      <c r="O357" s="484"/>
      <c r="P357" s="484"/>
      <c r="Q357" s="484">
        <v>6.997</v>
      </c>
      <c r="R357" s="484"/>
      <c r="S357" s="462" t="str">
        <f t="shared" si="75"/>
        <v>正确</v>
      </c>
      <c r="T357" s="487"/>
      <c r="U357" s="453"/>
      <c r="V357" s="487" t="s">
        <v>275</v>
      </c>
      <c r="W357" s="487" t="s">
        <v>1567</v>
      </c>
      <c r="X357" s="480"/>
    </row>
    <row r="358" spans="1:24">
      <c r="A358" s="464"/>
      <c r="B358" s="462" t="s">
        <v>1570</v>
      </c>
      <c r="C358" s="484"/>
      <c r="D358" s="484"/>
      <c r="E358" s="486">
        <v>3</v>
      </c>
      <c r="F358" s="486">
        <v>3</v>
      </c>
      <c r="G358" s="486">
        <v>3</v>
      </c>
      <c r="H358" s="486">
        <v>2018</v>
      </c>
      <c r="I358" s="486">
        <v>2020</v>
      </c>
      <c r="J358" s="463">
        <v>4.1982</v>
      </c>
      <c r="K358" s="484">
        <v>0.4662</v>
      </c>
      <c r="L358" s="484">
        <v>1.866</v>
      </c>
      <c r="M358" s="484">
        <v>1.866</v>
      </c>
      <c r="N358" s="484"/>
      <c r="O358" s="484"/>
      <c r="P358" s="484"/>
      <c r="Q358" s="484">
        <v>4.1982</v>
      </c>
      <c r="R358" s="484"/>
      <c r="S358" s="462" t="str">
        <f t="shared" si="75"/>
        <v>正确</v>
      </c>
      <c r="T358" s="487"/>
      <c r="U358" s="487"/>
      <c r="V358" s="487"/>
      <c r="W358" s="487" t="s">
        <v>1567</v>
      </c>
      <c r="X358" s="480"/>
    </row>
    <row r="359" ht="27" spans="1:24">
      <c r="A359" s="464"/>
      <c r="B359" s="462" t="s">
        <v>1571</v>
      </c>
      <c r="C359" s="484"/>
      <c r="D359" s="484"/>
      <c r="E359" s="486">
        <v>1</v>
      </c>
      <c r="F359" s="486">
        <v>1</v>
      </c>
      <c r="G359" s="486">
        <v>1</v>
      </c>
      <c r="H359" s="486">
        <v>2018</v>
      </c>
      <c r="I359" s="486">
        <v>2020</v>
      </c>
      <c r="J359" s="463">
        <v>1.3994</v>
      </c>
      <c r="K359" s="484">
        <v>0.1554</v>
      </c>
      <c r="L359" s="484">
        <v>0.622</v>
      </c>
      <c r="M359" s="484">
        <v>0.622</v>
      </c>
      <c r="N359" s="484"/>
      <c r="O359" s="484"/>
      <c r="P359" s="484"/>
      <c r="Q359" s="484">
        <v>1.3994</v>
      </c>
      <c r="R359" s="484"/>
      <c r="S359" s="462" t="str">
        <f t="shared" si="75"/>
        <v>正确</v>
      </c>
      <c r="T359" s="487"/>
      <c r="U359" s="487"/>
      <c r="V359" s="487"/>
      <c r="W359" s="487" t="s">
        <v>1567</v>
      </c>
      <c r="X359" s="480"/>
    </row>
    <row r="360" spans="1:24">
      <c r="A360" s="464"/>
      <c r="B360" s="462" t="s">
        <v>1572</v>
      </c>
      <c r="C360" s="484"/>
      <c r="D360" s="484"/>
      <c r="E360" s="486">
        <v>3</v>
      </c>
      <c r="F360" s="486">
        <v>3</v>
      </c>
      <c r="G360" s="486">
        <v>3</v>
      </c>
      <c r="H360" s="486">
        <v>2018</v>
      </c>
      <c r="I360" s="486">
        <v>2020</v>
      </c>
      <c r="J360" s="463">
        <v>4.1982</v>
      </c>
      <c r="K360" s="484">
        <v>0.4662</v>
      </c>
      <c r="L360" s="484">
        <v>1.866</v>
      </c>
      <c r="M360" s="484">
        <v>1.866</v>
      </c>
      <c r="N360" s="484"/>
      <c r="O360" s="484"/>
      <c r="P360" s="484"/>
      <c r="Q360" s="484">
        <v>4.1982</v>
      </c>
      <c r="R360" s="484"/>
      <c r="S360" s="462" t="str">
        <f t="shared" si="75"/>
        <v>正确</v>
      </c>
      <c r="T360" s="487"/>
      <c r="U360" s="487"/>
      <c r="V360" s="487"/>
      <c r="W360" s="487" t="s">
        <v>1567</v>
      </c>
      <c r="X360" s="480"/>
    </row>
    <row r="361" spans="1:23">
      <c r="A361" s="464"/>
      <c r="B361" s="462" t="s">
        <v>283</v>
      </c>
      <c r="C361" s="484"/>
      <c r="D361" s="484"/>
      <c r="E361" s="486">
        <v>2</v>
      </c>
      <c r="F361" s="486">
        <v>2</v>
      </c>
      <c r="G361" s="486">
        <v>2</v>
      </c>
      <c r="H361" s="486">
        <v>2018</v>
      </c>
      <c r="I361" s="486">
        <v>2020</v>
      </c>
      <c r="J361" s="463">
        <v>2.7988</v>
      </c>
      <c r="K361" s="484">
        <v>0.3108</v>
      </c>
      <c r="L361" s="484">
        <v>1.244</v>
      </c>
      <c r="M361" s="484">
        <v>1.244</v>
      </c>
      <c r="N361" s="484"/>
      <c r="O361" s="484"/>
      <c r="P361" s="484"/>
      <c r="Q361" s="484">
        <v>2.7988</v>
      </c>
      <c r="R361" s="484"/>
      <c r="S361" s="462" t="str">
        <f t="shared" si="75"/>
        <v>正确</v>
      </c>
      <c r="T361" s="487"/>
      <c r="U361" s="487"/>
      <c r="V361" s="487"/>
      <c r="W361" s="487"/>
    </row>
    <row r="362" s="446" customFormat="1" spans="1:26">
      <c r="A362" s="464">
        <v>3</v>
      </c>
      <c r="B362" s="462" t="s">
        <v>1573</v>
      </c>
      <c r="C362" s="463" t="s">
        <v>320</v>
      </c>
      <c r="D362" s="463" t="s">
        <v>147</v>
      </c>
      <c r="E362" s="465">
        <v>16</v>
      </c>
      <c r="F362" s="465">
        <v>16</v>
      </c>
      <c r="G362" s="465">
        <v>16</v>
      </c>
      <c r="H362" s="465">
        <v>2018</v>
      </c>
      <c r="I362" s="465">
        <v>2020</v>
      </c>
      <c r="J362" s="463">
        <f t="shared" ref="J362:J365" si="84">K362+L362+M362</f>
        <v>7.2</v>
      </c>
      <c r="K362" s="463">
        <v>2.4</v>
      </c>
      <c r="L362" s="463">
        <v>2.4</v>
      </c>
      <c r="M362" s="463">
        <v>2.4</v>
      </c>
      <c r="N362" s="463">
        <f>J362</f>
        <v>7.2</v>
      </c>
      <c r="O362" s="463"/>
      <c r="P362" s="463"/>
      <c r="Q362" s="463"/>
      <c r="R362" s="463"/>
      <c r="S362" s="462" t="str">
        <f t="shared" si="75"/>
        <v>正确</v>
      </c>
      <c r="T362" s="462"/>
      <c r="U362" s="487"/>
      <c r="V362" s="462" t="s">
        <v>277</v>
      </c>
      <c r="W362" s="462" t="s">
        <v>41</v>
      </c>
      <c r="X362" s="487"/>
      <c r="Y362" s="487"/>
      <c r="Z362" s="487"/>
    </row>
    <row r="363" s="446" customFormat="1" ht="24.95" customHeight="1" spans="1:26">
      <c r="A363" s="464"/>
      <c r="B363" s="462" t="s">
        <v>1540</v>
      </c>
      <c r="C363" s="463" t="s">
        <v>320</v>
      </c>
      <c r="D363" s="463" t="s">
        <v>147</v>
      </c>
      <c r="E363" s="465">
        <v>2</v>
      </c>
      <c r="F363" s="465">
        <v>2</v>
      </c>
      <c r="G363" s="465">
        <v>2</v>
      </c>
      <c r="H363" s="465">
        <v>2018</v>
      </c>
      <c r="I363" s="465">
        <v>2020</v>
      </c>
      <c r="J363" s="463">
        <f t="shared" si="84"/>
        <v>0.9</v>
      </c>
      <c r="K363" s="463">
        <f t="shared" ref="K363:M363" si="85">E363*0.15</f>
        <v>0.3</v>
      </c>
      <c r="L363" s="463">
        <f t="shared" si="85"/>
        <v>0.3</v>
      </c>
      <c r="M363" s="463">
        <f t="shared" si="85"/>
        <v>0.3</v>
      </c>
      <c r="N363" s="484">
        <v>0.9</v>
      </c>
      <c r="O363" s="484"/>
      <c r="P363" s="484"/>
      <c r="Q363" s="484"/>
      <c r="R363" s="484"/>
      <c r="S363" s="462" t="str">
        <f t="shared" si="75"/>
        <v>正确</v>
      </c>
      <c r="T363" s="462"/>
      <c r="U363" s="462"/>
      <c r="V363" s="462"/>
      <c r="W363" s="462"/>
      <c r="X363" s="487"/>
      <c r="Y363" s="487"/>
      <c r="Z363" s="487"/>
    </row>
    <row r="364" s="446" customFormat="1" ht="24.95" customHeight="1" spans="1:26">
      <c r="A364" s="464"/>
      <c r="B364" s="462" t="s">
        <v>1541</v>
      </c>
      <c r="C364" s="463" t="s">
        <v>320</v>
      </c>
      <c r="D364" s="463" t="s">
        <v>147</v>
      </c>
      <c r="E364" s="465"/>
      <c r="F364" s="465"/>
      <c r="G364" s="465"/>
      <c r="H364" s="465"/>
      <c r="I364" s="465"/>
      <c r="J364" s="463"/>
      <c r="K364" s="463"/>
      <c r="L364" s="463"/>
      <c r="M364" s="463"/>
      <c r="N364" s="484"/>
      <c r="O364" s="484"/>
      <c r="P364" s="484"/>
      <c r="Q364" s="484"/>
      <c r="R364" s="484"/>
      <c r="S364" s="462" t="str">
        <f t="shared" si="75"/>
        <v>正确</v>
      </c>
      <c r="T364" s="462"/>
      <c r="U364" s="462"/>
      <c r="V364" s="462"/>
      <c r="W364" s="462"/>
      <c r="X364" s="487"/>
      <c r="Y364" s="487"/>
      <c r="Z364" s="487"/>
    </row>
    <row r="365" s="446" customFormat="1" ht="24.95" customHeight="1" spans="1:26">
      <c r="A365" s="464"/>
      <c r="B365" s="462" t="s">
        <v>1542</v>
      </c>
      <c r="C365" s="463" t="s">
        <v>320</v>
      </c>
      <c r="D365" s="463" t="s">
        <v>147</v>
      </c>
      <c r="E365" s="465">
        <v>2</v>
      </c>
      <c r="F365" s="465">
        <v>2</v>
      </c>
      <c r="G365" s="465">
        <v>2</v>
      </c>
      <c r="H365" s="465">
        <v>2018</v>
      </c>
      <c r="I365" s="465">
        <v>2020</v>
      </c>
      <c r="J365" s="463">
        <f t="shared" si="84"/>
        <v>0.9</v>
      </c>
      <c r="K365" s="463">
        <f t="shared" ref="K365:M365" si="86">E365*0.15</f>
        <v>0.3</v>
      </c>
      <c r="L365" s="463">
        <f t="shared" si="86"/>
        <v>0.3</v>
      </c>
      <c r="M365" s="463">
        <f t="shared" si="86"/>
        <v>0.3</v>
      </c>
      <c r="N365" s="484">
        <v>0.9</v>
      </c>
      <c r="O365" s="484"/>
      <c r="P365" s="484"/>
      <c r="Q365" s="484"/>
      <c r="R365" s="484"/>
      <c r="S365" s="462" t="str">
        <f t="shared" si="75"/>
        <v>正确</v>
      </c>
      <c r="T365" s="462"/>
      <c r="U365" s="462"/>
      <c r="V365" s="462"/>
      <c r="W365" s="462"/>
      <c r="X365" s="487"/>
      <c r="Y365" s="487"/>
      <c r="Z365" s="487"/>
    </row>
    <row r="366" s="446" customFormat="1" ht="24.95" customHeight="1" spans="1:26">
      <c r="A366" s="464"/>
      <c r="B366" s="462" t="s">
        <v>1543</v>
      </c>
      <c r="C366" s="463" t="s">
        <v>320</v>
      </c>
      <c r="D366" s="463" t="s">
        <v>147</v>
      </c>
      <c r="E366" s="465"/>
      <c r="F366" s="465"/>
      <c r="G366" s="465"/>
      <c r="H366" s="465"/>
      <c r="I366" s="465"/>
      <c r="J366" s="463"/>
      <c r="K366" s="463"/>
      <c r="L366" s="463"/>
      <c r="M366" s="463"/>
      <c r="N366" s="484"/>
      <c r="O366" s="484"/>
      <c r="P366" s="484"/>
      <c r="Q366" s="484"/>
      <c r="R366" s="484"/>
      <c r="S366" s="462" t="str">
        <f t="shared" si="75"/>
        <v>正确</v>
      </c>
      <c r="T366" s="462"/>
      <c r="U366" s="462"/>
      <c r="V366" s="462"/>
      <c r="W366" s="462"/>
      <c r="X366" s="487"/>
      <c r="Y366" s="487"/>
      <c r="Z366" s="487"/>
    </row>
    <row r="367" s="446" customFormat="1" ht="24.95" customHeight="1" spans="1:26">
      <c r="A367" s="464"/>
      <c r="B367" s="462" t="s">
        <v>1544</v>
      </c>
      <c r="C367" s="463" t="s">
        <v>320</v>
      </c>
      <c r="D367" s="463" t="s">
        <v>147</v>
      </c>
      <c r="E367" s="465"/>
      <c r="F367" s="465"/>
      <c r="G367" s="465"/>
      <c r="H367" s="465"/>
      <c r="I367" s="465"/>
      <c r="J367" s="463"/>
      <c r="K367" s="463"/>
      <c r="L367" s="463"/>
      <c r="M367" s="463"/>
      <c r="N367" s="484"/>
      <c r="O367" s="484"/>
      <c r="P367" s="484"/>
      <c r="Q367" s="484"/>
      <c r="R367" s="484"/>
      <c r="S367" s="462" t="str">
        <f t="shared" si="75"/>
        <v>正确</v>
      </c>
      <c r="T367" s="462"/>
      <c r="U367" s="462"/>
      <c r="V367" s="462"/>
      <c r="W367" s="462"/>
      <c r="X367" s="487"/>
      <c r="Y367" s="487"/>
      <c r="Z367" s="487"/>
    </row>
    <row r="368" s="446" customFormat="1" ht="24.95" customHeight="1" spans="1:26">
      <c r="A368" s="464"/>
      <c r="B368" s="462" t="s">
        <v>1545</v>
      </c>
      <c r="C368" s="463" t="s">
        <v>320</v>
      </c>
      <c r="D368" s="463" t="s">
        <v>147</v>
      </c>
      <c r="E368" s="465"/>
      <c r="F368" s="465"/>
      <c r="G368" s="465"/>
      <c r="H368" s="465"/>
      <c r="I368" s="465"/>
      <c r="J368" s="463"/>
      <c r="K368" s="463"/>
      <c r="L368" s="463"/>
      <c r="M368" s="463"/>
      <c r="N368" s="484"/>
      <c r="O368" s="484"/>
      <c r="P368" s="484"/>
      <c r="Q368" s="484"/>
      <c r="R368" s="484"/>
      <c r="S368" s="462" t="str">
        <f t="shared" si="75"/>
        <v>正确</v>
      </c>
      <c r="T368" s="462"/>
      <c r="U368" s="462"/>
      <c r="V368" s="462"/>
      <c r="W368" s="462"/>
      <c r="X368" s="487"/>
      <c r="Y368" s="487"/>
      <c r="Z368" s="487"/>
    </row>
    <row r="369" s="446" customFormat="1" ht="24.95" customHeight="1" spans="1:26">
      <c r="A369" s="464"/>
      <c r="B369" s="462" t="s">
        <v>1546</v>
      </c>
      <c r="C369" s="463" t="s">
        <v>320</v>
      </c>
      <c r="D369" s="463" t="s">
        <v>147</v>
      </c>
      <c r="E369" s="465">
        <v>2</v>
      </c>
      <c r="F369" s="465">
        <v>2</v>
      </c>
      <c r="G369" s="465">
        <v>2</v>
      </c>
      <c r="H369" s="465">
        <v>2018</v>
      </c>
      <c r="I369" s="465">
        <v>2020</v>
      </c>
      <c r="J369" s="463">
        <f t="shared" ref="J369:J372" si="87">K369+L369+M369</f>
        <v>0.9</v>
      </c>
      <c r="K369" s="463">
        <f t="shared" ref="K369:M369" si="88">E369*0.15</f>
        <v>0.3</v>
      </c>
      <c r="L369" s="463">
        <f t="shared" si="88"/>
        <v>0.3</v>
      </c>
      <c r="M369" s="463">
        <f t="shared" si="88"/>
        <v>0.3</v>
      </c>
      <c r="N369" s="484">
        <v>0.9</v>
      </c>
      <c r="O369" s="484"/>
      <c r="P369" s="484"/>
      <c r="Q369" s="484"/>
      <c r="R369" s="484"/>
      <c r="S369" s="462" t="str">
        <f t="shared" si="75"/>
        <v>正确</v>
      </c>
      <c r="T369" s="462"/>
      <c r="U369" s="462"/>
      <c r="V369" s="462"/>
      <c r="W369" s="462"/>
      <c r="X369" s="487"/>
      <c r="Y369" s="487"/>
      <c r="Z369" s="487"/>
    </row>
    <row r="370" s="446" customFormat="1" ht="24.95" customHeight="1" spans="1:26">
      <c r="A370" s="464"/>
      <c r="B370" s="462" t="s">
        <v>1547</v>
      </c>
      <c r="C370" s="463" t="s">
        <v>320</v>
      </c>
      <c r="D370" s="463" t="s">
        <v>147</v>
      </c>
      <c r="E370" s="465">
        <v>4</v>
      </c>
      <c r="F370" s="465">
        <v>4</v>
      </c>
      <c r="G370" s="465">
        <v>4</v>
      </c>
      <c r="H370" s="465">
        <v>2018</v>
      </c>
      <c r="I370" s="465">
        <v>2020</v>
      </c>
      <c r="J370" s="463">
        <f t="shared" si="87"/>
        <v>1.8</v>
      </c>
      <c r="K370" s="463">
        <f t="shared" ref="K370:M370" si="89">E370*0.15</f>
        <v>0.6</v>
      </c>
      <c r="L370" s="463">
        <f t="shared" si="89"/>
        <v>0.6</v>
      </c>
      <c r="M370" s="463">
        <f t="shared" si="89"/>
        <v>0.6</v>
      </c>
      <c r="N370" s="484">
        <v>1.8</v>
      </c>
      <c r="O370" s="484"/>
      <c r="P370" s="484"/>
      <c r="Q370" s="484"/>
      <c r="R370" s="484"/>
      <c r="S370" s="462" t="str">
        <f t="shared" si="75"/>
        <v>正确</v>
      </c>
      <c r="T370" s="462"/>
      <c r="U370" s="462"/>
      <c r="V370" s="462"/>
      <c r="W370" s="462"/>
      <c r="X370" s="487"/>
      <c r="Y370" s="487"/>
      <c r="Z370" s="487"/>
    </row>
    <row r="371" s="446" customFormat="1" ht="24.95" customHeight="1" spans="1:26">
      <c r="A371" s="464"/>
      <c r="B371" s="462" t="s">
        <v>1548</v>
      </c>
      <c r="C371" s="463" t="s">
        <v>320</v>
      </c>
      <c r="D371" s="463" t="s">
        <v>147</v>
      </c>
      <c r="E371" s="465">
        <v>2</v>
      </c>
      <c r="F371" s="465">
        <v>2</v>
      </c>
      <c r="G371" s="465">
        <v>2</v>
      </c>
      <c r="H371" s="465">
        <v>2018</v>
      </c>
      <c r="I371" s="465">
        <v>2020</v>
      </c>
      <c r="J371" s="463">
        <f t="shared" si="87"/>
        <v>0.9</v>
      </c>
      <c r="K371" s="463">
        <f t="shared" ref="K371:M371" si="90">E371*0.15</f>
        <v>0.3</v>
      </c>
      <c r="L371" s="463">
        <f t="shared" si="90"/>
        <v>0.3</v>
      </c>
      <c r="M371" s="463">
        <f t="shared" si="90"/>
        <v>0.3</v>
      </c>
      <c r="N371" s="484">
        <v>0.9</v>
      </c>
      <c r="O371" s="484"/>
      <c r="P371" s="484"/>
      <c r="Q371" s="484"/>
      <c r="R371" s="484"/>
      <c r="S371" s="462" t="str">
        <f t="shared" si="75"/>
        <v>正确</v>
      </c>
      <c r="T371" s="462"/>
      <c r="U371" s="462"/>
      <c r="V371" s="462"/>
      <c r="W371" s="462"/>
      <c r="X371" s="487"/>
      <c r="Y371" s="487"/>
      <c r="Z371" s="487"/>
    </row>
    <row r="372" s="446" customFormat="1" ht="24.95" customHeight="1" spans="1:26">
      <c r="A372" s="464"/>
      <c r="B372" s="462" t="s">
        <v>1549</v>
      </c>
      <c r="C372" s="463" t="s">
        <v>320</v>
      </c>
      <c r="D372" s="463" t="s">
        <v>147</v>
      </c>
      <c r="E372" s="465">
        <v>2</v>
      </c>
      <c r="F372" s="465">
        <v>2</v>
      </c>
      <c r="G372" s="465">
        <v>2</v>
      </c>
      <c r="H372" s="465">
        <v>2018</v>
      </c>
      <c r="I372" s="465">
        <v>2020</v>
      </c>
      <c r="J372" s="463">
        <f t="shared" si="87"/>
        <v>0.9</v>
      </c>
      <c r="K372" s="463">
        <f t="shared" ref="K372:M372" si="91">E372*0.15</f>
        <v>0.3</v>
      </c>
      <c r="L372" s="463">
        <f t="shared" si="91"/>
        <v>0.3</v>
      </c>
      <c r="M372" s="463">
        <f t="shared" si="91"/>
        <v>0.3</v>
      </c>
      <c r="N372" s="484">
        <v>0.9</v>
      </c>
      <c r="O372" s="484"/>
      <c r="P372" s="484"/>
      <c r="Q372" s="484"/>
      <c r="R372" s="484"/>
      <c r="S372" s="462" t="str">
        <f t="shared" si="75"/>
        <v>正确</v>
      </c>
      <c r="T372" s="462"/>
      <c r="U372" s="462"/>
      <c r="V372" s="462"/>
      <c r="W372" s="462"/>
      <c r="X372" s="487"/>
      <c r="Y372" s="487"/>
      <c r="Z372" s="487"/>
    </row>
    <row r="373" s="446" customFormat="1" ht="24.95" customHeight="1" spans="1:26">
      <c r="A373" s="464"/>
      <c r="B373" s="462" t="s">
        <v>1550</v>
      </c>
      <c r="C373" s="463" t="s">
        <v>320</v>
      </c>
      <c r="D373" s="463" t="s">
        <v>147</v>
      </c>
      <c r="E373" s="465"/>
      <c r="F373" s="465"/>
      <c r="G373" s="465"/>
      <c r="H373" s="465"/>
      <c r="I373" s="465"/>
      <c r="J373" s="463"/>
      <c r="K373" s="463"/>
      <c r="L373" s="463"/>
      <c r="M373" s="463"/>
      <c r="N373" s="484"/>
      <c r="O373" s="484"/>
      <c r="P373" s="484"/>
      <c r="Q373" s="484"/>
      <c r="R373" s="484"/>
      <c r="S373" s="462" t="str">
        <f t="shared" si="75"/>
        <v>正确</v>
      </c>
      <c r="T373" s="462"/>
      <c r="U373" s="462"/>
      <c r="V373" s="462"/>
      <c r="W373" s="462"/>
      <c r="X373" s="487"/>
      <c r="Y373" s="487"/>
      <c r="Z373" s="487"/>
    </row>
    <row r="374" s="446" customFormat="1" ht="24.95" customHeight="1" spans="1:26">
      <c r="A374" s="464"/>
      <c r="B374" s="462" t="s">
        <v>1551</v>
      </c>
      <c r="C374" s="463" t="s">
        <v>320</v>
      </c>
      <c r="D374" s="463" t="s">
        <v>147</v>
      </c>
      <c r="E374" s="465">
        <v>2</v>
      </c>
      <c r="F374" s="465">
        <v>2</v>
      </c>
      <c r="G374" s="465">
        <v>2</v>
      </c>
      <c r="H374" s="465">
        <v>2018</v>
      </c>
      <c r="I374" s="465">
        <v>2020</v>
      </c>
      <c r="J374" s="463">
        <f>K374+L374+M374</f>
        <v>0.9</v>
      </c>
      <c r="K374" s="463">
        <f t="shared" ref="K374:M374" si="92">E374*0.15</f>
        <v>0.3</v>
      </c>
      <c r="L374" s="463">
        <f t="shared" si="92"/>
        <v>0.3</v>
      </c>
      <c r="M374" s="463">
        <f t="shared" si="92"/>
        <v>0.3</v>
      </c>
      <c r="N374" s="484">
        <v>0.9</v>
      </c>
      <c r="O374" s="484"/>
      <c r="P374" s="484"/>
      <c r="Q374" s="484"/>
      <c r="R374" s="484"/>
      <c r="S374" s="462" t="str">
        <f t="shared" si="75"/>
        <v>正确</v>
      </c>
      <c r="T374" s="462"/>
      <c r="U374" s="462"/>
      <c r="V374" s="462"/>
      <c r="W374" s="462"/>
      <c r="X374" s="487"/>
      <c r="Y374" s="487"/>
      <c r="Z374" s="487"/>
    </row>
    <row r="375" ht="23.25" customHeight="1" spans="1:23">
      <c r="A375" s="464">
        <v>1</v>
      </c>
      <c r="B375" s="462" t="s">
        <v>857</v>
      </c>
      <c r="C375" s="463" t="s">
        <v>320</v>
      </c>
      <c r="D375" s="463" t="s">
        <v>320</v>
      </c>
      <c r="E375" s="465">
        <f t="shared" ref="E375:G375" si="93">SUM(E378:E389)</f>
        <v>54506.5</v>
      </c>
      <c r="F375" s="465">
        <f t="shared" si="93"/>
        <v>1922</v>
      </c>
      <c r="G375" s="465">
        <f t="shared" si="93"/>
        <v>7123</v>
      </c>
      <c r="H375" s="465">
        <v>2018</v>
      </c>
      <c r="I375" s="465">
        <v>2020</v>
      </c>
      <c r="J375" s="463">
        <f t="shared" ref="J375:O375" si="94">J376+J403+J430+J443+J456+J469+J471</f>
        <v>7023.103382</v>
      </c>
      <c r="K375" s="463">
        <f t="shared" si="94"/>
        <v>2981.8168</v>
      </c>
      <c r="L375" s="463">
        <f t="shared" si="94"/>
        <v>3967.292194</v>
      </c>
      <c r="M375" s="463">
        <f t="shared" si="94"/>
        <v>73.994388</v>
      </c>
      <c r="N375" s="463">
        <f t="shared" si="94"/>
        <v>274</v>
      </c>
      <c r="O375" s="463">
        <f t="shared" si="94"/>
        <v>6749.103382</v>
      </c>
      <c r="P375" s="463"/>
      <c r="Q375" s="463"/>
      <c r="R375" s="463"/>
      <c r="S375" s="462" t="str">
        <f t="shared" si="75"/>
        <v>正确</v>
      </c>
      <c r="T375" s="462"/>
      <c r="U375" s="462"/>
      <c r="V375" s="462" t="s">
        <v>320</v>
      </c>
      <c r="W375" s="462" t="s">
        <v>41</v>
      </c>
    </row>
    <row r="376" ht="23.25" customHeight="1" spans="1:23">
      <c r="A376" s="464">
        <v>2</v>
      </c>
      <c r="B376" s="462" t="s">
        <v>42</v>
      </c>
      <c r="C376" s="463" t="s">
        <v>52</v>
      </c>
      <c r="D376" s="463" t="s">
        <v>45</v>
      </c>
      <c r="E376" s="465">
        <f>E377+E390</f>
        <v>54506.5</v>
      </c>
      <c r="F376" s="465">
        <v>2274</v>
      </c>
      <c r="G376" s="465">
        <v>8706</v>
      </c>
      <c r="H376" s="465">
        <v>2018</v>
      </c>
      <c r="I376" s="465">
        <v>2020</v>
      </c>
      <c r="J376" s="463"/>
      <c r="K376" s="463"/>
      <c r="L376" s="463"/>
      <c r="M376" s="463"/>
      <c r="N376" s="463"/>
      <c r="O376" s="463"/>
      <c r="P376" s="463"/>
      <c r="Q376" s="463"/>
      <c r="R376" s="463"/>
      <c r="S376" s="462" t="str">
        <f t="shared" si="75"/>
        <v>正确</v>
      </c>
      <c r="T376" s="462" t="s">
        <v>1574</v>
      </c>
      <c r="U376" s="462" t="s">
        <v>1575</v>
      </c>
      <c r="V376" s="462"/>
      <c r="W376" s="462" t="s">
        <v>41</v>
      </c>
    </row>
    <row r="377" ht="23.25" customHeight="1" spans="1:23">
      <c r="A377" s="464">
        <v>3</v>
      </c>
      <c r="B377" s="462" t="s">
        <v>1114</v>
      </c>
      <c r="C377" s="463" t="s">
        <v>52</v>
      </c>
      <c r="D377" s="463" t="s">
        <v>45</v>
      </c>
      <c r="E377" s="465">
        <f t="shared" ref="E377:G377" si="95">SUM(E378:E389)</f>
        <v>54506.5</v>
      </c>
      <c r="F377" s="465">
        <f t="shared" si="95"/>
        <v>1922</v>
      </c>
      <c r="G377" s="465">
        <f t="shared" si="95"/>
        <v>7123</v>
      </c>
      <c r="H377" s="465">
        <v>2018</v>
      </c>
      <c r="I377" s="465">
        <v>2020</v>
      </c>
      <c r="J377" s="463"/>
      <c r="K377" s="463"/>
      <c r="L377" s="463"/>
      <c r="M377" s="463"/>
      <c r="N377" s="484"/>
      <c r="O377" s="484"/>
      <c r="P377" s="484"/>
      <c r="Q377" s="484"/>
      <c r="R377" s="484"/>
      <c r="S377" s="462" t="str">
        <f t="shared" si="75"/>
        <v>正确</v>
      </c>
      <c r="T377" s="462" t="s">
        <v>1574</v>
      </c>
      <c r="U377" s="462" t="s">
        <v>1575</v>
      </c>
      <c r="V377" s="462"/>
      <c r="W377" s="462" t="s">
        <v>41</v>
      </c>
    </row>
    <row r="378" ht="23.25" customHeight="1" spans="1:23">
      <c r="A378" s="464"/>
      <c r="B378" s="462" t="s">
        <v>1540</v>
      </c>
      <c r="C378" s="463" t="s">
        <v>52</v>
      </c>
      <c r="D378" s="463" t="s">
        <v>45</v>
      </c>
      <c r="E378" s="150">
        <v>3400</v>
      </c>
      <c r="F378" s="150">
        <v>232</v>
      </c>
      <c r="G378" s="150">
        <v>887</v>
      </c>
      <c r="H378" s="465">
        <v>2018</v>
      </c>
      <c r="I378" s="465">
        <v>2020</v>
      </c>
      <c r="J378" s="463"/>
      <c r="K378" s="463"/>
      <c r="L378" s="463"/>
      <c r="M378" s="463"/>
      <c r="N378" s="484"/>
      <c r="O378" s="484"/>
      <c r="P378" s="484"/>
      <c r="Q378" s="484"/>
      <c r="R378" s="484"/>
      <c r="S378" s="462" t="str">
        <f t="shared" si="75"/>
        <v>正确</v>
      </c>
      <c r="T378" s="462"/>
      <c r="U378" s="462"/>
      <c r="V378" s="462"/>
      <c r="W378" s="462" t="s">
        <v>1576</v>
      </c>
    </row>
    <row r="379" ht="23.25" customHeight="1" spans="1:23">
      <c r="A379" s="464"/>
      <c r="B379" s="462" t="s">
        <v>1541</v>
      </c>
      <c r="C379" s="463" t="s">
        <v>52</v>
      </c>
      <c r="D379" s="463" t="s">
        <v>45</v>
      </c>
      <c r="E379" s="150">
        <v>16630</v>
      </c>
      <c r="F379" s="150">
        <v>159</v>
      </c>
      <c r="G379" s="150">
        <v>477</v>
      </c>
      <c r="H379" s="465">
        <v>2018</v>
      </c>
      <c r="I379" s="465">
        <v>2020</v>
      </c>
      <c r="J379" s="463"/>
      <c r="K379" s="463"/>
      <c r="L379" s="463"/>
      <c r="M379" s="463"/>
      <c r="N379" s="484"/>
      <c r="O379" s="484"/>
      <c r="P379" s="484"/>
      <c r="Q379" s="484"/>
      <c r="R379" s="484"/>
      <c r="S379" s="462" t="str">
        <f t="shared" si="75"/>
        <v>正确</v>
      </c>
      <c r="T379" s="462"/>
      <c r="U379" s="462"/>
      <c r="V379" s="462"/>
      <c r="W379" s="462" t="s">
        <v>1577</v>
      </c>
    </row>
    <row r="380" ht="32.1" customHeight="1" spans="1:23">
      <c r="A380" s="464"/>
      <c r="B380" s="462" t="s">
        <v>1542</v>
      </c>
      <c r="C380" s="463" t="s">
        <v>52</v>
      </c>
      <c r="D380" s="463" t="s">
        <v>45</v>
      </c>
      <c r="E380" s="150">
        <v>4802</v>
      </c>
      <c r="F380" s="150">
        <v>129</v>
      </c>
      <c r="G380" s="150">
        <v>475</v>
      </c>
      <c r="H380" s="465">
        <v>2018</v>
      </c>
      <c r="I380" s="465">
        <v>2020</v>
      </c>
      <c r="J380" s="463"/>
      <c r="K380" s="463"/>
      <c r="L380" s="463"/>
      <c r="M380" s="463"/>
      <c r="N380" s="484"/>
      <c r="O380" s="484"/>
      <c r="P380" s="484"/>
      <c r="Q380" s="484"/>
      <c r="R380" s="484"/>
      <c r="S380" s="462" t="str">
        <f t="shared" si="75"/>
        <v>正确</v>
      </c>
      <c r="T380" s="462"/>
      <c r="U380" s="462"/>
      <c r="V380" s="462"/>
      <c r="W380" s="462" t="s">
        <v>1578</v>
      </c>
    </row>
    <row r="381" ht="23.25" customHeight="1" spans="1:23">
      <c r="A381" s="464"/>
      <c r="B381" s="462" t="s">
        <v>1543</v>
      </c>
      <c r="C381" s="463" t="s">
        <v>52</v>
      </c>
      <c r="D381" s="463" t="s">
        <v>45</v>
      </c>
      <c r="E381" s="150">
        <v>341.5</v>
      </c>
      <c r="F381" s="150">
        <v>75</v>
      </c>
      <c r="G381" s="150">
        <v>290</v>
      </c>
      <c r="H381" s="465">
        <v>2018</v>
      </c>
      <c r="I381" s="465">
        <v>2020</v>
      </c>
      <c r="J381" s="463"/>
      <c r="K381" s="463"/>
      <c r="L381" s="463"/>
      <c r="M381" s="463"/>
      <c r="N381" s="484"/>
      <c r="O381" s="484"/>
      <c r="P381" s="484"/>
      <c r="Q381" s="484"/>
      <c r="R381" s="484"/>
      <c r="S381" s="462" t="str">
        <f t="shared" si="75"/>
        <v>正确</v>
      </c>
      <c r="T381" s="462"/>
      <c r="U381" s="462"/>
      <c r="V381" s="462"/>
      <c r="W381" s="462" t="s">
        <v>1579</v>
      </c>
    </row>
    <row r="382" ht="23.25" customHeight="1" spans="1:23">
      <c r="A382" s="464"/>
      <c r="B382" s="462" t="s">
        <v>1544</v>
      </c>
      <c r="C382" s="463" t="s">
        <v>52</v>
      </c>
      <c r="D382" s="463" t="s">
        <v>45</v>
      </c>
      <c r="E382" s="150">
        <v>2339</v>
      </c>
      <c r="F382" s="150">
        <v>121</v>
      </c>
      <c r="G382" s="150">
        <v>413</v>
      </c>
      <c r="H382" s="465">
        <v>2018</v>
      </c>
      <c r="I382" s="465">
        <v>2020</v>
      </c>
      <c r="J382" s="463"/>
      <c r="K382" s="463"/>
      <c r="L382" s="463"/>
      <c r="M382" s="463"/>
      <c r="N382" s="484"/>
      <c r="O382" s="484"/>
      <c r="P382" s="484"/>
      <c r="Q382" s="484"/>
      <c r="R382" s="484"/>
      <c r="S382" s="462" t="str">
        <f t="shared" si="75"/>
        <v>正确</v>
      </c>
      <c r="T382" s="462"/>
      <c r="U382" s="462"/>
      <c r="V382" s="462"/>
      <c r="W382" s="462" t="s">
        <v>1580</v>
      </c>
    </row>
    <row r="383" ht="23.25" customHeight="1" spans="1:23">
      <c r="A383" s="464"/>
      <c r="B383" s="462" t="s">
        <v>1545</v>
      </c>
      <c r="C383" s="463" t="s">
        <v>52</v>
      </c>
      <c r="D383" s="463" t="s">
        <v>45</v>
      </c>
      <c r="E383" s="150">
        <v>260</v>
      </c>
      <c r="F383" s="150">
        <v>151</v>
      </c>
      <c r="G383" s="150">
        <v>479</v>
      </c>
      <c r="H383" s="465">
        <v>2018</v>
      </c>
      <c r="I383" s="465">
        <v>2020</v>
      </c>
      <c r="J383" s="463"/>
      <c r="K383" s="463"/>
      <c r="L383" s="463"/>
      <c r="M383" s="463"/>
      <c r="N383" s="484"/>
      <c r="O383" s="484"/>
      <c r="P383" s="484"/>
      <c r="Q383" s="484"/>
      <c r="R383" s="484"/>
      <c r="S383" s="462" t="str">
        <f t="shared" si="75"/>
        <v>正确</v>
      </c>
      <c r="T383" s="462"/>
      <c r="U383" s="462"/>
      <c r="V383" s="462"/>
      <c r="W383" s="462" t="s">
        <v>1581</v>
      </c>
    </row>
    <row r="384" ht="23.25" customHeight="1" spans="1:23">
      <c r="A384" s="464"/>
      <c r="B384" s="462" t="s">
        <v>1546</v>
      </c>
      <c r="C384" s="463" t="s">
        <v>52</v>
      </c>
      <c r="D384" s="463" t="s">
        <v>45</v>
      </c>
      <c r="E384" s="150">
        <v>5397</v>
      </c>
      <c r="F384" s="150">
        <v>291</v>
      </c>
      <c r="G384" s="150">
        <v>1164</v>
      </c>
      <c r="H384" s="465">
        <v>2018</v>
      </c>
      <c r="I384" s="465">
        <v>2020</v>
      </c>
      <c r="J384" s="463"/>
      <c r="K384" s="463"/>
      <c r="L384" s="463"/>
      <c r="M384" s="463"/>
      <c r="N384" s="484"/>
      <c r="O384" s="484"/>
      <c r="P384" s="484"/>
      <c r="Q384" s="484"/>
      <c r="R384" s="484"/>
      <c r="S384" s="462" t="str">
        <f t="shared" si="75"/>
        <v>正确</v>
      </c>
      <c r="T384" s="462"/>
      <c r="U384" s="462"/>
      <c r="V384" s="462"/>
      <c r="W384" s="462" t="s">
        <v>1582</v>
      </c>
    </row>
    <row r="385" ht="23.25" customHeight="1" spans="1:23">
      <c r="A385" s="464"/>
      <c r="B385" s="462" t="s">
        <v>1547</v>
      </c>
      <c r="C385" s="463" t="s">
        <v>52</v>
      </c>
      <c r="D385" s="463" t="s">
        <v>45</v>
      </c>
      <c r="E385" s="150">
        <v>2659</v>
      </c>
      <c r="F385" s="150">
        <v>234</v>
      </c>
      <c r="G385" s="150">
        <v>1003</v>
      </c>
      <c r="H385" s="465">
        <v>2018</v>
      </c>
      <c r="I385" s="465">
        <v>2020</v>
      </c>
      <c r="J385" s="463"/>
      <c r="K385" s="463"/>
      <c r="L385" s="463"/>
      <c r="M385" s="463"/>
      <c r="N385" s="484"/>
      <c r="O385" s="484"/>
      <c r="P385" s="484"/>
      <c r="Q385" s="484"/>
      <c r="R385" s="484"/>
      <c r="S385" s="462" t="str">
        <f t="shared" si="75"/>
        <v>正确</v>
      </c>
      <c r="T385" s="462"/>
      <c r="U385" s="462"/>
      <c r="V385" s="462"/>
      <c r="W385" s="462" t="s">
        <v>1583</v>
      </c>
    </row>
    <row r="386" ht="23.25" customHeight="1" spans="1:23">
      <c r="A386" s="464"/>
      <c r="B386" s="462" t="s">
        <v>1548</v>
      </c>
      <c r="C386" s="463" t="s">
        <v>52</v>
      </c>
      <c r="D386" s="463" t="s">
        <v>45</v>
      </c>
      <c r="E386" s="465">
        <v>14151</v>
      </c>
      <c r="F386" s="465">
        <v>275</v>
      </c>
      <c r="G386" s="465">
        <v>1006</v>
      </c>
      <c r="H386" s="465">
        <v>2018</v>
      </c>
      <c r="I386" s="465">
        <v>2020</v>
      </c>
      <c r="J386" s="463"/>
      <c r="K386" s="463"/>
      <c r="L386" s="463"/>
      <c r="M386" s="463"/>
      <c r="N386" s="484"/>
      <c r="O386" s="484"/>
      <c r="P386" s="484"/>
      <c r="Q386" s="484"/>
      <c r="R386" s="484"/>
      <c r="S386" s="462" t="str">
        <f t="shared" si="75"/>
        <v>正确</v>
      </c>
      <c r="T386" s="462"/>
      <c r="U386" s="462"/>
      <c r="V386" s="462"/>
      <c r="W386" s="462" t="s">
        <v>1584</v>
      </c>
    </row>
    <row r="387" ht="23.25" customHeight="1" spans="1:23">
      <c r="A387" s="464"/>
      <c r="B387" s="462" t="s">
        <v>1549</v>
      </c>
      <c r="C387" s="463" t="s">
        <v>52</v>
      </c>
      <c r="D387" s="463" t="s">
        <v>45</v>
      </c>
      <c r="E387" s="150">
        <v>2096</v>
      </c>
      <c r="F387" s="150">
        <v>109</v>
      </c>
      <c r="G387" s="150">
        <v>432</v>
      </c>
      <c r="H387" s="465">
        <v>2018</v>
      </c>
      <c r="I387" s="465">
        <v>2020</v>
      </c>
      <c r="J387" s="463"/>
      <c r="K387" s="463"/>
      <c r="L387" s="463"/>
      <c r="M387" s="463"/>
      <c r="N387" s="484"/>
      <c r="O387" s="484"/>
      <c r="P387" s="484"/>
      <c r="Q387" s="484"/>
      <c r="R387" s="484"/>
      <c r="S387" s="462" t="str">
        <f t="shared" si="75"/>
        <v>正确</v>
      </c>
      <c r="T387" s="462"/>
      <c r="U387" s="462"/>
      <c r="V387" s="462"/>
      <c r="W387" s="462" t="s">
        <v>1585</v>
      </c>
    </row>
    <row r="388" ht="23.25" customHeight="1" spans="1:23">
      <c r="A388" s="464"/>
      <c r="B388" s="462" t="s">
        <v>1550</v>
      </c>
      <c r="C388" s="463" t="s">
        <v>52</v>
      </c>
      <c r="D388" s="463" t="s">
        <v>45</v>
      </c>
      <c r="E388" s="150">
        <v>1789</v>
      </c>
      <c r="F388" s="150">
        <v>78</v>
      </c>
      <c r="G388" s="150">
        <v>252</v>
      </c>
      <c r="H388" s="465">
        <v>2018</v>
      </c>
      <c r="I388" s="465">
        <v>2020</v>
      </c>
      <c r="J388" s="463"/>
      <c r="K388" s="463"/>
      <c r="L388" s="463"/>
      <c r="M388" s="463"/>
      <c r="N388" s="484"/>
      <c r="O388" s="484"/>
      <c r="P388" s="484"/>
      <c r="Q388" s="484"/>
      <c r="R388" s="484"/>
      <c r="S388" s="462" t="str">
        <f t="shared" si="75"/>
        <v>正确</v>
      </c>
      <c r="T388" s="462"/>
      <c r="U388" s="462"/>
      <c r="V388" s="462"/>
      <c r="W388" s="462" t="s">
        <v>1586</v>
      </c>
    </row>
    <row r="389" ht="23.25" customHeight="1" spans="1:23">
      <c r="A389" s="464"/>
      <c r="B389" s="462" t="s">
        <v>1551</v>
      </c>
      <c r="C389" s="463" t="s">
        <v>52</v>
      </c>
      <c r="D389" s="463" t="s">
        <v>45</v>
      </c>
      <c r="E389" s="465">
        <v>642</v>
      </c>
      <c r="F389" s="465">
        <v>68</v>
      </c>
      <c r="G389" s="465">
        <v>245</v>
      </c>
      <c r="H389" s="465">
        <v>2018</v>
      </c>
      <c r="I389" s="465">
        <v>2020</v>
      </c>
      <c r="J389" s="463"/>
      <c r="K389" s="463"/>
      <c r="L389" s="463"/>
      <c r="M389" s="463"/>
      <c r="N389" s="484"/>
      <c r="O389" s="484"/>
      <c r="P389" s="484"/>
      <c r="Q389" s="484"/>
      <c r="R389" s="484"/>
      <c r="S389" s="462" t="str">
        <f t="shared" si="75"/>
        <v>正确</v>
      </c>
      <c r="T389" s="462"/>
      <c r="U389" s="462"/>
      <c r="V389" s="462"/>
      <c r="W389" s="462" t="s">
        <v>1587</v>
      </c>
    </row>
    <row r="390" ht="23.25" customHeight="1" spans="1:23">
      <c r="A390" s="464">
        <v>3</v>
      </c>
      <c r="B390" s="462" t="s">
        <v>1123</v>
      </c>
      <c r="C390" s="463" t="s">
        <v>1124</v>
      </c>
      <c r="D390" s="463" t="s">
        <v>45</v>
      </c>
      <c r="E390" s="465"/>
      <c r="F390" s="465"/>
      <c r="G390" s="465"/>
      <c r="H390" s="465"/>
      <c r="I390" s="465"/>
      <c r="J390" s="463"/>
      <c r="K390" s="463"/>
      <c r="L390" s="463"/>
      <c r="M390" s="463"/>
      <c r="N390" s="484"/>
      <c r="O390" s="484"/>
      <c r="P390" s="484"/>
      <c r="Q390" s="484"/>
      <c r="R390" s="484"/>
      <c r="S390" s="462" t="str">
        <f t="shared" si="75"/>
        <v>正确</v>
      </c>
      <c r="T390" s="462"/>
      <c r="U390" s="462"/>
      <c r="V390" s="462" t="s">
        <v>43</v>
      </c>
      <c r="W390" s="462"/>
    </row>
    <row r="391" ht="23.25" customHeight="1" spans="1:23">
      <c r="A391" s="464"/>
      <c r="B391" s="462" t="s">
        <v>1540</v>
      </c>
      <c r="C391" s="463" t="s">
        <v>1124</v>
      </c>
      <c r="D391" s="463" t="s">
        <v>45</v>
      </c>
      <c r="E391" s="465"/>
      <c r="F391" s="465"/>
      <c r="G391" s="465"/>
      <c r="H391" s="465"/>
      <c r="I391" s="465"/>
      <c r="J391" s="463"/>
      <c r="K391" s="463"/>
      <c r="L391" s="463"/>
      <c r="M391" s="463"/>
      <c r="N391" s="484"/>
      <c r="O391" s="484"/>
      <c r="P391" s="484"/>
      <c r="Q391" s="484"/>
      <c r="R391" s="484"/>
      <c r="S391" s="462" t="str">
        <f t="shared" ref="S391:S454" si="96">IF(SUM(K391:M391)=SUM(N391:R391),"正确","错误")</f>
        <v>正确</v>
      </c>
      <c r="T391" s="462"/>
      <c r="U391" s="462"/>
      <c r="V391" s="462"/>
      <c r="W391" s="462"/>
    </row>
    <row r="392" ht="23.25" customHeight="1" spans="1:23">
      <c r="A392" s="464"/>
      <c r="B392" s="462" t="s">
        <v>1541</v>
      </c>
      <c r="C392" s="463" t="s">
        <v>1124</v>
      </c>
      <c r="D392" s="463" t="s">
        <v>45</v>
      </c>
      <c r="E392" s="465"/>
      <c r="F392" s="465"/>
      <c r="G392" s="465"/>
      <c r="H392" s="465"/>
      <c r="I392" s="465"/>
      <c r="J392" s="463"/>
      <c r="K392" s="463"/>
      <c r="L392" s="463"/>
      <c r="M392" s="463"/>
      <c r="N392" s="484"/>
      <c r="O392" s="484"/>
      <c r="P392" s="484"/>
      <c r="Q392" s="484"/>
      <c r="R392" s="484"/>
      <c r="S392" s="462" t="str">
        <f t="shared" si="96"/>
        <v>正确</v>
      </c>
      <c r="T392" s="462"/>
      <c r="U392" s="462"/>
      <c r="V392" s="462"/>
      <c r="W392" s="462"/>
    </row>
    <row r="393" ht="23.25" customHeight="1" spans="1:23">
      <c r="A393" s="464"/>
      <c r="B393" s="462" t="s">
        <v>1542</v>
      </c>
      <c r="C393" s="463" t="s">
        <v>1124</v>
      </c>
      <c r="D393" s="463" t="s">
        <v>45</v>
      </c>
      <c r="E393" s="465"/>
      <c r="F393" s="465"/>
      <c r="G393" s="465"/>
      <c r="H393" s="465"/>
      <c r="I393" s="465"/>
      <c r="J393" s="463"/>
      <c r="K393" s="463"/>
      <c r="L393" s="463"/>
      <c r="M393" s="463"/>
      <c r="N393" s="484"/>
      <c r="O393" s="484"/>
      <c r="P393" s="484"/>
      <c r="Q393" s="484"/>
      <c r="R393" s="484"/>
      <c r="S393" s="462" t="str">
        <f t="shared" si="96"/>
        <v>正确</v>
      </c>
      <c r="T393" s="462"/>
      <c r="U393" s="462"/>
      <c r="V393" s="462"/>
      <c r="W393" s="462"/>
    </row>
    <row r="394" ht="23.25" customHeight="1" spans="1:23">
      <c r="A394" s="464"/>
      <c r="B394" s="462" t="s">
        <v>1543</v>
      </c>
      <c r="C394" s="463" t="s">
        <v>1124</v>
      </c>
      <c r="D394" s="463" t="s">
        <v>45</v>
      </c>
      <c r="E394" s="465"/>
      <c r="F394" s="465"/>
      <c r="G394" s="465"/>
      <c r="H394" s="465"/>
      <c r="I394" s="465"/>
      <c r="J394" s="463"/>
      <c r="K394" s="463"/>
      <c r="L394" s="463"/>
      <c r="M394" s="463"/>
      <c r="N394" s="484"/>
      <c r="O394" s="484"/>
      <c r="P394" s="484"/>
      <c r="Q394" s="484"/>
      <c r="R394" s="484"/>
      <c r="S394" s="462" t="str">
        <f t="shared" si="96"/>
        <v>正确</v>
      </c>
      <c r="T394" s="462"/>
      <c r="U394" s="462"/>
      <c r="V394" s="462"/>
      <c r="W394" s="462"/>
    </row>
    <row r="395" ht="23.25" customHeight="1" spans="1:23">
      <c r="A395" s="464"/>
      <c r="B395" s="462" t="s">
        <v>1544</v>
      </c>
      <c r="C395" s="463" t="s">
        <v>1124</v>
      </c>
      <c r="D395" s="463" t="s">
        <v>45</v>
      </c>
      <c r="E395" s="465"/>
      <c r="F395" s="465"/>
      <c r="G395" s="465"/>
      <c r="H395" s="465"/>
      <c r="I395" s="465"/>
      <c r="J395" s="463"/>
      <c r="K395" s="463"/>
      <c r="L395" s="463"/>
      <c r="M395" s="463"/>
      <c r="N395" s="484"/>
      <c r="O395" s="484"/>
      <c r="P395" s="484"/>
      <c r="Q395" s="484"/>
      <c r="R395" s="484"/>
      <c r="S395" s="462" t="str">
        <f t="shared" si="96"/>
        <v>正确</v>
      </c>
      <c r="T395" s="462"/>
      <c r="U395" s="462"/>
      <c r="V395" s="462"/>
      <c r="W395" s="462"/>
    </row>
    <row r="396" ht="23.25" customHeight="1" spans="1:23">
      <c r="A396" s="464"/>
      <c r="B396" s="462" t="s">
        <v>1545</v>
      </c>
      <c r="C396" s="463" t="s">
        <v>1124</v>
      </c>
      <c r="D396" s="463" t="s">
        <v>45</v>
      </c>
      <c r="E396" s="465"/>
      <c r="F396" s="465"/>
      <c r="G396" s="465"/>
      <c r="H396" s="465"/>
      <c r="I396" s="465"/>
      <c r="J396" s="463"/>
      <c r="K396" s="463"/>
      <c r="L396" s="463"/>
      <c r="M396" s="463"/>
      <c r="N396" s="484"/>
      <c r="O396" s="484"/>
      <c r="P396" s="484"/>
      <c r="Q396" s="484"/>
      <c r="R396" s="484"/>
      <c r="S396" s="462" t="str">
        <f t="shared" si="96"/>
        <v>正确</v>
      </c>
      <c r="T396" s="462"/>
      <c r="U396" s="462"/>
      <c r="V396" s="462"/>
      <c r="W396" s="462"/>
    </row>
    <row r="397" ht="23.25" customHeight="1" spans="1:23">
      <c r="A397" s="464"/>
      <c r="B397" s="462" t="s">
        <v>1546</v>
      </c>
      <c r="C397" s="463" t="s">
        <v>1124</v>
      </c>
      <c r="D397" s="463" t="s">
        <v>45</v>
      </c>
      <c r="E397" s="465"/>
      <c r="F397" s="465"/>
      <c r="G397" s="465"/>
      <c r="H397" s="465"/>
      <c r="I397" s="465"/>
      <c r="J397" s="463"/>
      <c r="K397" s="463"/>
      <c r="L397" s="463"/>
      <c r="M397" s="463"/>
      <c r="N397" s="484"/>
      <c r="O397" s="484"/>
      <c r="P397" s="484"/>
      <c r="Q397" s="484"/>
      <c r="R397" s="484"/>
      <c r="S397" s="462" t="str">
        <f t="shared" si="96"/>
        <v>正确</v>
      </c>
      <c r="T397" s="462"/>
      <c r="U397" s="462"/>
      <c r="V397" s="462"/>
      <c r="W397" s="462"/>
    </row>
    <row r="398" ht="23.25" customHeight="1" spans="1:23">
      <c r="A398" s="464"/>
      <c r="B398" s="462" t="s">
        <v>1547</v>
      </c>
      <c r="C398" s="463" t="s">
        <v>1124</v>
      </c>
      <c r="D398" s="463" t="s">
        <v>45</v>
      </c>
      <c r="E398" s="465"/>
      <c r="F398" s="465"/>
      <c r="G398" s="465"/>
      <c r="H398" s="465"/>
      <c r="I398" s="465"/>
      <c r="J398" s="463"/>
      <c r="K398" s="463"/>
      <c r="L398" s="463"/>
      <c r="M398" s="463"/>
      <c r="N398" s="484"/>
      <c r="O398" s="484"/>
      <c r="P398" s="484"/>
      <c r="Q398" s="484"/>
      <c r="R398" s="484"/>
      <c r="S398" s="462" t="str">
        <f t="shared" si="96"/>
        <v>正确</v>
      </c>
      <c r="T398" s="462"/>
      <c r="U398" s="462"/>
      <c r="V398" s="462"/>
      <c r="W398" s="462"/>
    </row>
    <row r="399" ht="23.25" customHeight="1" spans="1:23">
      <c r="A399" s="464"/>
      <c r="B399" s="462" t="s">
        <v>1548</v>
      </c>
      <c r="C399" s="463" t="s">
        <v>1124</v>
      </c>
      <c r="D399" s="463" t="s">
        <v>45</v>
      </c>
      <c r="E399" s="465"/>
      <c r="F399" s="465"/>
      <c r="G399" s="465"/>
      <c r="H399" s="465"/>
      <c r="I399" s="465"/>
      <c r="J399" s="463"/>
      <c r="K399" s="463"/>
      <c r="L399" s="463"/>
      <c r="M399" s="463"/>
      <c r="N399" s="484"/>
      <c r="O399" s="484"/>
      <c r="P399" s="484"/>
      <c r="Q399" s="484"/>
      <c r="R399" s="484"/>
      <c r="S399" s="462" t="str">
        <f t="shared" si="96"/>
        <v>正确</v>
      </c>
      <c r="T399" s="462"/>
      <c r="U399" s="462"/>
      <c r="V399" s="462"/>
      <c r="W399" s="462"/>
    </row>
    <row r="400" ht="23.25" customHeight="1" spans="1:23">
      <c r="A400" s="464"/>
      <c r="B400" s="462" t="s">
        <v>1549</v>
      </c>
      <c r="C400" s="463" t="s">
        <v>1124</v>
      </c>
      <c r="D400" s="463" t="s">
        <v>45</v>
      </c>
      <c r="E400" s="465"/>
      <c r="F400" s="465"/>
      <c r="G400" s="465"/>
      <c r="H400" s="465"/>
      <c r="I400" s="465"/>
      <c r="J400" s="463"/>
      <c r="K400" s="463"/>
      <c r="L400" s="463"/>
      <c r="M400" s="463"/>
      <c r="N400" s="484"/>
      <c r="O400" s="484"/>
      <c r="P400" s="484"/>
      <c r="Q400" s="484"/>
      <c r="R400" s="484"/>
      <c r="S400" s="462" t="str">
        <f t="shared" si="96"/>
        <v>正确</v>
      </c>
      <c r="T400" s="462"/>
      <c r="U400" s="462"/>
      <c r="V400" s="462"/>
      <c r="W400" s="462"/>
    </row>
    <row r="401" ht="23.25" customHeight="1" spans="1:23">
      <c r="A401" s="464"/>
      <c r="B401" s="462" t="s">
        <v>1550</v>
      </c>
      <c r="C401" s="463" t="s">
        <v>1124</v>
      </c>
      <c r="D401" s="463" t="s">
        <v>45</v>
      </c>
      <c r="E401" s="465"/>
      <c r="F401" s="465"/>
      <c r="G401" s="465"/>
      <c r="H401" s="465"/>
      <c r="I401" s="465"/>
      <c r="J401" s="463"/>
      <c r="K401" s="463"/>
      <c r="L401" s="463"/>
      <c r="M401" s="463"/>
      <c r="N401" s="484"/>
      <c r="O401" s="484"/>
      <c r="P401" s="484"/>
      <c r="Q401" s="484"/>
      <c r="R401" s="484"/>
      <c r="S401" s="462" t="str">
        <f t="shared" si="96"/>
        <v>正确</v>
      </c>
      <c r="T401" s="462"/>
      <c r="U401" s="462"/>
      <c r="V401" s="462"/>
      <c r="W401" s="462"/>
    </row>
    <row r="402" ht="23.25" customHeight="1" spans="1:23">
      <c r="A402" s="464"/>
      <c r="B402" s="462" t="s">
        <v>1551</v>
      </c>
      <c r="C402" s="463" t="s">
        <v>1124</v>
      </c>
      <c r="D402" s="463" t="s">
        <v>45</v>
      </c>
      <c r="E402" s="465"/>
      <c r="F402" s="465"/>
      <c r="G402" s="465"/>
      <c r="H402" s="465"/>
      <c r="I402" s="465"/>
      <c r="J402" s="463"/>
      <c r="K402" s="463"/>
      <c r="L402" s="463"/>
      <c r="M402" s="463"/>
      <c r="N402" s="484"/>
      <c r="O402" s="484"/>
      <c r="P402" s="484"/>
      <c r="Q402" s="484"/>
      <c r="R402" s="484"/>
      <c r="S402" s="462" t="str">
        <f t="shared" si="96"/>
        <v>正确</v>
      </c>
      <c r="T402" s="462"/>
      <c r="U402" s="462"/>
      <c r="V402" s="462"/>
      <c r="W402" s="462"/>
    </row>
    <row r="403" ht="23.25" customHeight="1" spans="1:23">
      <c r="A403" s="464">
        <v>2</v>
      </c>
      <c r="B403" s="462" t="s">
        <v>130</v>
      </c>
      <c r="C403" s="463" t="s">
        <v>52</v>
      </c>
      <c r="D403" s="463" t="s">
        <v>131</v>
      </c>
      <c r="E403" s="465">
        <f t="shared" ref="E403:G403" si="97">E404+E417</f>
        <v>82074</v>
      </c>
      <c r="F403" s="465">
        <f t="shared" si="97"/>
        <v>1940</v>
      </c>
      <c r="G403" s="465">
        <f t="shared" si="97"/>
        <v>7300</v>
      </c>
      <c r="H403" s="465">
        <v>2018</v>
      </c>
      <c r="I403" s="465">
        <v>2020</v>
      </c>
      <c r="J403" s="463"/>
      <c r="K403" s="463"/>
      <c r="L403" s="463"/>
      <c r="M403" s="463"/>
      <c r="N403" s="463"/>
      <c r="O403" s="463"/>
      <c r="P403" s="463"/>
      <c r="Q403" s="463"/>
      <c r="R403" s="463"/>
      <c r="S403" s="462" t="str">
        <f t="shared" si="96"/>
        <v>正确</v>
      </c>
      <c r="T403" s="462" t="s">
        <v>1574</v>
      </c>
      <c r="U403" s="462" t="s">
        <v>1588</v>
      </c>
      <c r="V403" s="462"/>
      <c r="W403" s="462" t="s">
        <v>41</v>
      </c>
    </row>
    <row r="404" ht="26.1" customHeight="1" spans="1:23">
      <c r="A404" s="464">
        <v>3</v>
      </c>
      <c r="B404" s="462" t="s">
        <v>1125</v>
      </c>
      <c r="C404" s="463" t="s">
        <v>52</v>
      </c>
      <c r="D404" s="463" t="s">
        <v>131</v>
      </c>
      <c r="E404" s="465">
        <f t="shared" ref="E404:G404" si="98">SUM(E405:E416)</f>
        <v>81774</v>
      </c>
      <c r="F404" s="465">
        <f t="shared" si="98"/>
        <v>1763</v>
      </c>
      <c r="G404" s="465">
        <f t="shared" si="98"/>
        <v>6767</v>
      </c>
      <c r="H404" s="465">
        <v>2018</v>
      </c>
      <c r="I404" s="465">
        <v>2020</v>
      </c>
      <c r="J404" s="463"/>
      <c r="K404" s="463"/>
      <c r="L404" s="463"/>
      <c r="M404" s="463"/>
      <c r="N404" s="463"/>
      <c r="O404" s="463"/>
      <c r="P404" s="463"/>
      <c r="Q404" s="463"/>
      <c r="R404" s="463"/>
      <c r="S404" s="462" t="str">
        <f t="shared" si="96"/>
        <v>正确</v>
      </c>
      <c r="T404" s="462" t="s">
        <v>1574</v>
      </c>
      <c r="U404" s="462" t="s">
        <v>1588</v>
      </c>
      <c r="V404" s="462"/>
      <c r="W404" s="462" t="s">
        <v>41</v>
      </c>
    </row>
    <row r="405" ht="26.1" customHeight="1" spans="1:23">
      <c r="A405" s="464"/>
      <c r="B405" s="462" t="s">
        <v>1540</v>
      </c>
      <c r="C405" s="463" t="s">
        <v>52</v>
      </c>
      <c r="D405" s="463" t="s">
        <v>131</v>
      </c>
      <c r="E405" s="150">
        <v>300</v>
      </c>
      <c r="F405" s="150">
        <v>252</v>
      </c>
      <c r="G405" s="150">
        <v>978</v>
      </c>
      <c r="H405" s="465">
        <v>2018</v>
      </c>
      <c r="I405" s="465">
        <v>2020</v>
      </c>
      <c r="J405" s="463"/>
      <c r="K405" s="463"/>
      <c r="L405" s="463"/>
      <c r="M405" s="463"/>
      <c r="N405" s="484"/>
      <c r="O405" s="484"/>
      <c r="P405" s="484"/>
      <c r="Q405" s="484"/>
      <c r="R405" s="484"/>
      <c r="S405" s="462" t="str">
        <f t="shared" si="96"/>
        <v>正确</v>
      </c>
      <c r="T405" s="462"/>
      <c r="U405" s="462"/>
      <c r="V405" s="462"/>
      <c r="W405" s="462" t="s">
        <v>1589</v>
      </c>
    </row>
    <row r="406" ht="26.1" customHeight="1" spans="1:23">
      <c r="A406" s="464"/>
      <c r="B406" s="462" t="s">
        <v>1541</v>
      </c>
      <c r="C406" s="463" t="s">
        <v>52</v>
      </c>
      <c r="D406" s="463" t="s">
        <v>131</v>
      </c>
      <c r="E406" s="150">
        <v>8315</v>
      </c>
      <c r="F406" s="150">
        <v>144</v>
      </c>
      <c r="G406" s="150">
        <v>432</v>
      </c>
      <c r="H406" s="465">
        <v>2018</v>
      </c>
      <c r="I406" s="465">
        <v>2020</v>
      </c>
      <c r="J406" s="463"/>
      <c r="K406" s="463"/>
      <c r="L406" s="463"/>
      <c r="M406" s="463"/>
      <c r="N406" s="484"/>
      <c r="O406" s="484"/>
      <c r="P406" s="484"/>
      <c r="Q406" s="484"/>
      <c r="R406" s="484"/>
      <c r="S406" s="462" t="str">
        <f t="shared" si="96"/>
        <v>正确</v>
      </c>
      <c r="T406" s="462"/>
      <c r="U406" s="462"/>
      <c r="V406" s="462"/>
      <c r="W406" s="462" t="s">
        <v>1590</v>
      </c>
    </row>
    <row r="407" ht="35.1" customHeight="1" spans="1:23">
      <c r="A407" s="464"/>
      <c r="B407" s="462" t="s">
        <v>1542</v>
      </c>
      <c r="C407" s="463" t="s">
        <v>52</v>
      </c>
      <c r="D407" s="463" t="s">
        <v>131</v>
      </c>
      <c r="E407" s="150">
        <v>9422</v>
      </c>
      <c r="F407" s="150">
        <v>75</v>
      </c>
      <c r="G407" s="150">
        <v>290</v>
      </c>
      <c r="H407" s="465">
        <v>2018</v>
      </c>
      <c r="I407" s="465">
        <v>2020</v>
      </c>
      <c r="J407" s="463"/>
      <c r="K407" s="463"/>
      <c r="L407" s="463"/>
      <c r="M407" s="463"/>
      <c r="N407" s="484"/>
      <c r="O407" s="484"/>
      <c r="P407" s="484"/>
      <c r="Q407" s="484"/>
      <c r="R407" s="484"/>
      <c r="S407" s="462" t="str">
        <f t="shared" si="96"/>
        <v>正确</v>
      </c>
      <c r="T407" s="462"/>
      <c r="U407" s="462"/>
      <c r="V407" s="462"/>
      <c r="W407" s="462" t="s">
        <v>1591</v>
      </c>
    </row>
    <row r="408" ht="26.1" customHeight="1" spans="1:23">
      <c r="A408" s="464"/>
      <c r="B408" s="462" t="s">
        <v>1543</v>
      </c>
      <c r="C408" s="463" t="s">
        <v>52</v>
      </c>
      <c r="D408" s="463" t="s">
        <v>131</v>
      </c>
      <c r="E408" s="150">
        <v>609</v>
      </c>
      <c r="F408" s="150">
        <v>73</v>
      </c>
      <c r="G408" s="150">
        <v>276</v>
      </c>
      <c r="H408" s="465">
        <v>2018</v>
      </c>
      <c r="I408" s="465">
        <v>2020</v>
      </c>
      <c r="J408" s="463"/>
      <c r="K408" s="463"/>
      <c r="L408" s="463"/>
      <c r="M408" s="463"/>
      <c r="N408" s="484"/>
      <c r="O408" s="484"/>
      <c r="P408" s="484"/>
      <c r="Q408" s="484"/>
      <c r="R408" s="484"/>
      <c r="S408" s="462" t="str">
        <f t="shared" si="96"/>
        <v>正确</v>
      </c>
      <c r="T408" s="462"/>
      <c r="U408" s="462"/>
      <c r="V408" s="462"/>
      <c r="W408" s="462" t="s">
        <v>1592</v>
      </c>
    </row>
    <row r="409" ht="26.1" customHeight="1" spans="1:23">
      <c r="A409" s="464"/>
      <c r="B409" s="462" t="s">
        <v>1544</v>
      </c>
      <c r="C409" s="463" t="s">
        <v>52</v>
      </c>
      <c r="D409" s="463" t="s">
        <v>131</v>
      </c>
      <c r="E409" s="150">
        <v>6795</v>
      </c>
      <c r="F409" s="150">
        <v>98</v>
      </c>
      <c r="G409" s="150">
        <v>322</v>
      </c>
      <c r="H409" s="465">
        <v>2018</v>
      </c>
      <c r="I409" s="465">
        <v>2020</v>
      </c>
      <c r="J409" s="463"/>
      <c r="K409" s="463"/>
      <c r="L409" s="463"/>
      <c r="M409" s="463"/>
      <c r="N409" s="484"/>
      <c r="O409" s="484"/>
      <c r="P409" s="484"/>
      <c r="Q409" s="484"/>
      <c r="R409" s="484"/>
      <c r="S409" s="462" t="str">
        <f t="shared" si="96"/>
        <v>正确</v>
      </c>
      <c r="T409" s="462"/>
      <c r="U409" s="462"/>
      <c r="V409" s="462"/>
      <c r="W409" s="462" t="s">
        <v>1593</v>
      </c>
    </row>
    <row r="410" ht="26.1" customHeight="1" spans="1:23">
      <c r="A410" s="464"/>
      <c r="B410" s="462" t="s">
        <v>1545</v>
      </c>
      <c r="C410" s="463" t="s">
        <v>52</v>
      </c>
      <c r="D410" s="463" t="s">
        <v>131</v>
      </c>
      <c r="E410" s="143">
        <v>264</v>
      </c>
      <c r="F410" s="143">
        <v>119</v>
      </c>
      <c r="G410" s="143">
        <v>470</v>
      </c>
      <c r="H410" s="486">
        <v>2018</v>
      </c>
      <c r="I410" s="486">
        <v>2020</v>
      </c>
      <c r="J410" s="463"/>
      <c r="K410" s="463"/>
      <c r="L410" s="463"/>
      <c r="M410" s="463"/>
      <c r="N410" s="484"/>
      <c r="O410" s="484"/>
      <c r="P410" s="484"/>
      <c r="Q410" s="484"/>
      <c r="R410" s="484"/>
      <c r="S410" s="462" t="str">
        <f t="shared" si="96"/>
        <v>正确</v>
      </c>
      <c r="T410" s="462"/>
      <c r="U410" s="462"/>
      <c r="V410" s="462"/>
      <c r="W410" s="462" t="s">
        <v>1594</v>
      </c>
    </row>
    <row r="411" ht="26.1" customHeight="1" spans="1:23">
      <c r="A411" s="464"/>
      <c r="B411" s="462" t="s">
        <v>1546</v>
      </c>
      <c r="C411" s="463" t="s">
        <v>52</v>
      </c>
      <c r="D411" s="463" t="s">
        <v>131</v>
      </c>
      <c r="E411" s="150">
        <v>13640</v>
      </c>
      <c r="F411" s="150">
        <v>286</v>
      </c>
      <c r="G411" s="150">
        <v>1156</v>
      </c>
      <c r="H411" s="465">
        <v>2018</v>
      </c>
      <c r="I411" s="465">
        <v>2020</v>
      </c>
      <c r="J411" s="463"/>
      <c r="K411" s="463"/>
      <c r="L411" s="463"/>
      <c r="M411" s="463"/>
      <c r="N411" s="484"/>
      <c r="O411" s="484"/>
      <c r="P411" s="484"/>
      <c r="Q411" s="484"/>
      <c r="R411" s="484"/>
      <c r="S411" s="462" t="str">
        <f t="shared" si="96"/>
        <v>正确</v>
      </c>
      <c r="T411" s="462"/>
      <c r="U411" s="462"/>
      <c r="V411" s="462"/>
      <c r="W411" s="462" t="s">
        <v>1595</v>
      </c>
    </row>
    <row r="412" ht="26.1" customHeight="1" spans="1:23">
      <c r="A412" s="464"/>
      <c r="B412" s="462" t="s">
        <v>1547</v>
      </c>
      <c r="C412" s="463" t="s">
        <v>52</v>
      </c>
      <c r="D412" s="463" t="s">
        <v>131</v>
      </c>
      <c r="E412" s="150">
        <v>9742</v>
      </c>
      <c r="F412" s="150">
        <v>234</v>
      </c>
      <c r="G412" s="150">
        <v>1003</v>
      </c>
      <c r="H412" s="465">
        <v>2018</v>
      </c>
      <c r="I412" s="465">
        <v>2020</v>
      </c>
      <c r="J412" s="463"/>
      <c r="K412" s="463"/>
      <c r="L412" s="463"/>
      <c r="M412" s="463"/>
      <c r="N412" s="484"/>
      <c r="O412" s="484"/>
      <c r="P412" s="484"/>
      <c r="Q412" s="484"/>
      <c r="R412" s="484"/>
      <c r="S412" s="462" t="str">
        <f t="shared" si="96"/>
        <v>正确</v>
      </c>
      <c r="T412" s="462"/>
      <c r="U412" s="462"/>
      <c r="V412" s="462"/>
      <c r="W412" s="462" t="s">
        <v>1596</v>
      </c>
    </row>
    <row r="413" ht="26.1" customHeight="1" spans="1:23">
      <c r="A413" s="464"/>
      <c r="B413" s="462" t="s">
        <v>1548</v>
      </c>
      <c r="C413" s="463" t="s">
        <v>52</v>
      </c>
      <c r="D413" s="463" t="s">
        <v>131</v>
      </c>
      <c r="E413" s="465">
        <v>16063</v>
      </c>
      <c r="F413" s="465">
        <v>231</v>
      </c>
      <c r="G413" s="465">
        <v>907</v>
      </c>
      <c r="H413" s="465">
        <v>2018</v>
      </c>
      <c r="I413" s="465">
        <v>2020</v>
      </c>
      <c r="J413" s="463"/>
      <c r="K413" s="463"/>
      <c r="L413" s="463"/>
      <c r="M413" s="463"/>
      <c r="N413" s="484"/>
      <c r="O413" s="484"/>
      <c r="P413" s="484"/>
      <c r="Q413" s="484"/>
      <c r="R413" s="484"/>
      <c r="S413" s="462" t="str">
        <f t="shared" si="96"/>
        <v>正确</v>
      </c>
      <c r="T413" s="462"/>
      <c r="U413" s="462"/>
      <c r="V413" s="462"/>
      <c r="W413" s="462" t="s">
        <v>1597</v>
      </c>
    </row>
    <row r="414" ht="26.1" customHeight="1" spans="1:23">
      <c r="A414" s="464"/>
      <c r="B414" s="462" t="s">
        <v>1549</v>
      </c>
      <c r="C414" s="463" t="s">
        <v>52</v>
      </c>
      <c r="D414" s="463" t="s">
        <v>131</v>
      </c>
      <c r="E414" s="150">
        <v>5145</v>
      </c>
      <c r="F414" s="150">
        <v>109</v>
      </c>
      <c r="G414" s="150">
        <v>432</v>
      </c>
      <c r="H414" s="465">
        <v>2018</v>
      </c>
      <c r="I414" s="465">
        <v>2020</v>
      </c>
      <c r="J414" s="463"/>
      <c r="K414" s="463"/>
      <c r="L414" s="463"/>
      <c r="M414" s="463"/>
      <c r="N414" s="484"/>
      <c r="O414" s="484"/>
      <c r="P414" s="484"/>
      <c r="Q414" s="484"/>
      <c r="R414" s="484"/>
      <c r="S414" s="462" t="str">
        <f t="shared" si="96"/>
        <v>正确</v>
      </c>
      <c r="T414" s="462"/>
      <c r="U414" s="462"/>
      <c r="V414" s="462"/>
      <c r="W414" s="462" t="s">
        <v>1598</v>
      </c>
    </row>
    <row r="415" ht="26.1" customHeight="1" spans="1:23">
      <c r="A415" s="464"/>
      <c r="B415" s="462" t="s">
        <v>1550</v>
      </c>
      <c r="C415" s="463" t="s">
        <v>52</v>
      </c>
      <c r="D415" s="463" t="s">
        <v>131</v>
      </c>
      <c r="E415" s="150">
        <v>8374</v>
      </c>
      <c r="F415" s="150">
        <v>78</v>
      </c>
      <c r="G415" s="150">
        <v>252</v>
      </c>
      <c r="H415" s="465">
        <v>2018</v>
      </c>
      <c r="I415" s="465">
        <v>2020</v>
      </c>
      <c r="J415" s="463"/>
      <c r="K415" s="463"/>
      <c r="L415" s="463"/>
      <c r="M415" s="463"/>
      <c r="N415" s="484"/>
      <c r="O415" s="484"/>
      <c r="P415" s="484"/>
      <c r="Q415" s="484"/>
      <c r="R415" s="484"/>
      <c r="S415" s="462" t="str">
        <f t="shared" si="96"/>
        <v>正确</v>
      </c>
      <c r="T415" s="462"/>
      <c r="U415" s="462"/>
      <c r="V415" s="462"/>
      <c r="W415" s="462" t="s">
        <v>1599</v>
      </c>
    </row>
    <row r="416" ht="26.1" customHeight="1" spans="1:23">
      <c r="A416" s="464"/>
      <c r="B416" s="462" t="s">
        <v>1551</v>
      </c>
      <c r="C416" s="463" t="s">
        <v>52</v>
      </c>
      <c r="D416" s="463" t="s">
        <v>131</v>
      </c>
      <c r="E416" s="465">
        <v>3105</v>
      </c>
      <c r="F416" s="150">
        <v>64</v>
      </c>
      <c r="G416" s="150">
        <v>249</v>
      </c>
      <c r="H416" s="465">
        <v>2018</v>
      </c>
      <c r="I416" s="465">
        <v>2020</v>
      </c>
      <c r="J416" s="463"/>
      <c r="K416" s="463"/>
      <c r="L416" s="463"/>
      <c r="M416" s="463"/>
      <c r="N416" s="484"/>
      <c r="O416" s="484"/>
      <c r="P416" s="484"/>
      <c r="Q416" s="484"/>
      <c r="R416" s="484"/>
      <c r="S416" s="462" t="str">
        <f t="shared" si="96"/>
        <v>正确</v>
      </c>
      <c r="T416" s="462"/>
      <c r="U416" s="462"/>
      <c r="V416" s="462"/>
      <c r="W416" s="462" t="s">
        <v>1600</v>
      </c>
    </row>
    <row r="417" ht="41.25" customHeight="1" spans="1:23">
      <c r="A417" s="464">
        <v>3</v>
      </c>
      <c r="B417" s="462" t="s">
        <v>1129</v>
      </c>
      <c r="C417" s="463" t="s">
        <v>1124</v>
      </c>
      <c r="D417" s="463" t="s">
        <v>1130</v>
      </c>
      <c r="E417" s="465">
        <f t="shared" ref="E417:I417" si="99">E418</f>
        <v>300</v>
      </c>
      <c r="F417" s="465">
        <f t="shared" si="99"/>
        <v>177</v>
      </c>
      <c r="G417" s="465">
        <f t="shared" si="99"/>
        <v>533</v>
      </c>
      <c r="H417" s="465">
        <f t="shared" si="99"/>
        <v>2018</v>
      </c>
      <c r="I417" s="465">
        <f t="shared" si="99"/>
        <v>2020</v>
      </c>
      <c r="J417" s="463"/>
      <c r="K417" s="463"/>
      <c r="L417" s="463"/>
      <c r="M417" s="463"/>
      <c r="N417" s="463"/>
      <c r="O417" s="463"/>
      <c r="P417" s="463"/>
      <c r="Q417" s="463"/>
      <c r="R417" s="463"/>
      <c r="S417" s="462" t="str">
        <f t="shared" si="96"/>
        <v>正确</v>
      </c>
      <c r="T417" s="462" t="s">
        <v>1574</v>
      </c>
      <c r="U417" s="462" t="s">
        <v>1588</v>
      </c>
      <c r="V417" s="462" t="s">
        <v>43</v>
      </c>
      <c r="W417" s="462" t="s">
        <v>41</v>
      </c>
    </row>
    <row r="418" ht="23.25" customHeight="1" spans="1:23">
      <c r="A418" s="464"/>
      <c r="B418" s="462" t="s">
        <v>1540</v>
      </c>
      <c r="C418" s="463" t="s">
        <v>1124</v>
      </c>
      <c r="D418" s="463" t="s">
        <v>131</v>
      </c>
      <c r="E418" s="465">
        <v>300</v>
      </c>
      <c r="F418" s="465">
        <v>177</v>
      </c>
      <c r="G418" s="465">
        <v>533</v>
      </c>
      <c r="H418" s="465">
        <v>2018</v>
      </c>
      <c r="I418" s="465">
        <v>2020</v>
      </c>
      <c r="J418" s="463"/>
      <c r="K418" s="463"/>
      <c r="L418" s="463"/>
      <c r="M418" s="463"/>
      <c r="N418" s="484"/>
      <c r="O418" s="484"/>
      <c r="P418" s="484"/>
      <c r="Q418" s="484"/>
      <c r="R418" s="484"/>
      <c r="S418" s="462" t="str">
        <f t="shared" si="96"/>
        <v>正确</v>
      </c>
      <c r="T418" s="462"/>
      <c r="U418" s="462"/>
      <c r="V418" s="462"/>
      <c r="W418" s="462" t="s">
        <v>1601</v>
      </c>
    </row>
    <row r="419" ht="23.25" customHeight="1" spans="1:23">
      <c r="A419" s="464"/>
      <c r="B419" s="462" t="s">
        <v>1541</v>
      </c>
      <c r="C419" s="463" t="s">
        <v>1124</v>
      </c>
      <c r="D419" s="463" t="s">
        <v>131</v>
      </c>
      <c r="E419" s="465"/>
      <c r="F419" s="465"/>
      <c r="G419" s="465"/>
      <c r="H419" s="465"/>
      <c r="I419" s="465"/>
      <c r="J419" s="463"/>
      <c r="K419" s="463"/>
      <c r="L419" s="463"/>
      <c r="M419" s="463"/>
      <c r="N419" s="484"/>
      <c r="O419" s="484"/>
      <c r="P419" s="484"/>
      <c r="Q419" s="484"/>
      <c r="R419" s="484"/>
      <c r="S419" s="462" t="str">
        <f t="shared" si="96"/>
        <v>正确</v>
      </c>
      <c r="T419" s="462"/>
      <c r="U419" s="462"/>
      <c r="V419" s="462"/>
      <c r="W419" s="462"/>
    </row>
    <row r="420" ht="23.25" customHeight="1" spans="1:23">
      <c r="A420" s="464"/>
      <c r="B420" s="462" t="s">
        <v>1542</v>
      </c>
      <c r="C420" s="463" t="s">
        <v>1124</v>
      </c>
      <c r="D420" s="463" t="s">
        <v>131</v>
      </c>
      <c r="E420" s="465"/>
      <c r="F420" s="465"/>
      <c r="G420" s="465"/>
      <c r="H420" s="465"/>
      <c r="I420" s="465"/>
      <c r="J420" s="463"/>
      <c r="K420" s="463"/>
      <c r="L420" s="463"/>
      <c r="M420" s="463"/>
      <c r="N420" s="484"/>
      <c r="O420" s="484"/>
      <c r="P420" s="484"/>
      <c r="Q420" s="484"/>
      <c r="R420" s="484"/>
      <c r="S420" s="462" t="str">
        <f t="shared" si="96"/>
        <v>正确</v>
      </c>
      <c r="T420" s="462"/>
      <c r="U420" s="462"/>
      <c r="V420" s="462"/>
      <c r="W420" s="462"/>
    </row>
    <row r="421" ht="23.25" customHeight="1" spans="1:23">
      <c r="A421" s="464"/>
      <c r="B421" s="462" t="s">
        <v>1543</v>
      </c>
      <c r="C421" s="463" t="s">
        <v>1124</v>
      </c>
      <c r="D421" s="463" t="s">
        <v>131</v>
      </c>
      <c r="E421" s="465"/>
      <c r="F421" s="465"/>
      <c r="G421" s="465"/>
      <c r="H421" s="465"/>
      <c r="I421" s="465"/>
      <c r="J421" s="463"/>
      <c r="K421" s="463"/>
      <c r="L421" s="463"/>
      <c r="M421" s="463"/>
      <c r="N421" s="484"/>
      <c r="O421" s="484"/>
      <c r="P421" s="484"/>
      <c r="Q421" s="484"/>
      <c r="R421" s="484"/>
      <c r="S421" s="462" t="str">
        <f t="shared" si="96"/>
        <v>正确</v>
      </c>
      <c r="T421" s="462"/>
      <c r="U421" s="462"/>
      <c r="V421" s="462"/>
      <c r="W421" s="462"/>
    </row>
    <row r="422" ht="23.25" customHeight="1" spans="1:23">
      <c r="A422" s="464"/>
      <c r="B422" s="462" t="s">
        <v>1544</v>
      </c>
      <c r="C422" s="463" t="s">
        <v>1124</v>
      </c>
      <c r="D422" s="463" t="s">
        <v>131</v>
      </c>
      <c r="E422" s="465"/>
      <c r="F422" s="465"/>
      <c r="G422" s="465"/>
      <c r="H422" s="465"/>
      <c r="I422" s="465"/>
      <c r="J422" s="463"/>
      <c r="K422" s="463"/>
      <c r="L422" s="463"/>
      <c r="M422" s="463"/>
      <c r="N422" s="484"/>
      <c r="O422" s="484"/>
      <c r="P422" s="484"/>
      <c r="Q422" s="484"/>
      <c r="R422" s="484"/>
      <c r="S422" s="462" t="str">
        <f t="shared" si="96"/>
        <v>正确</v>
      </c>
      <c r="T422" s="462"/>
      <c r="U422" s="462"/>
      <c r="V422" s="462"/>
      <c r="W422" s="462"/>
    </row>
    <row r="423" ht="23.25" customHeight="1" spans="1:23">
      <c r="A423" s="464"/>
      <c r="B423" s="462" t="s">
        <v>1545</v>
      </c>
      <c r="C423" s="463" t="s">
        <v>1124</v>
      </c>
      <c r="D423" s="463" t="s">
        <v>131</v>
      </c>
      <c r="E423" s="465"/>
      <c r="F423" s="465"/>
      <c r="G423" s="465"/>
      <c r="H423" s="465"/>
      <c r="I423" s="465"/>
      <c r="J423" s="463"/>
      <c r="K423" s="463"/>
      <c r="L423" s="463"/>
      <c r="M423" s="463"/>
      <c r="N423" s="484"/>
      <c r="O423" s="484"/>
      <c r="P423" s="484"/>
      <c r="Q423" s="484"/>
      <c r="R423" s="484"/>
      <c r="S423" s="462" t="str">
        <f t="shared" si="96"/>
        <v>正确</v>
      </c>
      <c r="T423" s="462"/>
      <c r="U423" s="462"/>
      <c r="V423" s="462"/>
      <c r="W423" s="462"/>
    </row>
    <row r="424" ht="23.25" customHeight="1" spans="1:23">
      <c r="A424" s="464"/>
      <c r="B424" s="462" t="s">
        <v>1546</v>
      </c>
      <c r="C424" s="463" t="s">
        <v>1124</v>
      </c>
      <c r="D424" s="463" t="s">
        <v>131</v>
      </c>
      <c r="E424" s="465"/>
      <c r="F424" s="465"/>
      <c r="G424" s="465"/>
      <c r="H424" s="465"/>
      <c r="I424" s="465"/>
      <c r="J424" s="463"/>
      <c r="K424" s="463"/>
      <c r="L424" s="463"/>
      <c r="M424" s="463"/>
      <c r="N424" s="484"/>
      <c r="O424" s="484"/>
      <c r="P424" s="484"/>
      <c r="Q424" s="484"/>
      <c r="R424" s="484"/>
      <c r="S424" s="462" t="str">
        <f t="shared" si="96"/>
        <v>正确</v>
      </c>
      <c r="T424" s="462"/>
      <c r="U424" s="462"/>
      <c r="V424" s="462"/>
      <c r="W424" s="462"/>
    </row>
    <row r="425" ht="23.25" customHeight="1" spans="1:23">
      <c r="A425" s="464"/>
      <c r="B425" s="462" t="s">
        <v>1547</v>
      </c>
      <c r="C425" s="463" t="s">
        <v>1124</v>
      </c>
      <c r="D425" s="463" t="s">
        <v>131</v>
      </c>
      <c r="E425" s="465"/>
      <c r="F425" s="465"/>
      <c r="G425" s="465"/>
      <c r="H425" s="465"/>
      <c r="I425" s="465"/>
      <c r="J425" s="463"/>
      <c r="K425" s="463"/>
      <c r="L425" s="463"/>
      <c r="M425" s="463"/>
      <c r="N425" s="484"/>
      <c r="O425" s="484"/>
      <c r="P425" s="484"/>
      <c r="Q425" s="484"/>
      <c r="R425" s="484"/>
      <c r="S425" s="462" t="str">
        <f t="shared" si="96"/>
        <v>正确</v>
      </c>
      <c r="T425" s="462"/>
      <c r="U425" s="462"/>
      <c r="V425" s="462"/>
      <c r="W425" s="462"/>
    </row>
    <row r="426" ht="23.25" customHeight="1" spans="1:23">
      <c r="A426" s="464"/>
      <c r="B426" s="462" t="s">
        <v>1548</v>
      </c>
      <c r="C426" s="463" t="s">
        <v>1124</v>
      </c>
      <c r="D426" s="463" t="s">
        <v>131</v>
      </c>
      <c r="E426" s="465"/>
      <c r="F426" s="465"/>
      <c r="G426" s="465"/>
      <c r="H426" s="465"/>
      <c r="I426" s="465"/>
      <c r="J426" s="463"/>
      <c r="K426" s="463"/>
      <c r="L426" s="463"/>
      <c r="M426" s="463"/>
      <c r="N426" s="484"/>
      <c r="O426" s="484"/>
      <c r="P426" s="484"/>
      <c r="Q426" s="484"/>
      <c r="R426" s="484"/>
      <c r="S426" s="462" t="str">
        <f t="shared" si="96"/>
        <v>正确</v>
      </c>
      <c r="T426" s="462"/>
      <c r="U426" s="462"/>
      <c r="V426" s="462"/>
      <c r="W426" s="462"/>
    </row>
    <row r="427" ht="23.25" customHeight="1" spans="1:23">
      <c r="A427" s="464"/>
      <c r="B427" s="462" t="s">
        <v>1549</v>
      </c>
      <c r="C427" s="463" t="s">
        <v>1124</v>
      </c>
      <c r="D427" s="463" t="s">
        <v>131</v>
      </c>
      <c r="E427" s="465"/>
      <c r="F427" s="465"/>
      <c r="G427" s="465"/>
      <c r="H427" s="465"/>
      <c r="I427" s="465"/>
      <c r="J427" s="463"/>
      <c r="K427" s="463"/>
      <c r="L427" s="463"/>
      <c r="M427" s="463"/>
      <c r="N427" s="484"/>
      <c r="O427" s="484"/>
      <c r="P427" s="484"/>
      <c r="Q427" s="484"/>
      <c r="R427" s="484"/>
      <c r="S427" s="462" t="str">
        <f t="shared" si="96"/>
        <v>正确</v>
      </c>
      <c r="T427" s="462"/>
      <c r="U427" s="462"/>
      <c r="V427" s="462"/>
      <c r="W427" s="462"/>
    </row>
    <row r="428" ht="23.25" customHeight="1" spans="1:23">
      <c r="A428" s="464"/>
      <c r="B428" s="462" t="s">
        <v>1550</v>
      </c>
      <c r="C428" s="463" t="s">
        <v>1124</v>
      </c>
      <c r="D428" s="463" t="s">
        <v>131</v>
      </c>
      <c r="E428" s="465"/>
      <c r="F428" s="465"/>
      <c r="G428" s="465"/>
      <c r="H428" s="465"/>
      <c r="I428" s="465"/>
      <c r="J428" s="463"/>
      <c r="K428" s="463"/>
      <c r="L428" s="463"/>
      <c r="M428" s="463"/>
      <c r="N428" s="484"/>
      <c r="O428" s="484"/>
      <c r="P428" s="484"/>
      <c r="Q428" s="484"/>
      <c r="R428" s="484"/>
      <c r="S428" s="462" t="str">
        <f t="shared" si="96"/>
        <v>正确</v>
      </c>
      <c r="T428" s="462"/>
      <c r="U428" s="462"/>
      <c r="V428" s="462"/>
      <c r="W428" s="462"/>
    </row>
    <row r="429" ht="23.25" customHeight="1" spans="1:23">
      <c r="A429" s="464"/>
      <c r="B429" s="462" t="s">
        <v>1551</v>
      </c>
      <c r="C429" s="463" t="s">
        <v>1124</v>
      </c>
      <c r="D429" s="463" t="s">
        <v>131</v>
      </c>
      <c r="E429" s="465"/>
      <c r="F429" s="465"/>
      <c r="G429" s="465"/>
      <c r="H429" s="465"/>
      <c r="I429" s="465"/>
      <c r="J429" s="463"/>
      <c r="K429" s="463"/>
      <c r="L429" s="463"/>
      <c r="M429" s="463"/>
      <c r="N429" s="484"/>
      <c r="O429" s="484"/>
      <c r="P429" s="484"/>
      <c r="Q429" s="484"/>
      <c r="R429" s="484"/>
      <c r="S429" s="462" t="str">
        <f t="shared" si="96"/>
        <v>正确</v>
      </c>
      <c r="T429" s="462"/>
      <c r="U429" s="462"/>
      <c r="V429" s="462"/>
      <c r="W429" s="462"/>
    </row>
    <row r="430" ht="71.1" customHeight="1" spans="1:23">
      <c r="A430" s="464">
        <v>2</v>
      </c>
      <c r="B430" s="462" t="s">
        <v>146</v>
      </c>
      <c r="C430" s="463" t="s">
        <v>52</v>
      </c>
      <c r="D430" s="463" t="s">
        <v>147</v>
      </c>
      <c r="E430" s="139">
        <f t="shared" ref="E430:G430" si="100">SUM(E431:E442)</f>
        <v>6775</v>
      </c>
      <c r="F430" s="139">
        <f t="shared" si="100"/>
        <v>1847</v>
      </c>
      <c r="G430" s="139">
        <f t="shared" si="100"/>
        <v>6775</v>
      </c>
      <c r="H430" s="465">
        <v>2018</v>
      </c>
      <c r="I430" s="465">
        <v>2019</v>
      </c>
      <c r="J430" s="463">
        <f t="shared" ref="J430:L430" si="101">SUM(J431:J442)</f>
        <v>554.1</v>
      </c>
      <c r="K430" s="463">
        <f t="shared" si="101"/>
        <v>273</v>
      </c>
      <c r="L430" s="463">
        <f t="shared" si="101"/>
        <v>281.1</v>
      </c>
      <c r="M430" s="463"/>
      <c r="N430" s="463"/>
      <c r="O430" s="463">
        <v>554.1</v>
      </c>
      <c r="P430" s="463"/>
      <c r="Q430" s="463"/>
      <c r="R430" s="463"/>
      <c r="S430" s="462" t="str">
        <f t="shared" si="96"/>
        <v>正确</v>
      </c>
      <c r="T430" s="462" t="s">
        <v>1574</v>
      </c>
      <c r="U430" s="462" t="s">
        <v>1602</v>
      </c>
      <c r="V430" s="462" t="s">
        <v>1133</v>
      </c>
      <c r="W430" s="462" t="s">
        <v>41</v>
      </c>
    </row>
    <row r="431" ht="21" customHeight="1" spans="1:23">
      <c r="A431" s="464"/>
      <c r="B431" s="462" t="s">
        <v>1540</v>
      </c>
      <c r="C431" s="463" t="s">
        <v>52</v>
      </c>
      <c r="D431" s="463" t="s">
        <v>147</v>
      </c>
      <c r="E431" s="139">
        <v>533</v>
      </c>
      <c r="F431" s="139">
        <f>252-75</f>
        <v>177</v>
      </c>
      <c r="G431" s="139">
        <f>790-257</f>
        <v>533</v>
      </c>
      <c r="H431" s="465">
        <v>2018</v>
      </c>
      <c r="I431" s="465">
        <v>2018</v>
      </c>
      <c r="J431" s="463">
        <v>53.1</v>
      </c>
      <c r="K431" s="463">
        <v>53.1</v>
      </c>
      <c r="L431" s="463"/>
      <c r="M431" s="463"/>
      <c r="N431" s="484"/>
      <c r="O431" s="484">
        <v>53.1</v>
      </c>
      <c r="P431" s="484"/>
      <c r="Q431" s="484"/>
      <c r="R431" s="484"/>
      <c r="S431" s="462" t="str">
        <f t="shared" si="96"/>
        <v>正确</v>
      </c>
      <c r="T431" s="462"/>
      <c r="U431" s="462"/>
      <c r="V431" s="462"/>
      <c r="W431" s="462" t="s">
        <v>1603</v>
      </c>
    </row>
    <row r="432" ht="21" customHeight="1" spans="1:23">
      <c r="A432" s="464"/>
      <c r="B432" s="462" t="s">
        <v>1541</v>
      </c>
      <c r="C432" s="463" t="s">
        <v>52</v>
      </c>
      <c r="D432" s="463" t="s">
        <v>147</v>
      </c>
      <c r="E432" s="139">
        <v>83</v>
      </c>
      <c r="F432" s="139">
        <v>26</v>
      </c>
      <c r="G432" s="139">
        <v>83</v>
      </c>
      <c r="H432" s="465">
        <v>2019</v>
      </c>
      <c r="I432" s="465">
        <v>2019</v>
      </c>
      <c r="J432" s="463">
        <v>7.8</v>
      </c>
      <c r="L432" s="463">
        <v>7.8</v>
      </c>
      <c r="M432" s="463"/>
      <c r="N432" s="484"/>
      <c r="O432" s="484">
        <v>7.8</v>
      </c>
      <c r="P432" s="484"/>
      <c r="Q432" s="484"/>
      <c r="R432" s="484"/>
      <c r="S432" s="462" t="str">
        <f t="shared" si="96"/>
        <v>正确</v>
      </c>
      <c r="T432" s="462"/>
      <c r="U432" s="462"/>
      <c r="V432" s="462"/>
      <c r="W432" s="462" t="s">
        <v>1603</v>
      </c>
    </row>
    <row r="433" ht="21" customHeight="1" spans="1:23">
      <c r="A433" s="464"/>
      <c r="B433" s="462" t="s">
        <v>1542</v>
      </c>
      <c r="C433" s="463" t="s">
        <v>52</v>
      </c>
      <c r="D433" s="463" t="s">
        <v>147</v>
      </c>
      <c r="E433" s="139">
        <v>238</v>
      </c>
      <c r="F433" s="139">
        <v>62</v>
      </c>
      <c r="G433" s="139">
        <v>238</v>
      </c>
      <c r="H433" s="465">
        <v>2018</v>
      </c>
      <c r="I433" s="465">
        <v>2018</v>
      </c>
      <c r="J433" s="463">
        <v>18.6</v>
      </c>
      <c r="K433" s="463">
        <v>18.6</v>
      </c>
      <c r="L433" s="463"/>
      <c r="M433" s="463"/>
      <c r="N433" s="484"/>
      <c r="O433" s="484">
        <v>18.6</v>
      </c>
      <c r="P433" s="484"/>
      <c r="Q433" s="484"/>
      <c r="R433" s="484"/>
      <c r="S433" s="462" t="str">
        <f t="shared" si="96"/>
        <v>正确</v>
      </c>
      <c r="T433" s="462"/>
      <c r="U433" s="462"/>
      <c r="V433" s="462"/>
      <c r="W433" s="462" t="s">
        <v>1603</v>
      </c>
    </row>
    <row r="434" ht="21" customHeight="1" spans="1:23">
      <c r="A434" s="464"/>
      <c r="B434" s="462" t="s">
        <v>1543</v>
      </c>
      <c r="C434" s="463" t="s">
        <v>52</v>
      </c>
      <c r="D434" s="463" t="s">
        <v>147</v>
      </c>
      <c r="E434" s="139">
        <v>36</v>
      </c>
      <c r="F434" s="139">
        <v>11</v>
      </c>
      <c r="G434" s="139">
        <v>36</v>
      </c>
      <c r="H434" s="465">
        <v>2018</v>
      </c>
      <c r="I434" s="465">
        <v>2018</v>
      </c>
      <c r="J434" s="463">
        <v>3.3</v>
      </c>
      <c r="K434" s="463">
        <v>3.3</v>
      </c>
      <c r="L434" s="463"/>
      <c r="M434" s="463"/>
      <c r="N434" s="484"/>
      <c r="O434" s="484">
        <v>3.3</v>
      </c>
      <c r="P434" s="484"/>
      <c r="Q434" s="484"/>
      <c r="R434" s="484"/>
      <c r="S434" s="462" t="str">
        <f t="shared" si="96"/>
        <v>正确</v>
      </c>
      <c r="T434" s="462"/>
      <c r="U434" s="462"/>
      <c r="V434" s="462"/>
      <c r="W434" s="462" t="s">
        <v>1603</v>
      </c>
    </row>
    <row r="435" ht="21" customHeight="1" spans="1:23">
      <c r="A435" s="464"/>
      <c r="B435" s="462" t="s">
        <v>1544</v>
      </c>
      <c r="C435" s="463" t="s">
        <v>52</v>
      </c>
      <c r="D435" s="463" t="s">
        <v>147</v>
      </c>
      <c r="E435" s="139">
        <v>495</v>
      </c>
      <c r="F435" s="139">
        <v>141</v>
      </c>
      <c r="G435" s="139">
        <v>495</v>
      </c>
      <c r="H435" s="465">
        <v>2018</v>
      </c>
      <c r="I435" s="465">
        <v>2018</v>
      </c>
      <c r="J435" s="463">
        <v>42.3</v>
      </c>
      <c r="K435" s="463">
        <v>42.3</v>
      </c>
      <c r="L435" s="463"/>
      <c r="M435" s="463"/>
      <c r="N435" s="484"/>
      <c r="O435" s="484">
        <v>42.3</v>
      </c>
      <c r="P435" s="484"/>
      <c r="Q435" s="484"/>
      <c r="R435" s="484"/>
      <c r="S435" s="462" t="str">
        <f t="shared" si="96"/>
        <v>正确</v>
      </c>
      <c r="T435" s="462"/>
      <c r="U435" s="462"/>
      <c r="V435" s="462"/>
      <c r="W435" s="462" t="s">
        <v>1603</v>
      </c>
    </row>
    <row r="436" ht="21" customHeight="1" spans="1:23">
      <c r="A436" s="464"/>
      <c r="B436" s="462" t="s">
        <v>1545</v>
      </c>
      <c r="C436" s="463" t="s">
        <v>52</v>
      </c>
      <c r="D436" s="463" t="s">
        <v>147</v>
      </c>
      <c r="E436" s="139">
        <v>790</v>
      </c>
      <c r="F436" s="139">
        <v>222</v>
      </c>
      <c r="G436" s="139">
        <v>790</v>
      </c>
      <c r="H436" s="465">
        <v>2018</v>
      </c>
      <c r="I436" s="465">
        <v>2018</v>
      </c>
      <c r="J436" s="463">
        <v>66.6</v>
      </c>
      <c r="K436" s="463">
        <v>66.6</v>
      </c>
      <c r="L436" s="463"/>
      <c r="M436" s="463"/>
      <c r="N436" s="484"/>
      <c r="O436" s="484">
        <v>66.6</v>
      </c>
      <c r="P436" s="484"/>
      <c r="Q436" s="484"/>
      <c r="R436" s="484"/>
      <c r="S436" s="462" t="str">
        <f t="shared" si="96"/>
        <v>正确</v>
      </c>
      <c r="T436" s="462"/>
      <c r="U436" s="462"/>
      <c r="V436" s="462"/>
      <c r="W436" s="462" t="s">
        <v>1603</v>
      </c>
    </row>
    <row r="437" ht="21" customHeight="1" spans="1:23">
      <c r="A437" s="464"/>
      <c r="B437" s="462" t="s">
        <v>1546</v>
      </c>
      <c r="C437" s="463" t="s">
        <v>52</v>
      </c>
      <c r="D437" s="463" t="s">
        <v>147</v>
      </c>
      <c r="E437" s="139">
        <v>1190</v>
      </c>
      <c r="F437" s="139">
        <v>297</v>
      </c>
      <c r="G437" s="139">
        <v>1190</v>
      </c>
      <c r="H437" s="465">
        <v>2018</v>
      </c>
      <c r="I437" s="465">
        <v>2018</v>
      </c>
      <c r="J437" s="463">
        <v>89.1</v>
      </c>
      <c r="K437" s="463">
        <v>89.1</v>
      </c>
      <c r="L437" s="463"/>
      <c r="M437" s="463"/>
      <c r="N437" s="484"/>
      <c r="O437" s="484">
        <v>89.1</v>
      </c>
      <c r="P437" s="484"/>
      <c r="Q437" s="484"/>
      <c r="R437" s="484"/>
      <c r="S437" s="462" t="str">
        <f t="shared" si="96"/>
        <v>正确</v>
      </c>
      <c r="T437" s="462"/>
      <c r="U437" s="462"/>
      <c r="V437" s="462"/>
      <c r="W437" s="462" t="s">
        <v>1603</v>
      </c>
    </row>
    <row r="438" ht="21" customHeight="1" spans="1:23">
      <c r="A438" s="464"/>
      <c r="B438" s="462" t="s">
        <v>1547</v>
      </c>
      <c r="C438" s="463" t="s">
        <v>52</v>
      </c>
      <c r="D438" s="463" t="s">
        <v>147</v>
      </c>
      <c r="E438" s="139">
        <v>1039</v>
      </c>
      <c r="F438" s="139">
        <v>251</v>
      </c>
      <c r="G438" s="139">
        <v>1039</v>
      </c>
      <c r="H438" s="465">
        <v>2019</v>
      </c>
      <c r="I438" s="465">
        <v>2019</v>
      </c>
      <c r="J438" s="463">
        <v>75.3</v>
      </c>
      <c r="K438" s="484"/>
      <c r="L438" s="463">
        <v>75.3</v>
      </c>
      <c r="M438" s="463"/>
      <c r="N438" s="484"/>
      <c r="O438" s="484">
        <v>75.3</v>
      </c>
      <c r="P438" s="484"/>
      <c r="Q438" s="484"/>
      <c r="R438" s="484"/>
      <c r="S438" s="462" t="str">
        <f t="shared" si="96"/>
        <v>正确</v>
      </c>
      <c r="T438" s="462"/>
      <c r="U438" s="462"/>
      <c r="V438" s="462"/>
      <c r="W438" s="462" t="s">
        <v>1603</v>
      </c>
    </row>
    <row r="439" ht="21" customHeight="1" spans="1:23">
      <c r="A439" s="464"/>
      <c r="B439" s="462" t="s">
        <v>1548</v>
      </c>
      <c r="C439" s="463" t="s">
        <v>52</v>
      </c>
      <c r="D439" s="463" t="s">
        <v>147</v>
      </c>
      <c r="E439" s="139">
        <v>1349</v>
      </c>
      <c r="F439" s="139">
        <v>372</v>
      </c>
      <c r="G439" s="139">
        <v>1349</v>
      </c>
      <c r="H439" s="465">
        <v>2019</v>
      </c>
      <c r="I439" s="465">
        <v>2019</v>
      </c>
      <c r="J439" s="463">
        <v>111.6</v>
      </c>
      <c r="K439" s="484"/>
      <c r="L439" s="463">
        <v>111.6</v>
      </c>
      <c r="M439" s="463"/>
      <c r="N439" s="484"/>
      <c r="O439" s="484">
        <v>111.6</v>
      </c>
      <c r="P439" s="484"/>
      <c r="Q439" s="484"/>
      <c r="R439" s="484"/>
      <c r="S439" s="462" t="str">
        <f t="shared" si="96"/>
        <v>正确</v>
      </c>
      <c r="T439" s="462"/>
      <c r="U439" s="462"/>
      <c r="V439" s="462"/>
      <c r="W439" s="462" t="s">
        <v>1603</v>
      </c>
    </row>
    <row r="440" ht="21" customHeight="1" spans="1:23">
      <c r="A440" s="464"/>
      <c r="B440" s="462" t="s">
        <v>1549</v>
      </c>
      <c r="C440" s="463" t="s">
        <v>52</v>
      </c>
      <c r="D440" s="463" t="s">
        <v>147</v>
      </c>
      <c r="E440" s="139">
        <v>474</v>
      </c>
      <c r="F440" s="139">
        <v>124</v>
      </c>
      <c r="G440" s="139">
        <v>474</v>
      </c>
      <c r="H440" s="465">
        <v>2019</v>
      </c>
      <c r="I440" s="465">
        <v>2019</v>
      </c>
      <c r="J440" s="463">
        <v>37.2</v>
      </c>
      <c r="K440" s="484"/>
      <c r="L440" s="463">
        <v>37.2</v>
      </c>
      <c r="M440" s="463"/>
      <c r="N440" s="484"/>
      <c r="O440" s="484">
        <v>37.2</v>
      </c>
      <c r="P440" s="484"/>
      <c r="Q440" s="484"/>
      <c r="R440" s="484"/>
      <c r="S440" s="462" t="str">
        <f t="shared" si="96"/>
        <v>正确</v>
      </c>
      <c r="T440" s="462"/>
      <c r="U440" s="462"/>
      <c r="V440" s="462"/>
      <c r="W440" s="462" t="s">
        <v>1603</v>
      </c>
    </row>
    <row r="441" ht="21" customHeight="1" spans="1:23">
      <c r="A441" s="464"/>
      <c r="B441" s="462" t="s">
        <v>1550</v>
      </c>
      <c r="C441" s="463" t="s">
        <v>52</v>
      </c>
      <c r="D441" s="463" t="s">
        <v>147</v>
      </c>
      <c r="E441" s="139">
        <v>253</v>
      </c>
      <c r="F441" s="139">
        <v>84</v>
      </c>
      <c r="G441" s="139">
        <v>253</v>
      </c>
      <c r="H441" s="465">
        <v>2019</v>
      </c>
      <c r="I441" s="465">
        <v>2019</v>
      </c>
      <c r="J441" s="463">
        <v>25.2</v>
      </c>
      <c r="K441" s="484"/>
      <c r="L441" s="463">
        <v>25.2</v>
      </c>
      <c r="M441" s="463"/>
      <c r="N441" s="484"/>
      <c r="O441" s="484">
        <v>25.2</v>
      </c>
      <c r="P441" s="484"/>
      <c r="Q441" s="484"/>
      <c r="R441" s="484"/>
      <c r="S441" s="462" t="str">
        <f t="shared" si="96"/>
        <v>正确</v>
      </c>
      <c r="T441" s="462"/>
      <c r="U441" s="462"/>
      <c r="V441" s="462"/>
      <c r="W441" s="462" t="s">
        <v>1603</v>
      </c>
    </row>
    <row r="442" ht="21" customHeight="1" spans="1:23">
      <c r="A442" s="464"/>
      <c r="B442" s="462" t="s">
        <v>1551</v>
      </c>
      <c r="C442" s="463" t="s">
        <v>52</v>
      </c>
      <c r="D442" s="463" t="s">
        <v>147</v>
      </c>
      <c r="E442" s="139">
        <v>295</v>
      </c>
      <c r="F442" s="139">
        <v>80</v>
      </c>
      <c r="G442" s="139">
        <v>295</v>
      </c>
      <c r="H442" s="465">
        <v>2019</v>
      </c>
      <c r="I442" s="465">
        <v>2019</v>
      </c>
      <c r="J442" s="463">
        <v>24</v>
      </c>
      <c r="K442" s="484"/>
      <c r="L442" s="463">
        <v>24</v>
      </c>
      <c r="M442" s="463"/>
      <c r="N442" s="484"/>
      <c r="O442" s="484">
        <v>24</v>
      </c>
      <c r="P442" s="484"/>
      <c r="Q442" s="484"/>
      <c r="R442" s="484"/>
      <c r="S442" s="462" t="str">
        <f t="shared" si="96"/>
        <v>正确</v>
      </c>
      <c r="T442" s="462"/>
      <c r="U442" s="462"/>
      <c r="V442" s="462"/>
      <c r="W442" s="462" t="s">
        <v>1603</v>
      </c>
    </row>
    <row r="443" ht="36.95" customHeight="1" spans="1:23">
      <c r="A443" s="464">
        <v>2</v>
      </c>
      <c r="B443" s="485" t="s">
        <v>893</v>
      </c>
      <c r="C443" s="463" t="s">
        <v>52</v>
      </c>
      <c r="D443" s="463" t="s">
        <v>150</v>
      </c>
      <c r="E443" s="465">
        <f t="shared" ref="E443:G443" si="102">SUM(E444:E455)</f>
        <v>12</v>
      </c>
      <c r="F443" s="465">
        <f t="shared" si="102"/>
        <v>2290</v>
      </c>
      <c r="G443" s="465">
        <f t="shared" si="102"/>
        <v>8611</v>
      </c>
      <c r="H443" s="465">
        <v>2018</v>
      </c>
      <c r="I443" s="465">
        <v>2020</v>
      </c>
      <c r="J443" s="463"/>
      <c r="K443" s="463"/>
      <c r="L443" s="463"/>
      <c r="M443" s="463"/>
      <c r="N443" s="463"/>
      <c r="O443" s="463"/>
      <c r="P443" s="463"/>
      <c r="Q443" s="463"/>
      <c r="R443" s="463"/>
      <c r="S443" s="462" t="str">
        <f t="shared" si="96"/>
        <v>正确</v>
      </c>
      <c r="T443" s="462" t="s">
        <v>1574</v>
      </c>
      <c r="U443" s="462" t="s">
        <v>1575</v>
      </c>
      <c r="V443" s="462" t="s">
        <v>43</v>
      </c>
      <c r="W443" s="462" t="s">
        <v>41</v>
      </c>
    </row>
    <row r="444" ht="23.25" customHeight="1" spans="1:23">
      <c r="A444" s="464"/>
      <c r="B444" s="462" t="s">
        <v>1540</v>
      </c>
      <c r="C444" s="463" t="s">
        <v>52</v>
      </c>
      <c r="D444" s="463" t="s">
        <v>150</v>
      </c>
      <c r="E444" s="150">
        <v>1</v>
      </c>
      <c r="F444" s="150">
        <v>252</v>
      </c>
      <c r="G444" s="150">
        <v>978</v>
      </c>
      <c r="H444" s="465"/>
      <c r="I444" s="465"/>
      <c r="J444" s="463"/>
      <c r="K444" s="463"/>
      <c r="L444" s="463"/>
      <c r="M444" s="463"/>
      <c r="N444" s="484"/>
      <c r="O444" s="484"/>
      <c r="P444" s="484"/>
      <c r="Q444" s="484"/>
      <c r="R444" s="484"/>
      <c r="S444" s="462" t="str">
        <f t="shared" si="96"/>
        <v>正确</v>
      </c>
      <c r="T444" s="462"/>
      <c r="U444" s="462"/>
      <c r="V444" s="462"/>
      <c r="W444" s="462"/>
    </row>
    <row r="445" ht="23.25" customHeight="1" spans="1:23">
      <c r="A445" s="464"/>
      <c r="B445" s="462" t="s">
        <v>1541</v>
      </c>
      <c r="C445" s="463" t="s">
        <v>52</v>
      </c>
      <c r="D445" s="463" t="s">
        <v>150</v>
      </c>
      <c r="E445" s="150">
        <v>1</v>
      </c>
      <c r="F445" s="150">
        <v>229</v>
      </c>
      <c r="G445" s="150">
        <v>879</v>
      </c>
      <c r="H445" s="465"/>
      <c r="I445" s="465"/>
      <c r="J445" s="463"/>
      <c r="K445" s="463"/>
      <c r="L445" s="463"/>
      <c r="M445" s="463"/>
      <c r="N445" s="484"/>
      <c r="O445" s="484"/>
      <c r="P445" s="484"/>
      <c r="Q445" s="484"/>
      <c r="R445" s="484"/>
      <c r="S445" s="462" t="str">
        <f t="shared" si="96"/>
        <v>正确</v>
      </c>
      <c r="T445" s="462"/>
      <c r="U445" s="462"/>
      <c r="V445" s="462"/>
      <c r="W445" s="462" t="s">
        <v>1604</v>
      </c>
    </row>
    <row r="446" ht="23.25" customHeight="1" spans="1:23">
      <c r="A446" s="464"/>
      <c r="B446" s="462" t="s">
        <v>1542</v>
      </c>
      <c r="C446" s="463" t="s">
        <v>52</v>
      </c>
      <c r="D446" s="463" t="s">
        <v>150</v>
      </c>
      <c r="E446" s="150">
        <v>1</v>
      </c>
      <c r="F446" s="465">
        <v>139</v>
      </c>
      <c r="G446" s="465">
        <v>505</v>
      </c>
      <c r="H446" s="465"/>
      <c r="I446" s="465"/>
      <c r="J446" s="463"/>
      <c r="K446" s="463"/>
      <c r="L446" s="463"/>
      <c r="M446" s="463"/>
      <c r="N446" s="484"/>
      <c r="O446" s="484"/>
      <c r="P446" s="484"/>
      <c r="Q446" s="484"/>
      <c r="R446" s="484"/>
      <c r="S446" s="462" t="str">
        <f t="shared" si="96"/>
        <v>正确</v>
      </c>
      <c r="T446" s="462"/>
      <c r="U446" s="462"/>
      <c r="V446" s="462"/>
      <c r="W446" s="462"/>
    </row>
    <row r="447" ht="23.25" customHeight="1" spans="1:23">
      <c r="A447" s="464"/>
      <c r="B447" s="462" t="s">
        <v>1543</v>
      </c>
      <c r="C447" s="463" t="s">
        <v>52</v>
      </c>
      <c r="D447" s="463" t="s">
        <v>150</v>
      </c>
      <c r="E447" s="150">
        <v>1</v>
      </c>
      <c r="F447" s="150">
        <v>96</v>
      </c>
      <c r="G447" s="150">
        <v>327</v>
      </c>
      <c r="H447" s="465"/>
      <c r="I447" s="465"/>
      <c r="J447" s="463"/>
      <c r="K447" s="463"/>
      <c r="L447" s="463"/>
      <c r="M447" s="463"/>
      <c r="N447" s="484"/>
      <c r="O447" s="484"/>
      <c r="P447" s="484"/>
      <c r="Q447" s="484"/>
      <c r="R447" s="484"/>
      <c r="S447" s="462" t="str">
        <f t="shared" si="96"/>
        <v>正确</v>
      </c>
      <c r="T447" s="462"/>
      <c r="U447" s="462"/>
      <c r="V447" s="462"/>
      <c r="W447" s="462"/>
    </row>
    <row r="448" ht="23.25" customHeight="1" spans="1:23">
      <c r="A448" s="464"/>
      <c r="B448" s="462" t="s">
        <v>1544</v>
      </c>
      <c r="C448" s="463" t="s">
        <v>52</v>
      </c>
      <c r="D448" s="463" t="s">
        <v>150</v>
      </c>
      <c r="E448" s="150">
        <v>1</v>
      </c>
      <c r="F448" s="465">
        <v>141</v>
      </c>
      <c r="G448" s="465">
        <v>502</v>
      </c>
      <c r="H448" s="465"/>
      <c r="I448" s="465"/>
      <c r="J448" s="463"/>
      <c r="K448" s="463"/>
      <c r="L448" s="463"/>
      <c r="M448" s="463"/>
      <c r="N448" s="484"/>
      <c r="O448" s="484"/>
      <c r="P448" s="484"/>
      <c r="Q448" s="484"/>
      <c r="R448" s="484"/>
      <c r="S448" s="462" t="str">
        <f t="shared" si="96"/>
        <v>正确</v>
      </c>
      <c r="T448" s="462"/>
      <c r="U448" s="462"/>
      <c r="V448" s="462"/>
      <c r="W448" s="462"/>
    </row>
    <row r="449" ht="23.25" customHeight="1" spans="1:23">
      <c r="A449" s="464"/>
      <c r="B449" s="462" t="s">
        <v>1545</v>
      </c>
      <c r="C449" s="463" t="s">
        <v>52</v>
      </c>
      <c r="D449" s="463" t="s">
        <v>150</v>
      </c>
      <c r="E449" s="150">
        <v>1</v>
      </c>
      <c r="F449" s="150">
        <v>224</v>
      </c>
      <c r="G449" s="150">
        <v>796</v>
      </c>
      <c r="H449" s="465"/>
      <c r="I449" s="465"/>
      <c r="J449" s="463"/>
      <c r="K449" s="463"/>
      <c r="L449" s="463"/>
      <c r="M449" s="463"/>
      <c r="N449" s="484"/>
      <c r="O449" s="484"/>
      <c r="P449" s="484"/>
      <c r="Q449" s="484"/>
      <c r="R449" s="484"/>
      <c r="S449" s="462" t="str">
        <f t="shared" si="96"/>
        <v>正确</v>
      </c>
      <c r="T449" s="462"/>
      <c r="U449" s="462"/>
      <c r="V449" s="462"/>
      <c r="W449" s="462"/>
    </row>
    <row r="450" ht="23.25" customHeight="1" spans="1:23">
      <c r="A450" s="464"/>
      <c r="B450" s="462" t="s">
        <v>1546</v>
      </c>
      <c r="C450" s="463" t="s">
        <v>52</v>
      </c>
      <c r="D450" s="463" t="s">
        <v>150</v>
      </c>
      <c r="E450" s="150">
        <v>1</v>
      </c>
      <c r="F450" s="150">
        <v>291</v>
      </c>
      <c r="G450" s="150">
        <v>1164</v>
      </c>
      <c r="H450" s="465"/>
      <c r="I450" s="465"/>
      <c r="J450" s="463"/>
      <c r="K450" s="463"/>
      <c r="L450" s="463"/>
      <c r="M450" s="463"/>
      <c r="N450" s="484"/>
      <c r="O450" s="484"/>
      <c r="P450" s="484"/>
      <c r="Q450" s="484"/>
      <c r="R450" s="484"/>
      <c r="S450" s="462" t="str">
        <f t="shared" si="96"/>
        <v>正确</v>
      </c>
      <c r="T450" s="462"/>
      <c r="U450" s="462"/>
      <c r="V450" s="462"/>
      <c r="W450" s="462"/>
    </row>
    <row r="451" ht="23.25" customHeight="1" spans="1:23">
      <c r="A451" s="464"/>
      <c r="B451" s="462" t="s">
        <v>1547</v>
      </c>
      <c r="C451" s="463" t="s">
        <v>52</v>
      </c>
      <c r="D451" s="463" t="s">
        <v>150</v>
      </c>
      <c r="E451" s="150">
        <v>1</v>
      </c>
      <c r="F451" s="465">
        <v>254</v>
      </c>
      <c r="G451" s="465">
        <v>1046</v>
      </c>
      <c r="H451" s="465"/>
      <c r="I451" s="465"/>
      <c r="J451" s="463"/>
      <c r="K451" s="463"/>
      <c r="L451" s="463"/>
      <c r="M451" s="463"/>
      <c r="N451" s="484"/>
      <c r="O451" s="484"/>
      <c r="P451" s="484"/>
      <c r="Q451" s="484"/>
      <c r="R451" s="484"/>
      <c r="S451" s="462" t="str">
        <f t="shared" si="96"/>
        <v>正确</v>
      </c>
      <c r="T451" s="462"/>
      <c r="U451" s="462"/>
      <c r="V451" s="462"/>
      <c r="W451" s="462"/>
    </row>
    <row r="452" ht="23.25" customHeight="1" spans="1:23">
      <c r="A452" s="464"/>
      <c r="B452" s="462" t="s">
        <v>1548</v>
      </c>
      <c r="C452" s="463" t="s">
        <v>52</v>
      </c>
      <c r="D452" s="463" t="s">
        <v>150</v>
      </c>
      <c r="E452" s="150">
        <v>1</v>
      </c>
      <c r="F452" s="465">
        <v>372</v>
      </c>
      <c r="G452" s="465">
        <v>1373</v>
      </c>
      <c r="H452" s="465"/>
      <c r="I452" s="465"/>
      <c r="J452" s="463"/>
      <c r="K452" s="463"/>
      <c r="L452" s="463"/>
      <c r="M452" s="463"/>
      <c r="N452" s="484"/>
      <c r="O452" s="484"/>
      <c r="P452" s="484"/>
      <c r="Q452" s="484"/>
      <c r="R452" s="484"/>
      <c r="S452" s="462" t="str">
        <f t="shared" si="96"/>
        <v>正确</v>
      </c>
      <c r="T452" s="462"/>
      <c r="U452" s="462"/>
      <c r="V452" s="462"/>
      <c r="W452" s="462"/>
    </row>
    <row r="453" ht="23.25" customHeight="1" spans="1:23">
      <c r="A453" s="464"/>
      <c r="B453" s="462" t="s">
        <v>1549</v>
      </c>
      <c r="C453" s="463" t="s">
        <v>52</v>
      </c>
      <c r="D453" s="463" t="s">
        <v>150</v>
      </c>
      <c r="E453" s="150">
        <v>1</v>
      </c>
      <c r="F453" s="465">
        <v>125</v>
      </c>
      <c r="G453" s="465">
        <v>473</v>
      </c>
      <c r="H453" s="465"/>
      <c r="I453" s="465"/>
      <c r="J453" s="463"/>
      <c r="K453" s="463"/>
      <c r="L453" s="463"/>
      <c r="M453" s="463"/>
      <c r="N453" s="484"/>
      <c r="O453" s="484"/>
      <c r="P453" s="484"/>
      <c r="Q453" s="484"/>
      <c r="R453" s="484"/>
      <c r="S453" s="462" t="str">
        <f t="shared" si="96"/>
        <v>正确</v>
      </c>
      <c r="T453" s="462"/>
      <c r="U453" s="462"/>
      <c r="V453" s="462"/>
      <c r="W453" s="462"/>
    </row>
    <row r="454" ht="23.25" customHeight="1" spans="1:23">
      <c r="A454" s="464"/>
      <c r="B454" s="462" t="s">
        <v>1550</v>
      </c>
      <c r="C454" s="463" t="s">
        <v>52</v>
      </c>
      <c r="D454" s="463" t="s">
        <v>150</v>
      </c>
      <c r="E454" s="150">
        <v>1</v>
      </c>
      <c r="F454" s="150">
        <v>84</v>
      </c>
      <c r="G454" s="150">
        <v>260</v>
      </c>
      <c r="H454" s="465"/>
      <c r="I454" s="465"/>
      <c r="J454" s="463"/>
      <c r="K454" s="463"/>
      <c r="L454" s="463"/>
      <c r="M454" s="463"/>
      <c r="N454" s="484"/>
      <c r="O454" s="484"/>
      <c r="P454" s="484"/>
      <c r="Q454" s="484"/>
      <c r="R454" s="484"/>
      <c r="S454" s="462" t="str">
        <f t="shared" si="96"/>
        <v>正确</v>
      </c>
      <c r="T454" s="462"/>
      <c r="U454" s="462"/>
      <c r="V454" s="462"/>
      <c r="W454" s="462"/>
    </row>
    <row r="455" ht="23.25" customHeight="1" spans="1:23">
      <c r="A455" s="464"/>
      <c r="B455" s="462" t="s">
        <v>1551</v>
      </c>
      <c r="C455" s="463" t="s">
        <v>52</v>
      </c>
      <c r="D455" s="463" t="s">
        <v>150</v>
      </c>
      <c r="E455" s="150">
        <v>1</v>
      </c>
      <c r="F455" s="150">
        <v>83</v>
      </c>
      <c r="G455" s="150">
        <v>308</v>
      </c>
      <c r="H455" s="465"/>
      <c r="I455" s="465"/>
      <c r="J455" s="463"/>
      <c r="K455" s="463"/>
      <c r="L455" s="463"/>
      <c r="M455" s="463"/>
      <c r="N455" s="484"/>
      <c r="O455" s="484"/>
      <c r="P455" s="484"/>
      <c r="Q455" s="484"/>
      <c r="R455" s="484"/>
      <c r="S455" s="462" t="str">
        <f t="shared" ref="S455:S518" si="103">IF(SUM(K455:M455)=SUM(N455:R455),"正确","错误")</f>
        <v>正确</v>
      </c>
      <c r="T455" s="462"/>
      <c r="U455" s="462"/>
      <c r="V455" s="462"/>
      <c r="W455" s="462"/>
    </row>
    <row r="456" ht="39.95" customHeight="1" spans="1:23">
      <c r="A456" s="464">
        <v>2</v>
      </c>
      <c r="B456" s="485" t="s">
        <v>158</v>
      </c>
      <c r="C456" s="463" t="s">
        <v>52</v>
      </c>
      <c r="D456" s="463" t="s">
        <v>163</v>
      </c>
      <c r="E456" s="465">
        <v>1162</v>
      </c>
      <c r="F456" s="465">
        <v>295</v>
      </c>
      <c r="G456" s="465">
        <v>1032</v>
      </c>
      <c r="H456" s="465">
        <v>2018</v>
      </c>
      <c r="I456" s="465">
        <v>2020</v>
      </c>
      <c r="J456" s="465">
        <f>SUM(K456:M456)</f>
        <v>171.576582</v>
      </c>
      <c r="K456" s="465">
        <v>40.39</v>
      </c>
      <c r="L456" s="465">
        <v>57.192194</v>
      </c>
      <c r="M456" s="465">
        <v>73.994388</v>
      </c>
      <c r="N456" s="465"/>
      <c r="O456" s="465">
        <f>J456</f>
        <v>171.576582</v>
      </c>
      <c r="P456" s="463"/>
      <c r="Q456" s="463"/>
      <c r="R456" s="463"/>
      <c r="S456" s="462" t="str">
        <f t="shared" si="103"/>
        <v>正确</v>
      </c>
      <c r="T456" s="462"/>
      <c r="U456" s="462" t="s">
        <v>160</v>
      </c>
      <c r="V456" s="462"/>
      <c r="W456" s="462" t="s">
        <v>41</v>
      </c>
    </row>
    <row r="457" ht="23.25" customHeight="1" spans="1:23">
      <c r="A457" s="464"/>
      <c r="B457" s="462" t="s">
        <v>1540</v>
      </c>
      <c r="C457" s="463" t="s">
        <v>52</v>
      </c>
      <c r="D457" s="463" t="s">
        <v>163</v>
      </c>
      <c r="E457" s="150"/>
      <c r="F457" s="486">
        <v>89</v>
      </c>
      <c r="G457" s="150">
        <v>212</v>
      </c>
      <c r="H457" s="465">
        <v>2018</v>
      </c>
      <c r="I457" s="465">
        <v>2020</v>
      </c>
      <c r="J457" s="463"/>
      <c r="K457" s="463"/>
      <c r="L457" s="463"/>
      <c r="M457" s="463"/>
      <c r="N457" s="484"/>
      <c r="O457" s="484"/>
      <c r="P457" s="484"/>
      <c r="Q457" s="484"/>
      <c r="R457" s="484"/>
      <c r="S457" s="462" t="str">
        <f t="shared" si="103"/>
        <v>正确</v>
      </c>
      <c r="T457" s="462"/>
      <c r="U457" s="462"/>
      <c r="V457" s="462"/>
      <c r="W457" s="462"/>
    </row>
    <row r="458" ht="23.25" customHeight="1" spans="1:23">
      <c r="A458" s="464"/>
      <c r="B458" s="462" t="s">
        <v>1541</v>
      </c>
      <c r="C458" s="463" t="s">
        <v>52</v>
      </c>
      <c r="D458" s="463" t="s">
        <v>163</v>
      </c>
      <c r="E458" s="150"/>
      <c r="F458" s="486">
        <v>83</v>
      </c>
      <c r="G458" s="150">
        <v>261</v>
      </c>
      <c r="H458" s="465">
        <v>2018</v>
      </c>
      <c r="I458" s="465">
        <v>2020</v>
      </c>
      <c r="J458" s="463"/>
      <c r="K458" s="463"/>
      <c r="L458" s="463"/>
      <c r="M458" s="463"/>
      <c r="N458" s="484"/>
      <c r="O458" s="484"/>
      <c r="P458" s="484"/>
      <c r="Q458" s="484"/>
      <c r="R458" s="484"/>
      <c r="S458" s="462" t="str">
        <f t="shared" si="103"/>
        <v>正确</v>
      </c>
      <c r="T458" s="462"/>
      <c r="U458" s="462"/>
      <c r="V458" s="462"/>
      <c r="W458" s="462"/>
    </row>
    <row r="459" ht="23.25" customHeight="1" spans="1:23">
      <c r="A459" s="464"/>
      <c r="B459" s="462" t="s">
        <v>1542</v>
      </c>
      <c r="C459" s="463" t="s">
        <v>52</v>
      </c>
      <c r="D459" s="463" t="s">
        <v>163</v>
      </c>
      <c r="E459" s="150"/>
      <c r="F459" s="486">
        <v>59</v>
      </c>
      <c r="G459" s="150">
        <v>194</v>
      </c>
      <c r="H459" s="465">
        <v>2018</v>
      </c>
      <c r="I459" s="465">
        <v>2020</v>
      </c>
      <c r="J459" s="463"/>
      <c r="K459" s="463"/>
      <c r="L459" s="463"/>
      <c r="M459" s="463"/>
      <c r="N459" s="484"/>
      <c r="O459" s="484"/>
      <c r="P459" s="484"/>
      <c r="Q459" s="484"/>
      <c r="R459" s="484"/>
      <c r="S459" s="462" t="str">
        <f t="shared" si="103"/>
        <v>正确</v>
      </c>
      <c r="T459" s="462"/>
      <c r="U459" s="462"/>
      <c r="V459" s="462"/>
      <c r="W459" s="462"/>
    </row>
    <row r="460" ht="23.25" customHeight="1" spans="1:23">
      <c r="A460" s="464"/>
      <c r="B460" s="462" t="s">
        <v>1543</v>
      </c>
      <c r="C460" s="463" t="s">
        <v>52</v>
      </c>
      <c r="D460" s="463" t="s">
        <v>163</v>
      </c>
      <c r="E460" s="150"/>
      <c r="F460" s="486">
        <v>43</v>
      </c>
      <c r="G460" s="150">
        <v>168</v>
      </c>
      <c r="H460" s="465">
        <v>2018</v>
      </c>
      <c r="I460" s="465">
        <v>2020</v>
      </c>
      <c r="J460" s="463"/>
      <c r="K460" s="463"/>
      <c r="L460" s="463"/>
      <c r="M460" s="463"/>
      <c r="N460" s="484"/>
      <c r="O460" s="484"/>
      <c r="P460" s="484"/>
      <c r="Q460" s="484"/>
      <c r="R460" s="484"/>
      <c r="S460" s="462" t="str">
        <f t="shared" si="103"/>
        <v>正确</v>
      </c>
      <c r="T460" s="462"/>
      <c r="U460" s="462"/>
      <c r="V460" s="462"/>
      <c r="W460" s="462"/>
    </row>
    <row r="461" ht="23.25" customHeight="1" spans="1:23">
      <c r="A461" s="464"/>
      <c r="B461" s="462" t="s">
        <v>1544</v>
      </c>
      <c r="C461" s="463" t="s">
        <v>52</v>
      </c>
      <c r="D461" s="463" t="s">
        <v>163</v>
      </c>
      <c r="E461" s="150"/>
      <c r="F461" s="486">
        <v>57</v>
      </c>
      <c r="G461" s="150">
        <v>222</v>
      </c>
      <c r="H461" s="465">
        <v>2018</v>
      </c>
      <c r="I461" s="465">
        <v>2020</v>
      </c>
      <c r="J461" s="463"/>
      <c r="K461" s="463"/>
      <c r="L461" s="463"/>
      <c r="M461" s="463"/>
      <c r="N461" s="484"/>
      <c r="O461" s="484"/>
      <c r="P461" s="484"/>
      <c r="Q461" s="484"/>
      <c r="R461" s="484"/>
      <c r="S461" s="462" t="str">
        <f t="shared" si="103"/>
        <v>正确</v>
      </c>
      <c r="T461" s="462"/>
      <c r="U461" s="462"/>
      <c r="V461" s="462"/>
      <c r="W461" s="462"/>
    </row>
    <row r="462" ht="23.25" customHeight="1" spans="1:23">
      <c r="A462" s="464"/>
      <c r="B462" s="462" t="s">
        <v>1545</v>
      </c>
      <c r="C462" s="463" t="s">
        <v>52</v>
      </c>
      <c r="D462" s="463" t="s">
        <v>163</v>
      </c>
      <c r="E462" s="150"/>
      <c r="F462" s="486">
        <v>29</v>
      </c>
      <c r="G462" s="150">
        <v>116</v>
      </c>
      <c r="H462" s="465">
        <v>2018</v>
      </c>
      <c r="I462" s="465">
        <v>2020</v>
      </c>
      <c r="J462" s="463"/>
      <c r="K462" s="463"/>
      <c r="L462" s="463"/>
      <c r="M462" s="463"/>
      <c r="N462" s="484"/>
      <c r="O462" s="484"/>
      <c r="P462" s="484"/>
      <c r="Q462" s="484"/>
      <c r="R462" s="484"/>
      <c r="S462" s="462" t="str">
        <f t="shared" si="103"/>
        <v>正确</v>
      </c>
      <c r="T462" s="462"/>
      <c r="U462" s="462"/>
      <c r="V462" s="462"/>
      <c r="W462" s="462"/>
    </row>
    <row r="463" ht="23.25" customHeight="1" spans="1:23">
      <c r="A463" s="464"/>
      <c r="B463" s="462" t="s">
        <v>1546</v>
      </c>
      <c r="C463" s="463" t="s">
        <v>52</v>
      </c>
      <c r="D463" s="463" t="s">
        <v>163</v>
      </c>
      <c r="E463" s="150"/>
      <c r="F463" s="486">
        <v>70</v>
      </c>
      <c r="G463" s="150">
        <v>311</v>
      </c>
      <c r="H463" s="465">
        <v>2018</v>
      </c>
      <c r="I463" s="465">
        <v>2020</v>
      </c>
      <c r="J463" s="463"/>
      <c r="K463" s="463"/>
      <c r="L463" s="463"/>
      <c r="M463" s="463"/>
      <c r="N463" s="484"/>
      <c r="O463" s="484"/>
      <c r="P463" s="484"/>
      <c r="Q463" s="484"/>
      <c r="R463" s="484"/>
      <c r="S463" s="462" t="str">
        <f t="shared" si="103"/>
        <v>正确</v>
      </c>
      <c r="T463" s="462"/>
      <c r="U463" s="462"/>
      <c r="V463" s="462"/>
      <c r="W463" s="462"/>
    </row>
    <row r="464" ht="23.25" customHeight="1" spans="1:23">
      <c r="A464" s="464"/>
      <c r="B464" s="462" t="s">
        <v>1547</v>
      </c>
      <c r="C464" s="463" t="s">
        <v>52</v>
      </c>
      <c r="D464" s="463" t="s">
        <v>163</v>
      </c>
      <c r="E464" s="150"/>
      <c r="F464" s="486">
        <v>89</v>
      </c>
      <c r="G464" s="150">
        <v>186</v>
      </c>
      <c r="H464" s="465">
        <v>2018</v>
      </c>
      <c r="I464" s="465">
        <v>2020</v>
      </c>
      <c r="J464" s="463"/>
      <c r="K464" s="463"/>
      <c r="L464" s="463"/>
      <c r="M464" s="463"/>
      <c r="N464" s="484"/>
      <c r="O464" s="484"/>
      <c r="P464" s="484"/>
      <c r="Q464" s="484"/>
      <c r="R464" s="484"/>
      <c r="S464" s="462" t="str">
        <f t="shared" si="103"/>
        <v>正确</v>
      </c>
      <c r="T464" s="462"/>
      <c r="U464" s="462"/>
      <c r="V464" s="462"/>
      <c r="W464" s="462"/>
    </row>
    <row r="465" ht="23.25" customHeight="1" spans="1:23">
      <c r="A465" s="464"/>
      <c r="B465" s="462" t="s">
        <v>1548</v>
      </c>
      <c r="C465" s="463" t="s">
        <v>52</v>
      </c>
      <c r="D465" s="463" t="s">
        <v>163</v>
      </c>
      <c r="E465" s="150"/>
      <c r="F465" s="486">
        <v>82</v>
      </c>
      <c r="G465" s="465">
        <v>343</v>
      </c>
      <c r="H465" s="465">
        <v>2018</v>
      </c>
      <c r="I465" s="465">
        <v>2020</v>
      </c>
      <c r="J465" s="463"/>
      <c r="K465" s="463"/>
      <c r="L465" s="463"/>
      <c r="M465" s="463"/>
      <c r="N465" s="484"/>
      <c r="O465" s="484"/>
      <c r="P465" s="484"/>
      <c r="Q465" s="484"/>
      <c r="R465" s="484"/>
      <c r="S465" s="462" t="str">
        <f t="shared" si="103"/>
        <v>正确</v>
      </c>
      <c r="T465" s="462"/>
      <c r="U465" s="462"/>
      <c r="V465" s="462"/>
      <c r="W465" s="462"/>
    </row>
    <row r="466" ht="23.25" customHeight="1" spans="1:23">
      <c r="A466" s="464"/>
      <c r="B466" s="462" t="s">
        <v>1549</v>
      </c>
      <c r="C466" s="463" t="s">
        <v>52</v>
      </c>
      <c r="D466" s="463" t="s">
        <v>163</v>
      </c>
      <c r="E466" s="150"/>
      <c r="F466" s="486">
        <v>52</v>
      </c>
      <c r="G466" s="150">
        <v>216</v>
      </c>
      <c r="H466" s="465">
        <v>2018</v>
      </c>
      <c r="I466" s="465">
        <v>2020</v>
      </c>
      <c r="J466" s="463"/>
      <c r="K466" s="463"/>
      <c r="L466" s="463"/>
      <c r="M466" s="463"/>
      <c r="N466" s="484"/>
      <c r="O466" s="484"/>
      <c r="P466" s="484"/>
      <c r="Q466" s="484"/>
      <c r="R466" s="484"/>
      <c r="S466" s="462" t="str">
        <f t="shared" si="103"/>
        <v>正确</v>
      </c>
      <c r="T466" s="462"/>
      <c r="U466" s="462"/>
      <c r="V466" s="462"/>
      <c r="W466" s="462"/>
    </row>
    <row r="467" ht="23.25" customHeight="1" spans="1:23">
      <c r="A467" s="464"/>
      <c r="B467" s="462" t="s">
        <v>1550</v>
      </c>
      <c r="C467" s="463" t="s">
        <v>52</v>
      </c>
      <c r="D467" s="463" t="s">
        <v>163</v>
      </c>
      <c r="E467" s="150"/>
      <c r="F467" s="486">
        <v>40</v>
      </c>
      <c r="G467" s="150">
        <v>165</v>
      </c>
      <c r="H467" s="465">
        <v>2018</v>
      </c>
      <c r="I467" s="465">
        <v>2020</v>
      </c>
      <c r="J467" s="463"/>
      <c r="K467" s="463"/>
      <c r="L467" s="463"/>
      <c r="M467" s="463"/>
      <c r="N467" s="484"/>
      <c r="O467" s="484"/>
      <c r="P467" s="484"/>
      <c r="Q467" s="484"/>
      <c r="R467" s="484"/>
      <c r="S467" s="462" t="str">
        <f t="shared" si="103"/>
        <v>正确</v>
      </c>
      <c r="T467" s="462"/>
      <c r="U467" s="462"/>
      <c r="V467" s="462"/>
      <c r="W467" s="462"/>
    </row>
    <row r="468" ht="23.25" customHeight="1" spans="1:23">
      <c r="A468" s="464"/>
      <c r="B468" s="462" t="s">
        <v>1551</v>
      </c>
      <c r="C468" s="463" t="s">
        <v>52</v>
      </c>
      <c r="D468" s="463" t="s">
        <v>163</v>
      </c>
      <c r="E468" s="150"/>
      <c r="F468" s="486">
        <v>33</v>
      </c>
      <c r="G468" s="465">
        <v>148</v>
      </c>
      <c r="H468" s="465">
        <v>2018</v>
      </c>
      <c r="I468" s="465">
        <v>2020</v>
      </c>
      <c r="J468" s="463"/>
      <c r="K468" s="463"/>
      <c r="L468" s="463"/>
      <c r="M468" s="463"/>
      <c r="N468" s="484"/>
      <c r="O468" s="484"/>
      <c r="P468" s="484"/>
      <c r="Q468" s="484"/>
      <c r="R468" s="484"/>
      <c r="S468" s="462" t="str">
        <f t="shared" si="103"/>
        <v>正确</v>
      </c>
      <c r="T468" s="462"/>
      <c r="U468" s="462"/>
      <c r="V468" s="462"/>
      <c r="W468" s="462"/>
    </row>
    <row r="469" ht="23.25" customHeight="1" spans="1:23">
      <c r="A469" s="464"/>
      <c r="B469" s="462" t="s">
        <v>1605</v>
      </c>
      <c r="C469" s="463"/>
      <c r="D469" s="463"/>
      <c r="E469" s="465"/>
      <c r="F469" s="465">
        <f t="shared" ref="F469:K469" si="104">F470</f>
        <v>8</v>
      </c>
      <c r="G469" s="465">
        <f t="shared" si="104"/>
        <v>30</v>
      </c>
      <c r="H469" s="465">
        <f t="shared" si="104"/>
        <v>2018</v>
      </c>
      <c r="I469" s="465">
        <f t="shared" si="104"/>
        <v>2018</v>
      </c>
      <c r="J469" s="463">
        <f t="shared" si="104"/>
        <v>100</v>
      </c>
      <c r="K469" s="463">
        <f t="shared" si="104"/>
        <v>100</v>
      </c>
      <c r="L469" s="463"/>
      <c r="M469" s="463"/>
      <c r="N469" s="463">
        <f>N470</f>
        <v>100</v>
      </c>
      <c r="O469" s="463"/>
      <c r="P469" s="463"/>
      <c r="Q469" s="463"/>
      <c r="R469" s="463"/>
      <c r="S469" s="462" t="str">
        <f t="shared" si="103"/>
        <v>正确</v>
      </c>
      <c r="T469" s="462"/>
      <c r="U469" s="462"/>
      <c r="V469" s="462"/>
      <c r="W469" s="462"/>
    </row>
    <row r="470" ht="27" spans="1:23">
      <c r="A470" s="464"/>
      <c r="B470" s="462" t="s">
        <v>1606</v>
      </c>
      <c r="C470" s="463" t="s">
        <v>52</v>
      </c>
      <c r="D470" s="484"/>
      <c r="E470" s="465" t="s">
        <v>1607</v>
      </c>
      <c r="F470" s="486">
        <v>8</v>
      </c>
      <c r="G470" s="486">
        <v>30</v>
      </c>
      <c r="H470" s="486">
        <v>2018</v>
      </c>
      <c r="I470" s="486">
        <v>2018</v>
      </c>
      <c r="J470" s="463">
        <v>100</v>
      </c>
      <c r="K470" s="463">
        <v>100</v>
      </c>
      <c r="L470" s="463"/>
      <c r="M470" s="463"/>
      <c r="N470" s="463">
        <f>J470</f>
        <v>100</v>
      </c>
      <c r="O470" s="484"/>
      <c r="P470" s="484"/>
      <c r="Q470" s="484"/>
      <c r="R470" s="484"/>
      <c r="S470" s="462" t="str">
        <f t="shared" si="103"/>
        <v>正确</v>
      </c>
      <c r="T470" s="487"/>
      <c r="U470" s="487"/>
      <c r="V470" s="462"/>
      <c r="W470" s="462"/>
    </row>
    <row r="471" s="443" customFormat="1" ht="32.1" customHeight="1" spans="1:26">
      <c r="A471" s="464"/>
      <c r="B471" s="462" t="s">
        <v>1470</v>
      </c>
      <c r="C471" s="463"/>
      <c r="D471" s="463"/>
      <c r="E471" s="465"/>
      <c r="F471" s="465">
        <f t="shared" ref="F471:L471" si="105">F472+F485</f>
        <v>2011</v>
      </c>
      <c r="G471" s="465">
        <f t="shared" si="105"/>
        <v>7626</v>
      </c>
      <c r="H471" s="465">
        <v>2018</v>
      </c>
      <c r="I471" s="465">
        <v>2019</v>
      </c>
      <c r="J471" s="463">
        <f t="shared" si="105"/>
        <v>6197.4268</v>
      </c>
      <c r="K471" s="463">
        <f t="shared" si="105"/>
        <v>2568.4268</v>
      </c>
      <c r="L471" s="463">
        <f t="shared" si="105"/>
        <v>3629</v>
      </c>
      <c r="M471" s="463"/>
      <c r="N471" s="463">
        <f>N472+N485</f>
        <v>174</v>
      </c>
      <c r="O471" s="463">
        <f>O472+O485</f>
        <v>6023.4268</v>
      </c>
      <c r="P471" s="463"/>
      <c r="Q471" s="463"/>
      <c r="R471" s="463"/>
      <c r="S471" s="462" t="str">
        <f t="shared" si="103"/>
        <v>正确</v>
      </c>
      <c r="T471" s="462"/>
      <c r="U471" s="462"/>
      <c r="V471" s="462"/>
      <c r="W471" s="487"/>
      <c r="X471" s="491"/>
      <c r="Y471" s="491"/>
      <c r="Z471" s="491"/>
    </row>
    <row r="472" ht="42" customHeight="1" spans="1:24">
      <c r="A472" s="464">
        <v>63</v>
      </c>
      <c r="B472" s="462" t="s">
        <v>1151</v>
      </c>
      <c r="C472" s="463" t="s">
        <v>1124</v>
      </c>
      <c r="D472" s="463" t="s">
        <v>560</v>
      </c>
      <c r="E472" s="465">
        <f>23300+68350+27250+5250+18200+41400+81000+74700+106200+47170+10500+20250</f>
        <v>523570</v>
      </c>
      <c r="F472" s="465">
        <f t="shared" ref="F472:L472" si="106">SUM(F473:F484)</f>
        <v>1852</v>
      </c>
      <c r="G472" s="465">
        <f t="shared" si="106"/>
        <v>7061</v>
      </c>
      <c r="H472" s="465">
        <v>2018</v>
      </c>
      <c r="I472" s="465">
        <v>2019</v>
      </c>
      <c r="J472" s="463">
        <f>K472+L472+M472</f>
        <v>5235</v>
      </c>
      <c r="K472" s="463">
        <f t="shared" si="106"/>
        <v>1606</v>
      </c>
      <c r="L472" s="463">
        <f t="shared" si="106"/>
        <v>3629</v>
      </c>
      <c r="M472" s="463"/>
      <c r="N472" s="463"/>
      <c r="O472" s="463">
        <f>SUM(O473:O484)</f>
        <v>5235</v>
      </c>
      <c r="P472" s="463"/>
      <c r="Q472" s="463"/>
      <c r="R472" s="463"/>
      <c r="S472" s="462" t="str">
        <f t="shared" si="103"/>
        <v>正确</v>
      </c>
      <c r="T472" s="462" t="s">
        <v>1608</v>
      </c>
      <c r="U472" s="462" t="s">
        <v>1609</v>
      </c>
      <c r="V472" s="462" t="s">
        <v>1153</v>
      </c>
      <c r="W472" s="462" t="s">
        <v>41</v>
      </c>
      <c r="X472" s="453" t="s">
        <v>1610</v>
      </c>
    </row>
    <row r="473" ht="26.1" customHeight="1" spans="1:24">
      <c r="A473" s="464"/>
      <c r="B473" s="462" t="s">
        <v>1540</v>
      </c>
      <c r="C473" s="463" t="s">
        <v>1124</v>
      </c>
      <c r="D473" s="463" t="s">
        <v>560</v>
      </c>
      <c r="E473" s="140" t="s">
        <v>1611</v>
      </c>
      <c r="F473" s="465">
        <v>110</v>
      </c>
      <c r="G473" s="465">
        <v>413</v>
      </c>
      <c r="H473" s="465">
        <v>2018</v>
      </c>
      <c r="I473" s="465">
        <v>2019</v>
      </c>
      <c r="J473" s="463">
        <v>233</v>
      </c>
      <c r="K473" s="463">
        <v>142</v>
      </c>
      <c r="L473" s="463">
        <f t="shared" ref="L473:L479" si="107">J473-K473</f>
        <v>91</v>
      </c>
      <c r="M473" s="463"/>
      <c r="N473" s="484"/>
      <c r="O473" s="463">
        <v>233</v>
      </c>
      <c r="P473" s="484"/>
      <c r="Q473" s="484"/>
      <c r="R473" s="484"/>
      <c r="S473" s="462" t="str">
        <f t="shared" si="103"/>
        <v>正确</v>
      </c>
      <c r="T473" s="462"/>
      <c r="U473" s="462"/>
      <c r="V473" s="462"/>
      <c r="W473" s="462"/>
      <c r="X473" s="453" t="s">
        <v>1610</v>
      </c>
    </row>
    <row r="474" ht="26.1" customHeight="1" spans="1:24">
      <c r="A474" s="464"/>
      <c r="B474" s="462" t="s">
        <v>1541</v>
      </c>
      <c r="C474" s="463" t="s">
        <v>1124</v>
      </c>
      <c r="D474" s="463" t="s">
        <v>560</v>
      </c>
      <c r="E474" s="140" t="s">
        <v>1612</v>
      </c>
      <c r="F474" s="465">
        <v>198</v>
      </c>
      <c r="G474" s="465">
        <v>778</v>
      </c>
      <c r="H474" s="465">
        <v>2018</v>
      </c>
      <c r="I474" s="465">
        <v>2019</v>
      </c>
      <c r="J474" s="463">
        <v>683</v>
      </c>
      <c r="K474" s="463">
        <v>412</v>
      </c>
      <c r="L474" s="463">
        <f t="shared" si="107"/>
        <v>271</v>
      </c>
      <c r="M474" s="463"/>
      <c r="N474" s="484"/>
      <c r="O474" s="463">
        <v>683</v>
      </c>
      <c r="P474" s="484"/>
      <c r="Q474" s="484"/>
      <c r="R474" s="484"/>
      <c r="S474" s="462" t="str">
        <f t="shared" si="103"/>
        <v>正确</v>
      </c>
      <c r="T474" s="462"/>
      <c r="U474" s="462"/>
      <c r="V474" s="462"/>
      <c r="W474" s="462"/>
      <c r="X474" s="453" t="s">
        <v>1610</v>
      </c>
    </row>
    <row r="475" ht="26.1" customHeight="1" spans="1:24">
      <c r="A475" s="464"/>
      <c r="B475" s="462" t="s">
        <v>1542</v>
      </c>
      <c r="C475" s="463" t="s">
        <v>1124</v>
      </c>
      <c r="D475" s="463" t="s">
        <v>560</v>
      </c>
      <c r="E475" s="140" t="s">
        <v>1613</v>
      </c>
      <c r="F475" s="465">
        <v>48</v>
      </c>
      <c r="G475" s="465">
        <v>166</v>
      </c>
      <c r="H475" s="465">
        <v>2018</v>
      </c>
      <c r="I475" s="465">
        <v>2019</v>
      </c>
      <c r="J475" s="463">
        <v>272</v>
      </c>
      <c r="K475" s="463">
        <v>166</v>
      </c>
      <c r="L475" s="463">
        <f t="shared" si="107"/>
        <v>106</v>
      </c>
      <c r="M475" s="463"/>
      <c r="N475" s="484"/>
      <c r="O475" s="463">
        <v>272</v>
      </c>
      <c r="P475" s="484"/>
      <c r="Q475" s="484"/>
      <c r="R475" s="484"/>
      <c r="S475" s="462" t="str">
        <f t="shared" si="103"/>
        <v>正确</v>
      </c>
      <c r="T475" s="462"/>
      <c r="U475" s="462"/>
      <c r="V475" s="462"/>
      <c r="W475" s="462"/>
      <c r="X475" s="453" t="s">
        <v>1610</v>
      </c>
    </row>
    <row r="476" ht="26.1" customHeight="1" spans="1:24">
      <c r="A476" s="464"/>
      <c r="B476" s="462" t="s">
        <v>1543</v>
      </c>
      <c r="C476" s="463" t="s">
        <v>1124</v>
      </c>
      <c r="D476" s="463" t="s">
        <v>560</v>
      </c>
      <c r="E476" s="140" t="s">
        <v>1614</v>
      </c>
      <c r="F476" s="465">
        <v>12</v>
      </c>
      <c r="G476" s="465">
        <v>38</v>
      </c>
      <c r="H476" s="465">
        <v>2018</v>
      </c>
      <c r="I476" s="465">
        <v>2019</v>
      </c>
      <c r="J476" s="463">
        <v>53</v>
      </c>
      <c r="K476" s="463">
        <v>34</v>
      </c>
      <c r="L476" s="463">
        <f t="shared" si="107"/>
        <v>19</v>
      </c>
      <c r="M476" s="463"/>
      <c r="N476" s="484"/>
      <c r="O476" s="463">
        <v>53</v>
      </c>
      <c r="P476" s="484"/>
      <c r="Q476" s="484"/>
      <c r="R476" s="484"/>
      <c r="S476" s="462" t="str">
        <f t="shared" si="103"/>
        <v>正确</v>
      </c>
      <c r="T476" s="462"/>
      <c r="U476" s="462"/>
      <c r="V476" s="462"/>
      <c r="W476" s="462"/>
      <c r="X476" s="453" t="s">
        <v>1610</v>
      </c>
    </row>
    <row r="477" ht="26.1" customHeight="1" spans="1:24">
      <c r="A477" s="464"/>
      <c r="B477" s="462" t="s">
        <v>1544</v>
      </c>
      <c r="C477" s="463" t="s">
        <v>1124</v>
      </c>
      <c r="D477" s="463" t="s">
        <v>560</v>
      </c>
      <c r="E477" s="140" t="s">
        <v>1615</v>
      </c>
      <c r="F477" s="465">
        <v>105</v>
      </c>
      <c r="G477" s="465">
        <v>420</v>
      </c>
      <c r="H477" s="465">
        <v>2018</v>
      </c>
      <c r="I477" s="465">
        <v>2019</v>
      </c>
      <c r="J477" s="463">
        <v>182</v>
      </c>
      <c r="K477" s="463">
        <v>112</v>
      </c>
      <c r="L477" s="463">
        <f t="shared" si="107"/>
        <v>70</v>
      </c>
      <c r="M477" s="463"/>
      <c r="N477" s="484"/>
      <c r="O477" s="463">
        <v>182</v>
      </c>
      <c r="P477" s="484"/>
      <c r="Q477" s="484"/>
      <c r="R477" s="484"/>
      <c r="S477" s="462" t="str">
        <f t="shared" si="103"/>
        <v>正确</v>
      </c>
      <c r="T477" s="462"/>
      <c r="U477" s="462"/>
      <c r="V477" s="462"/>
      <c r="W477" s="462"/>
      <c r="X477" s="453" t="s">
        <v>1610</v>
      </c>
    </row>
    <row r="478" ht="36.95" customHeight="1" spans="1:24">
      <c r="A478" s="464"/>
      <c r="B478" s="462" t="s">
        <v>1545</v>
      </c>
      <c r="C478" s="463" t="s">
        <v>1124</v>
      </c>
      <c r="D478" s="463" t="s">
        <v>560</v>
      </c>
      <c r="E478" s="140" t="s">
        <v>1616</v>
      </c>
      <c r="F478" s="465">
        <v>222</v>
      </c>
      <c r="G478" s="465">
        <v>790</v>
      </c>
      <c r="H478" s="465">
        <v>2018</v>
      </c>
      <c r="I478" s="465">
        <v>2019</v>
      </c>
      <c r="J478" s="463">
        <v>414</v>
      </c>
      <c r="K478" s="463">
        <v>252</v>
      </c>
      <c r="L478" s="463">
        <f t="shared" si="107"/>
        <v>162</v>
      </c>
      <c r="M478" s="463"/>
      <c r="N478" s="484"/>
      <c r="O478" s="463">
        <v>414</v>
      </c>
      <c r="P478" s="484"/>
      <c r="Q478" s="484"/>
      <c r="R478" s="484"/>
      <c r="S478" s="462" t="str">
        <f t="shared" si="103"/>
        <v>正确</v>
      </c>
      <c r="T478" s="462"/>
      <c r="U478" s="462"/>
      <c r="V478" s="462"/>
      <c r="W478" s="462"/>
      <c r="X478" s="453" t="s">
        <v>1610</v>
      </c>
    </row>
    <row r="479" ht="39.95" customHeight="1" spans="1:24">
      <c r="A479" s="464"/>
      <c r="B479" s="462" t="s">
        <v>1546</v>
      </c>
      <c r="C479" s="463" t="s">
        <v>1124</v>
      </c>
      <c r="D479" s="463" t="s">
        <v>560</v>
      </c>
      <c r="E479" s="140" t="s">
        <v>1617</v>
      </c>
      <c r="F479" s="465">
        <v>297</v>
      </c>
      <c r="G479" s="465">
        <v>1190</v>
      </c>
      <c r="H479" s="465">
        <v>2018</v>
      </c>
      <c r="I479" s="465">
        <v>2019</v>
      </c>
      <c r="J479" s="463">
        <v>810</v>
      </c>
      <c r="K479" s="463">
        <v>488</v>
      </c>
      <c r="L479" s="463">
        <f t="shared" si="107"/>
        <v>322</v>
      </c>
      <c r="M479" s="463"/>
      <c r="N479" s="484"/>
      <c r="O479" s="463">
        <v>810</v>
      </c>
      <c r="P479" s="484"/>
      <c r="Q479" s="484"/>
      <c r="R479" s="484"/>
      <c r="S479" s="462" t="str">
        <f t="shared" si="103"/>
        <v>正确</v>
      </c>
      <c r="T479" s="462"/>
      <c r="U479" s="462"/>
      <c r="V479" s="462"/>
      <c r="W479" s="462"/>
      <c r="X479" s="453" t="s">
        <v>1610</v>
      </c>
    </row>
    <row r="480" ht="26.1" customHeight="1" spans="1:24">
      <c r="A480" s="464"/>
      <c r="B480" s="462" t="s">
        <v>1547</v>
      </c>
      <c r="C480" s="463" t="s">
        <v>1124</v>
      </c>
      <c r="D480" s="463" t="s">
        <v>560</v>
      </c>
      <c r="E480" s="140" t="s">
        <v>1618</v>
      </c>
      <c r="F480" s="465">
        <v>251</v>
      </c>
      <c r="G480" s="465">
        <v>1039</v>
      </c>
      <c r="H480" s="465">
        <v>2019</v>
      </c>
      <c r="I480" s="465">
        <v>2019</v>
      </c>
      <c r="J480" s="463">
        <v>747</v>
      </c>
      <c r="K480" s="463"/>
      <c r="L480" s="463">
        <v>747</v>
      </c>
      <c r="M480" s="463"/>
      <c r="N480" s="484"/>
      <c r="O480" s="463">
        <v>747</v>
      </c>
      <c r="P480" s="484"/>
      <c r="Q480" s="484"/>
      <c r="R480" s="484"/>
      <c r="S480" s="462" t="str">
        <f t="shared" si="103"/>
        <v>正确</v>
      </c>
      <c r="T480" s="462"/>
      <c r="U480" s="462"/>
      <c r="V480" s="462"/>
      <c r="W480" s="462"/>
      <c r="X480" s="453" t="s">
        <v>1610</v>
      </c>
    </row>
    <row r="481" ht="26.1" customHeight="1" spans="1:24">
      <c r="A481" s="464"/>
      <c r="B481" s="462" t="s">
        <v>1548</v>
      </c>
      <c r="C481" s="463" t="s">
        <v>1124</v>
      </c>
      <c r="D481" s="463" t="s">
        <v>560</v>
      </c>
      <c r="E481" s="140" t="s">
        <v>1619</v>
      </c>
      <c r="F481" s="465">
        <v>375</v>
      </c>
      <c r="G481" s="465">
        <v>1409</v>
      </c>
      <c r="H481" s="465">
        <v>2019</v>
      </c>
      <c r="I481" s="465">
        <v>2019</v>
      </c>
      <c r="J481" s="463">
        <v>1062</v>
      </c>
      <c r="K481" s="463"/>
      <c r="L481" s="463">
        <v>1062</v>
      </c>
      <c r="M481" s="463"/>
      <c r="N481" s="484"/>
      <c r="O481" s="463">
        <v>1062</v>
      </c>
      <c r="P481" s="484"/>
      <c r="Q481" s="484"/>
      <c r="R481" s="484"/>
      <c r="S481" s="462" t="str">
        <f t="shared" si="103"/>
        <v>正确</v>
      </c>
      <c r="T481" s="462"/>
      <c r="U481" s="462"/>
      <c r="V481" s="462"/>
      <c r="W481" s="462"/>
      <c r="X481" s="453" t="s">
        <v>1610</v>
      </c>
    </row>
    <row r="482" ht="26.1" customHeight="1" spans="1:24">
      <c r="A482" s="464"/>
      <c r="B482" s="462" t="s">
        <v>1549</v>
      </c>
      <c r="C482" s="463" t="s">
        <v>1124</v>
      </c>
      <c r="D482" s="463" t="s">
        <v>560</v>
      </c>
      <c r="E482" s="140" t="s">
        <v>1620</v>
      </c>
      <c r="F482" s="465">
        <v>99</v>
      </c>
      <c r="G482" s="465">
        <v>374</v>
      </c>
      <c r="H482" s="465">
        <v>2019</v>
      </c>
      <c r="I482" s="465">
        <v>2019</v>
      </c>
      <c r="J482" s="463">
        <v>472</v>
      </c>
      <c r="K482" s="463"/>
      <c r="L482" s="463">
        <v>472</v>
      </c>
      <c r="M482" s="463"/>
      <c r="N482" s="484"/>
      <c r="O482" s="463">
        <v>472</v>
      </c>
      <c r="P482" s="484"/>
      <c r="Q482" s="484"/>
      <c r="R482" s="484"/>
      <c r="S482" s="462" t="str">
        <f t="shared" si="103"/>
        <v>正确</v>
      </c>
      <c r="T482" s="462"/>
      <c r="U482" s="462"/>
      <c r="V482" s="462"/>
      <c r="W482" s="462"/>
      <c r="X482" s="453" t="s">
        <v>1610</v>
      </c>
    </row>
    <row r="483" ht="26.1" customHeight="1" spans="1:24">
      <c r="A483" s="464"/>
      <c r="B483" s="462" t="s">
        <v>1550</v>
      </c>
      <c r="C483" s="463" t="s">
        <v>1124</v>
      </c>
      <c r="D483" s="463" t="s">
        <v>560</v>
      </c>
      <c r="E483" s="140" t="s">
        <v>1621</v>
      </c>
      <c r="F483" s="465">
        <v>84</v>
      </c>
      <c r="G483" s="465">
        <v>253</v>
      </c>
      <c r="H483" s="465">
        <v>2019</v>
      </c>
      <c r="I483" s="465">
        <v>2019</v>
      </c>
      <c r="J483" s="463">
        <v>105</v>
      </c>
      <c r="K483" s="463"/>
      <c r="L483" s="463">
        <v>105</v>
      </c>
      <c r="M483" s="463"/>
      <c r="N483" s="484"/>
      <c r="O483" s="463">
        <v>105</v>
      </c>
      <c r="P483" s="484"/>
      <c r="Q483" s="484"/>
      <c r="R483" s="484"/>
      <c r="S483" s="462" t="str">
        <f t="shared" si="103"/>
        <v>正确</v>
      </c>
      <c r="T483" s="462"/>
      <c r="U483" s="462"/>
      <c r="V483" s="462"/>
      <c r="W483" s="462"/>
      <c r="X483" s="453" t="s">
        <v>1610</v>
      </c>
    </row>
    <row r="484" ht="26.1" customHeight="1" spans="1:24">
      <c r="A484" s="464"/>
      <c r="B484" s="462" t="s">
        <v>1551</v>
      </c>
      <c r="C484" s="463" t="s">
        <v>1124</v>
      </c>
      <c r="D484" s="463" t="s">
        <v>560</v>
      </c>
      <c r="E484" s="140" t="s">
        <v>1622</v>
      </c>
      <c r="F484" s="465">
        <v>51</v>
      </c>
      <c r="G484" s="465">
        <v>191</v>
      </c>
      <c r="H484" s="465">
        <v>2019</v>
      </c>
      <c r="I484" s="465">
        <v>2019</v>
      </c>
      <c r="J484" s="463">
        <v>202</v>
      </c>
      <c r="K484" s="463"/>
      <c r="L484" s="463">
        <v>202</v>
      </c>
      <c r="M484" s="463"/>
      <c r="N484" s="484"/>
      <c r="O484" s="463">
        <v>202</v>
      </c>
      <c r="P484" s="484"/>
      <c r="Q484" s="484"/>
      <c r="R484" s="484"/>
      <c r="S484" s="462" t="str">
        <f t="shared" si="103"/>
        <v>正确</v>
      </c>
      <c r="T484" s="462"/>
      <c r="U484" s="462"/>
      <c r="V484" s="462"/>
      <c r="W484" s="462"/>
      <c r="X484" s="453" t="s">
        <v>1610</v>
      </c>
    </row>
    <row r="485" ht="33.95" customHeight="1" spans="1:23">
      <c r="A485" s="464"/>
      <c r="B485" s="462" t="s">
        <v>1623</v>
      </c>
      <c r="C485" s="463"/>
      <c r="D485" s="484"/>
      <c r="E485" s="486"/>
      <c r="F485" s="486">
        <f t="shared" ref="F485:K485" si="108">SUM(F486:F498)</f>
        <v>159</v>
      </c>
      <c r="G485" s="486">
        <f t="shared" si="108"/>
        <v>565</v>
      </c>
      <c r="H485" s="486">
        <v>2018</v>
      </c>
      <c r="I485" s="486">
        <v>2018</v>
      </c>
      <c r="J485" s="484">
        <f t="shared" si="108"/>
        <v>962.4268</v>
      </c>
      <c r="K485" s="484">
        <f t="shared" si="108"/>
        <v>962.4268</v>
      </c>
      <c r="L485" s="484"/>
      <c r="M485" s="484"/>
      <c r="N485" s="484">
        <f>SUM(N486:N498)</f>
        <v>174</v>
      </c>
      <c r="O485" s="484">
        <f>SUM(O486:O498)</f>
        <v>788.4268</v>
      </c>
      <c r="P485" s="484"/>
      <c r="Q485" s="484"/>
      <c r="R485" s="484"/>
      <c r="S485" s="462" t="str">
        <f t="shared" si="103"/>
        <v>正确</v>
      </c>
      <c r="T485" s="487" t="s">
        <v>1624</v>
      </c>
      <c r="U485" s="487" t="s">
        <v>1609</v>
      </c>
      <c r="V485" s="462"/>
      <c r="W485" s="462"/>
    </row>
    <row r="486" ht="30" customHeight="1" spans="1:23">
      <c r="A486" s="464"/>
      <c r="B486" s="462" t="s">
        <v>1625</v>
      </c>
      <c r="C486" s="463" t="s">
        <v>52</v>
      </c>
      <c r="D486" s="484"/>
      <c r="E486" s="465" t="s">
        <v>1626</v>
      </c>
      <c r="F486" s="486">
        <v>10</v>
      </c>
      <c r="G486" s="486">
        <v>29</v>
      </c>
      <c r="H486" s="486">
        <v>2018</v>
      </c>
      <c r="I486" s="486">
        <v>2018</v>
      </c>
      <c r="J486" s="463">
        <v>50</v>
      </c>
      <c r="K486" s="463">
        <v>50</v>
      </c>
      <c r="L486" s="463"/>
      <c r="M486" s="463"/>
      <c r="N486" s="463">
        <v>50</v>
      </c>
      <c r="O486" s="484"/>
      <c r="P486" s="484"/>
      <c r="Q486" s="484"/>
      <c r="R486" s="484"/>
      <c r="S486" s="462" t="str">
        <f t="shared" si="103"/>
        <v>正确</v>
      </c>
      <c r="T486" s="487"/>
      <c r="U486" s="487"/>
      <c r="V486" s="462"/>
      <c r="W486" s="462"/>
    </row>
    <row r="487" ht="30" customHeight="1" spans="1:23">
      <c r="A487" s="464"/>
      <c r="B487" s="462" t="s">
        <v>1627</v>
      </c>
      <c r="C487" s="463" t="s">
        <v>52</v>
      </c>
      <c r="D487" s="484"/>
      <c r="E487" s="465" t="s">
        <v>1628</v>
      </c>
      <c r="F487" s="486">
        <v>9</v>
      </c>
      <c r="G487" s="486">
        <v>32</v>
      </c>
      <c r="H487" s="486">
        <v>2018</v>
      </c>
      <c r="I487" s="486">
        <v>2018</v>
      </c>
      <c r="J487" s="463">
        <v>10</v>
      </c>
      <c r="K487" s="463">
        <v>10</v>
      </c>
      <c r="L487" s="463"/>
      <c r="M487" s="463"/>
      <c r="N487" s="463">
        <v>10</v>
      </c>
      <c r="O487" s="484"/>
      <c r="P487" s="484"/>
      <c r="Q487" s="484"/>
      <c r="R487" s="484"/>
      <c r="S487" s="462" t="str">
        <f t="shared" si="103"/>
        <v>正确</v>
      </c>
      <c r="T487" s="487"/>
      <c r="U487" s="487"/>
      <c r="V487" s="462"/>
      <c r="W487" s="462"/>
    </row>
    <row r="488" ht="30" customHeight="1" spans="1:23">
      <c r="A488" s="464"/>
      <c r="B488" s="462" t="s">
        <v>1629</v>
      </c>
      <c r="C488" s="463" t="s">
        <v>52</v>
      </c>
      <c r="D488" s="484"/>
      <c r="E488" s="465" t="s">
        <v>1630</v>
      </c>
      <c r="F488" s="486">
        <v>6</v>
      </c>
      <c r="G488" s="486">
        <v>16</v>
      </c>
      <c r="H488" s="486">
        <v>2018</v>
      </c>
      <c r="I488" s="486">
        <v>2018</v>
      </c>
      <c r="J488" s="463">
        <v>10</v>
      </c>
      <c r="K488" s="463">
        <v>10</v>
      </c>
      <c r="L488" s="463"/>
      <c r="M488" s="463"/>
      <c r="N488" s="463">
        <v>10</v>
      </c>
      <c r="O488" s="484"/>
      <c r="P488" s="484"/>
      <c r="Q488" s="484"/>
      <c r="R488" s="484"/>
      <c r="S488" s="462" t="str">
        <f t="shared" si="103"/>
        <v>正确</v>
      </c>
      <c r="T488" s="487"/>
      <c r="U488" s="487"/>
      <c r="V488" s="462"/>
      <c r="W488" s="462"/>
    </row>
    <row r="489" ht="30" customHeight="1" spans="1:23">
      <c r="A489" s="464"/>
      <c r="B489" s="462" t="s">
        <v>1631</v>
      </c>
      <c r="C489" s="463" t="s">
        <v>52</v>
      </c>
      <c r="D489" s="484"/>
      <c r="E489" s="465" t="s">
        <v>1632</v>
      </c>
      <c r="F489" s="486">
        <v>0</v>
      </c>
      <c r="G489" s="486">
        <v>0</v>
      </c>
      <c r="H489" s="486">
        <v>2018</v>
      </c>
      <c r="I489" s="486">
        <v>2018</v>
      </c>
      <c r="J489" s="463">
        <v>10</v>
      </c>
      <c r="K489" s="463">
        <v>10</v>
      </c>
      <c r="L489" s="463"/>
      <c r="M489" s="463"/>
      <c r="N489" s="463">
        <v>10</v>
      </c>
      <c r="O489" s="484"/>
      <c r="P489" s="484"/>
      <c r="Q489" s="484"/>
      <c r="R489" s="484"/>
      <c r="S489" s="462" t="str">
        <f t="shared" si="103"/>
        <v>正确</v>
      </c>
      <c r="T489" s="487"/>
      <c r="U489" s="487"/>
      <c r="V489" s="462"/>
      <c r="W489" s="462"/>
    </row>
    <row r="490" ht="30" customHeight="1" spans="1:23">
      <c r="A490" s="464"/>
      <c r="B490" s="462" t="s">
        <v>1633</v>
      </c>
      <c r="C490" s="463" t="s">
        <v>52</v>
      </c>
      <c r="D490" s="484"/>
      <c r="E490" s="465" t="s">
        <v>1634</v>
      </c>
      <c r="F490" s="486">
        <v>6</v>
      </c>
      <c r="G490" s="486">
        <v>29</v>
      </c>
      <c r="H490" s="486">
        <v>2018</v>
      </c>
      <c r="I490" s="486">
        <v>2018</v>
      </c>
      <c r="J490" s="463">
        <v>14</v>
      </c>
      <c r="K490" s="463">
        <v>14</v>
      </c>
      <c r="L490" s="463"/>
      <c r="M490" s="463"/>
      <c r="N490" s="463">
        <v>14</v>
      </c>
      <c r="O490" s="484"/>
      <c r="P490" s="484"/>
      <c r="Q490" s="484"/>
      <c r="R490" s="484"/>
      <c r="S490" s="462" t="str">
        <f t="shared" si="103"/>
        <v>正确</v>
      </c>
      <c r="T490" s="487"/>
      <c r="U490" s="487"/>
      <c r="V490" s="462"/>
      <c r="W490" s="462"/>
    </row>
    <row r="491" ht="30" customHeight="1" spans="1:23">
      <c r="A491" s="464"/>
      <c r="B491" s="488" t="s">
        <v>1635</v>
      </c>
      <c r="C491" s="463" t="s">
        <v>52</v>
      </c>
      <c r="D491" s="463" t="s">
        <v>492</v>
      </c>
      <c r="E491" s="489" t="s">
        <v>1636</v>
      </c>
      <c r="F491" s="465">
        <v>3</v>
      </c>
      <c r="G491" s="465">
        <v>12</v>
      </c>
      <c r="H491" s="465">
        <v>2018</v>
      </c>
      <c r="I491" s="465">
        <v>2018</v>
      </c>
      <c r="J491" s="463">
        <v>39</v>
      </c>
      <c r="K491" s="463">
        <v>39</v>
      </c>
      <c r="L491" s="463"/>
      <c r="M491" s="463"/>
      <c r="N491" s="463"/>
      <c r="O491" s="463">
        <v>39</v>
      </c>
      <c r="P491" s="463"/>
      <c r="Q491" s="463"/>
      <c r="R491" s="463"/>
      <c r="S491" s="462" t="str">
        <f t="shared" si="103"/>
        <v>正确</v>
      </c>
      <c r="T491" s="462"/>
      <c r="U491" s="462"/>
      <c r="V491" s="462" t="s">
        <v>1637</v>
      </c>
      <c r="W491" s="462"/>
    </row>
    <row r="492" ht="30" customHeight="1" spans="1:23">
      <c r="A492" s="464"/>
      <c r="B492" s="488" t="s">
        <v>1638</v>
      </c>
      <c r="C492" s="463" t="s">
        <v>52</v>
      </c>
      <c r="D492" s="463" t="s">
        <v>492</v>
      </c>
      <c r="E492" s="465" t="s">
        <v>1639</v>
      </c>
      <c r="F492" s="465">
        <v>26</v>
      </c>
      <c r="G492" s="465">
        <v>95</v>
      </c>
      <c r="H492" s="465">
        <v>2018</v>
      </c>
      <c r="I492" s="465">
        <v>2018</v>
      </c>
      <c r="J492" s="463">
        <v>206.291</v>
      </c>
      <c r="K492" s="463">
        <v>206.291</v>
      </c>
      <c r="L492" s="463"/>
      <c r="M492" s="463"/>
      <c r="N492" s="463"/>
      <c r="O492" s="463">
        <v>206.291</v>
      </c>
      <c r="P492" s="463"/>
      <c r="Q492" s="463"/>
      <c r="R492" s="463"/>
      <c r="S492" s="462" t="str">
        <f t="shared" si="103"/>
        <v>正确</v>
      </c>
      <c r="T492" s="462"/>
      <c r="U492" s="462"/>
      <c r="V492" s="462" t="s">
        <v>1637</v>
      </c>
      <c r="W492" s="462"/>
    </row>
    <row r="493" ht="30" customHeight="1" spans="1:23">
      <c r="A493" s="464"/>
      <c r="B493" s="490" t="s">
        <v>1640</v>
      </c>
      <c r="C493" s="463" t="s">
        <v>52</v>
      </c>
      <c r="D493" s="463" t="s">
        <v>492</v>
      </c>
      <c r="E493" s="465" t="s">
        <v>1641</v>
      </c>
      <c r="F493" s="465">
        <v>25</v>
      </c>
      <c r="G493" s="465">
        <v>87</v>
      </c>
      <c r="H493" s="465">
        <v>2018</v>
      </c>
      <c r="I493" s="465">
        <v>2018</v>
      </c>
      <c r="J493" s="463">
        <v>274.3473</v>
      </c>
      <c r="K493" s="463">
        <v>274.3473</v>
      </c>
      <c r="L493" s="463"/>
      <c r="M493" s="463"/>
      <c r="N493" s="463"/>
      <c r="O493" s="463">
        <v>274.3473</v>
      </c>
      <c r="P493" s="463"/>
      <c r="Q493" s="463"/>
      <c r="R493" s="463"/>
      <c r="S493" s="462" t="str">
        <f t="shared" si="103"/>
        <v>正确</v>
      </c>
      <c r="T493" s="462"/>
      <c r="U493" s="462"/>
      <c r="V493" s="462" t="s">
        <v>1637</v>
      </c>
      <c r="W493" s="462"/>
    </row>
    <row r="494" ht="30" customHeight="1" spans="1:23">
      <c r="A494" s="464"/>
      <c r="B494" s="490" t="s">
        <v>1642</v>
      </c>
      <c r="C494" s="463" t="s">
        <v>52</v>
      </c>
      <c r="D494" s="463" t="s">
        <v>492</v>
      </c>
      <c r="E494" s="489" t="s">
        <v>1643</v>
      </c>
      <c r="F494" s="465">
        <v>28</v>
      </c>
      <c r="G494" s="465">
        <v>97</v>
      </c>
      <c r="H494" s="465">
        <v>2018</v>
      </c>
      <c r="I494" s="465">
        <v>2018</v>
      </c>
      <c r="J494" s="463">
        <v>85</v>
      </c>
      <c r="K494" s="463">
        <v>85</v>
      </c>
      <c r="L494" s="463"/>
      <c r="M494" s="463"/>
      <c r="N494" s="463"/>
      <c r="O494" s="463">
        <v>85</v>
      </c>
      <c r="P494" s="463"/>
      <c r="Q494" s="463"/>
      <c r="R494" s="463"/>
      <c r="S494" s="462" t="str">
        <f t="shared" si="103"/>
        <v>正确</v>
      </c>
      <c r="T494" s="462"/>
      <c r="U494" s="462"/>
      <c r="V494" s="462" t="s">
        <v>1637</v>
      </c>
      <c r="W494" s="462"/>
    </row>
    <row r="495" ht="30" customHeight="1" spans="1:23">
      <c r="A495" s="464"/>
      <c r="B495" s="490" t="s">
        <v>1644</v>
      </c>
      <c r="C495" s="463" t="s">
        <v>52</v>
      </c>
      <c r="D495" s="463" t="s">
        <v>492</v>
      </c>
      <c r="E495" s="465" t="s">
        <v>1645</v>
      </c>
      <c r="F495" s="465">
        <v>9</v>
      </c>
      <c r="G495" s="465">
        <v>28</v>
      </c>
      <c r="H495" s="465">
        <v>2018</v>
      </c>
      <c r="I495" s="465">
        <v>2018</v>
      </c>
      <c r="J495" s="463">
        <v>26</v>
      </c>
      <c r="K495" s="463">
        <v>26</v>
      </c>
      <c r="L495" s="463"/>
      <c r="M495" s="463"/>
      <c r="N495" s="463"/>
      <c r="O495" s="463">
        <v>26</v>
      </c>
      <c r="P495" s="463"/>
      <c r="Q495" s="463"/>
      <c r="R495" s="463"/>
      <c r="S495" s="462" t="str">
        <f t="shared" si="103"/>
        <v>正确</v>
      </c>
      <c r="T495" s="462"/>
      <c r="U495" s="462"/>
      <c r="V495" s="462" t="s">
        <v>1637</v>
      </c>
      <c r="W495" s="462"/>
    </row>
    <row r="496" ht="30" customHeight="1" spans="1:23">
      <c r="A496" s="464"/>
      <c r="B496" s="490" t="s">
        <v>1646</v>
      </c>
      <c r="C496" s="463" t="s">
        <v>52</v>
      </c>
      <c r="D496" s="463" t="s">
        <v>492</v>
      </c>
      <c r="E496" s="465" t="s">
        <v>1647</v>
      </c>
      <c r="F496" s="486">
        <v>15</v>
      </c>
      <c r="G496" s="486">
        <v>55</v>
      </c>
      <c r="H496" s="465">
        <v>2018</v>
      </c>
      <c r="I496" s="465">
        <v>2018</v>
      </c>
      <c r="J496" s="463">
        <v>157.7885</v>
      </c>
      <c r="K496" s="463">
        <v>157.7885</v>
      </c>
      <c r="L496" s="463"/>
      <c r="M496" s="463"/>
      <c r="N496" s="463"/>
      <c r="O496" s="463">
        <v>157.7885</v>
      </c>
      <c r="P496" s="463"/>
      <c r="Q496" s="463"/>
      <c r="R496" s="463"/>
      <c r="S496" s="462" t="str">
        <f t="shared" si="103"/>
        <v>正确</v>
      </c>
      <c r="T496" s="462"/>
      <c r="U496" s="462"/>
      <c r="V496" s="462" t="s">
        <v>1637</v>
      </c>
      <c r="W496" s="462"/>
    </row>
    <row r="497" ht="42.95" customHeight="1" spans="1:23">
      <c r="A497" s="464"/>
      <c r="B497" s="488" t="s">
        <v>1648</v>
      </c>
      <c r="C497" s="463" t="s">
        <v>52</v>
      </c>
      <c r="D497" s="463" t="s">
        <v>492</v>
      </c>
      <c r="E497" s="465" t="s">
        <v>1649</v>
      </c>
      <c r="F497" s="465">
        <v>13</v>
      </c>
      <c r="G497" s="465">
        <v>54</v>
      </c>
      <c r="H497" s="465">
        <v>2018</v>
      </c>
      <c r="I497" s="465">
        <v>2018</v>
      </c>
      <c r="J497" s="463">
        <v>50</v>
      </c>
      <c r="K497" s="463">
        <v>50</v>
      </c>
      <c r="L497" s="463"/>
      <c r="M497" s="463"/>
      <c r="N497" s="463">
        <v>50</v>
      </c>
      <c r="O497" s="463"/>
      <c r="P497" s="463"/>
      <c r="Q497" s="463"/>
      <c r="R497" s="463"/>
      <c r="S497" s="462" t="str">
        <f t="shared" si="103"/>
        <v>正确</v>
      </c>
      <c r="T497" s="462"/>
      <c r="U497" s="462"/>
      <c r="V497" s="462" t="s">
        <v>1650</v>
      </c>
      <c r="W497" s="462"/>
    </row>
    <row r="498" ht="30" customHeight="1" spans="1:23">
      <c r="A498" s="464"/>
      <c r="B498" s="462" t="s">
        <v>1651</v>
      </c>
      <c r="C498" s="463" t="s">
        <v>52</v>
      </c>
      <c r="D498" s="463" t="s">
        <v>1652</v>
      </c>
      <c r="E498" s="465" t="s">
        <v>1653</v>
      </c>
      <c r="F498" s="465">
        <v>9</v>
      </c>
      <c r="G498" s="465">
        <v>31</v>
      </c>
      <c r="H498" s="465">
        <v>2018</v>
      </c>
      <c r="I498" s="465">
        <v>2018</v>
      </c>
      <c r="J498" s="463">
        <v>30</v>
      </c>
      <c r="K498" s="463">
        <v>30</v>
      </c>
      <c r="L498" s="463"/>
      <c r="M498" s="463"/>
      <c r="N498" s="463">
        <v>30</v>
      </c>
      <c r="O498" s="463"/>
      <c r="P498" s="463"/>
      <c r="Q498" s="463"/>
      <c r="R498" s="463"/>
      <c r="S498" s="462" t="str">
        <f t="shared" si="103"/>
        <v>正确</v>
      </c>
      <c r="T498" s="462"/>
      <c r="U498" s="462"/>
      <c r="V498" s="462" t="s">
        <v>1650</v>
      </c>
      <c r="W498" s="462"/>
    </row>
    <row r="499" ht="23.25" customHeight="1" spans="1:23">
      <c r="A499" s="464">
        <v>1</v>
      </c>
      <c r="B499" s="462" t="s">
        <v>916</v>
      </c>
      <c r="C499" s="463" t="s">
        <v>320</v>
      </c>
      <c r="D499" s="463" t="s">
        <v>320</v>
      </c>
      <c r="E499" s="465"/>
      <c r="F499" s="465"/>
      <c r="G499" s="465"/>
      <c r="H499" s="465">
        <v>2018</v>
      </c>
      <c r="I499" s="465">
        <v>2020</v>
      </c>
      <c r="J499" s="463">
        <f>J500+J513+J526+J539+J552</f>
        <v>1730.4</v>
      </c>
      <c r="K499" s="463">
        <v>864.8</v>
      </c>
      <c r="L499" s="463">
        <f>L500+L513+L526+L539+L552</f>
        <v>576.8</v>
      </c>
      <c r="M499" s="463">
        <v>288.8</v>
      </c>
      <c r="N499" s="463">
        <v>1730.4</v>
      </c>
      <c r="O499" s="463"/>
      <c r="P499" s="463"/>
      <c r="Q499" s="463"/>
      <c r="R499" s="463"/>
      <c r="S499" s="462" t="str">
        <f t="shared" si="103"/>
        <v>正确</v>
      </c>
      <c r="T499" s="462"/>
      <c r="U499" s="462"/>
      <c r="V499" s="462" t="s">
        <v>320</v>
      </c>
      <c r="W499" s="462" t="s">
        <v>41</v>
      </c>
    </row>
    <row r="500" ht="23.25" customHeight="1" spans="1:23">
      <c r="A500" s="464">
        <v>2</v>
      </c>
      <c r="B500" s="462" t="s">
        <v>917</v>
      </c>
      <c r="C500" s="463" t="s">
        <v>320</v>
      </c>
      <c r="D500" s="463" t="s">
        <v>45</v>
      </c>
      <c r="E500" s="465">
        <f>SUM(E501:E512)</f>
        <v>9600</v>
      </c>
      <c r="F500" s="465"/>
      <c r="G500" s="465"/>
      <c r="H500" s="465">
        <v>2018</v>
      </c>
      <c r="I500" s="465">
        <v>2020</v>
      </c>
      <c r="J500" s="463">
        <v>1536</v>
      </c>
      <c r="K500" s="463">
        <v>800</v>
      </c>
      <c r="L500" s="463">
        <f>SUM(L501:L512)</f>
        <v>512</v>
      </c>
      <c r="M500" s="463">
        <v>224</v>
      </c>
      <c r="N500" s="463">
        <v>1536</v>
      </c>
      <c r="O500" s="463"/>
      <c r="P500" s="463"/>
      <c r="Q500" s="463"/>
      <c r="R500" s="463"/>
      <c r="S500" s="462" t="str">
        <f t="shared" si="103"/>
        <v>正确</v>
      </c>
      <c r="T500" s="462" t="s">
        <v>1574</v>
      </c>
      <c r="U500" s="462" t="s">
        <v>1654</v>
      </c>
      <c r="V500" s="462" t="s">
        <v>417</v>
      </c>
      <c r="W500" s="462" t="s">
        <v>41</v>
      </c>
    </row>
    <row r="501" ht="23.25" customHeight="1" spans="1:23">
      <c r="A501" s="464"/>
      <c r="B501" s="462" t="s">
        <v>1540</v>
      </c>
      <c r="C501" s="463" t="s">
        <v>320</v>
      </c>
      <c r="D501" s="463" t="s">
        <v>45</v>
      </c>
      <c r="E501" s="465">
        <v>1800</v>
      </c>
      <c r="F501" s="465"/>
      <c r="G501" s="465"/>
      <c r="H501" s="465">
        <v>2018</v>
      </c>
      <c r="I501" s="465">
        <v>2020</v>
      </c>
      <c r="J501" s="463">
        <v>288</v>
      </c>
      <c r="K501" s="463">
        <f t="shared" ref="K501:K512" si="109">J501/1.92</f>
        <v>150</v>
      </c>
      <c r="L501" s="463">
        <v>96</v>
      </c>
      <c r="M501" s="463">
        <f t="shared" ref="M501:M512" si="110">J501/6.8571</f>
        <v>42.0002625016406</v>
      </c>
      <c r="N501" s="463">
        <v>288</v>
      </c>
      <c r="O501" s="463"/>
      <c r="P501" s="463"/>
      <c r="Q501" s="463"/>
      <c r="R501" s="463"/>
      <c r="S501" s="462" t="str">
        <f t="shared" si="103"/>
        <v>错误</v>
      </c>
      <c r="T501" s="462"/>
      <c r="U501" s="462"/>
      <c r="V501" s="462"/>
      <c r="W501" s="462"/>
    </row>
    <row r="502" ht="23.25" customHeight="1" spans="1:23">
      <c r="A502" s="464"/>
      <c r="B502" s="462" t="s">
        <v>1541</v>
      </c>
      <c r="C502" s="463" t="s">
        <v>320</v>
      </c>
      <c r="D502" s="463" t="s">
        <v>45</v>
      </c>
      <c r="E502" s="465">
        <v>600</v>
      </c>
      <c r="F502" s="465"/>
      <c r="G502" s="465"/>
      <c r="H502" s="465">
        <v>2018</v>
      </c>
      <c r="I502" s="465">
        <v>2020</v>
      </c>
      <c r="J502" s="463">
        <v>96</v>
      </c>
      <c r="K502" s="463">
        <f t="shared" si="109"/>
        <v>50</v>
      </c>
      <c r="L502" s="463">
        <v>32</v>
      </c>
      <c r="M502" s="463">
        <f t="shared" si="110"/>
        <v>14.0000875005469</v>
      </c>
      <c r="N502" s="463">
        <v>96</v>
      </c>
      <c r="O502" s="463"/>
      <c r="P502" s="463"/>
      <c r="Q502" s="463"/>
      <c r="R502" s="463"/>
      <c r="S502" s="462" t="str">
        <f t="shared" si="103"/>
        <v>错误</v>
      </c>
      <c r="T502" s="462"/>
      <c r="U502" s="462"/>
      <c r="V502" s="462"/>
      <c r="W502" s="462"/>
    </row>
    <row r="503" ht="23.25" customHeight="1" spans="1:23">
      <c r="A503" s="464"/>
      <c r="B503" s="462" t="s">
        <v>1542</v>
      </c>
      <c r="C503" s="463" t="s">
        <v>320</v>
      </c>
      <c r="D503" s="463" t="s">
        <v>45</v>
      </c>
      <c r="E503" s="465">
        <v>400</v>
      </c>
      <c r="F503" s="465"/>
      <c r="G503" s="465"/>
      <c r="H503" s="465">
        <v>2018</v>
      </c>
      <c r="I503" s="465">
        <v>2020</v>
      </c>
      <c r="J503" s="463">
        <v>63.9966666666667</v>
      </c>
      <c r="K503" s="463">
        <f t="shared" si="109"/>
        <v>33.3315972222222</v>
      </c>
      <c r="L503" s="463">
        <v>21.3333333333333</v>
      </c>
      <c r="M503" s="463">
        <f t="shared" si="110"/>
        <v>9.33290555288193</v>
      </c>
      <c r="N503" s="463">
        <v>63.9966666666667</v>
      </c>
      <c r="O503" s="463"/>
      <c r="P503" s="463"/>
      <c r="Q503" s="463"/>
      <c r="R503" s="463"/>
      <c r="S503" s="462" t="str">
        <f t="shared" si="103"/>
        <v>错误</v>
      </c>
      <c r="T503" s="462"/>
      <c r="U503" s="462"/>
      <c r="V503" s="462"/>
      <c r="W503" s="462"/>
    </row>
    <row r="504" ht="23.25" customHeight="1" spans="1:23">
      <c r="A504" s="464"/>
      <c r="B504" s="462" t="s">
        <v>1543</v>
      </c>
      <c r="C504" s="463" t="s">
        <v>320</v>
      </c>
      <c r="D504" s="463" t="s">
        <v>45</v>
      </c>
      <c r="E504" s="465">
        <v>600</v>
      </c>
      <c r="F504" s="465"/>
      <c r="G504" s="465"/>
      <c r="H504" s="465">
        <v>2018</v>
      </c>
      <c r="I504" s="465">
        <v>2020</v>
      </c>
      <c r="J504" s="463">
        <v>96</v>
      </c>
      <c r="K504" s="463">
        <f t="shared" si="109"/>
        <v>50</v>
      </c>
      <c r="L504" s="463">
        <v>32</v>
      </c>
      <c r="M504" s="463">
        <f t="shared" si="110"/>
        <v>14.0000875005469</v>
      </c>
      <c r="N504" s="463">
        <v>96</v>
      </c>
      <c r="O504" s="463"/>
      <c r="P504" s="463"/>
      <c r="Q504" s="463"/>
      <c r="R504" s="463"/>
      <c r="S504" s="462" t="str">
        <f t="shared" si="103"/>
        <v>错误</v>
      </c>
      <c r="T504" s="462"/>
      <c r="U504" s="462"/>
      <c r="V504" s="462"/>
      <c r="W504" s="462"/>
    </row>
    <row r="505" ht="23.25" customHeight="1" spans="1:23">
      <c r="A505" s="464"/>
      <c r="B505" s="462" t="s">
        <v>1544</v>
      </c>
      <c r="C505" s="463" t="s">
        <v>320</v>
      </c>
      <c r="D505" s="463" t="s">
        <v>45</v>
      </c>
      <c r="E505" s="465">
        <v>400</v>
      </c>
      <c r="F505" s="465"/>
      <c r="G505" s="465"/>
      <c r="H505" s="465">
        <v>2018</v>
      </c>
      <c r="I505" s="465">
        <v>2020</v>
      </c>
      <c r="J505" s="463">
        <v>63.9999996666667</v>
      </c>
      <c r="K505" s="463">
        <f t="shared" si="109"/>
        <v>33.3333331597222</v>
      </c>
      <c r="L505" s="463">
        <v>21.3333333333333</v>
      </c>
      <c r="M505" s="463">
        <f t="shared" si="110"/>
        <v>9.33339161841984</v>
      </c>
      <c r="N505" s="463">
        <v>63.9999996666667</v>
      </c>
      <c r="O505" s="463"/>
      <c r="P505" s="463"/>
      <c r="Q505" s="463"/>
      <c r="R505" s="463"/>
      <c r="S505" s="462" t="str">
        <f t="shared" si="103"/>
        <v>错误</v>
      </c>
      <c r="T505" s="462"/>
      <c r="U505" s="462"/>
      <c r="V505" s="462"/>
      <c r="W505" s="462"/>
    </row>
    <row r="506" ht="23.25" customHeight="1" spans="1:23">
      <c r="A506" s="464"/>
      <c r="B506" s="462" t="s">
        <v>1545</v>
      </c>
      <c r="C506" s="463" t="s">
        <v>320</v>
      </c>
      <c r="D506" s="463" t="s">
        <v>45</v>
      </c>
      <c r="E506" s="465">
        <v>1000</v>
      </c>
      <c r="F506" s="465"/>
      <c r="G506" s="465"/>
      <c r="H506" s="465">
        <v>2018</v>
      </c>
      <c r="I506" s="465">
        <v>2020</v>
      </c>
      <c r="J506" s="463">
        <v>160</v>
      </c>
      <c r="K506" s="463">
        <f t="shared" si="109"/>
        <v>83.3333333333333</v>
      </c>
      <c r="L506" s="463">
        <v>53.3333333333333</v>
      </c>
      <c r="M506" s="463">
        <f t="shared" si="110"/>
        <v>23.3334791675781</v>
      </c>
      <c r="N506" s="463">
        <v>160</v>
      </c>
      <c r="O506" s="463"/>
      <c r="P506" s="463"/>
      <c r="Q506" s="463"/>
      <c r="R506" s="463"/>
      <c r="S506" s="462" t="str">
        <f t="shared" si="103"/>
        <v>错误</v>
      </c>
      <c r="T506" s="462"/>
      <c r="U506" s="462"/>
      <c r="V506" s="462"/>
      <c r="W506" s="462"/>
    </row>
    <row r="507" ht="23.25" customHeight="1" spans="1:23">
      <c r="A507" s="464"/>
      <c r="B507" s="462" t="s">
        <v>1546</v>
      </c>
      <c r="C507" s="463" t="s">
        <v>320</v>
      </c>
      <c r="D507" s="463" t="s">
        <v>45</v>
      </c>
      <c r="E507" s="465">
        <v>300</v>
      </c>
      <c r="F507" s="465"/>
      <c r="G507" s="465"/>
      <c r="H507" s="465">
        <v>2018</v>
      </c>
      <c r="I507" s="465">
        <v>2020</v>
      </c>
      <c r="J507" s="463">
        <v>48</v>
      </c>
      <c r="K507" s="463">
        <f t="shared" si="109"/>
        <v>25</v>
      </c>
      <c r="L507" s="463">
        <v>16</v>
      </c>
      <c r="M507" s="463">
        <f t="shared" si="110"/>
        <v>7.00004375027344</v>
      </c>
      <c r="N507" s="463">
        <v>48</v>
      </c>
      <c r="O507" s="463"/>
      <c r="P507" s="463"/>
      <c r="Q507" s="463"/>
      <c r="R507" s="463"/>
      <c r="S507" s="462" t="str">
        <f t="shared" si="103"/>
        <v>错误</v>
      </c>
      <c r="T507" s="462"/>
      <c r="U507" s="462"/>
      <c r="V507" s="462"/>
      <c r="W507" s="462"/>
    </row>
    <row r="508" ht="23.25" customHeight="1" spans="1:23">
      <c r="A508" s="464"/>
      <c r="B508" s="462" t="s">
        <v>1547</v>
      </c>
      <c r="C508" s="463" t="s">
        <v>320</v>
      </c>
      <c r="D508" s="463" t="s">
        <v>45</v>
      </c>
      <c r="E508" s="465">
        <v>300</v>
      </c>
      <c r="F508" s="465"/>
      <c r="G508" s="465"/>
      <c r="H508" s="465">
        <v>2018</v>
      </c>
      <c r="I508" s="465">
        <v>2020</v>
      </c>
      <c r="J508" s="463">
        <v>48</v>
      </c>
      <c r="K508" s="463">
        <f t="shared" si="109"/>
        <v>25</v>
      </c>
      <c r="L508" s="463">
        <v>16</v>
      </c>
      <c r="M508" s="463">
        <f t="shared" si="110"/>
        <v>7.00004375027344</v>
      </c>
      <c r="N508" s="463">
        <v>48</v>
      </c>
      <c r="O508" s="463"/>
      <c r="P508" s="463"/>
      <c r="Q508" s="463"/>
      <c r="R508" s="463"/>
      <c r="S508" s="462" t="str">
        <f t="shared" si="103"/>
        <v>错误</v>
      </c>
      <c r="T508" s="462"/>
      <c r="U508" s="462"/>
      <c r="V508" s="462"/>
      <c r="W508" s="462"/>
    </row>
    <row r="509" ht="23.25" customHeight="1" spans="1:23">
      <c r="A509" s="464"/>
      <c r="B509" s="462" t="s">
        <v>1548</v>
      </c>
      <c r="C509" s="463" t="s">
        <v>320</v>
      </c>
      <c r="D509" s="463" t="s">
        <v>45</v>
      </c>
      <c r="E509" s="465">
        <v>3000</v>
      </c>
      <c r="F509" s="465"/>
      <c r="G509" s="465"/>
      <c r="H509" s="465">
        <v>2018</v>
      </c>
      <c r="I509" s="465">
        <v>2020</v>
      </c>
      <c r="J509" s="463">
        <v>480</v>
      </c>
      <c r="K509" s="463">
        <f t="shared" si="109"/>
        <v>250</v>
      </c>
      <c r="L509" s="463">
        <v>160</v>
      </c>
      <c r="M509" s="463">
        <f t="shared" si="110"/>
        <v>70.0004375027344</v>
      </c>
      <c r="N509" s="463">
        <v>480</v>
      </c>
      <c r="O509" s="463"/>
      <c r="P509" s="463"/>
      <c r="Q509" s="463"/>
      <c r="R509" s="463"/>
      <c r="S509" s="462" t="str">
        <f t="shared" si="103"/>
        <v>错误</v>
      </c>
      <c r="T509" s="462"/>
      <c r="U509" s="462"/>
      <c r="V509" s="462"/>
      <c r="W509" s="462"/>
    </row>
    <row r="510" ht="23.25" customHeight="1" spans="1:23">
      <c r="A510" s="464"/>
      <c r="B510" s="462" t="s">
        <v>1549</v>
      </c>
      <c r="C510" s="463" t="s">
        <v>320</v>
      </c>
      <c r="D510" s="463" t="s">
        <v>45</v>
      </c>
      <c r="E510" s="465">
        <v>400</v>
      </c>
      <c r="F510" s="465"/>
      <c r="G510" s="465"/>
      <c r="H510" s="465">
        <v>2018</v>
      </c>
      <c r="I510" s="465">
        <v>2020</v>
      </c>
      <c r="J510" s="463">
        <v>64</v>
      </c>
      <c r="K510" s="463">
        <f t="shared" si="109"/>
        <v>33.3333333333333</v>
      </c>
      <c r="L510" s="463">
        <v>21.3333333333333</v>
      </c>
      <c r="M510" s="463">
        <f t="shared" si="110"/>
        <v>9.33339166703125</v>
      </c>
      <c r="N510" s="463">
        <v>64</v>
      </c>
      <c r="O510" s="463"/>
      <c r="P510" s="463"/>
      <c r="Q510" s="463"/>
      <c r="R510" s="463"/>
      <c r="S510" s="462" t="str">
        <f t="shared" si="103"/>
        <v>错误</v>
      </c>
      <c r="T510" s="462"/>
      <c r="U510" s="462"/>
      <c r="V510" s="462"/>
      <c r="W510" s="462"/>
    </row>
    <row r="511" ht="23.25" customHeight="1" spans="1:23">
      <c r="A511" s="464"/>
      <c r="B511" s="462" t="s">
        <v>1550</v>
      </c>
      <c r="C511" s="463" t="s">
        <v>320</v>
      </c>
      <c r="D511" s="463" t="s">
        <v>45</v>
      </c>
      <c r="E511" s="465">
        <v>400</v>
      </c>
      <c r="F511" s="465"/>
      <c r="G511" s="465"/>
      <c r="H511" s="465">
        <v>2018</v>
      </c>
      <c r="I511" s="465">
        <v>2020</v>
      </c>
      <c r="J511" s="463">
        <v>64</v>
      </c>
      <c r="K511" s="463">
        <f t="shared" si="109"/>
        <v>33.3333333333333</v>
      </c>
      <c r="L511" s="463">
        <v>21.3333333333333</v>
      </c>
      <c r="M511" s="463">
        <f t="shared" si="110"/>
        <v>9.33339166703125</v>
      </c>
      <c r="N511" s="463">
        <v>64</v>
      </c>
      <c r="O511" s="463"/>
      <c r="P511" s="463"/>
      <c r="Q511" s="463"/>
      <c r="R511" s="463"/>
      <c r="S511" s="462" t="str">
        <f t="shared" si="103"/>
        <v>错误</v>
      </c>
      <c r="T511" s="462"/>
      <c r="U511" s="462"/>
      <c r="V511" s="462"/>
      <c r="W511" s="462"/>
    </row>
    <row r="512" ht="23.25" customHeight="1" spans="1:23">
      <c r="A512" s="464"/>
      <c r="B512" s="462" t="s">
        <v>1551</v>
      </c>
      <c r="C512" s="463" t="s">
        <v>320</v>
      </c>
      <c r="D512" s="463" t="s">
        <v>45</v>
      </c>
      <c r="E512" s="465">
        <v>400</v>
      </c>
      <c r="F512" s="465"/>
      <c r="G512" s="465"/>
      <c r="H512" s="465">
        <v>2018</v>
      </c>
      <c r="I512" s="465">
        <v>2020</v>
      </c>
      <c r="J512" s="463">
        <v>64</v>
      </c>
      <c r="K512" s="463">
        <f t="shared" si="109"/>
        <v>33.3333333333333</v>
      </c>
      <c r="L512" s="463">
        <v>21.3333333333333</v>
      </c>
      <c r="M512" s="463">
        <f t="shared" si="110"/>
        <v>9.33339166703125</v>
      </c>
      <c r="N512" s="463">
        <v>64</v>
      </c>
      <c r="O512" s="463"/>
      <c r="P512" s="463"/>
      <c r="Q512" s="463"/>
      <c r="R512" s="463"/>
      <c r="S512" s="462" t="str">
        <f t="shared" si="103"/>
        <v>错误</v>
      </c>
      <c r="T512" s="462"/>
      <c r="U512" s="462"/>
      <c r="V512" s="462"/>
      <c r="W512" s="462"/>
    </row>
    <row r="513" ht="23.25" customHeight="1" spans="1:23">
      <c r="A513" s="464">
        <v>2</v>
      </c>
      <c r="B513" s="462" t="s">
        <v>919</v>
      </c>
      <c r="C513" s="463" t="s">
        <v>320</v>
      </c>
      <c r="D513" s="463" t="s">
        <v>45</v>
      </c>
      <c r="E513" s="465"/>
      <c r="F513" s="465"/>
      <c r="G513" s="465"/>
      <c r="H513" s="465"/>
      <c r="I513" s="465"/>
      <c r="J513" s="463"/>
      <c r="K513" s="463"/>
      <c r="L513" s="463"/>
      <c r="M513" s="463"/>
      <c r="N513" s="463"/>
      <c r="O513" s="463"/>
      <c r="P513" s="463"/>
      <c r="Q513" s="463"/>
      <c r="R513" s="463"/>
      <c r="S513" s="462" t="str">
        <f t="shared" si="103"/>
        <v>正确</v>
      </c>
      <c r="T513" s="462"/>
      <c r="U513" s="462"/>
      <c r="V513" s="462" t="s">
        <v>435</v>
      </c>
      <c r="W513" s="462" t="s">
        <v>41</v>
      </c>
    </row>
    <row r="514" ht="23.25" customHeight="1" spans="1:23">
      <c r="A514" s="464"/>
      <c r="B514" s="462" t="s">
        <v>1540</v>
      </c>
      <c r="C514" s="463" t="s">
        <v>320</v>
      </c>
      <c r="D514" s="463" t="s">
        <v>45</v>
      </c>
      <c r="E514" s="465"/>
      <c r="F514" s="465"/>
      <c r="G514" s="465"/>
      <c r="H514" s="465"/>
      <c r="I514" s="465"/>
      <c r="J514" s="463"/>
      <c r="K514" s="463"/>
      <c r="L514" s="463"/>
      <c r="M514" s="463"/>
      <c r="N514" s="463"/>
      <c r="O514" s="463"/>
      <c r="P514" s="463"/>
      <c r="Q514" s="463"/>
      <c r="R514" s="463"/>
      <c r="S514" s="462" t="str">
        <f t="shared" si="103"/>
        <v>正确</v>
      </c>
      <c r="T514" s="462"/>
      <c r="U514" s="462"/>
      <c r="V514" s="462"/>
      <c r="W514" s="462"/>
    </row>
    <row r="515" ht="23.25" customHeight="1" spans="1:23">
      <c r="A515" s="464"/>
      <c r="B515" s="462" t="s">
        <v>1541</v>
      </c>
      <c r="C515" s="463" t="s">
        <v>320</v>
      </c>
      <c r="D515" s="463" t="s">
        <v>45</v>
      </c>
      <c r="E515" s="465"/>
      <c r="F515" s="465"/>
      <c r="G515" s="465"/>
      <c r="H515" s="465"/>
      <c r="I515" s="465"/>
      <c r="J515" s="463"/>
      <c r="K515" s="463"/>
      <c r="L515" s="463"/>
      <c r="M515" s="463"/>
      <c r="N515" s="463"/>
      <c r="O515" s="463"/>
      <c r="P515" s="463"/>
      <c r="Q515" s="463"/>
      <c r="R515" s="463"/>
      <c r="S515" s="462" t="str">
        <f t="shared" si="103"/>
        <v>正确</v>
      </c>
      <c r="T515" s="462"/>
      <c r="U515" s="462"/>
      <c r="V515" s="462"/>
      <c r="W515" s="462"/>
    </row>
    <row r="516" ht="23.25" customHeight="1" spans="1:23">
      <c r="A516" s="464"/>
      <c r="B516" s="462" t="s">
        <v>1542</v>
      </c>
      <c r="C516" s="463" t="s">
        <v>320</v>
      </c>
      <c r="D516" s="463" t="s">
        <v>45</v>
      </c>
      <c r="E516" s="465"/>
      <c r="F516" s="465"/>
      <c r="G516" s="465"/>
      <c r="H516" s="465"/>
      <c r="I516" s="465"/>
      <c r="J516" s="463"/>
      <c r="K516" s="463"/>
      <c r="L516" s="463"/>
      <c r="M516" s="463"/>
      <c r="N516" s="463"/>
      <c r="O516" s="463"/>
      <c r="P516" s="463"/>
      <c r="Q516" s="463"/>
      <c r="R516" s="463"/>
      <c r="S516" s="462" t="str">
        <f t="shared" si="103"/>
        <v>正确</v>
      </c>
      <c r="T516" s="462"/>
      <c r="U516" s="462"/>
      <c r="V516" s="462"/>
      <c r="W516" s="462"/>
    </row>
    <row r="517" ht="23.25" customHeight="1" spans="1:23">
      <c r="A517" s="464"/>
      <c r="B517" s="462" t="s">
        <v>1543</v>
      </c>
      <c r="C517" s="463" t="s">
        <v>320</v>
      </c>
      <c r="D517" s="463" t="s">
        <v>45</v>
      </c>
      <c r="E517" s="465"/>
      <c r="F517" s="465"/>
      <c r="G517" s="465"/>
      <c r="H517" s="465"/>
      <c r="I517" s="465"/>
      <c r="J517" s="463"/>
      <c r="K517" s="463"/>
      <c r="L517" s="463"/>
      <c r="M517" s="463"/>
      <c r="N517" s="463"/>
      <c r="O517" s="463"/>
      <c r="P517" s="463"/>
      <c r="Q517" s="463"/>
      <c r="R517" s="463"/>
      <c r="S517" s="462" t="str">
        <f t="shared" si="103"/>
        <v>正确</v>
      </c>
      <c r="T517" s="462"/>
      <c r="U517" s="462"/>
      <c r="V517" s="462"/>
      <c r="W517" s="462"/>
    </row>
    <row r="518" ht="23.25" customHeight="1" spans="1:23">
      <c r="A518" s="464"/>
      <c r="B518" s="462" t="s">
        <v>1544</v>
      </c>
      <c r="C518" s="463" t="s">
        <v>320</v>
      </c>
      <c r="D518" s="463" t="s">
        <v>45</v>
      </c>
      <c r="E518" s="465"/>
      <c r="F518" s="465"/>
      <c r="G518" s="465"/>
      <c r="H518" s="465"/>
      <c r="I518" s="465"/>
      <c r="J518" s="463"/>
      <c r="K518" s="463"/>
      <c r="L518" s="463"/>
      <c r="M518" s="463"/>
      <c r="N518" s="463"/>
      <c r="O518" s="463"/>
      <c r="P518" s="463"/>
      <c r="Q518" s="463"/>
      <c r="R518" s="463"/>
      <c r="S518" s="462" t="str">
        <f t="shared" si="103"/>
        <v>正确</v>
      </c>
      <c r="T518" s="462"/>
      <c r="U518" s="462"/>
      <c r="V518" s="462"/>
      <c r="W518" s="462"/>
    </row>
    <row r="519" ht="23.25" customHeight="1" spans="1:23">
      <c r="A519" s="464"/>
      <c r="B519" s="462" t="s">
        <v>1545</v>
      </c>
      <c r="C519" s="463" t="s">
        <v>320</v>
      </c>
      <c r="D519" s="463" t="s">
        <v>45</v>
      </c>
      <c r="E519" s="465"/>
      <c r="F519" s="465"/>
      <c r="G519" s="465"/>
      <c r="H519" s="465"/>
      <c r="I519" s="465"/>
      <c r="J519" s="463"/>
      <c r="K519" s="463"/>
      <c r="L519" s="463"/>
      <c r="M519" s="463"/>
      <c r="N519" s="463"/>
      <c r="O519" s="463"/>
      <c r="P519" s="463"/>
      <c r="Q519" s="463"/>
      <c r="R519" s="463"/>
      <c r="S519" s="462" t="str">
        <f t="shared" ref="S519:S582" si="111">IF(SUM(K519:M519)=SUM(N519:R519),"正确","错误")</f>
        <v>正确</v>
      </c>
      <c r="T519" s="462"/>
      <c r="U519" s="462"/>
      <c r="V519" s="462"/>
      <c r="W519" s="462"/>
    </row>
    <row r="520" ht="23.25" customHeight="1" spans="1:23">
      <c r="A520" s="464"/>
      <c r="B520" s="462" t="s">
        <v>1546</v>
      </c>
      <c r="C520" s="463" t="s">
        <v>320</v>
      </c>
      <c r="D520" s="463" t="s">
        <v>45</v>
      </c>
      <c r="E520" s="465"/>
      <c r="F520" s="465"/>
      <c r="G520" s="465"/>
      <c r="H520" s="465"/>
      <c r="I520" s="465"/>
      <c r="J520" s="463"/>
      <c r="K520" s="463"/>
      <c r="L520" s="463"/>
      <c r="M520" s="463"/>
      <c r="N520" s="463"/>
      <c r="O520" s="463"/>
      <c r="P520" s="463"/>
      <c r="Q520" s="463"/>
      <c r="R520" s="463"/>
      <c r="S520" s="462" t="str">
        <f t="shared" si="111"/>
        <v>正确</v>
      </c>
      <c r="T520" s="462"/>
      <c r="U520" s="462"/>
      <c r="V520" s="462"/>
      <c r="W520" s="462"/>
    </row>
    <row r="521" ht="23.25" customHeight="1" spans="1:23">
      <c r="A521" s="464"/>
      <c r="B521" s="462" t="s">
        <v>1547</v>
      </c>
      <c r="C521" s="463" t="s">
        <v>320</v>
      </c>
      <c r="D521" s="463" t="s">
        <v>45</v>
      </c>
      <c r="E521" s="465"/>
      <c r="F521" s="465"/>
      <c r="G521" s="465"/>
      <c r="H521" s="465"/>
      <c r="I521" s="465"/>
      <c r="J521" s="463"/>
      <c r="K521" s="463"/>
      <c r="L521" s="463"/>
      <c r="M521" s="463"/>
      <c r="N521" s="463"/>
      <c r="O521" s="463"/>
      <c r="P521" s="463"/>
      <c r="Q521" s="463"/>
      <c r="R521" s="463"/>
      <c r="S521" s="462" t="str">
        <f t="shared" si="111"/>
        <v>正确</v>
      </c>
      <c r="T521" s="462"/>
      <c r="U521" s="462"/>
      <c r="V521" s="462"/>
      <c r="W521" s="462"/>
    </row>
    <row r="522" ht="23.25" customHeight="1" spans="1:23">
      <c r="A522" s="464"/>
      <c r="B522" s="462" t="s">
        <v>1548</v>
      </c>
      <c r="C522" s="463" t="s">
        <v>320</v>
      </c>
      <c r="D522" s="463" t="s">
        <v>45</v>
      </c>
      <c r="E522" s="465"/>
      <c r="F522" s="465"/>
      <c r="G522" s="465"/>
      <c r="H522" s="465"/>
      <c r="I522" s="465"/>
      <c r="J522" s="463"/>
      <c r="K522" s="463"/>
      <c r="L522" s="463"/>
      <c r="M522" s="463"/>
      <c r="N522" s="463"/>
      <c r="O522" s="463"/>
      <c r="P522" s="463"/>
      <c r="Q522" s="463"/>
      <c r="R522" s="463"/>
      <c r="S522" s="462" t="str">
        <f t="shared" si="111"/>
        <v>正确</v>
      </c>
      <c r="T522" s="462"/>
      <c r="U522" s="462"/>
      <c r="V522" s="462"/>
      <c r="W522" s="462"/>
    </row>
    <row r="523" ht="23.25" customHeight="1" spans="1:23">
      <c r="A523" s="464"/>
      <c r="B523" s="462" t="s">
        <v>1549</v>
      </c>
      <c r="C523" s="463" t="s">
        <v>320</v>
      </c>
      <c r="D523" s="463" t="s">
        <v>45</v>
      </c>
      <c r="E523" s="465"/>
      <c r="F523" s="465"/>
      <c r="G523" s="465"/>
      <c r="H523" s="465"/>
      <c r="I523" s="465"/>
      <c r="J523" s="463"/>
      <c r="K523" s="463"/>
      <c r="L523" s="463"/>
      <c r="M523" s="463"/>
      <c r="N523" s="463"/>
      <c r="O523" s="463"/>
      <c r="P523" s="463"/>
      <c r="Q523" s="463"/>
      <c r="R523" s="463"/>
      <c r="S523" s="462" t="str">
        <f t="shared" si="111"/>
        <v>正确</v>
      </c>
      <c r="T523" s="462"/>
      <c r="U523" s="462"/>
      <c r="V523" s="462"/>
      <c r="W523" s="462"/>
    </row>
    <row r="524" ht="23.25" customHeight="1" spans="1:23">
      <c r="A524" s="464"/>
      <c r="B524" s="462" t="s">
        <v>1550</v>
      </c>
      <c r="C524" s="463" t="s">
        <v>320</v>
      </c>
      <c r="D524" s="463" t="s">
        <v>45</v>
      </c>
      <c r="E524" s="465"/>
      <c r="F524" s="465"/>
      <c r="G524" s="465"/>
      <c r="H524" s="465"/>
      <c r="I524" s="465"/>
      <c r="J524" s="463"/>
      <c r="K524" s="463"/>
      <c r="L524" s="463"/>
      <c r="M524" s="463"/>
      <c r="N524" s="463"/>
      <c r="O524" s="463"/>
      <c r="P524" s="463"/>
      <c r="Q524" s="463"/>
      <c r="R524" s="463"/>
      <c r="S524" s="462" t="str">
        <f t="shared" si="111"/>
        <v>正确</v>
      </c>
      <c r="T524" s="462"/>
      <c r="U524" s="462"/>
      <c r="V524" s="462"/>
      <c r="W524" s="462"/>
    </row>
    <row r="525" ht="23.25" customHeight="1" spans="1:23">
      <c r="A525" s="464"/>
      <c r="B525" s="462" t="s">
        <v>1551</v>
      </c>
      <c r="C525" s="463" t="s">
        <v>320</v>
      </c>
      <c r="D525" s="463" t="s">
        <v>45</v>
      </c>
      <c r="E525" s="465"/>
      <c r="F525" s="465"/>
      <c r="G525" s="465"/>
      <c r="H525" s="465"/>
      <c r="I525" s="465"/>
      <c r="J525" s="463"/>
      <c r="K525" s="463"/>
      <c r="L525" s="463"/>
      <c r="M525" s="463"/>
      <c r="N525" s="463"/>
      <c r="O525" s="463"/>
      <c r="P525" s="463"/>
      <c r="Q525" s="463"/>
      <c r="R525" s="463"/>
      <c r="S525" s="462" t="str">
        <f t="shared" si="111"/>
        <v>正确</v>
      </c>
      <c r="T525" s="462"/>
      <c r="U525" s="462"/>
      <c r="V525" s="462"/>
      <c r="W525" s="462"/>
    </row>
    <row r="526" ht="23.25" customHeight="1" spans="1:23">
      <c r="A526" s="464">
        <v>2</v>
      </c>
      <c r="B526" s="485" t="s">
        <v>423</v>
      </c>
      <c r="C526" s="463" t="s">
        <v>320</v>
      </c>
      <c r="D526" s="463" t="s">
        <v>147</v>
      </c>
      <c r="E526" s="465">
        <f t="shared" ref="E526:G526" si="112">SUM(E527:E538)</f>
        <v>81</v>
      </c>
      <c r="F526" s="465">
        <f t="shared" si="112"/>
        <v>81</v>
      </c>
      <c r="G526" s="465">
        <f t="shared" si="112"/>
        <v>81</v>
      </c>
      <c r="H526" s="465">
        <v>2018</v>
      </c>
      <c r="I526" s="465">
        <v>2020</v>
      </c>
      <c r="J526" s="463">
        <f t="shared" ref="J526:M526" si="113">SUM(J527:J538)</f>
        <v>194.4</v>
      </c>
      <c r="K526" s="463">
        <f t="shared" si="113"/>
        <v>64.8</v>
      </c>
      <c r="L526" s="463">
        <f t="shared" si="113"/>
        <v>64.8</v>
      </c>
      <c r="M526" s="463">
        <f t="shared" si="113"/>
        <v>64.8</v>
      </c>
      <c r="N526" s="463">
        <v>194.4</v>
      </c>
      <c r="O526" s="463"/>
      <c r="P526" s="463"/>
      <c r="Q526" s="463"/>
      <c r="R526" s="463"/>
      <c r="S526" s="462" t="str">
        <f t="shared" si="111"/>
        <v>正确</v>
      </c>
      <c r="T526" s="462" t="s">
        <v>1574</v>
      </c>
      <c r="U526" s="462" t="s">
        <v>1654</v>
      </c>
      <c r="V526" s="462" t="s">
        <v>417</v>
      </c>
      <c r="W526" s="462" t="s">
        <v>41</v>
      </c>
    </row>
    <row r="527" ht="23.25" customHeight="1" spans="1:23">
      <c r="A527" s="464"/>
      <c r="B527" s="462" t="s">
        <v>1540</v>
      </c>
      <c r="C527" s="463" t="s">
        <v>320</v>
      </c>
      <c r="D527" s="463" t="s">
        <v>147</v>
      </c>
      <c r="E527" s="465">
        <v>10</v>
      </c>
      <c r="F527" s="465">
        <v>10</v>
      </c>
      <c r="G527" s="465">
        <v>10</v>
      </c>
      <c r="H527" s="465">
        <v>2018</v>
      </c>
      <c r="I527" s="465">
        <v>2020</v>
      </c>
      <c r="J527" s="463">
        <f t="shared" ref="J527:J538" si="114">K527+L527+M527</f>
        <v>24</v>
      </c>
      <c r="K527" s="463">
        <f t="shared" ref="K527:K538" si="115">G527*0.8</f>
        <v>8</v>
      </c>
      <c r="L527" s="463">
        <v>8</v>
      </c>
      <c r="M527" s="463">
        <v>8</v>
      </c>
      <c r="N527" s="463">
        <v>24</v>
      </c>
      <c r="O527" s="463"/>
      <c r="P527" s="463"/>
      <c r="Q527" s="463"/>
      <c r="R527" s="463"/>
      <c r="S527" s="462" t="str">
        <f t="shared" si="111"/>
        <v>正确</v>
      </c>
      <c r="T527" s="462"/>
      <c r="U527" s="462"/>
      <c r="V527" s="462"/>
      <c r="W527" s="462"/>
    </row>
    <row r="528" ht="23.25" customHeight="1" spans="1:23">
      <c r="A528" s="464"/>
      <c r="B528" s="462" t="s">
        <v>1541</v>
      </c>
      <c r="C528" s="463" t="s">
        <v>320</v>
      </c>
      <c r="D528" s="463" t="s">
        <v>147</v>
      </c>
      <c r="E528" s="465">
        <v>10</v>
      </c>
      <c r="F528" s="465">
        <v>10</v>
      </c>
      <c r="G528" s="465">
        <v>10</v>
      </c>
      <c r="H528" s="465">
        <v>2018</v>
      </c>
      <c r="I528" s="465">
        <v>2020</v>
      </c>
      <c r="J528" s="463">
        <f t="shared" si="114"/>
        <v>24</v>
      </c>
      <c r="K528" s="463">
        <f t="shared" si="115"/>
        <v>8</v>
      </c>
      <c r="L528" s="463">
        <v>8</v>
      </c>
      <c r="M528" s="463">
        <v>8</v>
      </c>
      <c r="N528" s="463">
        <v>24</v>
      </c>
      <c r="O528" s="463"/>
      <c r="P528" s="463"/>
      <c r="Q528" s="463"/>
      <c r="R528" s="463"/>
      <c r="S528" s="462" t="str">
        <f t="shared" si="111"/>
        <v>正确</v>
      </c>
      <c r="T528" s="462"/>
      <c r="U528" s="462"/>
      <c r="V528" s="462"/>
      <c r="W528" s="462"/>
    </row>
    <row r="529" ht="23.25" customHeight="1" spans="1:23">
      <c r="A529" s="464"/>
      <c r="B529" s="462" t="s">
        <v>1542</v>
      </c>
      <c r="C529" s="463" t="s">
        <v>320</v>
      </c>
      <c r="D529" s="463" t="s">
        <v>147</v>
      </c>
      <c r="E529" s="465">
        <v>10</v>
      </c>
      <c r="F529" s="465">
        <v>10</v>
      </c>
      <c r="G529" s="465">
        <v>10</v>
      </c>
      <c r="H529" s="465">
        <v>2018</v>
      </c>
      <c r="I529" s="465">
        <v>2020</v>
      </c>
      <c r="J529" s="463">
        <f t="shared" si="114"/>
        <v>24</v>
      </c>
      <c r="K529" s="463">
        <f t="shared" si="115"/>
        <v>8</v>
      </c>
      <c r="L529" s="463">
        <v>8</v>
      </c>
      <c r="M529" s="463">
        <v>8</v>
      </c>
      <c r="N529" s="463">
        <v>24</v>
      </c>
      <c r="O529" s="463"/>
      <c r="P529" s="463"/>
      <c r="Q529" s="463"/>
      <c r="R529" s="463"/>
      <c r="S529" s="462" t="str">
        <f t="shared" si="111"/>
        <v>正确</v>
      </c>
      <c r="T529" s="462"/>
      <c r="U529" s="462"/>
      <c r="V529" s="462"/>
      <c r="W529" s="462"/>
    </row>
    <row r="530" ht="23.25" customHeight="1" spans="1:23">
      <c r="A530" s="464"/>
      <c r="B530" s="462" t="s">
        <v>1543</v>
      </c>
      <c r="C530" s="463" t="s">
        <v>320</v>
      </c>
      <c r="D530" s="463" t="s">
        <v>147</v>
      </c>
      <c r="E530" s="465">
        <v>6</v>
      </c>
      <c r="F530" s="465">
        <v>6</v>
      </c>
      <c r="G530" s="465">
        <v>6</v>
      </c>
      <c r="H530" s="465">
        <v>2018</v>
      </c>
      <c r="I530" s="465">
        <v>2020</v>
      </c>
      <c r="J530" s="463">
        <f t="shared" si="114"/>
        <v>14.4</v>
      </c>
      <c r="K530" s="463">
        <f t="shared" si="115"/>
        <v>4.8</v>
      </c>
      <c r="L530" s="463">
        <v>4.8</v>
      </c>
      <c r="M530" s="463">
        <v>4.8</v>
      </c>
      <c r="N530" s="463">
        <v>14.4</v>
      </c>
      <c r="O530" s="463"/>
      <c r="P530" s="463"/>
      <c r="Q530" s="463"/>
      <c r="R530" s="463"/>
      <c r="S530" s="462" t="str">
        <f t="shared" si="111"/>
        <v>正确</v>
      </c>
      <c r="T530" s="462"/>
      <c r="U530" s="462"/>
      <c r="V530" s="462"/>
      <c r="W530" s="462"/>
    </row>
    <row r="531" ht="23.25" customHeight="1" spans="1:23">
      <c r="A531" s="464"/>
      <c r="B531" s="462" t="s">
        <v>1544</v>
      </c>
      <c r="C531" s="463" t="s">
        <v>320</v>
      </c>
      <c r="D531" s="463" t="s">
        <v>147</v>
      </c>
      <c r="E531" s="465">
        <v>5</v>
      </c>
      <c r="F531" s="465">
        <v>5</v>
      </c>
      <c r="G531" s="465">
        <v>5</v>
      </c>
      <c r="H531" s="465">
        <v>2018</v>
      </c>
      <c r="I531" s="465">
        <v>2020</v>
      </c>
      <c r="J531" s="463">
        <f t="shared" si="114"/>
        <v>12</v>
      </c>
      <c r="K531" s="463">
        <f t="shared" si="115"/>
        <v>4</v>
      </c>
      <c r="L531" s="463">
        <v>4</v>
      </c>
      <c r="M531" s="463">
        <v>4</v>
      </c>
      <c r="N531" s="463">
        <v>12</v>
      </c>
      <c r="O531" s="463"/>
      <c r="P531" s="463"/>
      <c r="Q531" s="463"/>
      <c r="R531" s="463"/>
      <c r="S531" s="462" t="str">
        <f t="shared" si="111"/>
        <v>正确</v>
      </c>
      <c r="T531" s="462"/>
      <c r="U531" s="462"/>
      <c r="V531" s="462"/>
      <c r="W531" s="462"/>
    </row>
    <row r="532" ht="23.25" customHeight="1" spans="1:23">
      <c r="A532" s="464"/>
      <c r="B532" s="462" t="s">
        <v>1545</v>
      </c>
      <c r="C532" s="463" t="s">
        <v>320</v>
      </c>
      <c r="D532" s="463" t="s">
        <v>147</v>
      </c>
      <c r="E532" s="465">
        <v>6</v>
      </c>
      <c r="F532" s="465">
        <v>6</v>
      </c>
      <c r="G532" s="465">
        <v>6</v>
      </c>
      <c r="H532" s="465">
        <v>2018</v>
      </c>
      <c r="I532" s="465">
        <v>2020</v>
      </c>
      <c r="J532" s="463">
        <f t="shared" si="114"/>
        <v>14.4</v>
      </c>
      <c r="K532" s="463">
        <f t="shared" si="115"/>
        <v>4.8</v>
      </c>
      <c r="L532" s="463">
        <v>4.8</v>
      </c>
      <c r="M532" s="463">
        <v>4.8</v>
      </c>
      <c r="N532" s="463">
        <v>14.4</v>
      </c>
      <c r="O532" s="463"/>
      <c r="P532" s="463"/>
      <c r="Q532" s="463"/>
      <c r="R532" s="463"/>
      <c r="S532" s="462" t="str">
        <f t="shared" si="111"/>
        <v>正确</v>
      </c>
      <c r="T532" s="462"/>
      <c r="U532" s="462"/>
      <c r="V532" s="462"/>
      <c r="W532" s="462"/>
    </row>
    <row r="533" ht="23.25" customHeight="1" spans="1:23">
      <c r="A533" s="464"/>
      <c r="B533" s="462" t="s">
        <v>1546</v>
      </c>
      <c r="C533" s="463" t="s">
        <v>320</v>
      </c>
      <c r="D533" s="463" t="s">
        <v>147</v>
      </c>
      <c r="E533" s="465">
        <v>6</v>
      </c>
      <c r="F533" s="465">
        <v>6</v>
      </c>
      <c r="G533" s="465">
        <v>6</v>
      </c>
      <c r="H533" s="465">
        <v>2018</v>
      </c>
      <c r="I533" s="465">
        <v>2020</v>
      </c>
      <c r="J533" s="463">
        <f t="shared" si="114"/>
        <v>14.4</v>
      </c>
      <c r="K533" s="463">
        <f t="shared" si="115"/>
        <v>4.8</v>
      </c>
      <c r="L533" s="463">
        <v>4.8</v>
      </c>
      <c r="M533" s="463">
        <v>4.8</v>
      </c>
      <c r="N533" s="463">
        <v>14.4</v>
      </c>
      <c r="O533" s="463"/>
      <c r="P533" s="463"/>
      <c r="Q533" s="463"/>
      <c r="R533" s="463"/>
      <c r="S533" s="462" t="str">
        <f t="shared" si="111"/>
        <v>正确</v>
      </c>
      <c r="T533" s="462"/>
      <c r="U533" s="462"/>
      <c r="V533" s="462"/>
      <c r="W533" s="462"/>
    </row>
    <row r="534" ht="23.25" customHeight="1" spans="1:23">
      <c r="A534" s="464"/>
      <c r="B534" s="462" t="s">
        <v>1547</v>
      </c>
      <c r="C534" s="463" t="s">
        <v>320</v>
      </c>
      <c r="D534" s="463" t="s">
        <v>147</v>
      </c>
      <c r="E534" s="465">
        <v>4</v>
      </c>
      <c r="F534" s="465">
        <v>4</v>
      </c>
      <c r="G534" s="465">
        <v>4</v>
      </c>
      <c r="H534" s="465">
        <v>2018</v>
      </c>
      <c r="I534" s="465">
        <v>2020</v>
      </c>
      <c r="J534" s="463">
        <f t="shared" si="114"/>
        <v>9.6</v>
      </c>
      <c r="K534" s="463">
        <f t="shared" si="115"/>
        <v>3.2</v>
      </c>
      <c r="L534" s="463">
        <v>3.2</v>
      </c>
      <c r="M534" s="463">
        <v>3.2</v>
      </c>
      <c r="N534" s="463">
        <v>9.6</v>
      </c>
      <c r="O534" s="463"/>
      <c r="P534" s="463"/>
      <c r="Q534" s="463"/>
      <c r="R534" s="463"/>
      <c r="S534" s="462" t="str">
        <f t="shared" si="111"/>
        <v>正确</v>
      </c>
      <c r="T534" s="462"/>
      <c r="U534" s="462"/>
      <c r="V534" s="462"/>
      <c r="W534" s="462"/>
    </row>
    <row r="535" ht="23.25" customHeight="1" spans="1:23">
      <c r="A535" s="464"/>
      <c r="B535" s="462" t="s">
        <v>1548</v>
      </c>
      <c r="C535" s="463" t="s">
        <v>320</v>
      </c>
      <c r="D535" s="463" t="s">
        <v>147</v>
      </c>
      <c r="E535" s="465">
        <v>12</v>
      </c>
      <c r="F535" s="465">
        <v>12</v>
      </c>
      <c r="G535" s="465">
        <v>12</v>
      </c>
      <c r="H535" s="465">
        <v>2018</v>
      </c>
      <c r="I535" s="465">
        <v>2020</v>
      </c>
      <c r="J535" s="463">
        <f t="shared" si="114"/>
        <v>28.8</v>
      </c>
      <c r="K535" s="463">
        <f t="shared" si="115"/>
        <v>9.6</v>
      </c>
      <c r="L535" s="463">
        <v>9.6</v>
      </c>
      <c r="M535" s="463">
        <v>9.6</v>
      </c>
      <c r="N535" s="463">
        <v>28.8</v>
      </c>
      <c r="O535" s="463"/>
      <c r="P535" s="463"/>
      <c r="Q535" s="463"/>
      <c r="R535" s="463"/>
      <c r="S535" s="462" t="str">
        <f t="shared" si="111"/>
        <v>正确</v>
      </c>
      <c r="T535" s="462"/>
      <c r="U535" s="462"/>
      <c r="V535" s="462"/>
      <c r="W535" s="462"/>
    </row>
    <row r="536" ht="23.25" customHeight="1" spans="1:23">
      <c r="A536" s="464"/>
      <c r="B536" s="462" t="s">
        <v>1549</v>
      </c>
      <c r="C536" s="463" t="s">
        <v>320</v>
      </c>
      <c r="D536" s="463" t="s">
        <v>147</v>
      </c>
      <c r="E536" s="465">
        <v>3</v>
      </c>
      <c r="F536" s="465">
        <v>3</v>
      </c>
      <c r="G536" s="465">
        <v>3</v>
      </c>
      <c r="H536" s="465">
        <v>2018</v>
      </c>
      <c r="I536" s="465">
        <v>2020</v>
      </c>
      <c r="J536" s="463">
        <f t="shared" si="114"/>
        <v>7.2</v>
      </c>
      <c r="K536" s="463">
        <f t="shared" si="115"/>
        <v>2.4</v>
      </c>
      <c r="L536" s="463">
        <v>2.4</v>
      </c>
      <c r="M536" s="463">
        <v>2.4</v>
      </c>
      <c r="N536" s="463">
        <v>7.2</v>
      </c>
      <c r="O536" s="463"/>
      <c r="P536" s="463"/>
      <c r="Q536" s="463"/>
      <c r="R536" s="463"/>
      <c r="S536" s="462" t="str">
        <f t="shared" si="111"/>
        <v>正确</v>
      </c>
      <c r="T536" s="462"/>
      <c r="U536" s="462"/>
      <c r="V536" s="462"/>
      <c r="W536" s="462"/>
    </row>
    <row r="537" ht="23.25" customHeight="1" spans="1:23">
      <c r="A537" s="464"/>
      <c r="B537" s="462" t="s">
        <v>1550</v>
      </c>
      <c r="C537" s="463" t="s">
        <v>320</v>
      </c>
      <c r="D537" s="463" t="s">
        <v>147</v>
      </c>
      <c r="E537" s="465">
        <v>4</v>
      </c>
      <c r="F537" s="465">
        <v>4</v>
      </c>
      <c r="G537" s="465">
        <v>4</v>
      </c>
      <c r="H537" s="465">
        <v>2018</v>
      </c>
      <c r="I537" s="465">
        <v>2020</v>
      </c>
      <c r="J537" s="463">
        <f t="shared" si="114"/>
        <v>9.6</v>
      </c>
      <c r="K537" s="463">
        <f t="shared" si="115"/>
        <v>3.2</v>
      </c>
      <c r="L537" s="463">
        <v>3.2</v>
      </c>
      <c r="M537" s="463">
        <v>3.2</v>
      </c>
      <c r="N537" s="463">
        <v>9.6</v>
      </c>
      <c r="O537" s="463"/>
      <c r="P537" s="463"/>
      <c r="Q537" s="463"/>
      <c r="R537" s="463"/>
      <c r="S537" s="462" t="str">
        <f t="shared" si="111"/>
        <v>正确</v>
      </c>
      <c r="T537" s="462"/>
      <c r="U537" s="462"/>
      <c r="V537" s="462"/>
      <c r="W537" s="462"/>
    </row>
    <row r="538" ht="23.25" customHeight="1" spans="1:23">
      <c r="A538" s="464"/>
      <c r="B538" s="462" t="s">
        <v>1551</v>
      </c>
      <c r="C538" s="463" t="s">
        <v>320</v>
      </c>
      <c r="D538" s="463" t="s">
        <v>147</v>
      </c>
      <c r="E538" s="465">
        <v>5</v>
      </c>
      <c r="F538" s="465">
        <v>5</v>
      </c>
      <c r="G538" s="465">
        <v>5</v>
      </c>
      <c r="H538" s="465">
        <v>2018</v>
      </c>
      <c r="I538" s="465">
        <v>2020</v>
      </c>
      <c r="J538" s="463">
        <f t="shared" si="114"/>
        <v>12</v>
      </c>
      <c r="K538" s="463">
        <f t="shared" si="115"/>
        <v>4</v>
      </c>
      <c r="L538" s="463">
        <v>4</v>
      </c>
      <c r="M538" s="463">
        <v>4</v>
      </c>
      <c r="N538" s="463">
        <v>12</v>
      </c>
      <c r="O538" s="463"/>
      <c r="P538" s="463"/>
      <c r="Q538" s="463"/>
      <c r="R538" s="463"/>
      <c r="S538" s="462" t="str">
        <f t="shared" si="111"/>
        <v>正确</v>
      </c>
      <c r="T538" s="462"/>
      <c r="U538" s="462"/>
      <c r="V538" s="462"/>
      <c r="W538" s="462"/>
    </row>
    <row r="539" ht="23.25" customHeight="1" spans="1:23">
      <c r="A539" s="464">
        <v>2</v>
      </c>
      <c r="B539" s="485" t="s">
        <v>434</v>
      </c>
      <c r="C539" s="463" t="s">
        <v>320</v>
      </c>
      <c r="D539" s="463" t="s">
        <v>147</v>
      </c>
      <c r="E539" s="465"/>
      <c r="F539" s="465"/>
      <c r="G539" s="465"/>
      <c r="H539" s="465"/>
      <c r="I539" s="465"/>
      <c r="J539" s="463"/>
      <c r="K539" s="463"/>
      <c r="L539" s="463"/>
      <c r="M539" s="463"/>
      <c r="N539" s="463"/>
      <c r="O539" s="463"/>
      <c r="P539" s="463"/>
      <c r="Q539" s="463"/>
      <c r="R539" s="463"/>
      <c r="S539" s="462" t="str">
        <f t="shared" si="111"/>
        <v>正确</v>
      </c>
      <c r="T539" s="462"/>
      <c r="U539" s="462"/>
      <c r="V539" s="462" t="s">
        <v>435</v>
      </c>
      <c r="W539" s="462" t="s">
        <v>41</v>
      </c>
    </row>
    <row r="540" ht="23.25" customHeight="1" spans="1:23">
      <c r="A540" s="464"/>
      <c r="B540" s="462" t="s">
        <v>1540</v>
      </c>
      <c r="C540" s="463" t="s">
        <v>320</v>
      </c>
      <c r="D540" s="463" t="s">
        <v>147</v>
      </c>
      <c r="E540" s="465"/>
      <c r="F540" s="465"/>
      <c r="G540" s="465"/>
      <c r="H540" s="465"/>
      <c r="I540" s="465"/>
      <c r="J540" s="463"/>
      <c r="K540" s="463"/>
      <c r="L540" s="463"/>
      <c r="M540" s="463"/>
      <c r="N540" s="463"/>
      <c r="O540" s="463"/>
      <c r="P540" s="463"/>
      <c r="Q540" s="463"/>
      <c r="R540" s="463"/>
      <c r="S540" s="462" t="str">
        <f t="shared" si="111"/>
        <v>正确</v>
      </c>
      <c r="T540" s="462"/>
      <c r="U540" s="462"/>
      <c r="V540" s="462"/>
      <c r="W540" s="462"/>
    </row>
    <row r="541" ht="23.25" customHeight="1" spans="1:23">
      <c r="A541" s="464"/>
      <c r="B541" s="462" t="s">
        <v>1541</v>
      </c>
      <c r="C541" s="463" t="s">
        <v>320</v>
      </c>
      <c r="D541" s="463" t="s">
        <v>147</v>
      </c>
      <c r="E541" s="465"/>
      <c r="F541" s="465"/>
      <c r="G541" s="465"/>
      <c r="H541" s="465"/>
      <c r="I541" s="465"/>
      <c r="J541" s="463"/>
      <c r="K541" s="463"/>
      <c r="L541" s="463"/>
      <c r="M541" s="463"/>
      <c r="N541" s="463"/>
      <c r="O541" s="463"/>
      <c r="P541" s="463"/>
      <c r="Q541" s="463"/>
      <c r="R541" s="463"/>
      <c r="S541" s="462" t="str">
        <f t="shared" si="111"/>
        <v>正确</v>
      </c>
      <c r="T541" s="462"/>
      <c r="U541" s="462"/>
      <c r="V541" s="462"/>
      <c r="W541" s="462"/>
    </row>
    <row r="542" ht="23.25" customHeight="1" spans="1:23">
      <c r="A542" s="464"/>
      <c r="B542" s="462" t="s">
        <v>1542</v>
      </c>
      <c r="C542" s="463" t="s">
        <v>320</v>
      </c>
      <c r="D542" s="463" t="s">
        <v>147</v>
      </c>
      <c r="E542" s="465"/>
      <c r="F542" s="465"/>
      <c r="G542" s="465"/>
      <c r="H542" s="465"/>
      <c r="I542" s="465"/>
      <c r="J542" s="463"/>
      <c r="K542" s="463"/>
      <c r="L542" s="463"/>
      <c r="M542" s="463"/>
      <c r="N542" s="463"/>
      <c r="O542" s="463"/>
      <c r="P542" s="463"/>
      <c r="Q542" s="463"/>
      <c r="R542" s="463"/>
      <c r="S542" s="462" t="str">
        <f t="shared" si="111"/>
        <v>正确</v>
      </c>
      <c r="T542" s="462"/>
      <c r="U542" s="462"/>
      <c r="V542" s="462"/>
      <c r="W542" s="462"/>
    </row>
    <row r="543" ht="23.25" customHeight="1" spans="1:23">
      <c r="A543" s="464"/>
      <c r="B543" s="462" t="s">
        <v>1543</v>
      </c>
      <c r="C543" s="463" t="s">
        <v>320</v>
      </c>
      <c r="D543" s="463" t="s">
        <v>147</v>
      </c>
      <c r="E543" s="465"/>
      <c r="F543" s="465"/>
      <c r="G543" s="465"/>
      <c r="H543" s="465"/>
      <c r="I543" s="465"/>
      <c r="J543" s="463"/>
      <c r="K543" s="463"/>
      <c r="L543" s="463"/>
      <c r="M543" s="463"/>
      <c r="N543" s="463"/>
      <c r="O543" s="463"/>
      <c r="P543" s="463"/>
      <c r="Q543" s="463"/>
      <c r="R543" s="463"/>
      <c r="S543" s="462" t="str">
        <f t="shared" si="111"/>
        <v>正确</v>
      </c>
      <c r="T543" s="462"/>
      <c r="U543" s="462"/>
      <c r="V543" s="462"/>
      <c r="W543" s="462"/>
    </row>
    <row r="544" ht="23.25" customHeight="1" spans="1:23">
      <c r="A544" s="464"/>
      <c r="B544" s="462" t="s">
        <v>1544</v>
      </c>
      <c r="C544" s="463" t="s">
        <v>320</v>
      </c>
      <c r="D544" s="463" t="s">
        <v>147</v>
      </c>
      <c r="E544" s="465"/>
      <c r="F544" s="465"/>
      <c r="G544" s="465"/>
      <c r="H544" s="465"/>
      <c r="I544" s="465"/>
      <c r="J544" s="463"/>
      <c r="K544" s="463"/>
      <c r="L544" s="463"/>
      <c r="M544" s="463"/>
      <c r="N544" s="463"/>
      <c r="O544" s="463"/>
      <c r="P544" s="463"/>
      <c r="Q544" s="463"/>
      <c r="R544" s="463"/>
      <c r="S544" s="462" t="str">
        <f t="shared" si="111"/>
        <v>正确</v>
      </c>
      <c r="T544" s="462"/>
      <c r="U544" s="462"/>
      <c r="V544" s="462"/>
      <c r="W544" s="462"/>
    </row>
    <row r="545" ht="23.25" customHeight="1" spans="1:23">
      <c r="A545" s="464"/>
      <c r="B545" s="462" t="s">
        <v>1545</v>
      </c>
      <c r="C545" s="463" t="s">
        <v>320</v>
      </c>
      <c r="D545" s="463" t="s">
        <v>147</v>
      </c>
      <c r="E545" s="465"/>
      <c r="F545" s="465"/>
      <c r="G545" s="465"/>
      <c r="H545" s="465"/>
      <c r="I545" s="465"/>
      <c r="J545" s="463"/>
      <c r="K545" s="463"/>
      <c r="L545" s="463"/>
      <c r="M545" s="463"/>
      <c r="N545" s="463"/>
      <c r="O545" s="463"/>
      <c r="P545" s="463"/>
      <c r="Q545" s="463"/>
      <c r="R545" s="463"/>
      <c r="S545" s="462" t="str">
        <f t="shared" si="111"/>
        <v>正确</v>
      </c>
      <c r="T545" s="462"/>
      <c r="U545" s="462"/>
      <c r="V545" s="462"/>
      <c r="W545" s="462"/>
    </row>
    <row r="546" ht="23.25" customHeight="1" spans="1:23">
      <c r="A546" s="464"/>
      <c r="B546" s="462" t="s">
        <v>1546</v>
      </c>
      <c r="C546" s="463" t="s">
        <v>320</v>
      </c>
      <c r="D546" s="463" t="s">
        <v>147</v>
      </c>
      <c r="E546" s="465"/>
      <c r="F546" s="465"/>
      <c r="G546" s="465"/>
      <c r="H546" s="465"/>
      <c r="I546" s="465"/>
      <c r="J546" s="463"/>
      <c r="K546" s="463"/>
      <c r="L546" s="463"/>
      <c r="M546" s="463"/>
      <c r="N546" s="463"/>
      <c r="O546" s="463"/>
      <c r="P546" s="463"/>
      <c r="Q546" s="463"/>
      <c r="R546" s="463"/>
      <c r="S546" s="462" t="str">
        <f t="shared" si="111"/>
        <v>正确</v>
      </c>
      <c r="T546" s="462"/>
      <c r="U546" s="462"/>
      <c r="V546" s="462"/>
      <c r="W546" s="462"/>
    </row>
    <row r="547" ht="23.25" customHeight="1" spans="1:23">
      <c r="A547" s="464"/>
      <c r="B547" s="462" t="s">
        <v>1547</v>
      </c>
      <c r="C547" s="463" t="s">
        <v>320</v>
      </c>
      <c r="D547" s="463" t="s">
        <v>147</v>
      </c>
      <c r="E547" s="465"/>
      <c r="F547" s="465"/>
      <c r="G547" s="465"/>
      <c r="H547" s="465"/>
      <c r="I547" s="465"/>
      <c r="J547" s="463"/>
      <c r="K547" s="463"/>
      <c r="L547" s="463"/>
      <c r="M547" s="463"/>
      <c r="N547" s="463"/>
      <c r="O547" s="463"/>
      <c r="P547" s="463"/>
      <c r="Q547" s="463"/>
      <c r="R547" s="463"/>
      <c r="S547" s="462" t="str">
        <f t="shared" si="111"/>
        <v>正确</v>
      </c>
      <c r="T547" s="462"/>
      <c r="U547" s="462"/>
      <c r="V547" s="462"/>
      <c r="W547" s="462"/>
    </row>
    <row r="548" ht="23.25" customHeight="1" spans="1:23">
      <c r="A548" s="464"/>
      <c r="B548" s="462" t="s">
        <v>1548</v>
      </c>
      <c r="C548" s="463" t="s">
        <v>320</v>
      </c>
      <c r="D548" s="463" t="s">
        <v>147</v>
      </c>
      <c r="E548" s="465"/>
      <c r="F548" s="465"/>
      <c r="G548" s="465"/>
      <c r="H548" s="465"/>
      <c r="I548" s="465"/>
      <c r="J548" s="463"/>
      <c r="K548" s="463"/>
      <c r="L548" s="463"/>
      <c r="M548" s="463"/>
      <c r="N548" s="463"/>
      <c r="O548" s="463"/>
      <c r="P548" s="463"/>
      <c r="Q548" s="463"/>
      <c r="R548" s="463"/>
      <c r="S548" s="462" t="str">
        <f t="shared" si="111"/>
        <v>正确</v>
      </c>
      <c r="T548" s="462"/>
      <c r="U548" s="462"/>
      <c r="V548" s="462"/>
      <c r="W548" s="462"/>
    </row>
    <row r="549" ht="23.25" customHeight="1" spans="1:23">
      <c r="A549" s="464"/>
      <c r="B549" s="462" t="s">
        <v>1549</v>
      </c>
      <c r="C549" s="463" t="s">
        <v>320</v>
      </c>
      <c r="D549" s="463" t="s">
        <v>147</v>
      </c>
      <c r="E549" s="465"/>
      <c r="F549" s="465"/>
      <c r="G549" s="465"/>
      <c r="H549" s="465"/>
      <c r="I549" s="465"/>
      <c r="J549" s="463"/>
      <c r="K549" s="463"/>
      <c r="L549" s="463"/>
      <c r="M549" s="463"/>
      <c r="N549" s="463"/>
      <c r="O549" s="463"/>
      <c r="P549" s="463"/>
      <c r="Q549" s="463"/>
      <c r="R549" s="463"/>
      <c r="S549" s="462" t="str">
        <f t="shared" si="111"/>
        <v>正确</v>
      </c>
      <c r="T549" s="462"/>
      <c r="U549" s="462"/>
      <c r="V549" s="462"/>
      <c r="W549" s="462"/>
    </row>
    <row r="550" ht="23.25" customHeight="1" spans="1:23">
      <c r="A550" s="464"/>
      <c r="B550" s="462" t="s">
        <v>1550</v>
      </c>
      <c r="C550" s="463" t="s">
        <v>320</v>
      </c>
      <c r="D550" s="463" t="s">
        <v>147</v>
      </c>
      <c r="E550" s="465"/>
      <c r="F550" s="465"/>
      <c r="G550" s="465"/>
      <c r="H550" s="465"/>
      <c r="I550" s="465"/>
      <c r="J550" s="463"/>
      <c r="K550" s="463"/>
      <c r="L550" s="463"/>
      <c r="M550" s="463"/>
      <c r="N550" s="463"/>
      <c r="O550" s="463"/>
      <c r="P550" s="463"/>
      <c r="Q550" s="463"/>
      <c r="R550" s="463"/>
      <c r="S550" s="462" t="str">
        <f t="shared" si="111"/>
        <v>正确</v>
      </c>
      <c r="T550" s="462"/>
      <c r="U550" s="462"/>
      <c r="V550" s="462"/>
      <c r="W550" s="462"/>
    </row>
    <row r="551" ht="23.25" customHeight="1" spans="1:23">
      <c r="A551" s="464"/>
      <c r="B551" s="462" t="s">
        <v>1551</v>
      </c>
      <c r="C551" s="463" t="s">
        <v>320</v>
      </c>
      <c r="D551" s="463" t="s">
        <v>147</v>
      </c>
      <c r="E551" s="465"/>
      <c r="F551" s="465"/>
      <c r="G551" s="465"/>
      <c r="H551" s="465"/>
      <c r="I551" s="465"/>
      <c r="J551" s="463"/>
      <c r="K551" s="463"/>
      <c r="L551" s="463"/>
      <c r="M551" s="463"/>
      <c r="N551" s="463"/>
      <c r="O551" s="463"/>
      <c r="P551" s="463"/>
      <c r="Q551" s="463"/>
      <c r="R551" s="463"/>
      <c r="S551" s="462" t="str">
        <f t="shared" si="111"/>
        <v>正确</v>
      </c>
      <c r="T551" s="462"/>
      <c r="U551" s="462"/>
      <c r="V551" s="462"/>
      <c r="W551" s="462"/>
    </row>
    <row r="552" ht="30" customHeight="1" spans="1:23">
      <c r="A552" s="464">
        <v>2</v>
      </c>
      <c r="B552" s="462" t="s">
        <v>436</v>
      </c>
      <c r="C552" s="463" t="s">
        <v>52</v>
      </c>
      <c r="D552" s="463" t="s">
        <v>150</v>
      </c>
      <c r="E552" s="465"/>
      <c r="F552" s="465"/>
      <c r="G552" s="465"/>
      <c r="H552" s="465"/>
      <c r="I552" s="465"/>
      <c r="J552" s="463"/>
      <c r="K552" s="463"/>
      <c r="L552" s="463"/>
      <c r="M552" s="463"/>
      <c r="N552" s="463"/>
      <c r="O552" s="463"/>
      <c r="P552" s="463"/>
      <c r="Q552" s="463"/>
      <c r="R552" s="463"/>
      <c r="S552" s="462" t="str">
        <f t="shared" si="111"/>
        <v>正确</v>
      </c>
      <c r="T552" s="462"/>
      <c r="U552" s="462"/>
      <c r="V552" s="462" t="s">
        <v>417</v>
      </c>
      <c r="W552" s="462" t="s">
        <v>41</v>
      </c>
    </row>
    <row r="553" ht="23.25" customHeight="1" spans="1:23">
      <c r="A553" s="464"/>
      <c r="B553" s="462" t="s">
        <v>1540</v>
      </c>
      <c r="C553" s="463" t="s">
        <v>320</v>
      </c>
      <c r="D553" s="463" t="s">
        <v>150</v>
      </c>
      <c r="E553" s="465"/>
      <c r="F553" s="465"/>
      <c r="G553" s="465"/>
      <c r="H553" s="465"/>
      <c r="I553" s="465"/>
      <c r="J553" s="463"/>
      <c r="K553" s="463"/>
      <c r="L553" s="463"/>
      <c r="M553" s="463"/>
      <c r="N553" s="484"/>
      <c r="O553" s="484"/>
      <c r="P553" s="484"/>
      <c r="Q553" s="484"/>
      <c r="R553" s="484"/>
      <c r="S553" s="462" t="str">
        <f t="shared" si="111"/>
        <v>正确</v>
      </c>
      <c r="T553" s="462"/>
      <c r="U553" s="462"/>
      <c r="V553" s="462"/>
      <c r="W553" s="462"/>
    </row>
    <row r="554" ht="23.25" customHeight="1" spans="1:23">
      <c r="A554" s="464"/>
      <c r="B554" s="462" t="s">
        <v>1541</v>
      </c>
      <c r="C554" s="463" t="s">
        <v>320</v>
      </c>
      <c r="D554" s="463" t="s">
        <v>150</v>
      </c>
      <c r="E554" s="465"/>
      <c r="F554" s="465"/>
      <c r="G554" s="465"/>
      <c r="H554" s="465"/>
      <c r="I554" s="465"/>
      <c r="J554" s="463"/>
      <c r="K554" s="463"/>
      <c r="L554" s="463"/>
      <c r="M554" s="463"/>
      <c r="N554" s="484"/>
      <c r="O554" s="484"/>
      <c r="P554" s="484"/>
      <c r="Q554" s="484"/>
      <c r="R554" s="484"/>
      <c r="S554" s="462" t="str">
        <f t="shared" si="111"/>
        <v>正确</v>
      </c>
      <c r="T554" s="462"/>
      <c r="U554" s="462"/>
      <c r="V554" s="462"/>
      <c r="W554" s="462"/>
    </row>
    <row r="555" ht="23.25" customHeight="1" spans="1:23">
      <c r="A555" s="464"/>
      <c r="B555" s="462" t="s">
        <v>1542</v>
      </c>
      <c r="C555" s="463" t="s">
        <v>320</v>
      </c>
      <c r="D555" s="463" t="s">
        <v>150</v>
      </c>
      <c r="E555" s="465"/>
      <c r="F555" s="465"/>
      <c r="G555" s="465"/>
      <c r="H555" s="465"/>
      <c r="I555" s="465"/>
      <c r="J555" s="463"/>
      <c r="K555" s="463"/>
      <c r="L555" s="463"/>
      <c r="M555" s="463"/>
      <c r="N555" s="484"/>
      <c r="O555" s="484"/>
      <c r="P555" s="484"/>
      <c r="Q555" s="484"/>
      <c r="R555" s="484"/>
      <c r="S555" s="462" t="str">
        <f t="shared" si="111"/>
        <v>正确</v>
      </c>
      <c r="T555" s="462"/>
      <c r="U555" s="462"/>
      <c r="V555" s="462"/>
      <c r="W555" s="462"/>
    </row>
    <row r="556" ht="23.25" customHeight="1" spans="1:23">
      <c r="A556" s="464"/>
      <c r="B556" s="462" t="s">
        <v>1543</v>
      </c>
      <c r="C556" s="463" t="s">
        <v>320</v>
      </c>
      <c r="D556" s="463" t="s">
        <v>150</v>
      </c>
      <c r="E556" s="465"/>
      <c r="F556" s="465"/>
      <c r="G556" s="465"/>
      <c r="H556" s="465"/>
      <c r="I556" s="465"/>
      <c r="J556" s="463"/>
      <c r="K556" s="463"/>
      <c r="L556" s="463"/>
      <c r="M556" s="463"/>
      <c r="N556" s="484"/>
      <c r="O556" s="484"/>
      <c r="P556" s="484"/>
      <c r="Q556" s="484"/>
      <c r="R556" s="484"/>
      <c r="S556" s="462" t="str">
        <f t="shared" si="111"/>
        <v>正确</v>
      </c>
      <c r="T556" s="462"/>
      <c r="U556" s="462"/>
      <c r="V556" s="462"/>
      <c r="W556" s="462"/>
    </row>
    <row r="557" ht="23.25" customHeight="1" spans="1:23">
      <c r="A557" s="464"/>
      <c r="B557" s="462" t="s">
        <v>1544</v>
      </c>
      <c r="C557" s="463" t="s">
        <v>320</v>
      </c>
      <c r="D557" s="463" t="s">
        <v>150</v>
      </c>
      <c r="E557" s="465"/>
      <c r="F557" s="465"/>
      <c r="G557" s="465"/>
      <c r="H557" s="465"/>
      <c r="I557" s="465"/>
      <c r="J557" s="463"/>
      <c r="K557" s="463"/>
      <c r="L557" s="463"/>
      <c r="M557" s="463"/>
      <c r="N557" s="484"/>
      <c r="O557" s="484"/>
      <c r="P557" s="484"/>
      <c r="Q557" s="484"/>
      <c r="R557" s="484"/>
      <c r="S557" s="462" t="str">
        <f t="shared" si="111"/>
        <v>正确</v>
      </c>
      <c r="T557" s="462"/>
      <c r="U557" s="462"/>
      <c r="V557" s="462"/>
      <c r="W557" s="462"/>
    </row>
    <row r="558" ht="23.25" customHeight="1" spans="1:23">
      <c r="A558" s="464"/>
      <c r="B558" s="462" t="s">
        <v>1545</v>
      </c>
      <c r="C558" s="463" t="s">
        <v>320</v>
      </c>
      <c r="D558" s="463" t="s">
        <v>150</v>
      </c>
      <c r="E558" s="465"/>
      <c r="F558" s="465"/>
      <c r="G558" s="465"/>
      <c r="H558" s="465"/>
      <c r="I558" s="465"/>
      <c r="J558" s="463"/>
      <c r="K558" s="463"/>
      <c r="L558" s="463"/>
      <c r="M558" s="463"/>
      <c r="N558" s="484"/>
      <c r="O558" s="484"/>
      <c r="P558" s="484"/>
      <c r="Q558" s="484"/>
      <c r="R558" s="484"/>
      <c r="S558" s="462" t="str">
        <f t="shared" si="111"/>
        <v>正确</v>
      </c>
      <c r="T558" s="462"/>
      <c r="U558" s="462"/>
      <c r="V558" s="462"/>
      <c r="W558" s="462"/>
    </row>
    <row r="559" ht="23.25" customHeight="1" spans="1:23">
      <c r="A559" s="464"/>
      <c r="B559" s="462" t="s">
        <v>1546</v>
      </c>
      <c r="C559" s="463" t="s">
        <v>320</v>
      </c>
      <c r="D559" s="463" t="s">
        <v>150</v>
      </c>
      <c r="E559" s="465"/>
      <c r="F559" s="465"/>
      <c r="G559" s="465"/>
      <c r="H559" s="465"/>
      <c r="I559" s="465"/>
      <c r="J559" s="463"/>
      <c r="K559" s="463"/>
      <c r="L559" s="463"/>
      <c r="M559" s="463"/>
      <c r="N559" s="484"/>
      <c r="O559" s="484"/>
      <c r="P559" s="484"/>
      <c r="Q559" s="484"/>
      <c r="R559" s="484"/>
      <c r="S559" s="462" t="str">
        <f t="shared" si="111"/>
        <v>正确</v>
      </c>
      <c r="T559" s="462"/>
      <c r="U559" s="462"/>
      <c r="V559" s="462"/>
      <c r="W559" s="462"/>
    </row>
    <row r="560" ht="23.25" customHeight="1" spans="1:23">
      <c r="A560" s="464"/>
      <c r="B560" s="462" t="s">
        <v>1547</v>
      </c>
      <c r="C560" s="463" t="s">
        <v>320</v>
      </c>
      <c r="D560" s="463" t="s">
        <v>150</v>
      </c>
      <c r="E560" s="465"/>
      <c r="F560" s="465"/>
      <c r="G560" s="465"/>
      <c r="H560" s="465"/>
      <c r="I560" s="465"/>
      <c r="J560" s="463"/>
      <c r="K560" s="463"/>
      <c r="L560" s="463"/>
      <c r="M560" s="463"/>
      <c r="N560" s="484"/>
      <c r="O560" s="484"/>
      <c r="P560" s="484"/>
      <c r="Q560" s="484"/>
      <c r="R560" s="484"/>
      <c r="S560" s="462" t="str">
        <f t="shared" si="111"/>
        <v>正确</v>
      </c>
      <c r="T560" s="462"/>
      <c r="U560" s="462"/>
      <c r="V560" s="462"/>
      <c r="W560" s="462"/>
    </row>
    <row r="561" ht="23.25" customHeight="1" spans="1:23">
      <c r="A561" s="464"/>
      <c r="B561" s="462" t="s">
        <v>1548</v>
      </c>
      <c r="C561" s="463" t="s">
        <v>320</v>
      </c>
      <c r="D561" s="463" t="s">
        <v>150</v>
      </c>
      <c r="E561" s="465"/>
      <c r="F561" s="465"/>
      <c r="G561" s="465"/>
      <c r="H561" s="465"/>
      <c r="I561" s="465"/>
      <c r="J561" s="463"/>
      <c r="K561" s="463"/>
      <c r="L561" s="463"/>
      <c r="M561" s="463"/>
      <c r="N561" s="484"/>
      <c r="O561" s="484"/>
      <c r="P561" s="484"/>
      <c r="Q561" s="484"/>
      <c r="R561" s="484"/>
      <c r="S561" s="462" t="str">
        <f t="shared" si="111"/>
        <v>正确</v>
      </c>
      <c r="T561" s="462"/>
      <c r="U561" s="462"/>
      <c r="V561" s="462"/>
      <c r="W561" s="462"/>
    </row>
    <row r="562" ht="23.25" customHeight="1" spans="1:23">
      <c r="A562" s="464"/>
      <c r="B562" s="462" t="s">
        <v>1549</v>
      </c>
      <c r="C562" s="463" t="s">
        <v>320</v>
      </c>
      <c r="D562" s="463" t="s">
        <v>150</v>
      </c>
      <c r="E562" s="465"/>
      <c r="F562" s="465"/>
      <c r="G562" s="465"/>
      <c r="H562" s="465"/>
      <c r="I562" s="465"/>
      <c r="J562" s="463"/>
      <c r="K562" s="463"/>
      <c r="L562" s="463"/>
      <c r="M562" s="463"/>
      <c r="N562" s="484"/>
      <c r="O562" s="484"/>
      <c r="P562" s="484"/>
      <c r="Q562" s="484"/>
      <c r="R562" s="484"/>
      <c r="S562" s="462" t="str">
        <f t="shared" si="111"/>
        <v>正确</v>
      </c>
      <c r="T562" s="462"/>
      <c r="U562" s="462"/>
      <c r="V562" s="462"/>
      <c r="W562" s="462"/>
    </row>
    <row r="563" ht="23.25" customHeight="1" spans="1:23">
      <c r="A563" s="464"/>
      <c r="B563" s="462" t="s">
        <v>1550</v>
      </c>
      <c r="C563" s="463" t="s">
        <v>320</v>
      </c>
      <c r="D563" s="463" t="s">
        <v>150</v>
      </c>
      <c r="E563" s="465"/>
      <c r="F563" s="465"/>
      <c r="G563" s="465"/>
      <c r="H563" s="465"/>
      <c r="I563" s="465"/>
      <c r="J563" s="463"/>
      <c r="K563" s="463"/>
      <c r="L563" s="463"/>
      <c r="M563" s="463"/>
      <c r="N563" s="484"/>
      <c r="O563" s="484"/>
      <c r="P563" s="484"/>
      <c r="Q563" s="484"/>
      <c r="R563" s="484"/>
      <c r="S563" s="462" t="str">
        <f t="shared" si="111"/>
        <v>正确</v>
      </c>
      <c r="T563" s="462"/>
      <c r="U563" s="462"/>
      <c r="V563" s="462"/>
      <c r="W563" s="462"/>
    </row>
    <row r="564" ht="23.25" customHeight="1" spans="1:23">
      <c r="A564" s="464"/>
      <c r="B564" s="462" t="s">
        <v>1551</v>
      </c>
      <c r="C564" s="463" t="s">
        <v>320</v>
      </c>
      <c r="D564" s="463" t="s">
        <v>150</v>
      </c>
      <c r="E564" s="465"/>
      <c r="F564" s="465"/>
      <c r="G564" s="465"/>
      <c r="H564" s="465"/>
      <c r="I564" s="465"/>
      <c r="J564" s="463"/>
      <c r="K564" s="463"/>
      <c r="L564" s="463"/>
      <c r="M564" s="463"/>
      <c r="N564" s="484"/>
      <c r="O564" s="484"/>
      <c r="P564" s="484"/>
      <c r="Q564" s="484"/>
      <c r="R564" s="484"/>
      <c r="S564" s="462" t="str">
        <f t="shared" si="111"/>
        <v>正确</v>
      </c>
      <c r="T564" s="462"/>
      <c r="U564" s="462"/>
      <c r="V564" s="462"/>
      <c r="W564" s="462"/>
    </row>
    <row r="565" s="447" customFormat="1" ht="23.25" customHeight="1" spans="1:26">
      <c r="A565" s="464">
        <v>1</v>
      </c>
      <c r="B565" s="462" t="s">
        <v>924</v>
      </c>
      <c r="C565" s="463" t="s">
        <v>320</v>
      </c>
      <c r="D565" s="463" t="s">
        <v>320</v>
      </c>
      <c r="E565" s="465">
        <f t="shared" ref="E565:G565" si="116">E566+E579+E606+E619</f>
        <v>463</v>
      </c>
      <c r="F565" s="465">
        <f t="shared" si="116"/>
        <v>238</v>
      </c>
      <c r="G565" s="465">
        <f t="shared" si="116"/>
        <v>410</v>
      </c>
      <c r="H565" s="465">
        <v>2018</v>
      </c>
      <c r="I565" s="465">
        <v>2020</v>
      </c>
      <c r="J565" s="463">
        <f t="shared" ref="J565:R565" si="117">J566+J579+J606+J619</f>
        <v>519.7</v>
      </c>
      <c r="K565" s="463">
        <f t="shared" si="117"/>
        <v>169.3</v>
      </c>
      <c r="L565" s="463">
        <f t="shared" si="117"/>
        <v>175.2</v>
      </c>
      <c r="M565" s="463">
        <f t="shared" si="117"/>
        <v>175.2</v>
      </c>
      <c r="N565" s="463">
        <f t="shared" si="117"/>
        <v>519.7</v>
      </c>
      <c r="O565" s="463">
        <f t="shared" si="117"/>
        <v>0</v>
      </c>
      <c r="P565" s="463">
        <f t="shared" si="117"/>
        <v>0</v>
      </c>
      <c r="Q565" s="463">
        <f t="shared" si="117"/>
        <v>0</v>
      </c>
      <c r="R565" s="463">
        <f t="shared" si="117"/>
        <v>0</v>
      </c>
      <c r="S565" s="462" t="str">
        <f t="shared" si="111"/>
        <v>正确</v>
      </c>
      <c r="T565" s="462"/>
      <c r="U565" s="462"/>
      <c r="V565" s="462" t="s">
        <v>320</v>
      </c>
      <c r="W565" s="462" t="s">
        <v>41</v>
      </c>
      <c r="X565" s="480"/>
      <c r="Y565" s="480"/>
      <c r="Z565" s="480"/>
    </row>
    <row r="566" s="447" customFormat="1" ht="38.1" customHeight="1" spans="1:26">
      <c r="A566" s="464">
        <v>2</v>
      </c>
      <c r="B566" s="462" t="s">
        <v>443</v>
      </c>
      <c r="C566" s="463" t="s">
        <v>320</v>
      </c>
      <c r="D566" s="463" t="s">
        <v>384</v>
      </c>
      <c r="E566" s="465">
        <f t="shared" ref="E566:G566" si="118">SUM(E567:E578)</f>
        <v>111</v>
      </c>
      <c r="F566" s="465">
        <f t="shared" si="118"/>
        <v>111</v>
      </c>
      <c r="G566" s="465">
        <f t="shared" si="118"/>
        <v>266</v>
      </c>
      <c r="H566" s="465">
        <v>2018</v>
      </c>
      <c r="I566" s="465">
        <v>2020</v>
      </c>
      <c r="J566" s="463">
        <v>223.3</v>
      </c>
      <c r="K566" s="463">
        <v>70.5</v>
      </c>
      <c r="L566" s="463">
        <v>76.4</v>
      </c>
      <c r="M566" s="463">
        <v>76.4</v>
      </c>
      <c r="N566" s="463">
        <v>223.3</v>
      </c>
      <c r="O566" s="463"/>
      <c r="P566" s="463"/>
      <c r="Q566" s="463"/>
      <c r="R566" s="463"/>
      <c r="S566" s="462" t="str">
        <f t="shared" si="111"/>
        <v>正确</v>
      </c>
      <c r="T566" s="462" t="s">
        <v>1559</v>
      </c>
      <c r="U566" s="462" t="s">
        <v>1563</v>
      </c>
      <c r="V566" s="462" t="s">
        <v>338</v>
      </c>
      <c r="W566" s="462" t="s">
        <v>41</v>
      </c>
      <c r="X566" s="480"/>
      <c r="Y566" s="480"/>
      <c r="Z566" s="480"/>
    </row>
    <row r="567" s="447" customFormat="1" ht="23.25" customHeight="1" spans="1:26">
      <c r="A567" s="464"/>
      <c r="B567" s="462" t="s">
        <v>1540</v>
      </c>
      <c r="C567" s="463" t="s">
        <v>320</v>
      </c>
      <c r="D567" s="463" t="s">
        <v>384</v>
      </c>
      <c r="E567" s="150">
        <v>9</v>
      </c>
      <c r="F567" s="150">
        <v>9</v>
      </c>
      <c r="G567" s="150">
        <v>30</v>
      </c>
      <c r="H567" s="465">
        <v>2018</v>
      </c>
      <c r="I567" s="465">
        <v>2020</v>
      </c>
      <c r="J567" s="463">
        <f t="shared" ref="J567:J578" si="119">K567+L567+M567</f>
        <v>24.6616</v>
      </c>
      <c r="K567" s="463">
        <v>7.8392</v>
      </c>
      <c r="L567" s="463">
        <v>8.4112</v>
      </c>
      <c r="M567" s="463">
        <v>8.4112</v>
      </c>
      <c r="N567" s="484">
        <f t="shared" ref="N567:N578" si="120">J567</f>
        <v>24.6616</v>
      </c>
      <c r="O567" s="484"/>
      <c r="P567" s="484"/>
      <c r="Q567" s="484"/>
      <c r="R567" s="484"/>
      <c r="S567" s="462" t="str">
        <f t="shared" si="111"/>
        <v>正确</v>
      </c>
      <c r="T567" s="462"/>
      <c r="U567" s="462"/>
      <c r="V567" s="462"/>
      <c r="W567" s="462"/>
      <c r="X567" s="480"/>
      <c r="Y567" s="480"/>
      <c r="Z567" s="480"/>
    </row>
    <row r="568" s="447" customFormat="1" ht="23.25" customHeight="1" spans="1:26">
      <c r="A568" s="464"/>
      <c r="B568" s="462" t="s">
        <v>1541</v>
      </c>
      <c r="C568" s="463" t="s">
        <v>320</v>
      </c>
      <c r="D568" s="463" t="s">
        <v>384</v>
      </c>
      <c r="E568" s="150">
        <v>13</v>
      </c>
      <c r="F568" s="150">
        <v>13</v>
      </c>
      <c r="G568" s="150">
        <v>32</v>
      </c>
      <c r="H568" s="465">
        <v>2018</v>
      </c>
      <c r="I568" s="465">
        <v>2020</v>
      </c>
      <c r="J568" s="463">
        <f t="shared" si="119"/>
        <v>27.363</v>
      </c>
      <c r="K568" s="463">
        <v>8.831</v>
      </c>
      <c r="L568" s="463">
        <v>9.266</v>
      </c>
      <c r="M568" s="463">
        <v>9.266</v>
      </c>
      <c r="N568" s="484">
        <f t="shared" si="120"/>
        <v>27.363</v>
      </c>
      <c r="O568" s="484"/>
      <c r="P568" s="484"/>
      <c r="Q568" s="484"/>
      <c r="R568" s="484"/>
      <c r="S568" s="462" t="str">
        <f t="shared" si="111"/>
        <v>正确</v>
      </c>
      <c r="T568" s="462"/>
      <c r="U568" s="462"/>
      <c r="V568" s="462"/>
      <c r="W568" s="462"/>
      <c r="X568" s="480"/>
      <c r="Y568" s="480"/>
      <c r="Z568" s="480"/>
    </row>
    <row r="569" s="447" customFormat="1" ht="23.25" customHeight="1" spans="1:26">
      <c r="A569" s="464"/>
      <c r="B569" s="462" t="s">
        <v>1542</v>
      </c>
      <c r="C569" s="463" t="s">
        <v>320</v>
      </c>
      <c r="D569" s="463" t="s">
        <v>384</v>
      </c>
      <c r="E569" s="150">
        <v>7</v>
      </c>
      <c r="F569" s="150">
        <v>7</v>
      </c>
      <c r="G569" s="150">
        <v>20</v>
      </c>
      <c r="H569" s="465">
        <v>2018</v>
      </c>
      <c r="I569" s="465">
        <v>2020</v>
      </c>
      <c r="J569" s="463">
        <f t="shared" si="119"/>
        <v>8.5036</v>
      </c>
      <c r="K569" s="463">
        <v>2.6532</v>
      </c>
      <c r="L569" s="463">
        <v>2.9252</v>
      </c>
      <c r="M569" s="463">
        <v>2.9252</v>
      </c>
      <c r="N569" s="484">
        <f t="shared" si="120"/>
        <v>8.5036</v>
      </c>
      <c r="O569" s="484"/>
      <c r="P569" s="484"/>
      <c r="Q569" s="484"/>
      <c r="R569" s="484"/>
      <c r="S569" s="462" t="str">
        <f t="shared" si="111"/>
        <v>正确</v>
      </c>
      <c r="T569" s="462"/>
      <c r="U569" s="462"/>
      <c r="V569" s="462"/>
      <c r="W569" s="462"/>
      <c r="X569" s="480"/>
      <c r="Y569" s="480"/>
      <c r="Z569" s="480"/>
    </row>
    <row r="570" s="447" customFormat="1" ht="23.25" customHeight="1" spans="1:26">
      <c r="A570" s="464"/>
      <c r="B570" s="462" t="s">
        <v>1543</v>
      </c>
      <c r="C570" s="463" t="s">
        <v>320</v>
      </c>
      <c r="D570" s="463" t="s">
        <v>384</v>
      </c>
      <c r="E570" s="150">
        <v>6</v>
      </c>
      <c r="F570" s="150">
        <v>6</v>
      </c>
      <c r="G570" s="150">
        <v>13</v>
      </c>
      <c r="H570" s="465">
        <v>2018</v>
      </c>
      <c r="I570" s="465">
        <v>2020</v>
      </c>
      <c r="J570" s="463">
        <f t="shared" si="119"/>
        <v>18.28297</v>
      </c>
      <c r="K570" s="463">
        <v>5.80757</v>
      </c>
      <c r="L570" s="463">
        <v>6.2377</v>
      </c>
      <c r="M570" s="463">
        <v>6.2377</v>
      </c>
      <c r="N570" s="484">
        <f t="shared" si="120"/>
        <v>18.28297</v>
      </c>
      <c r="O570" s="484"/>
      <c r="P570" s="484"/>
      <c r="Q570" s="484"/>
      <c r="R570" s="484"/>
      <c r="S570" s="462" t="str">
        <f t="shared" si="111"/>
        <v>正确</v>
      </c>
      <c r="T570" s="462"/>
      <c r="U570" s="462"/>
      <c r="V570" s="462"/>
      <c r="W570" s="462"/>
      <c r="X570" s="480"/>
      <c r="Y570" s="480"/>
      <c r="Z570" s="480"/>
    </row>
    <row r="571" s="447" customFormat="1" ht="23.25" customHeight="1" spans="1:26">
      <c r="A571" s="464"/>
      <c r="B571" s="462" t="s">
        <v>1544</v>
      </c>
      <c r="C571" s="463" t="s">
        <v>320</v>
      </c>
      <c r="D571" s="463" t="s">
        <v>384</v>
      </c>
      <c r="E571" s="150">
        <v>10</v>
      </c>
      <c r="F571" s="150">
        <v>10</v>
      </c>
      <c r="G571" s="150">
        <v>22</v>
      </c>
      <c r="H571" s="465">
        <v>2018</v>
      </c>
      <c r="I571" s="465">
        <v>2020</v>
      </c>
      <c r="J571" s="463">
        <f t="shared" si="119"/>
        <v>20.9016</v>
      </c>
      <c r="K571" s="463">
        <v>6.4912</v>
      </c>
      <c r="L571" s="463">
        <v>7.2052</v>
      </c>
      <c r="M571" s="463">
        <v>7.2052</v>
      </c>
      <c r="N571" s="484">
        <f t="shared" si="120"/>
        <v>20.9016</v>
      </c>
      <c r="O571" s="484"/>
      <c r="P571" s="484"/>
      <c r="Q571" s="484"/>
      <c r="R571" s="484"/>
      <c r="S571" s="462" t="str">
        <f t="shared" si="111"/>
        <v>正确</v>
      </c>
      <c r="T571" s="462"/>
      <c r="U571" s="462"/>
      <c r="V571" s="462"/>
      <c r="W571" s="462"/>
      <c r="X571" s="480"/>
      <c r="Y571" s="480"/>
      <c r="Z571" s="480"/>
    </row>
    <row r="572" s="447" customFormat="1" ht="23.25" customHeight="1" spans="1:26">
      <c r="A572" s="464"/>
      <c r="B572" s="462" t="s">
        <v>1545</v>
      </c>
      <c r="C572" s="463" t="s">
        <v>320</v>
      </c>
      <c r="D572" s="463" t="s">
        <v>384</v>
      </c>
      <c r="E572" s="465">
        <v>16</v>
      </c>
      <c r="F572" s="465">
        <v>16</v>
      </c>
      <c r="G572" s="465">
        <v>39</v>
      </c>
      <c r="H572" s="465">
        <v>2018</v>
      </c>
      <c r="I572" s="465">
        <v>2020</v>
      </c>
      <c r="J572" s="463">
        <f t="shared" si="119"/>
        <v>27.0862</v>
      </c>
      <c r="K572" s="463">
        <v>8.4294</v>
      </c>
      <c r="L572" s="463">
        <v>9.3284</v>
      </c>
      <c r="M572" s="463">
        <v>9.3284</v>
      </c>
      <c r="N572" s="484">
        <f t="shared" si="120"/>
        <v>27.0862</v>
      </c>
      <c r="O572" s="484"/>
      <c r="P572" s="484"/>
      <c r="Q572" s="484"/>
      <c r="R572" s="484"/>
      <c r="S572" s="462" t="str">
        <f t="shared" si="111"/>
        <v>正确</v>
      </c>
      <c r="T572" s="462"/>
      <c r="U572" s="462"/>
      <c r="V572" s="462"/>
      <c r="W572" s="462"/>
      <c r="X572" s="480"/>
      <c r="Y572" s="480"/>
      <c r="Z572" s="480"/>
    </row>
    <row r="573" s="447" customFormat="1" ht="23.25" customHeight="1" spans="1:26">
      <c r="A573" s="464"/>
      <c r="B573" s="462" t="s">
        <v>1546</v>
      </c>
      <c r="C573" s="463" t="s">
        <v>320</v>
      </c>
      <c r="D573" s="463" t="s">
        <v>384</v>
      </c>
      <c r="E573" s="150">
        <v>8</v>
      </c>
      <c r="F573" s="150">
        <v>8</v>
      </c>
      <c r="G573" s="150">
        <v>21</v>
      </c>
      <c r="H573" s="465">
        <v>2018</v>
      </c>
      <c r="I573" s="465">
        <v>2020</v>
      </c>
      <c r="J573" s="463">
        <f t="shared" si="119"/>
        <v>28.4636</v>
      </c>
      <c r="K573" s="463">
        <v>8.8186</v>
      </c>
      <c r="L573" s="463">
        <v>9.8225</v>
      </c>
      <c r="M573" s="463">
        <v>9.8225</v>
      </c>
      <c r="N573" s="484">
        <f t="shared" si="120"/>
        <v>28.4636</v>
      </c>
      <c r="O573" s="484"/>
      <c r="P573" s="484"/>
      <c r="Q573" s="484"/>
      <c r="R573" s="484"/>
      <c r="S573" s="462" t="str">
        <f t="shared" si="111"/>
        <v>正确</v>
      </c>
      <c r="T573" s="462"/>
      <c r="U573" s="462"/>
      <c r="V573" s="462"/>
      <c r="W573" s="462"/>
      <c r="X573" s="480"/>
      <c r="Y573" s="480"/>
      <c r="Z573" s="480"/>
    </row>
    <row r="574" s="447" customFormat="1" ht="23.25" customHeight="1" spans="1:26">
      <c r="A574" s="464"/>
      <c r="B574" s="462" t="s">
        <v>1547</v>
      </c>
      <c r="C574" s="463" t="s">
        <v>320</v>
      </c>
      <c r="D574" s="463" t="s">
        <v>384</v>
      </c>
      <c r="E574" s="465">
        <v>16</v>
      </c>
      <c r="F574" s="465">
        <v>16</v>
      </c>
      <c r="G574" s="465">
        <v>39</v>
      </c>
      <c r="H574" s="465">
        <v>2018</v>
      </c>
      <c r="I574" s="465">
        <v>2020</v>
      </c>
      <c r="J574" s="463">
        <f t="shared" si="119"/>
        <v>27.98</v>
      </c>
      <c r="K574" s="463">
        <v>9.12</v>
      </c>
      <c r="L574" s="463">
        <v>9.43</v>
      </c>
      <c r="M574" s="463">
        <v>9.43</v>
      </c>
      <c r="N574" s="484">
        <f t="shared" si="120"/>
        <v>27.98</v>
      </c>
      <c r="O574" s="484"/>
      <c r="P574" s="484"/>
      <c r="Q574" s="484"/>
      <c r="R574" s="484"/>
      <c r="S574" s="462" t="str">
        <f t="shared" si="111"/>
        <v>正确</v>
      </c>
      <c r="T574" s="462"/>
      <c r="U574" s="462"/>
      <c r="V574" s="462"/>
      <c r="W574" s="462"/>
      <c r="X574" s="480"/>
      <c r="Y574" s="480"/>
      <c r="Z574" s="480"/>
    </row>
    <row r="575" s="447" customFormat="1" ht="23.25" customHeight="1" spans="1:26">
      <c r="A575" s="464"/>
      <c r="B575" s="462" t="s">
        <v>1548</v>
      </c>
      <c r="C575" s="463" t="s">
        <v>320</v>
      </c>
      <c r="D575" s="463" t="s">
        <v>384</v>
      </c>
      <c r="E575" s="150">
        <v>8</v>
      </c>
      <c r="F575" s="150">
        <v>8</v>
      </c>
      <c r="G575" s="150">
        <v>17</v>
      </c>
      <c r="H575" s="465">
        <v>2018</v>
      </c>
      <c r="I575" s="465">
        <v>2020</v>
      </c>
      <c r="J575" s="463">
        <f t="shared" si="119"/>
        <v>13.7022</v>
      </c>
      <c r="K575" s="463">
        <v>4.3014</v>
      </c>
      <c r="L575" s="463">
        <v>4.7004</v>
      </c>
      <c r="M575" s="463">
        <v>4.7004</v>
      </c>
      <c r="N575" s="484">
        <f t="shared" si="120"/>
        <v>13.7022</v>
      </c>
      <c r="O575" s="484"/>
      <c r="P575" s="484"/>
      <c r="Q575" s="484"/>
      <c r="R575" s="484"/>
      <c r="S575" s="462" t="str">
        <f t="shared" si="111"/>
        <v>正确</v>
      </c>
      <c r="T575" s="462"/>
      <c r="U575" s="462"/>
      <c r="V575" s="462"/>
      <c r="W575" s="462"/>
      <c r="X575" s="480"/>
      <c r="Y575" s="480"/>
      <c r="Z575" s="480"/>
    </row>
    <row r="576" s="447" customFormat="1" ht="23.25" customHeight="1" spans="1:26">
      <c r="A576" s="464"/>
      <c r="B576" s="462" t="s">
        <v>1549</v>
      </c>
      <c r="C576" s="463" t="s">
        <v>320</v>
      </c>
      <c r="D576" s="463" t="s">
        <v>384</v>
      </c>
      <c r="E576" s="465">
        <v>9</v>
      </c>
      <c r="F576" s="465">
        <v>9</v>
      </c>
      <c r="G576" s="465">
        <v>17</v>
      </c>
      <c r="H576" s="465">
        <v>2018</v>
      </c>
      <c r="I576" s="465">
        <v>2020</v>
      </c>
      <c r="J576" s="463">
        <f t="shared" si="119"/>
        <v>14.876</v>
      </c>
      <c r="K576" s="463">
        <v>4.652</v>
      </c>
      <c r="L576" s="463">
        <v>5.112</v>
      </c>
      <c r="M576" s="463">
        <v>5.112</v>
      </c>
      <c r="N576" s="484">
        <f t="shared" si="120"/>
        <v>14.876</v>
      </c>
      <c r="O576" s="484"/>
      <c r="P576" s="484"/>
      <c r="Q576" s="484"/>
      <c r="R576" s="484"/>
      <c r="S576" s="462" t="str">
        <f t="shared" si="111"/>
        <v>正确</v>
      </c>
      <c r="T576" s="462"/>
      <c r="U576" s="462"/>
      <c r="V576" s="462"/>
      <c r="W576" s="462"/>
      <c r="X576" s="480"/>
      <c r="Y576" s="480"/>
      <c r="Z576" s="480"/>
    </row>
    <row r="577" s="447" customFormat="1" ht="23.25" customHeight="1" spans="1:26">
      <c r="A577" s="464"/>
      <c r="B577" s="462" t="s">
        <v>1550</v>
      </c>
      <c r="C577" s="463" t="s">
        <v>320</v>
      </c>
      <c r="D577" s="463" t="s">
        <v>384</v>
      </c>
      <c r="E577" s="150">
        <v>5</v>
      </c>
      <c r="F577" s="150">
        <v>5</v>
      </c>
      <c r="G577" s="150">
        <v>10</v>
      </c>
      <c r="H577" s="465">
        <v>2018</v>
      </c>
      <c r="I577" s="465">
        <v>2020</v>
      </c>
      <c r="J577" s="463">
        <f t="shared" si="119"/>
        <v>7.208</v>
      </c>
      <c r="K577" s="463">
        <v>2.248</v>
      </c>
      <c r="L577" s="463">
        <v>2.48</v>
      </c>
      <c r="M577" s="463">
        <v>2.48</v>
      </c>
      <c r="N577" s="484">
        <f t="shared" si="120"/>
        <v>7.208</v>
      </c>
      <c r="O577" s="484"/>
      <c r="P577" s="484"/>
      <c r="Q577" s="484"/>
      <c r="R577" s="484"/>
      <c r="S577" s="462" t="str">
        <f t="shared" si="111"/>
        <v>正确</v>
      </c>
      <c r="T577" s="462"/>
      <c r="U577" s="462"/>
      <c r="V577" s="462"/>
      <c r="W577" s="462"/>
      <c r="X577" s="480"/>
      <c r="Y577" s="480"/>
      <c r="Z577" s="480"/>
    </row>
    <row r="578" s="447" customFormat="1" ht="23.25" customHeight="1" spans="1:26">
      <c r="A578" s="464"/>
      <c r="B578" s="462" t="s">
        <v>1551</v>
      </c>
      <c r="C578" s="463" t="s">
        <v>320</v>
      </c>
      <c r="D578" s="463" t="s">
        <v>384</v>
      </c>
      <c r="E578" s="465">
        <v>4</v>
      </c>
      <c r="F578" s="465">
        <v>4</v>
      </c>
      <c r="G578" s="465">
        <v>6</v>
      </c>
      <c r="H578" s="465">
        <v>2018</v>
      </c>
      <c r="I578" s="465">
        <v>2020</v>
      </c>
      <c r="J578" s="463">
        <f t="shared" si="119"/>
        <v>4.2588</v>
      </c>
      <c r="K578" s="463">
        <v>1.3356</v>
      </c>
      <c r="L578" s="463">
        <v>1.4616</v>
      </c>
      <c r="M578" s="463">
        <v>1.4616</v>
      </c>
      <c r="N578" s="484">
        <f t="shared" si="120"/>
        <v>4.2588</v>
      </c>
      <c r="O578" s="484"/>
      <c r="P578" s="484"/>
      <c r="Q578" s="484"/>
      <c r="R578" s="484"/>
      <c r="S578" s="462" t="str">
        <f t="shared" si="111"/>
        <v>正确</v>
      </c>
      <c r="T578" s="462"/>
      <c r="U578" s="462"/>
      <c r="V578" s="462"/>
      <c r="W578" s="462"/>
      <c r="X578" s="480"/>
      <c r="Y578" s="480"/>
      <c r="Z578" s="480"/>
    </row>
    <row r="579" s="447" customFormat="1" ht="23.25" customHeight="1" spans="1:26">
      <c r="A579" s="464">
        <v>2</v>
      </c>
      <c r="B579" s="462" t="s">
        <v>446</v>
      </c>
      <c r="C579" s="463" t="s">
        <v>320</v>
      </c>
      <c r="D579" s="463" t="s">
        <v>147</v>
      </c>
      <c r="E579" s="465">
        <f t="shared" ref="E579:G579" si="121">E580+E593</f>
        <v>126</v>
      </c>
      <c r="F579" s="465">
        <f t="shared" si="121"/>
        <v>25</v>
      </c>
      <c r="G579" s="465">
        <f t="shared" si="121"/>
        <v>26</v>
      </c>
      <c r="H579" s="465">
        <v>2018</v>
      </c>
      <c r="I579" s="465">
        <v>2020</v>
      </c>
      <c r="J579" s="463">
        <f t="shared" ref="J579:M579" si="122">J580+J593</f>
        <v>204.12</v>
      </c>
      <c r="K579" s="463">
        <f t="shared" si="122"/>
        <v>68.04</v>
      </c>
      <c r="L579" s="463">
        <f t="shared" si="122"/>
        <v>68.04</v>
      </c>
      <c r="M579" s="463">
        <f t="shared" si="122"/>
        <v>68.04</v>
      </c>
      <c r="N579" s="463">
        <v>204.12</v>
      </c>
      <c r="O579" s="463"/>
      <c r="P579" s="463"/>
      <c r="Q579" s="463"/>
      <c r="R579" s="463"/>
      <c r="S579" s="462" t="str">
        <f t="shared" si="111"/>
        <v>正确</v>
      </c>
      <c r="T579" s="462" t="s">
        <v>1559</v>
      </c>
      <c r="U579" s="462" t="s">
        <v>1563</v>
      </c>
      <c r="V579" s="462" t="s">
        <v>320</v>
      </c>
      <c r="W579" s="462" t="s">
        <v>41</v>
      </c>
      <c r="X579" s="480"/>
      <c r="Y579" s="480"/>
      <c r="Z579" s="480"/>
    </row>
    <row r="580" s="447" customFormat="1" ht="23.25" customHeight="1" spans="1:26">
      <c r="A580" s="464">
        <v>3</v>
      </c>
      <c r="B580" s="462" t="s">
        <v>447</v>
      </c>
      <c r="C580" s="463" t="s">
        <v>320</v>
      </c>
      <c r="D580" s="463" t="s">
        <v>147</v>
      </c>
      <c r="E580" s="465">
        <f t="shared" ref="E580:G580" si="123">SUM(E581:E592)</f>
        <v>126</v>
      </c>
      <c r="F580" s="465">
        <f t="shared" si="123"/>
        <v>25</v>
      </c>
      <c r="G580" s="465">
        <f t="shared" si="123"/>
        <v>26</v>
      </c>
      <c r="H580" s="465">
        <v>2018</v>
      </c>
      <c r="I580" s="465">
        <v>2020</v>
      </c>
      <c r="J580" s="463">
        <f t="shared" ref="J580:M580" si="124">SUM(J581:J592)</f>
        <v>204.12</v>
      </c>
      <c r="K580" s="463">
        <f t="shared" si="124"/>
        <v>68.04</v>
      </c>
      <c r="L580" s="463">
        <f t="shared" si="124"/>
        <v>68.04</v>
      </c>
      <c r="M580" s="463">
        <f t="shared" si="124"/>
        <v>68.04</v>
      </c>
      <c r="N580" s="463">
        <v>204.12</v>
      </c>
      <c r="O580" s="463"/>
      <c r="P580" s="463"/>
      <c r="Q580" s="463"/>
      <c r="R580" s="463"/>
      <c r="S580" s="462" t="str">
        <f t="shared" si="111"/>
        <v>正确</v>
      </c>
      <c r="T580" s="462" t="s">
        <v>1559</v>
      </c>
      <c r="U580" s="462" t="s">
        <v>1563</v>
      </c>
      <c r="V580" s="462" t="s">
        <v>338</v>
      </c>
      <c r="W580" s="462" t="s">
        <v>41</v>
      </c>
      <c r="X580" s="480"/>
      <c r="Y580" s="480"/>
      <c r="Z580" s="480"/>
    </row>
    <row r="581" s="447" customFormat="1" ht="23.25" customHeight="1" spans="1:26">
      <c r="A581" s="464"/>
      <c r="B581" s="462" t="s">
        <v>1540</v>
      </c>
      <c r="C581" s="463" t="s">
        <v>320</v>
      </c>
      <c r="D581" s="463" t="s">
        <v>147</v>
      </c>
      <c r="E581" s="150">
        <v>13</v>
      </c>
      <c r="F581" s="150">
        <v>3</v>
      </c>
      <c r="G581" s="150">
        <v>3</v>
      </c>
      <c r="H581" s="465">
        <v>2018</v>
      </c>
      <c r="I581" s="465">
        <v>2020</v>
      </c>
      <c r="J581" s="463">
        <f t="shared" ref="J581:J592" si="125">K581+L581+M581</f>
        <v>21.06</v>
      </c>
      <c r="K581" s="463">
        <f t="shared" ref="K581:K592" si="126">E581*0.045*12</f>
        <v>7.02</v>
      </c>
      <c r="L581" s="463">
        <v>7.02</v>
      </c>
      <c r="M581" s="463">
        <v>7.02</v>
      </c>
      <c r="N581" s="484">
        <f t="shared" ref="N581:N592" si="127">J581</f>
        <v>21.06</v>
      </c>
      <c r="O581" s="484"/>
      <c r="P581" s="484"/>
      <c r="Q581" s="484"/>
      <c r="R581" s="484"/>
      <c r="S581" s="462" t="str">
        <f t="shared" si="111"/>
        <v>正确</v>
      </c>
      <c r="T581" s="462"/>
      <c r="U581" s="462"/>
      <c r="V581" s="462"/>
      <c r="W581" s="462"/>
      <c r="X581" s="480"/>
      <c r="Y581" s="480"/>
      <c r="Z581" s="480"/>
    </row>
    <row r="582" s="447" customFormat="1" ht="23.25" customHeight="1" spans="1:26">
      <c r="A582" s="464"/>
      <c r="B582" s="462" t="s">
        <v>1541</v>
      </c>
      <c r="C582" s="463" t="s">
        <v>320</v>
      </c>
      <c r="D582" s="463" t="s">
        <v>147</v>
      </c>
      <c r="E582" s="150">
        <v>11</v>
      </c>
      <c r="F582" s="150">
        <v>3</v>
      </c>
      <c r="G582" s="150">
        <v>3</v>
      </c>
      <c r="H582" s="465">
        <v>2018</v>
      </c>
      <c r="I582" s="465">
        <v>2020</v>
      </c>
      <c r="J582" s="463">
        <f t="shared" si="125"/>
        <v>17.82</v>
      </c>
      <c r="K582" s="463">
        <f t="shared" si="126"/>
        <v>5.94</v>
      </c>
      <c r="L582" s="463">
        <v>5.94</v>
      </c>
      <c r="M582" s="463">
        <v>5.94</v>
      </c>
      <c r="N582" s="484">
        <f t="shared" si="127"/>
        <v>17.82</v>
      </c>
      <c r="O582" s="484"/>
      <c r="P582" s="484"/>
      <c r="Q582" s="484"/>
      <c r="R582" s="484"/>
      <c r="S582" s="462" t="str">
        <f t="shared" si="111"/>
        <v>正确</v>
      </c>
      <c r="T582" s="462"/>
      <c r="U582" s="462"/>
      <c r="V582" s="462"/>
      <c r="W582" s="462"/>
      <c r="X582" s="480"/>
      <c r="Y582" s="480"/>
      <c r="Z582" s="480"/>
    </row>
    <row r="583" s="447" customFormat="1" ht="23.25" customHeight="1" spans="1:26">
      <c r="A583" s="464"/>
      <c r="B583" s="462" t="s">
        <v>1542</v>
      </c>
      <c r="C583" s="463" t="s">
        <v>320</v>
      </c>
      <c r="D583" s="463" t="s">
        <v>147</v>
      </c>
      <c r="E583" s="150">
        <v>11</v>
      </c>
      <c r="F583" s="150">
        <v>1</v>
      </c>
      <c r="G583" s="150">
        <v>2</v>
      </c>
      <c r="H583" s="465">
        <v>2018</v>
      </c>
      <c r="I583" s="465">
        <v>2020</v>
      </c>
      <c r="J583" s="463">
        <f t="shared" si="125"/>
        <v>17.82</v>
      </c>
      <c r="K583" s="463">
        <f t="shared" si="126"/>
        <v>5.94</v>
      </c>
      <c r="L583" s="463">
        <v>5.94</v>
      </c>
      <c r="M583" s="463">
        <v>5.94</v>
      </c>
      <c r="N583" s="484">
        <f t="shared" si="127"/>
        <v>17.82</v>
      </c>
      <c r="O583" s="484"/>
      <c r="P583" s="484"/>
      <c r="Q583" s="484"/>
      <c r="R583" s="484"/>
      <c r="S583" s="462" t="str">
        <f t="shared" ref="S583:S646" si="128">IF(SUM(K583:M583)=SUM(N583:R583),"正确","错误")</f>
        <v>正确</v>
      </c>
      <c r="T583" s="462"/>
      <c r="U583" s="462"/>
      <c r="V583" s="462"/>
      <c r="W583" s="462"/>
      <c r="X583" s="480"/>
      <c r="Y583" s="480"/>
      <c r="Z583" s="480"/>
    </row>
    <row r="584" s="447" customFormat="1" ht="23.25" customHeight="1" spans="1:26">
      <c r="A584" s="464"/>
      <c r="B584" s="462" t="s">
        <v>1543</v>
      </c>
      <c r="C584" s="463" t="s">
        <v>320</v>
      </c>
      <c r="D584" s="463" t="s">
        <v>147</v>
      </c>
      <c r="E584" s="150">
        <v>1</v>
      </c>
      <c r="F584" s="150">
        <v>1</v>
      </c>
      <c r="G584" s="150">
        <v>1</v>
      </c>
      <c r="H584" s="465">
        <v>2018</v>
      </c>
      <c r="I584" s="465">
        <v>2020</v>
      </c>
      <c r="J584" s="463">
        <f t="shared" si="125"/>
        <v>2.7</v>
      </c>
      <c r="K584" s="463">
        <f t="shared" si="126"/>
        <v>0.54</v>
      </c>
      <c r="L584" s="463">
        <v>1.08</v>
      </c>
      <c r="M584" s="463">
        <v>1.08</v>
      </c>
      <c r="N584" s="484">
        <f t="shared" si="127"/>
        <v>2.7</v>
      </c>
      <c r="O584" s="484"/>
      <c r="P584" s="484"/>
      <c r="Q584" s="484"/>
      <c r="R584" s="484"/>
      <c r="S584" s="462" t="str">
        <f t="shared" si="128"/>
        <v>正确</v>
      </c>
      <c r="T584" s="462"/>
      <c r="U584" s="462"/>
      <c r="V584" s="462"/>
      <c r="W584" s="462"/>
      <c r="X584" s="480"/>
      <c r="Y584" s="480"/>
      <c r="Z584" s="480"/>
    </row>
    <row r="585" s="447" customFormat="1" ht="23.25" customHeight="1" spans="1:26">
      <c r="A585" s="464"/>
      <c r="B585" s="462" t="s">
        <v>1544</v>
      </c>
      <c r="C585" s="463" t="s">
        <v>320</v>
      </c>
      <c r="D585" s="463" t="s">
        <v>147</v>
      </c>
      <c r="E585" s="150">
        <v>14</v>
      </c>
      <c r="F585" s="150"/>
      <c r="G585" s="150"/>
      <c r="H585" s="465">
        <v>2018</v>
      </c>
      <c r="I585" s="465">
        <v>2019</v>
      </c>
      <c r="J585" s="463">
        <f t="shared" si="125"/>
        <v>22.68</v>
      </c>
      <c r="K585" s="463">
        <f t="shared" si="126"/>
        <v>7.56</v>
      </c>
      <c r="L585" s="463">
        <v>7.56</v>
      </c>
      <c r="M585" s="463">
        <v>7.56</v>
      </c>
      <c r="N585" s="484">
        <f t="shared" si="127"/>
        <v>22.68</v>
      </c>
      <c r="O585" s="484"/>
      <c r="P585" s="484"/>
      <c r="Q585" s="484"/>
      <c r="R585" s="484"/>
      <c r="S585" s="462" t="str">
        <f t="shared" si="128"/>
        <v>正确</v>
      </c>
      <c r="T585" s="462"/>
      <c r="U585" s="462"/>
      <c r="V585" s="462"/>
      <c r="W585" s="462"/>
      <c r="X585" s="480"/>
      <c r="Y585" s="480"/>
      <c r="Z585" s="480"/>
    </row>
    <row r="586" s="447" customFormat="1" ht="23.25" customHeight="1" spans="1:26">
      <c r="A586" s="464"/>
      <c r="B586" s="462" t="s">
        <v>1545</v>
      </c>
      <c r="C586" s="463" t="s">
        <v>320</v>
      </c>
      <c r="D586" s="463" t="s">
        <v>147</v>
      </c>
      <c r="E586" s="465">
        <v>11</v>
      </c>
      <c r="F586" s="465">
        <v>2</v>
      </c>
      <c r="G586" s="465">
        <v>2</v>
      </c>
      <c r="H586" s="465">
        <v>2018</v>
      </c>
      <c r="I586" s="465">
        <v>2020</v>
      </c>
      <c r="J586" s="463">
        <f t="shared" si="125"/>
        <v>17.82</v>
      </c>
      <c r="K586" s="463">
        <f t="shared" si="126"/>
        <v>5.94</v>
      </c>
      <c r="L586" s="463">
        <v>5.94</v>
      </c>
      <c r="M586" s="463">
        <v>5.94</v>
      </c>
      <c r="N586" s="484">
        <f t="shared" si="127"/>
        <v>17.82</v>
      </c>
      <c r="O586" s="484"/>
      <c r="P586" s="484"/>
      <c r="Q586" s="484"/>
      <c r="R586" s="484"/>
      <c r="S586" s="462" t="str">
        <f t="shared" si="128"/>
        <v>正确</v>
      </c>
      <c r="T586" s="462"/>
      <c r="U586" s="462"/>
      <c r="V586" s="462"/>
      <c r="W586" s="462"/>
      <c r="X586" s="480"/>
      <c r="Y586" s="480"/>
      <c r="Z586" s="480"/>
    </row>
    <row r="587" s="447" customFormat="1" ht="23.25" customHeight="1" spans="1:26">
      <c r="A587" s="464"/>
      <c r="B587" s="462" t="s">
        <v>1546</v>
      </c>
      <c r="C587" s="463" t="s">
        <v>320</v>
      </c>
      <c r="D587" s="463" t="s">
        <v>147</v>
      </c>
      <c r="E587" s="150">
        <v>7</v>
      </c>
      <c r="F587" s="150">
        <v>7</v>
      </c>
      <c r="G587" s="150">
        <v>7</v>
      </c>
      <c r="H587" s="465">
        <v>2018</v>
      </c>
      <c r="I587" s="465">
        <v>2020</v>
      </c>
      <c r="J587" s="463">
        <f t="shared" si="125"/>
        <v>11.34</v>
      </c>
      <c r="K587" s="463">
        <f t="shared" si="126"/>
        <v>3.78</v>
      </c>
      <c r="L587" s="463">
        <v>3.78</v>
      </c>
      <c r="M587" s="463">
        <v>3.78</v>
      </c>
      <c r="N587" s="484">
        <f t="shared" si="127"/>
        <v>11.34</v>
      </c>
      <c r="O587" s="484"/>
      <c r="P587" s="484"/>
      <c r="Q587" s="484"/>
      <c r="R587" s="484"/>
      <c r="S587" s="462" t="str">
        <f t="shared" si="128"/>
        <v>正确</v>
      </c>
      <c r="T587" s="462"/>
      <c r="U587" s="462"/>
      <c r="V587" s="462"/>
      <c r="W587" s="462"/>
      <c r="X587" s="480"/>
      <c r="Y587" s="480"/>
      <c r="Z587" s="480"/>
    </row>
    <row r="588" s="447" customFormat="1" ht="23.25" customHeight="1" spans="1:26">
      <c r="A588" s="464"/>
      <c r="B588" s="462" t="s">
        <v>1547</v>
      </c>
      <c r="C588" s="463" t="s">
        <v>320</v>
      </c>
      <c r="D588" s="463" t="s">
        <v>147</v>
      </c>
      <c r="E588" s="465">
        <v>19</v>
      </c>
      <c r="F588" s="465">
        <v>0</v>
      </c>
      <c r="G588" s="465">
        <v>0</v>
      </c>
      <c r="H588" s="465">
        <v>2018</v>
      </c>
      <c r="I588" s="465">
        <v>2020</v>
      </c>
      <c r="J588" s="463">
        <f t="shared" si="125"/>
        <v>29.7</v>
      </c>
      <c r="K588" s="463">
        <f t="shared" si="126"/>
        <v>10.26</v>
      </c>
      <c r="L588" s="463">
        <v>9.72</v>
      </c>
      <c r="M588" s="463">
        <v>9.72</v>
      </c>
      <c r="N588" s="484">
        <f t="shared" si="127"/>
        <v>29.7</v>
      </c>
      <c r="O588" s="484"/>
      <c r="P588" s="484"/>
      <c r="Q588" s="484"/>
      <c r="R588" s="484"/>
      <c r="S588" s="462" t="str">
        <f t="shared" si="128"/>
        <v>正确</v>
      </c>
      <c r="T588" s="462"/>
      <c r="U588" s="462"/>
      <c r="V588" s="462"/>
      <c r="W588" s="462"/>
      <c r="X588" s="480"/>
      <c r="Y588" s="480"/>
      <c r="Z588" s="480"/>
    </row>
    <row r="589" s="447" customFormat="1" ht="23.25" customHeight="1" spans="1:26">
      <c r="A589" s="464"/>
      <c r="B589" s="462" t="s">
        <v>1548</v>
      </c>
      <c r="C589" s="463" t="s">
        <v>320</v>
      </c>
      <c r="D589" s="463" t="s">
        <v>147</v>
      </c>
      <c r="E589" s="465">
        <v>26</v>
      </c>
      <c r="F589" s="465">
        <v>0</v>
      </c>
      <c r="G589" s="465">
        <v>0</v>
      </c>
      <c r="H589" s="465">
        <v>2018</v>
      </c>
      <c r="I589" s="465">
        <v>2020</v>
      </c>
      <c r="J589" s="463">
        <f t="shared" si="125"/>
        <v>42.12</v>
      </c>
      <c r="K589" s="463">
        <f t="shared" si="126"/>
        <v>14.04</v>
      </c>
      <c r="L589" s="463">
        <v>14.04</v>
      </c>
      <c r="M589" s="463">
        <v>14.04</v>
      </c>
      <c r="N589" s="484">
        <f t="shared" si="127"/>
        <v>42.12</v>
      </c>
      <c r="O589" s="484"/>
      <c r="P589" s="484"/>
      <c r="Q589" s="484"/>
      <c r="R589" s="484"/>
      <c r="S589" s="462" t="str">
        <f t="shared" si="128"/>
        <v>正确</v>
      </c>
      <c r="T589" s="462"/>
      <c r="U589" s="462"/>
      <c r="V589" s="462"/>
      <c r="W589" s="462"/>
      <c r="X589" s="480"/>
      <c r="Y589" s="480"/>
      <c r="Z589" s="480"/>
    </row>
    <row r="590" s="447" customFormat="1" ht="23.25" customHeight="1" spans="1:26">
      <c r="A590" s="464"/>
      <c r="B590" s="462" t="s">
        <v>1549</v>
      </c>
      <c r="C590" s="463" t="s">
        <v>320</v>
      </c>
      <c r="D590" s="463" t="s">
        <v>147</v>
      </c>
      <c r="E590" s="150">
        <v>2</v>
      </c>
      <c r="F590" s="150">
        <v>0</v>
      </c>
      <c r="G590" s="150">
        <v>0</v>
      </c>
      <c r="H590" s="465">
        <v>2018</v>
      </c>
      <c r="I590" s="465">
        <v>2020</v>
      </c>
      <c r="J590" s="463">
        <f t="shared" si="125"/>
        <v>3.24</v>
      </c>
      <c r="K590" s="463">
        <f t="shared" si="126"/>
        <v>1.08</v>
      </c>
      <c r="L590" s="463">
        <v>1.08</v>
      </c>
      <c r="M590" s="463">
        <v>1.08</v>
      </c>
      <c r="N590" s="484">
        <f t="shared" si="127"/>
        <v>3.24</v>
      </c>
      <c r="O590" s="484"/>
      <c r="P590" s="484"/>
      <c r="Q590" s="484"/>
      <c r="R590" s="484"/>
      <c r="S590" s="462" t="str">
        <f t="shared" si="128"/>
        <v>正确</v>
      </c>
      <c r="T590" s="462"/>
      <c r="U590" s="462"/>
      <c r="V590" s="462"/>
      <c r="W590" s="462"/>
      <c r="X590" s="480"/>
      <c r="Y590" s="480"/>
      <c r="Z590" s="480"/>
    </row>
    <row r="591" s="447" customFormat="1" ht="23.25" customHeight="1" spans="1:26">
      <c r="A591" s="464"/>
      <c r="B591" s="462" t="s">
        <v>1550</v>
      </c>
      <c r="C591" s="463" t="s">
        <v>320</v>
      </c>
      <c r="D591" s="463" t="s">
        <v>147</v>
      </c>
      <c r="E591" s="150">
        <v>8</v>
      </c>
      <c r="F591" s="150">
        <v>8</v>
      </c>
      <c r="G591" s="150">
        <v>8</v>
      </c>
      <c r="H591" s="465">
        <v>2018</v>
      </c>
      <c r="I591" s="465">
        <v>2020</v>
      </c>
      <c r="J591" s="463">
        <f t="shared" si="125"/>
        <v>12.96</v>
      </c>
      <c r="K591" s="463">
        <f t="shared" si="126"/>
        <v>4.32</v>
      </c>
      <c r="L591" s="463">
        <v>4.32</v>
      </c>
      <c r="M591" s="463">
        <v>4.32</v>
      </c>
      <c r="N591" s="484">
        <f t="shared" si="127"/>
        <v>12.96</v>
      </c>
      <c r="O591" s="484"/>
      <c r="P591" s="484"/>
      <c r="Q591" s="484"/>
      <c r="R591" s="484"/>
      <c r="S591" s="462" t="str">
        <f t="shared" si="128"/>
        <v>正确</v>
      </c>
      <c r="T591" s="462"/>
      <c r="U591" s="462"/>
      <c r="V591" s="462"/>
      <c r="W591" s="462"/>
      <c r="X591" s="480"/>
      <c r="Y591" s="480"/>
      <c r="Z591" s="480"/>
    </row>
    <row r="592" s="447" customFormat="1" ht="23.25" customHeight="1" spans="1:26">
      <c r="A592" s="464"/>
      <c r="B592" s="462" t="s">
        <v>1551</v>
      </c>
      <c r="C592" s="463" t="s">
        <v>320</v>
      </c>
      <c r="D592" s="463" t="s">
        <v>147</v>
      </c>
      <c r="E592" s="150">
        <v>3</v>
      </c>
      <c r="F592" s="150">
        <v>0</v>
      </c>
      <c r="G592" s="150">
        <v>0</v>
      </c>
      <c r="H592" s="465">
        <v>2018</v>
      </c>
      <c r="I592" s="465">
        <v>2020</v>
      </c>
      <c r="J592" s="463">
        <f t="shared" si="125"/>
        <v>4.86</v>
      </c>
      <c r="K592" s="463">
        <f t="shared" si="126"/>
        <v>1.62</v>
      </c>
      <c r="L592" s="463">
        <v>1.62</v>
      </c>
      <c r="M592" s="463">
        <v>1.62</v>
      </c>
      <c r="N592" s="484">
        <f t="shared" si="127"/>
        <v>4.86</v>
      </c>
      <c r="O592" s="484"/>
      <c r="P592" s="484"/>
      <c r="Q592" s="484"/>
      <c r="R592" s="484"/>
      <c r="S592" s="462" t="str">
        <f t="shared" si="128"/>
        <v>正确</v>
      </c>
      <c r="T592" s="462"/>
      <c r="U592" s="462"/>
      <c r="V592" s="462"/>
      <c r="W592" s="462"/>
      <c r="X592" s="480"/>
      <c r="Y592" s="480"/>
      <c r="Z592" s="480"/>
    </row>
    <row r="593" s="447" customFormat="1" ht="23.25" customHeight="1" spans="1:26">
      <c r="A593" s="464">
        <v>3</v>
      </c>
      <c r="B593" s="462" t="s">
        <v>448</v>
      </c>
      <c r="C593" s="463" t="s">
        <v>320</v>
      </c>
      <c r="D593" s="463" t="s">
        <v>147</v>
      </c>
      <c r="E593" s="465"/>
      <c r="F593" s="465"/>
      <c r="G593" s="465"/>
      <c r="H593" s="465"/>
      <c r="I593" s="465"/>
      <c r="J593" s="463"/>
      <c r="K593" s="463"/>
      <c r="L593" s="463"/>
      <c r="M593" s="463"/>
      <c r="N593" s="463"/>
      <c r="O593" s="463"/>
      <c r="P593" s="463"/>
      <c r="Q593" s="463"/>
      <c r="R593" s="463"/>
      <c r="S593" s="462" t="str">
        <f t="shared" si="128"/>
        <v>正确</v>
      </c>
      <c r="T593" s="462"/>
      <c r="U593" s="462"/>
      <c r="V593" s="462" t="s">
        <v>338</v>
      </c>
      <c r="W593" s="462" t="s">
        <v>41</v>
      </c>
      <c r="X593" s="480"/>
      <c r="Y593" s="480"/>
      <c r="Z593" s="480"/>
    </row>
    <row r="594" s="447" customFormat="1" ht="23.25" customHeight="1" spans="1:26">
      <c r="A594" s="464"/>
      <c r="B594" s="462" t="s">
        <v>1540</v>
      </c>
      <c r="C594" s="463" t="s">
        <v>320</v>
      </c>
      <c r="D594" s="463" t="s">
        <v>147</v>
      </c>
      <c r="E594" s="465"/>
      <c r="F594" s="465"/>
      <c r="G594" s="465"/>
      <c r="H594" s="465"/>
      <c r="I594" s="465"/>
      <c r="J594" s="463"/>
      <c r="K594" s="463"/>
      <c r="L594" s="463"/>
      <c r="M594" s="463"/>
      <c r="N594" s="484"/>
      <c r="O594" s="484"/>
      <c r="P594" s="484"/>
      <c r="Q594" s="484"/>
      <c r="R594" s="484"/>
      <c r="S594" s="462" t="str">
        <f t="shared" si="128"/>
        <v>正确</v>
      </c>
      <c r="T594" s="462"/>
      <c r="U594" s="462"/>
      <c r="V594" s="462"/>
      <c r="W594" s="462"/>
      <c r="X594" s="480"/>
      <c r="Y594" s="480"/>
      <c r="Z594" s="480"/>
    </row>
    <row r="595" s="447" customFormat="1" ht="23.25" customHeight="1" spans="1:26">
      <c r="A595" s="464"/>
      <c r="B595" s="462" t="s">
        <v>1541</v>
      </c>
      <c r="C595" s="463" t="s">
        <v>320</v>
      </c>
      <c r="D595" s="463" t="s">
        <v>147</v>
      </c>
      <c r="E595" s="465"/>
      <c r="F595" s="465"/>
      <c r="G595" s="465"/>
      <c r="H595" s="465"/>
      <c r="I595" s="465"/>
      <c r="J595" s="463"/>
      <c r="K595" s="463"/>
      <c r="L595" s="463"/>
      <c r="M595" s="463"/>
      <c r="N595" s="484"/>
      <c r="O595" s="484"/>
      <c r="P595" s="484"/>
      <c r="Q595" s="484"/>
      <c r="R595" s="484"/>
      <c r="S595" s="462" t="str">
        <f t="shared" si="128"/>
        <v>正确</v>
      </c>
      <c r="T595" s="462"/>
      <c r="U595" s="462"/>
      <c r="V595" s="462"/>
      <c r="W595" s="462"/>
      <c r="X595" s="480"/>
      <c r="Y595" s="480"/>
      <c r="Z595" s="480"/>
    </row>
    <row r="596" s="447" customFormat="1" ht="23.25" customHeight="1" spans="1:26">
      <c r="A596" s="464"/>
      <c r="B596" s="462" t="s">
        <v>1542</v>
      </c>
      <c r="C596" s="463" t="s">
        <v>320</v>
      </c>
      <c r="D596" s="463" t="s">
        <v>147</v>
      </c>
      <c r="E596" s="465"/>
      <c r="F596" s="465"/>
      <c r="G596" s="465"/>
      <c r="H596" s="465"/>
      <c r="I596" s="465"/>
      <c r="J596" s="463"/>
      <c r="K596" s="463"/>
      <c r="L596" s="463"/>
      <c r="M596" s="463"/>
      <c r="N596" s="484"/>
      <c r="O596" s="484"/>
      <c r="P596" s="484"/>
      <c r="Q596" s="484"/>
      <c r="R596" s="484"/>
      <c r="S596" s="462" t="str">
        <f t="shared" si="128"/>
        <v>正确</v>
      </c>
      <c r="T596" s="462"/>
      <c r="U596" s="462"/>
      <c r="V596" s="462"/>
      <c r="W596" s="462"/>
      <c r="X596" s="480"/>
      <c r="Y596" s="480"/>
      <c r="Z596" s="480"/>
    </row>
    <row r="597" s="447" customFormat="1" ht="23.25" customHeight="1" spans="1:26">
      <c r="A597" s="464"/>
      <c r="B597" s="462" t="s">
        <v>1543</v>
      </c>
      <c r="C597" s="463" t="s">
        <v>320</v>
      </c>
      <c r="D597" s="463" t="s">
        <v>147</v>
      </c>
      <c r="E597" s="465"/>
      <c r="F597" s="465"/>
      <c r="G597" s="465"/>
      <c r="H597" s="465"/>
      <c r="I597" s="465"/>
      <c r="J597" s="463"/>
      <c r="K597" s="463"/>
      <c r="L597" s="463"/>
      <c r="M597" s="463"/>
      <c r="N597" s="484"/>
      <c r="O597" s="484"/>
      <c r="P597" s="484"/>
      <c r="Q597" s="484"/>
      <c r="R597" s="484"/>
      <c r="S597" s="462" t="str">
        <f t="shared" si="128"/>
        <v>正确</v>
      </c>
      <c r="T597" s="462"/>
      <c r="U597" s="462"/>
      <c r="V597" s="462"/>
      <c r="W597" s="462"/>
      <c r="X597" s="480"/>
      <c r="Y597" s="480"/>
      <c r="Z597" s="480"/>
    </row>
    <row r="598" s="447" customFormat="1" ht="23.25" customHeight="1" spans="1:26">
      <c r="A598" s="464"/>
      <c r="B598" s="462" t="s">
        <v>1544</v>
      </c>
      <c r="C598" s="463" t="s">
        <v>320</v>
      </c>
      <c r="D598" s="463" t="s">
        <v>147</v>
      </c>
      <c r="E598" s="465"/>
      <c r="F598" s="465"/>
      <c r="G598" s="465"/>
      <c r="H598" s="465"/>
      <c r="I598" s="465"/>
      <c r="J598" s="463"/>
      <c r="K598" s="463"/>
      <c r="L598" s="463"/>
      <c r="M598" s="463"/>
      <c r="N598" s="484"/>
      <c r="O598" s="484"/>
      <c r="P598" s="484"/>
      <c r="Q598" s="484"/>
      <c r="R598" s="484"/>
      <c r="S598" s="462" t="str">
        <f t="shared" si="128"/>
        <v>正确</v>
      </c>
      <c r="T598" s="462"/>
      <c r="U598" s="462"/>
      <c r="V598" s="462"/>
      <c r="W598" s="462"/>
      <c r="X598" s="480"/>
      <c r="Y598" s="480"/>
      <c r="Z598" s="480"/>
    </row>
    <row r="599" s="447" customFormat="1" ht="23.25" customHeight="1" spans="1:26">
      <c r="A599" s="464"/>
      <c r="B599" s="462" t="s">
        <v>1545</v>
      </c>
      <c r="C599" s="463" t="s">
        <v>320</v>
      </c>
      <c r="D599" s="463" t="s">
        <v>147</v>
      </c>
      <c r="E599" s="465"/>
      <c r="F599" s="465"/>
      <c r="G599" s="465"/>
      <c r="H599" s="465"/>
      <c r="I599" s="465"/>
      <c r="J599" s="463"/>
      <c r="K599" s="463"/>
      <c r="L599" s="463"/>
      <c r="M599" s="463"/>
      <c r="N599" s="484"/>
      <c r="O599" s="484"/>
      <c r="P599" s="484"/>
      <c r="Q599" s="484"/>
      <c r="R599" s="484"/>
      <c r="S599" s="462" t="str">
        <f t="shared" si="128"/>
        <v>正确</v>
      </c>
      <c r="T599" s="462"/>
      <c r="U599" s="462"/>
      <c r="V599" s="462"/>
      <c r="W599" s="462"/>
      <c r="X599" s="480"/>
      <c r="Y599" s="480"/>
      <c r="Z599" s="480"/>
    </row>
    <row r="600" s="447" customFormat="1" ht="23.25" customHeight="1" spans="1:26">
      <c r="A600" s="464"/>
      <c r="B600" s="462" t="s">
        <v>1546</v>
      </c>
      <c r="C600" s="463" t="s">
        <v>320</v>
      </c>
      <c r="D600" s="463" t="s">
        <v>147</v>
      </c>
      <c r="E600" s="465"/>
      <c r="F600" s="465"/>
      <c r="G600" s="465"/>
      <c r="H600" s="465"/>
      <c r="I600" s="465"/>
      <c r="J600" s="463"/>
      <c r="K600" s="463"/>
      <c r="L600" s="463"/>
      <c r="M600" s="463"/>
      <c r="N600" s="484"/>
      <c r="O600" s="484"/>
      <c r="P600" s="484"/>
      <c r="Q600" s="484"/>
      <c r="R600" s="484"/>
      <c r="S600" s="462" t="str">
        <f t="shared" si="128"/>
        <v>正确</v>
      </c>
      <c r="T600" s="462"/>
      <c r="U600" s="462"/>
      <c r="V600" s="462"/>
      <c r="W600" s="462"/>
      <c r="X600" s="480"/>
      <c r="Y600" s="480"/>
      <c r="Z600" s="480"/>
    </row>
    <row r="601" s="447" customFormat="1" ht="23.25" customHeight="1" spans="1:26">
      <c r="A601" s="464"/>
      <c r="B601" s="462" t="s">
        <v>1547</v>
      </c>
      <c r="C601" s="463" t="s">
        <v>320</v>
      </c>
      <c r="D601" s="463" t="s">
        <v>147</v>
      </c>
      <c r="E601" s="465"/>
      <c r="F601" s="465"/>
      <c r="G601" s="465"/>
      <c r="H601" s="465"/>
      <c r="I601" s="465"/>
      <c r="J601" s="463"/>
      <c r="K601" s="463"/>
      <c r="L601" s="463"/>
      <c r="M601" s="463"/>
      <c r="N601" s="484"/>
      <c r="O601" s="484"/>
      <c r="P601" s="484"/>
      <c r="Q601" s="484"/>
      <c r="R601" s="484"/>
      <c r="S601" s="462" t="str">
        <f t="shared" si="128"/>
        <v>正确</v>
      </c>
      <c r="T601" s="462"/>
      <c r="U601" s="462"/>
      <c r="V601" s="462"/>
      <c r="W601" s="462"/>
      <c r="X601" s="480"/>
      <c r="Y601" s="480"/>
      <c r="Z601" s="480"/>
    </row>
    <row r="602" s="447" customFormat="1" ht="23.25" customHeight="1" spans="1:26">
      <c r="A602" s="464"/>
      <c r="B602" s="462" t="s">
        <v>1548</v>
      </c>
      <c r="C602" s="463" t="s">
        <v>320</v>
      </c>
      <c r="D602" s="463" t="s">
        <v>147</v>
      </c>
      <c r="E602" s="465"/>
      <c r="F602" s="465"/>
      <c r="G602" s="465"/>
      <c r="H602" s="465"/>
      <c r="I602" s="465"/>
      <c r="J602" s="463"/>
      <c r="K602" s="463"/>
      <c r="L602" s="463"/>
      <c r="M602" s="463"/>
      <c r="N602" s="484"/>
      <c r="O602" s="484"/>
      <c r="P602" s="484"/>
      <c r="Q602" s="484"/>
      <c r="R602" s="484"/>
      <c r="S602" s="462" t="str">
        <f t="shared" si="128"/>
        <v>正确</v>
      </c>
      <c r="T602" s="462"/>
      <c r="U602" s="462"/>
      <c r="V602" s="462"/>
      <c r="W602" s="462"/>
      <c r="X602" s="480"/>
      <c r="Y602" s="480"/>
      <c r="Z602" s="480"/>
    </row>
    <row r="603" s="447" customFormat="1" ht="23.25" customHeight="1" spans="1:26">
      <c r="A603" s="464"/>
      <c r="B603" s="462" t="s">
        <v>1549</v>
      </c>
      <c r="C603" s="463" t="s">
        <v>320</v>
      </c>
      <c r="D603" s="463" t="s">
        <v>147</v>
      </c>
      <c r="E603" s="465"/>
      <c r="F603" s="465"/>
      <c r="G603" s="465"/>
      <c r="H603" s="465"/>
      <c r="I603" s="465"/>
      <c r="J603" s="463"/>
      <c r="K603" s="463"/>
      <c r="L603" s="463"/>
      <c r="M603" s="463"/>
      <c r="N603" s="484"/>
      <c r="O603" s="484"/>
      <c r="P603" s="484"/>
      <c r="Q603" s="484"/>
      <c r="R603" s="484"/>
      <c r="S603" s="462" t="str">
        <f t="shared" si="128"/>
        <v>正确</v>
      </c>
      <c r="T603" s="462"/>
      <c r="U603" s="462"/>
      <c r="V603" s="462"/>
      <c r="W603" s="462"/>
      <c r="X603" s="480"/>
      <c r="Y603" s="480"/>
      <c r="Z603" s="480"/>
    </row>
    <row r="604" s="447" customFormat="1" ht="23.25" customHeight="1" spans="1:26">
      <c r="A604" s="464"/>
      <c r="B604" s="462" t="s">
        <v>1550</v>
      </c>
      <c r="C604" s="463" t="s">
        <v>320</v>
      </c>
      <c r="D604" s="463" t="s">
        <v>147</v>
      </c>
      <c r="E604" s="465"/>
      <c r="F604" s="465"/>
      <c r="G604" s="465"/>
      <c r="H604" s="465"/>
      <c r="I604" s="465"/>
      <c r="J604" s="463"/>
      <c r="K604" s="463"/>
      <c r="L604" s="463"/>
      <c r="M604" s="463"/>
      <c r="N604" s="484"/>
      <c r="O604" s="484"/>
      <c r="P604" s="484"/>
      <c r="Q604" s="484"/>
      <c r="R604" s="484"/>
      <c r="S604" s="462" t="str">
        <f t="shared" si="128"/>
        <v>正确</v>
      </c>
      <c r="T604" s="462"/>
      <c r="U604" s="462"/>
      <c r="V604" s="462"/>
      <c r="W604" s="462"/>
      <c r="X604" s="480"/>
      <c r="Y604" s="480"/>
      <c r="Z604" s="480"/>
    </row>
    <row r="605" s="447" customFormat="1" ht="23.25" customHeight="1" spans="1:26">
      <c r="A605" s="464"/>
      <c r="B605" s="462" t="s">
        <v>1551</v>
      </c>
      <c r="C605" s="463" t="s">
        <v>320</v>
      </c>
      <c r="D605" s="463" t="s">
        <v>147</v>
      </c>
      <c r="E605" s="465"/>
      <c r="F605" s="465"/>
      <c r="G605" s="465"/>
      <c r="H605" s="465"/>
      <c r="I605" s="465"/>
      <c r="J605" s="463"/>
      <c r="K605" s="463"/>
      <c r="L605" s="463"/>
      <c r="M605" s="463"/>
      <c r="N605" s="484"/>
      <c r="O605" s="484"/>
      <c r="P605" s="484"/>
      <c r="Q605" s="484"/>
      <c r="R605" s="484"/>
      <c r="S605" s="462" t="str">
        <f t="shared" si="128"/>
        <v>正确</v>
      </c>
      <c r="T605" s="462"/>
      <c r="U605" s="462"/>
      <c r="V605" s="462"/>
      <c r="W605" s="462"/>
      <c r="X605" s="480"/>
      <c r="Y605" s="480"/>
      <c r="Z605" s="480"/>
    </row>
    <row r="606" s="447" customFormat="1" ht="48.95" customHeight="1" spans="1:26">
      <c r="A606" s="464">
        <v>2</v>
      </c>
      <c r="B606" s="462" t="s">
        <v>449</v>
      </c>
      <c r="C606" s="463" t="s">
        <v>320</v>
      </c>
      <c r="D606" s="463" t="s">
        <v>147</v>
      </c>
      <c r="E606" s="465">
        <v>226</v>
      </c>
      <c r="F606" s="465">
        <v>102</v>
      </c>
      <c r="G606" s="465">
        <v>118</v>
      </c>
      <c r="H606" s="465">
        <v>2018</v>
      </c>
      <c r="I606" s="465">
        <v>2020</v>
      </c>
      <c r="J606" s="463">
        <f>K606+L606+M606</f>
        <v>92.28</v>
      </c>
      <c r="K606" s="463">
        <v>30.76</v>
      </c>
      <c r="L606" s="463">
        <v>30.76</v>
      </c>
      <c r="M606" s="463">
        <v>30.76</v>
      </c>
      <c r="N606" s="463">
        <v>92.28</v>
      </c>
      <c r="O606" s="463"/>
      <c r="P606" s="463">
        <f t="shared" ref="P606:R606" si="129">SUM(P607:P618)</f>
        <v>0</v>
      </c>
      <c r="Q606" s="463">
        <f t="shared" si="129"/>
        <v>0</v>
      </c>
      <c r="R606" s="463">
        <f t="shared" si="129"/>
        <v>0</v>
      </c>
      <c r="S606" s="462" t="str">
        <f t="shared" si="128"/>
        <v>正确</v>
      </c>
      <c r="T606" s="462" t="s">
        <v>1559</v>
      </c>
      <c r="U606" s="462" t="s">
        <v>1563</v>
      </c>
      <c r="V606" s="462" t="s">
        <v>452</v>
      </c>
      <c r="W606" s="462" t="s">
        <v>41</v>
      </c>
      <c r="X606" s="480"/>
      <c r="Y606" s="480"/>
      <c r="Z606" s="480"/>
    </row>
    <row r="607" s="447" customFormat="1" ht="23.25" customHeight="1" spans="1:26">
      <c r="A607" s="464"/>
      <c r="B607" s="462" t="s">
        <v>1540</v>
      </c>
      <c r="C607" s="463" t="s">
        <v>320</v>
      </c>
      <c r="D607" s="463" t="s">
        <v>147</v>
      </c>
      <c r="E607" s="150">
        <v>37</v>
      </c>
      <c r="F607" s="150"/>
      <c r="G607" s="150"/>
      <c r="H607" s="465">
        <v>2018</v>
      </c>
      <c r="I607" s="465">
        <v>2020</v>
      </c>
      <c r="J607" s="463"/>
      <c r="K607" s="463"/>
      <c r="L607" s="463"/>
      <c r="M607" s="463"/>
      <c r="N607" s="484">
        <f t="shared" ref="N607:N618" si="130">J607</f>
        <v>0</v>
      </c>
      <c r="O607" s="484"/>
      <c r="P607" s="484"/>
      <c r="Q607" s="484"/>
      <c r="R607" s="484"/>
      <c r="S607" s="462" t="str">
        <f t="shared" si="128"/>
        <v>正确</v>
      </c>
      <c r="T607" s="462"/>
      <c r="U607" s="462"/>
      <c r="V607" s="462"/>
      <c r="W607" s="462"/>
      <c r="X607" s="480"/>
      <c r="Y607" s="480"/>
      <c r="Z607" s="480"/>
    </row>
    <row r="608" s="447" customFormat="1" ht="23.25" customHeight="1" spans="1:26">
      <c r="A608" s="464"/>
      <c r="B608" s="462" t="s">
        <v>1541</v>
      </c>
      <c r="C608" s="463" t="s">
        <v>320</v>
      </c>
      <c r="D608" s="463" t="s">
        <v>147</v>
      </c>
      <c r="E608" s="150">
        <v>23</v>
      </c>
      <c r="F608" s="150"/>
      <c r="G608" s="150"/>
      <c r="H608" s="465">
        <v>2018</v>
      </c>
      <c r="I608" s="465">
        <v>2020</v>
      </c>
      <c r="J608" s="463"/>
      <c r="K608" s="463"/>
      <c r="L608" s="463"/>
      <c r="M608" s="463"/>
      <c r="N608" s="484">
        <f t="shared" si="130"/>
        <v>0</v>
      </c>
      <c r="O608" s="484"/>
      <c r="P608" s="484"/>
      <c r="Q608" s="484"/>
      <c r="R608" s="484"/>
      <c r="S608" s="462" t="str">
        <f t="shared" si="128"/>
        <v>正确</v>
      </c>
      <c r="T608" s="462"/>
      <c r="U608" s="462"/>
      <c r="V608" s="462"/>
      <c r="W608" s="462"/>
      <c r="X608" s="480"/>
      <c r="Y608" s="480"/>
      <c r="Z608" s="480"/>
    </row>
    <row r="609" s="447" customFormat="1" ht="23.25" customHeight="1" spans="1:26">
      <c r="A609" s="464"/>
      <c r="B609" s="462" t="s">
        <v>1542</v>
      </c>
      <c r="C609" s="463" t="s">
        <v>320</v>
      </c>
      <c r="D609" s="463" t="s">
        <v>147</v>
      </c>
      <c r="E609" s="150">
        <v>26</v>
      </c>
      <c r="F609" s="150"/>
      <c r="G609" s="150"/>
      <c r="H609" s="465">
        <v>2018</v>
      </c>
      <c r="I609" s="465">
        <v>2020</v>
      </c>
      <c r="J609" s="463"/>
      <c r="K609" s="463"/>
      <c r="L609" s="463"/>
      <c r="M609" s="463"/>
      <c r="N609" s="484">
        <f t="shared" si="130"/>
        <v>0</v>
      </c>
      <c r="O609" s="484"/>
      <c r="P609" s="484"/>
      <c r="Q609" s="484"/>
      <c r="R609" s="484"/>
      <c r="S609" s="462" t="str">
        <f t="shared" si="128"/>
        <v>正确</v>
      </c>
      <c r="T609" s="462"/>
      <c r="U609" s="462"/>
      <c r="V609" s="462"/>
      <c r="W609" s="462"/>
      <c r="X609" s="480"/>
      <c r="Y609" s="480"/>
      <c r="Z609" s="480"/>
    </row>
    <row r="610" s="447" customFormat="1" ht="23.25" customHeight="1" spans="1:26">
      <c r="A610" s="464"/>
      <c r="B610" s="462" t="s">
        <v>1543</v>
      </c>
      <c r="C610" s="463" t="s">
        <v>320</v>
      </c>
      <c r="D610" s="463" t="s">
        <v>147</v>
      </c>
      <c r="E610" s="150">
        <v>14</v>
      </c>
      <c r="F610" s="150"/>
      <c r="G610" s="150"/>
      <c r="H610" s="465">
        <v>2018</v>
      </c>
      <c r="I610" s="465">
        <v>2020</v>
      </c>
      <c r="J610" s="463"/>
      <c r="K610" s="463"/>
      <c r="L610" s="463"/>
      <c r="M610" s="463"/>
      <c r="N610" s="484">
        <f t="shared" si="130"/>
        <v>0</v>
      </c>
      <c r="O610" s="484"/>
      <c r="P610" s="484"/>
      <c r="Q610" s="484"/>
      <c r="R610" s="484"/>
      <c r="S610" s="462" t="str">
        <f t="shared" si="128"/>
        <v>正确</v>
      </c>
      <c r="T610" s="462"/>
      <c r="U610" s="462"/>
      <c r="V610" s="462"/>
      <c r="W610" s="462"/>
      <c r="X610" s="480"/>
      <c r="Y610" s="480"/>
      <c r="Z610" s="480"/>
    </row>
    <row r="611" s="447" customFormat="1" ht="23.25" customHeight="1" spans="1:26">
      <c r="A611" s="464"/>
      <c r="B611" s="462" t="s">
        <v>1544</v>
      </c>
      <c r="C611" s="463" t="s">
        <v>320</v>
      </c>
      <c r="D611" s="463" t="s">
        <v>147</v>
      </c>
      <c r="E611" s="150">
        <v>22</v>
      </c>
      <c r="F611" s="150"/>
      <c r="G611" s="150"/>
      <c r="H611" s="465">
        <v>2018</v>
      </c>
      <c r="I611" s="465">
        <v>2020</v>
      </c>
      <c r="J611" s="463"/>
      <c r="K611" s="463"/>
      <c r="L611" s="463"/>
      <c r="M611" s="463"/>
      <c r="N611" s="484">
        <f t="shared" si="130"/>
        <v>0</v>
      </c>
      <c r="O611" s="484"/>
      <c r="P611" s="484"/>
      <c r="Q611" s="484"/>
      <c r="R611" s="484"/>
      <c r="S611" s="462" t="str">
        <f t="shared" si="128"/>
        <v>正确</v>
      </c>
      <c r="T611" s="462"/>
      <c r="U611" s="462"/>
      <c r="V611" s="462"/>
      <c r="W611" s="462"/>
      <c r="X611" s="480"/>
      <c r="Y611" s="480"/>
      <c r="Z611" s="480"/>
    </row>
    <row r="612" s="447" customFormat="1" ht="23.25" customHeight="1" spans="1:26">
      <c r="A612" s="464"/>
      <c r="B612" s="462" t="s">
        <v>1545</v>
      </c>
      <c r="C612" s="463" t="s">
        <v>320</v>
      </c>
      <c r="D612" s="463" t="s">
        <v>147</v>
      </c>
      <c r="E612" s="150">
        <v>29</v>
      </c>
      <c r="F612" s="150"/>
      <c r="G612" s="150"/>
      <c r="H612" s="465">
        <v>2018</v>
      </c>
      <c r="I612" s="465">
        <v>2020</v>
      </c>
      <c r="J612" s="463"/>
      <c r="K612" s="463"/>
      <c r="L612" s="463"/>
      <c r="M612" s="463"/>
      <c r="N612" s="484">
        <f t="shared" si="130"/>
        <v>0</v>
      </c>
      <c r="O612" s="484"/>
      <c r="P612" s="484"/>
      <c r="Q612" s="484"/>
      <c r="R612" s="484"/>
      <c r="S612" s="462" t="str">
        <f t="shared" si="128"/>
        <v>正确</v>
      </c>
      <c r="T612" s="462"/>
      <c r="U612" s="462"/>
      <c r="V612" s="462"/>
      <c r="W612" s="462"/>
      <c r="X612" s="480"/>
      <c r="Y612" s="480"/>
      <c r="Z612" s="480"/>
    </row>
    <row r="613" s="447" customFormat="1" ht="23.25" customHeight="1" spans="1:26">
      <c r="A613" s="464"/>
      <c r="B613" s="462" t="s">
        <v>1546</v>
      </c>
      <c r="C613" s="463" t="s">
        <v>320</v>
      </c>
      <c r="D613" s="463" t="s">
        <v>147</v>
      </c>
      <c r="E613" s="150">
        <v>40</v>
      </c>
      <c r="F613" s="150"/>
      <c r="G613" s="150"/>
      <c r="H613" s="465">
        <v>2018</v>
      </c>
      <c r="I613" s="465">
        <v>2020</v>
      </c>
      <c r="J613" s="463"/>
      <c r="K613" s="463"/>
      <c r="L613" s="463"/>
      <c r="M613" s="463"/>
      <c r="N613" s="484">
        <f t="shared" si="130"/>
        <v>0</v>
      </c>
      <c r="O613" s="484"/>
      <c r="P613" s="484"/>
      <c r="Q613" s="484"/>
      <c r="R613" s="484"/>
      <c r="S613" s="462" t="str">
        <f t="shared" si="128"/>
        <v>正确</v>
      </c>
      <c r="T613" s="462"/>
      <c r="U613" s="462"/>
      <c r="V613" s="462"/>
      <c r="W613" s="462"/>
      <c r="X613" s="480"/>
      <c r="Y613" s="480"/>
      <c r="Z613" s="480"/>
    </row>
    <row r="614" s="447" customFormat="1" ht="23.25" customHeight="1" spans="1:26">
      <c r="A614" s="464"/>
      <c r="B614" s="462" t="s">
        <v>1547</v>
      </c>
      <c r="C614" s="463" t="s">
        <v>320</v>
      </c>
      <c r="D614" s="463" t="s">
        <v>147</v>
      </c>
      <c r="E614" s="465">
        <v>24</v>
      </c>
      <c r="F614" s="465"/>
      <c r="G614" s="465"/>
      <c r="H614" s="465">
        <v>2018</v>
      </c>
      <c r="I614" s="465">
        <v>2020</v>
      </c>
      <c r="J614" s="463"/>
      <c r="K614" s="463"/>
      <c r="L614" s="463"/>
      <c r="M614" s="463"/>
      <c r="N614" s="484">
        <f t="shared" si="130"/>
        <v>0</v>
      </c>
      <c r="O614" s="484"/>
      <c r="P614" s="484"/>
      <c r="Q614" s="484"/>
      <c r="R614" s="484"/>
      <c r="S614" s="462" t="str">
        <f t="shared" si="128"/>
        <v>正确</v>
      </c>
      <c r="T614" s="462"/>
      <c r="U614" s="462"/>
      <c r="V614" s="462"/>
      <c r="W614" s="462"/>
      <c r="X614" s="480"/>
      <c r="Y614" s="480"/>
      <c r="Z614" s="480"/>
    </row>
    <row r="615" s="447" customFormat="1" ht="23.25" customHeight="1" spans="1:26">
      <c r="A615" s="464"/>
      <c r="B615" s="462" t="s">
        <v>1548</v>
      </c>
      <c r="C615" s="463" t="s">
        <v>320</v>
      </c>
      <c r="D615" s="463" t="s">
        <v>147</v>
      </c>
      <c r="E615" s="465">
        <v>38</v>
      </c>
      <c r="F615" s="465"/>
      <c r="G615" s="465"/>
      <c r="H615" s="465">
        <v>2018</v>
      </c>
      <c r="I615" s="465">
        <v>2020</v>
      </c>
      <c r="J615" s="463"/>
      <c r="K615" s="463"/>
      <c r="L615" s="463"/>
      <c r="M615" s="463"/>
      <c r="N615" s="484">
        <f t="shared" si="130"/>
        <v>0</v>
      </c>
      <c r="O615" s="484"/>
      <c r="P615" s="484"/>
      <c r="Q615" s="484"/>
      <c r="R615" s="484"/>
      <c r="S615" s="462" t="str">
        <f t="shared" si="128"/>
        <v>正确</v>
      </c>
      <c r="T615" s="462"/>
      <c r="U615" s="462"/>
      <c r="V615" s="462"/>
      <c r="W615" s="462"/>
      <c r="X615" s="480"/>
      <c r="Y615" s="480"/>
      <c r="Z615" s="480"/>
    </row>
    <row r="616" s="447" customFormat="1" ht="23.25" customHeight="1" spans="1:26">
      <c r="A616" s="464"/>
      <c r="B616" s="462" t="s">
        <v>1549</v>
      </c>
      <c r="C616" s="463" t="s">
        <v>320</v>
      </c>
      <c r="D616" s="463" t="s">
        <v>147</v>
      </c>
      <c r="E616" s="150">
        <v>16</v>
      </c>
      <c r="F616" s="150"/>
      <c r="G616" s="150"/>
      <c r="H616" s="465">
        <v>2018</v>
      </c>
      <c r="I616" s="465">
        <v>2020</v>
      </c>
      <c r="J616" s="463"/>
      <c r="K616" s="463"/>
      <c r="L616" s="463"/>
      <c r="M616" s="463"/>
      <c r="N616" s="484">
        <f t="shared" si="130"/>
        <v>0</v>
      </c>
      <c r="O616" s="484"/>
      <c r="P616" s="484"/>
      <c r="Q616" s="484"/>
      <c r="R616" s="484"/>
      <c r="S616" s="462" t="str">
        <f t="shared" si="128"/>
        <v>正确</v>
      </c>
      <c r="T616" s="462"/>
      <c r="U616" s="462"/>
      <c r="V616" s="462"/>
      <c r="W616" s="462"/>
      <c r="X616" s="480"/>
      <c r="Y616" s="480"/>
      <c r="Z616" s="480"/>
    </row>
    <row r="617" s="447" customFormat="1" ht="23.25" customHeight="1" spans="1:26">
      <c r="A617" s="464"/>
      <c r="B617" s="462" t="s">
        <v>1550</v>
      </c>
      <c r="C617" s="463" t="s">
        <v>320</v>
      </c>
      <c r="D617" s="463" t="s">
        <v>147</v>
      </c>
      <c r="E617" s="150">
        <v>11</v>
      </c>
      <c r="F617" s="150"/>
      <c r="G617" s="150"/>
      <c r="H617" s="465">
        <v>2018</v>
      </c>
      <c r="I617" s="465">
        <v>2020</v>
      </c>
      <c r="J617" s="463"/>
      <c r="K617" s="463"/>
      <c r="L617" s="463"/>
      <c r="M617" s="463"/>
      <c r="N617" s="484">
        <f t="shared" si="130"/>
        <v>0</v>
      </c>
      <c r="O617" s="484"/>
      <c r="P617" s="484"/>
      <c r="Q617" s="484"/>
      <c r="R617" s="484"/>
      <c r="S617" s="462" t="str">
        <f t="shared" si="128"/>
        <v>正确</v>
      </c>
      <c r="T617" s="462"/>
      <c r="U617" s="462"/>
      <c r="V617" s="462"/>
      <c r="W617" s="462"/>
      <c r="X617" s="480"/>
      <c r="Y617" s="480"/>
      <c r="Z617" s="480"/>
    </row>
    <row r="618" s="447" customFormat="1" ht="23.25" customHeight="1" spans="1:26">
      <c r="A618" s="464"/>
      <c r="B618" s="462" t="s">
        <v>1551</v>
      </c>
      <c r="C618" s="463" t="s">
        <v>320</v>
      </c>
      <c r="D618" s="463" t="s">
        <v>147</v>
      </c>
      <c r="E618" s="465">
        <v>5</v>
      </c>
      <c r="F618" s="465"/>
      <c r="G618" s="465"/>
      <c r="H618" s="465">
        <v>2018</v>
      </c>
      <c r="I618" s="465">
        <v>2020</v>
      </c>
      <c r="J618" s="463"/>
      <c r="K618" s="463"/>
      <c r="L618" s="463"/>
      <c r="M618" s="463"/>
      <c r="N618" s="484">
        <f t="shared" si="130"/>
        <v>0</v>
      </c>
      <c r="O618" s="484"/>
      <c r="P618" s="484"/>
      <c r="Q618" s="484"/>
      <c r="R618" s="484"/>
      <c r="S618" s="462" t="str">
        <f t="shared" si="128"/>
        <v>正确</v>
      </c>
      <c r="T618" s="462"/>
      <c r="U618" s="462"/>
      <c r="V618" s="462"/>
      <c r="W618" s="462"/>
      <c r="X618" s="480"/>
      <c r="Y618" s="480"/>
      <c r="Z618" s="480"/>
    </row>
    <row r="619" s="447" customFormat="1" ht="23.25" customHeight="1" spans="1:26">
      <c r="A619" s="464">
        <v>2</v>
      </c>
      <c r="B619" s="462" t="s">
        <v>457</v>
      </c>
      <c r="C619" s="463" t="s">
        <v>320</v>
      </c>
      <c r="D619" s="463" t="s">
        <v>147</v>
      </c>
      <c r="E619" s="465"/>
      <c r="F619" s="465"/>
      <c r="G619" s="465"/>
      <c r="H619" s="465"/>
      <c r="I619" s="465"/>
      <c r="J619" s="463"/>
      <c r="K619" s="463"/>
      <c r="L619" s="463"/>
      <c r="M619" s="463"/>
      <c r="N619" s="463"/>
      <c r="O619" s="463"/>
      <c r="P619" s="463"/>
      <c r="Q619" s="463"/>
      <c r="R619" s="463"/>
      <c r="S619" s="462" t="str">
        <f t="shared" si="128"/>
        <v>正确</v>
      </c>
      <c r="T619" s="462"/>
      <c r="U619" s="462"/>
      <c r="V619" s="462" t="s">
        <v>320</v>
      </c>
      <c r="W619" s="462" t="s">
        <v>41</v>
      </c>
      <c r="X619" s="480"/>
      <c r="Y619" s="480"/>
      <c r="Z619" s="480"/>
    </row>
    <row r="620" s="447" customFormat="1" ht="23.25" customHeight="1" spans="1:26">
      <c r="A620" s="464">
        <v>3</v>
      </c>
      <c r="B620" s="462" t="s">
        <v>458</v>
      </c>
      <c r="C620" s="463" t="s">
        <v>320</v>
      </c>
      <c r="D620" s="463" t="s">
        <v>147</v>
      </c>
      <c r="E620" s="465"/>
      <c r="F620" s="465"/>
      <c r="G620" s="465"/>
      <c r="H620" s="465"/>
      <c r="I620" s="465"/>
      <c r="J620" s="463"/>
      <c r="K620" s="463"/>
      <c r="L620" s="463"/>
      <c r="M620" s="463"/>
      <c r="N620" s="463"/>
      <c r="O620" s="463"/>
      <c r="P620" s="463"/>
      <c r="Q620" s="463"/>
      <c r="R620" s="463"/>
      <c r="S620" s="462" t="str">
        <f t="shared" si="128"/>
        <v>正确</v>
      </c>
      <c r="T620" s="462"/>
      <c r="U620" s="462"/>
      <c r="V620" s="462" t="s">
        <v>338</v>
      </c>
      <c r="W620" s="462" t="s">
        <v>41</v>
      </c>
      <c r="X620" s="480"/>
      <c r="Y620" s="480"/>
      <c r="Z620" s="480"/>
    </row>
    <row r="621" s="447" customFormat="1" ht="23.25" customHeight="1" spans="1:26">
      <c r="A621" s="464"/>
      <c r="B621" s="462" t="s">
        <v>1540</v>
      </c>
      <c r="C621" s="463" t="s">
        <v>320</v>
      </c>
      <c r="D621" s="463" t="s">
        <v>147</v>
      </c>
      <c r="E621" s="465"/>
      <c r="F621" s="465"/>
      <c r="G621" s="465"/>
      <c r="H621" s="465"/>
      <c r="I621" s="465"/>
      <c r="J621" s="463"/>
      <c r="K621" s="463"/>
      <c r="L621" s="463"/>
      <c r="M621" s="463"/>
      <c r="N621" s="484"/>
      <c r="O621" s="484"/>
      <c r="P621" s="484"/>
      <c r="Q621" s="484"/>
      <c r="R621" s="484"/>
      <c r="S621" s="462" t="str">
        <f t="shared" si="128"/>
        <v>正确</v>
      </c>
      <c r="T621" s="462"/>
      <c r="U621" s="462"/>
      <c r="V621" s="462"/>
      <c r="W621" s="462"/>
      <c r="X621" s="480"/>
      <c r="Y621" s="480"/>
      <c r="Z621" s="480"/>
    </row>
    <row r="622" s="447" customFormat="1" ht="23.25" customHeight="1" spans="1:26">
      <c r="A622" s="464"/>
      <c r="B622" s="462" t="s">
        <v>1541</v>
      </c>
      <c r="C622" s="463" t="s">
        <v>320</v>
      </c>
      <c r="D622" s="463" t="s">
        <v>147</v>
      </c>
      <c r="E622" s="465"/>
      <c r="F622" s="465"/>
      <c r="G622" s="465"/>
      <c r="H622" s="465"/>
      <c r="I622" s="463"/>
      <c r="J622" s="463"/>
      <c r="K622" s="463"/>
      <c r="L622" s="463"/>
      <c r="M622" s="463"/>
      <c r="N622" s="484"/>
      <c r="O622" s="484"/>
      <c r="P622" s="484"/>
      <c r="Q622" s="484"/>
      <c r="R622" s="484"/>
      <c r="S622" s="462" t="str">
        <f t="shared" si="128"/>
        <v>正确</v>
      </c>
      <c r="T622" s="462"/>
      <c r="U622" s="462"/>
      <c r="V622" s="462"/>
      <c r="W622" s="462"/>
      <c r="X622" s="480"/>
      <c r="Y622" s="480"/>
      <c r="Z622" s="480"/>
    </row>
    <row r="623" s="447" customFormat="1" ht="23.25" customHeight="1" spans="1:26">
      <c r="A623" s="464"/>
      <c r="B623" s="462" t="s">
        <v>1542</v>
      </c>
      <c r="C623" s="463" t="s">
        <v>320</v>
      </c>
      <c r="D623" s="463" t="s">
        <v>147</v>
      </c>
      <c r="E623" s="465"/>
      <c r="F623" s="465"/>
      <c r="G623" s="465"/>
      <c r="H623" s="465"/>
      <c r="I623" s="465"/>
      <c r="J623" s="463"/>
      <c r="K623" s="463"/>
      <c r="L623" s="463"/>
      <c r="M623" s="463"/>
      <c r="N623" s="484"/>
      <c r="O623" s="484"/>
      <c r="P623" s="484"/>
      <c r="Q623" s="484"/>
      <c r="R623" s="484"/>
      <c r="S623" s="462" t="str">
        <f t="shared" si="128"/>
        <v>正确</v>
      </c>
      <c r="T623" s="462"/>
      <c r="U623" s="462"/>
      <c r="V623" s="462"/>
      <c r="W623" s="462"/>
      <c r="X623" s="480"/>
      <c r="Y623" s="480"/>
      <c r="Z623" s="480"/>
    </row>
    <row r="624" s="447" customFormat="1" ht="23.25" customHeight="1" spans="1:26">
      <c r="A624" s="464"/>
      <c r="B624" s="462" t="s">
        <v>1543</v>
      </c>
      <c r="C624" s="463" t="s">
        <v>320</v>
      </c>
      <c r="D624" s="463" t="s">
        <v>147</v>
      </c>
      <c r="E624" s="465"/>
      <c r="F624" s="465"/>
      <c r="G624" s="465"/>
      <c r="H624" s="465"/>
      <c r="I624" s="465"/>
      <c r="J624" s="463"/>
      <c r="K624" s="463"/>
      <c r="L624" s="463"/>
      <c r="M624" s="463"/>
      <c r="N624" s="484"/>
      <c r="O624" s="484"/>
      <c r="P624" s="484"/>
      <c r="Q624" s="484"/>
      <c r="R624" s="484"/>
      <c r="S624" s="462" t="str">
        <f t="shared" si="128"/>
        <v>正确</v>
      </c>
      <c r="T624" s="462"/>
      <c r="U624" s="462"/>
      <c r="V624" s="462"/>
      <c r="W624" s="462"/>
      <c r="X624" s="480"/>
      <c r="Y624" s="480"/>
      <c r="Z624" s="480"/>
    </row>
    <row r="625" s="447" customFormat="1" ht="23.25" customHeight="1" spans="1:26">
      <c r="A625" s="464"/>
      <c r="B625" s="462" t="s">
        <v>1544</v>
      </c>
      <c r="C625" s="463" t="s">
        <v>320</v>
      </c>
      <c r="D625" s="463" t="s">
        <v>147</v>
      </c>
      <c r="E625" s="465"/>
      <c r="F625" s="465"/>
      <c r="G625" s="465"/>
      <c r="H625" s="465"/>
      <c r="I625" s="465"/>
      <c r="J625" s="463"/>
      <c r="K625" s="463"/>
      <c r="L625" s="463"/>
      <c r="M625" s="463"/>
      <c r="N625" s="484"/>
      <c r="O625" s="484"/>
      <c r="P625" s="484"/>
      <c r="Q625" s="484"/>
      <c r="R625" s="484"/>
      <c r="S625" s="462" t="str">
        <f t="shared" si="128"/>
        <v>正确</v>
      </c>
      <c r="T625" s="462"/>
      <c r="U625" s="462"/>
      <c r="V625" s="462"/>
      <c r="W625" s="462"/>
      <c r="X625" s="480"/>
      <c r="Y625" s="480"/>
      <c r="Z625" s="480"/>
    </row>
    <row r="626" s="447" customFormat="1" ht="23.25" customHeight="1" spans="1:26">
      <c r="A626" s="464"/>
      <c r="B626" s="462" t="s">
        <v>1545</v>
      </c>
      <c r="C626" s="463" t="s">
        <v>320</v>
      </c>
      <c r="D626" s="463" t="s">
        <v>147</v>
      </c>
      <c r="E626" s="465"/>
      <c r="F626" s="465"/>
      <c r="G626" s="465"/>
      <c r="H626" s="465"/>
      <c r="I626" s="465"/>
      <c r="J626" s="463"/>
      <c r="K626" s="463"/>
      <c r="L626" s="463"/>
      <c r="M626" s="463"/>
      <c r="N626" s="484"/>
      <c r="O626" s="484"/>
      <c r="P626" s="484"/>
      <c r="Q626" s="484"/>
      <c r="R626" s="484"/>
      <c r="S626" s="462" t="str">
        <f t="shared" si="128"/>
        <v>正确</v>
      </c>
      <c r="T626" s="462"/>
      <c r="U626" s="462"/>
      <c r="V626" s="462"/>
      <c r="W626" s="462"/>
      <c r="X626" s="480"/>
      <c r="Y626" s="480"/>
      <c r="Z626" s="480"/>
    </row>
    <row r="627" s="447" customFormat="1" ht="23.25" customHeight="1" spans="1:26">
      <c r="A627" s="464"/>
      <c r="B627" s="462" t="s">
        <v>1546</v>
      </c>
      <c r="C627" s="463" t="s">
        <v>320</v>
      </c>
      <c r="D627" s="463" t="s">
        <v>147</v>
      </c>
      <c r="E627" s="465"/>
      <c r="F627" s="465"/>
      <c r="G627" s="465"/>
      <c r="H627" s="465"/>
      <c r="I627" s="465"/>
      <c r="J627" s="463"/>
      <c r="K627" s="463"/>
      <c r="L627" s="463"/>
      <c r="M627" s="463"/>
      <c r="N627" s="484"/>
      <c r="O627" s="484"/>
      <c r="P627" s="484"/>
      <c r="Q627" s="484"/>
      <c r="R627" s="484"/>
      <c r="S627" s="462" t="str">
        <f t="shared" si="128"/>
        <v>正确</v>
      </c>
      <c r="T627" s="462"/>
      <c r="U627" s="462"/>
      <c r="V627" s="462"/>
      <c r="W627" s="462"/>
      <c r="X627" s="480"/>
      <c r="Y627" s="480"/>
      <c r="Z627" s="480"/>
    </row>
    <row r="628" s="447" customFormat="1" ht="23.25" customHeight="1" spans="1:26">
      <c r="A628" s="464"/>
      <c r="B628" s="462" t="s">
        <v>1547</v>
      </c>
      <c r="C628" s="463" t="s">
        <v>320</v>
      </c>
      <c r="D628" s="463" t="s">
        <v>147</v>
      </c>
      <c r="E628" s="465"/>
      <c r="F628" s="465"/>
      <c r="G628" s="465"/>
      <c r="H628" s="465"/>
      <c r="I628" s="465"/>
      <c r="J628" s="463"/>
      <c r="K628" s="463"/>
      <c r="L628" s="463"/>
      <c r="M628" s="463"/>
      <c r="N628" s="484"/>
      <c r="O628" s="484"/>
      <c r="P628" s="484"/>
      <c r="Q628" s="484"/>
      <c r="R628" s="484"/>
      <c r="S628" s="462" t="str">
        <f t="shared" si="128"/>
        <v>正确</v>
      </c>
      <c r="T628" s="462"/>
      <c r="U628" s="462"/>
      <c r="V628" s="462"/>
      <c r="W628" s="462"/>
      <c r="X628" s="480"/>
      <c r="Y628" s="480"/>
      <c r="Z628" s="480"/>
    </row>
    <row r="629" s="447" customFormat="1" ht="23.25" customHeight="1" spans="1:26">
      <c r="A629" s="464"/>
      <c r="B629" s="462" t="s">
        <v>1548</v>
      </c>
      <c r="C629" s="463" t="s">
        <v>320</v>
      </c>
      <c r="D629" s="463" t="s">
        <v>147</v>
      </c>
      <c r="E629" s="465"/>
      <c r="F629" s="465"/>
      <c r="G629" s="465"/>
      <c r="H629" s="465"/>
      <c r="I629" s="465"/>
      <c r="J629" s="463"/>
      <c r="K629" s="463"/>
      <c r="L629" s="463"/>
      <c r="M629" s="463"/>
      <c r="N629" s="484"/>
      <c r="O629" s="484"/>
      <c r="P629" s="484"/>
      <c r="Q629" s="484"/>
      <c r="R629" s="484"/>
      <c r="S629" s="462" t="str">
        <f t="shared" si="128"/>
        <v>正确</v>
      </c>
      <c r="T629" s="462"/>
      <c r="U629" s="462"/>
      <c r="V629" s="462"/>
      <c r="W629" s="462"/>
      <c r="X629" s="480"/>
      <c r="Y629" s="480"/>
      <c r="Z629" s="480"/>
    </row>
    <row r="630" s="447" customFormat="1" ht="23.25" customHeight="1" spans="1:26">
      <c r="A630" s="464"/>
      <c r="B630" s="462" t="s">
        <v>1549</v>
      </c>
      <c r="C630" s="463" t="s">
        <v>320</v>
      </c>
      <c r="D630" s="463" t="s">
        <v>147</v>
      </c>
      <c r="E630" s="465"/>
      <c r="F630" s="465"/>
      <c r="G630" s="465"/>
      <c r="H630" s="465"/>
      <c r="I630" s="465"/>
      <c r="J630" s="463"/>
      <c r="K630" s="463"/>
      <c r="L630" s="463"/>
      <c r="M630" s="463"/>
      <c r="N630" s="484"/>
      <c r="O630" s="484"/>
      <c r="P630" s="484"/>
      <c r="Q630" s="484"/>
      <c r="R630" s="484"/>
      <c r="S630" s="462" t="str">
        <f t="shared" si="128"/>
        <v>正确</v>
      </c>
      <c r="T630" s="462"/>
      <c r="U630" s="462"/>
      <c r="V630" s="462"/>
      <c r="W630" s="462"/>
      <c r="X630" s="480"/>
      <c r="Y630" s="480"/>
      <c r="Z630" s="480"/>
    </row>
    <row r="631" s="447" customFormat="1" ht="23.25" customHeight="1" spans="1:26">
      <c r="A631" s="464"/>
      <c r="B631" s="462" t="s">
        <v>1550</v>
      </c>
      <c r="C631" s="463" t="s">
        <v>320</v>
      </c>
      <c r="D631" s="463" t="s">
        <v>147</v>
      </c>
      <c r="E631" s="465"/>
      <c r="F631" s="465"/>
      <c r="G631" s="465"/>
      <c r="H631" s="465"/>
      <c r="I631" s="465"/>
      <c r="J631" s="463"/>
      <c r="K631" s="463"/>
      <c r="L631" s="463"/>
      <c r="M631" s="463"/>
      <c r="N631" s="484"/>
      <c r="O631" s="484"/>
      <c r="P631" s="484"/>
      <c r="Q631" s="484"/>
      <c r="R631" s="484"/>
      <c r="S631" s="462" t="str">
        <f t="shared" si="128"/>
        <v>正确</v>
      </c>
      <c r="T631" s="462"/>
      <c r="U631" s="462"/>
      <c r="V631" s="462"/>
      <c r="W631" s="462"/>
      <c r="X631" s="480"/>
      <c r="Y631" s="480"/>
      <c r="Z631" s="480"/>
    </row>
    <row r="632" s="447" customFormat="1" ht="23.25" customHeight="1" spans="1:26">
      <c r="A632" s="464"/>
      <c r="B632" s="462" t="s">
        <v>1551</v>
      </c>
      <c r="C632" s="463" t="s">
        <v>320</v>
      </c>
      <c r="D632" s="463" t="s">
        <v>147</v>
      </c>
      <c r="E632" s="465"/>
      <c r="F632" s="465"/>
      <c r="G632" s="465"/>
      <c r="H632" s="465"/>
      <c r="I632" s="465"/>
      <c r="J632" s="463"/>
      <c r="K632" s="463"/>
      <c r="L632" s="463"/>
      <c r="M632" s="463"/>
      <c r="N632" s="484"/>
      <c r="O632" s="484"/>
      <c r="P632" s="484"/>
      <c r="Q632" s="484"/>
      <c r="R632" s="484"/>
      <c r="S632" s="462" t="str">
        <f t="shared" si="128"/>
        <v>正确</v>
      </c>
      <c r="T632" s="462"/>
      <c r="U632" s="462"/>
      <c r="V632" s="462"/>
      <c r="W632" s="462"/>
      <c r="X632" s="480"/>
      <c r="Y632" s="480"/>
      <c r="Z632" s="480"/>
    </row>
    <row r="633" s="447" customFormat="1" ht="23.25" customHeight="1" spans="1:26">
      <c r="A633" s="464">
        <v>3</v>
      </c>
      <c r="B633" s="462" t="s">
        <v>459</v>
      </c>
      <c r="C633" s="463" t="s">
        <v>320</v>
      </c>
      <c r="D633" s="463" t="s">
        <v>147</v>
      </c>
      <c r="E633" s="465"/>
      <c r="F633" s="465"/>
      <c r="G633" s="465"/>
      <c r="H633" s="465"/>
      <c r="I633" s="465"/>
      <c r="J633" s="463"/>
      <c r="K633" s="463"/>
      <c r="L633" s="463"/>
      <c r="M633" s="463"/>
      <c r="N633" s="484"/>
      <c r="O633" s="484"/>
      <c r="P633" s="484"/>
      <c r="Q633" s="484"/>
      <c r="R633" s="484"/>
      <c r="S633" s="462" t="str">
        <f t="shared" si="128"/>
        <v>正确</v>
      </c>
      <c r="T633" s="462"/>
      <c r="U633" s="462"/>
      <c r="V633" s="462" t="s">
        <v>338</v>
      </c>
      <c r="W633" s="462" t="s">
        <v>41</v>
      </c>
      <c r="X633" s="480"/>
      <c r="Y633" s="480"/>
      <c r="Z633" s="480"/>
    </row>
    <row r="634" s="447" customFormat="1" ht="23.25" customHeight="1" spans="1:26">
      <c r="A634" s="464"/>
      <c r="B634" s="462" t="s">
        <v>1540</v>
      </c>
      <c r="C634" s="463" t="s">
        <v>320</v>
      </c>
      <c r="D634" s="463" t="s">
        <v>147</v>
      </c>
      <c r="E634" s="465"/>
      <c r="F634" s="465"/>
      <c r="G634" s="465"/>
      <c r="H634" s="465"/>
      <c r="I634" s="465"/>
      <c r="J634" s="463"/>
      <c r="K634" s="463"/>
      <c r="L634" s="463"/>
      <c r="M634" s="463"/>
      <c r="N634" s="484"/>
      <c r="O634" s="484"/>
      <c r="P634" s="484"/>
      <c r="Q634" s="484"/>
      <c r="R634" s="484"/>
      <c r="S634" s="462" t="str">
        <f t="shared" si="128"/>
        <v>正确</v>
      </c>
      <c r="T634" s="462"/>
      <c r="U634" s="462"/>
      <c r="V634" s="462"/>
      <c r="W634" s="462"/>
      <c r="X634" s="480"/>
      <c r="Y634" s="480"/>
      <c r="Z634" s="480"/>
    </row>
    <row r="635" s="447" customFormat="1" ht="23.25" customHeight="1" spans="1:26">
      <c r="A635" s="464"/>
      <c r="B635" s="462" t="s">
        <v>1541</v>
      </c>
      <c r="C635" s="463" t="s">
        <v>320</v>
      </c>
      <c r="D635" s="463" t="s">
        <v>147</v>
      </c>
      <c r="E635" s="465"/>
      <c r="F635" s="465"/>
      <c r="G635" s="465"/>
      <c r="H635" s="465"/>
      <c r="I635" s="465"/>
      <c r="J635" s="463"/>
      <c r="K635" s="463"/>
      <c r="L635" s="463"/>
      <c r="M635" s="463"/>
      <c r="N635" s="484"/>
      <c r="O635" s="484"/>
      <c r="P635" s="484"/>
      <c r="Q635" s="484"/>
      <c r="R635" s="484"/>
      <c r="S635" s="462" t="str">
        <f t="shared" si="128"/>
        <v>正确</v>
      </c>
      <c r="T635" s="462"/>
      <c r="U635" s="462"/>
      <c r="V635" s="462"/>
      <c r="W635" s="462"/>
      <c r="X635" s="480"/>
      <c r="Y635" s="480"/>
      <c r="Z635" s="480"/>
    </row>
    <row r="636" s="447" customFormat="1" ht="23.25" customHeight="1" spans="1:26">
      <c r="A636" s="464"/>
      <c r="B636" s="462" t="s">
        <v>1542</v>
      </c>
      <c r="C636" s="463" t="s">
        <v>320</v>
      </c>
      <c r="D636" s="463" t="s">
        <v>147</v>
      </c>
      <c r="E636" s="465"/>
      <c r="F636" s="465"/>
      <c r="G636" s="465"/>
      <c r="H636" s="465"/>
      <c r="I636" s="465"/>
      <c r="J636" s="463"/>
      <c r="K636" s="463"/>
      <c r="L636" s="463"/>
      <c r="M636" s="463"/>
      <c r="N636" s="484"/>
      <c r="O636" s="484"/>
      <c r="P636" s="484"/>
      <c r="Q636" s="484"/>
      <c r="R636" s="484"/>
      <c r="S636" s="462" t="str">
        <f t="shared" si="128"/>
        <v>正确</v>
      </c>
      <c r="T636" s="462"/>
      <c r="U636" s="462"/>
      <c r="V636" s="462"/>
      <c r="W636" s="462"/>
      <c r="X636" s="480"/>
      <c r="Y636" s="480"/>
      <c r="Z636" s="480"/>
    </row>
    <row r="637" s="447" customFormat="1" ht="23.25" customHeight="1" spans="1:26">
      <c r="A637" s="464"/>
      <c r="B637" s="462" t="s">
        <v>1543</v>
      </c>
      <c r="C637" s="463" t="s">
        <v>320</v>
      </c>
      <c r="D637" s="463" t="s">
        <v>147</v>
      </c>
      <c r="E637" s="465"/>
      <c r="F637" s="465"/>
      <c r="G637" s="465"/>
      <c r="H637" s="465"/>
      <c r="I637" s="465"/>
      <c r="J637" s="463"/>
      <c r="K637" s="463"/>
      <c r="L637" s="463"/>
      <c r="M637" s="463"/>
      <c r="N637" s="484"/>
      <c r="O637" s="484"/>
      <c r="P637" s="484"/>
      <c r="Q637" s="484"/>
      <c r="R637" s="484"/>
      <c r="S637" s="462" t="str">
        <f t="shared" si="128"/>
        <v>正确</v>
      </c>
      <c r="T637" s="462"/>
      <c r="U637" s="462"/>
      <c r="V637" s="462"/>
      <c r="W637" s="462"/>
      <c r="X637" s="480"/>
      <c r="Y637" s="480"/>
      <c r="Z637" s="480"/>
    </row>
    <row r="638" s="447" customFormat="1" ht="23.25" customHeight="1" spans="1:26">
      <c r="A638" s="464"/>
      <c r="B638" s="462" t="s">
        <v>1544</v>
      </c>
      <c r="C638" s="463" t="s">
        <v>320</v>
      </c>
      <c r="D638" s="463" t="s">
        <v>147</v>
      </c>
      <c r="E638" s="465"/>
      <c r="F638" s="465"/>
      <c r="G638" s="465"/>
      <c r="H638" s="465"/>
      <c r="I638" s="465"/>
      <c r="J638" s="463"/>
      <c r="K638" s="463"/>
      <c r="L638" s="463"/>
      <c r="M638" s="463"/>
      <c r="N638" s="484"/>
      <c r="O638" s="484"/>
      <c r="P638" s="484"/>
      <c r="Q638" s="484"/>
      <c r="R638" s="484"/>
      <c r="S638" s="462" t="str">
        <f t="shared" si="128"/>
        <v>正确</v>
      </c>
      <c r="T638" s="462"/>
      <c r="U638" s="462"/>
      <c r="V638" s="462"/>
      <c r="W638" s="462"/>
      <c r="X638" s="480"/>
      <c r="Y638" s="480"/>
      <c r="Z638" s="480"/>
    </row>
    <row r="639" s="447" customFormat="1" ht="23.25" customHeight="1" spans="1:26">
      <c r="A639" s="464"/>
      <c r="B639" s="462" t="s">
        <v>1545</v>
      </c>
      <c r="C639" s="463" t="s">
        <v>320</v>
      </c>
      <c r="D639" s="463" t="s">
        <v>147</v>
      </c>
      <c r="E639" s="465"/>
      <c r="F639" s="465"/>
      <c r="G639" s="465"/>
      <c r="H639" s="465"/>
      <c r="I639" s="465"/>
      <c r="J639" s="463"/>
      <c r="K639" s="463"/>
      <c r="L639" s="463"/>
      <c r="M639" s="463"/>
      <c r="N639" s="484"/>
      <c r="O639" s="484"/>
      <c r="P639" s="484"/>
      <c r="Q639" s="484"/>
      <c r="R639" s="484"/>
      <c r="S639" s="462" t="str">
        <f t="shared" si="128"/>
        <v>正确</v>
      </c>
      <c r="T639" s="462"/>
      <c r="U639" s="462"/>
      <c r="V639" s="462"/>
      <c r="W639" s="462"/>
      <c r="X639" s="480"/>
      <c r="Y639" s="480"/>
      <c r="Z639" s="480"/>
    </row>
    <row r="640" s="447" customFormat="1" ht="23.25" customHeight="1" spans="1:26">
      <c r="A640" s="464"/>
      <c r="B640" s="462" t="s">
        <v>1546</v>
      </c>
      <c r="C640" s="463" t="s">
        <v>320</v>
      </c>
      <c r="D640" s="463" t="s">
        <v>147</v>
      </c>
      <c r="E640" s="465"/>
      <c r="F640" s="465"/>
      <c r="G640" s="465"/>
      <c r="H640" s="465"/>
      <c r="I640" s="465"/>
      <c r="J640" s="463"/>
      <c r="K640" s="463"/>
      <c r="L640" s="463"/>
      <c r="M640" s="463"/>
      <c r="N640" s="484"/>
      <c r="O640" s="484"/>
      <c r="P640" s="484"/>
      <c r="Q640" s="484"/>
      <c r="R640" s="484"/>
      <c r="S640" s="462" t="str">
        <f t="shared" si="128"/>
        <v>正确</v>
      </c>
      <c r="T640" s="462"/>
      <c r="U640" s="462"/>
      <c r="V640" s="462"/>
      <c r="W640" s="462"/>
      <c r="X640" s="480"/>
      <c r="Y640" s="480"/>
      <c r="Z640" s="480"/>
    </row>
    <row r="641" s="447" customFormat="1" ht="23.25" customHeight="1" spans="1:26">
      <c r="A641" s="464"/>
      <c r="B641" s="462" t="s">
        <v>1547</v>
      </c>
      <c r="C641" s="463" t="s">
        <v>320</v>
      </c>
      <c r="D641" s="463" t="s">
        <v>147</v>
      </c>
      <c r="E641" s="465"/>
      <c r="F641" s="465"/>
      <c r="G641" s="465"/>
      <c r="H641" s="465"/>
      <c r="I641" s="465"/>
      <c r="J641" s="463"/>
      <c r="K641" s="463"/>
      <c r="L641" s="463"/>
      <c r="M641" s="463"/>
      <c r="N641" s="484"/>
      <c r="O641" s="484"/>
      <c r="P641" s="484"/>
      <c r="Q641" s="484"/>
      <c r="R641" s="484"/>
      <c r="S641" s="462" t="str">
        <f t="shared" si="128"/>
        <v>正确</v>
      </c>
      <c r="T641" s="462"/>
      <c r="U641" s="462"/>
      <c r="V641" s="462"/>
      <c r="W641" s="462"/>
      <c r="X641" s="480"/>
      <c r="Y641" s="480"/>
      <c r="Z641" s="480"/>
    </row>
    <row r="642" s="447" customFormat="1" ht="23.25" customHeight="1" spans="1:26">
      <c r="A642" s="464"/>
      <c r="B642" s="462" t="s">
        <v>1548</v>
      </c>
      <c r="C642" s="463" t="s">
        <v>320</v>
      </c>
      <c r="D642" s="463" t="s">
        <v>147</v>
      </c>
      <c r="E642" s="465"/>
      <c r="F642" s="465"/>
      <c r="G642" s="465"/>
      <c r="H642" s="465"/>
      <c r="I642" s="465"/>
      <c r="J642" s="463"/>
      <c r="K642" s="463"/>
      <c r="L642" s="463"/>
      <c r="M642" s="463"/>
      <c r="N642" s="484"/>
      <c r="O642" s="484"/>
      <c r="P642" s="484"/>
      <c r="Q642" s="484"/>
      <c r="R642" s="484"/>
      <c r="S642" s="462" t="str">
        <f t="shared" si="128"/>
        <v>正确</v>
      </c>
      <c r="T642" s="462"/>
      <c r="U642" s="462"/>
      <c r="V642" s="462"/>
      <c r="W642" s="462"/>
      <c r="X642" s="480"/>
      <c r="Y642" s="480"/>
      <c r="Z642" s="480"/>
    </row>
    <row r="643" s="447" customFormat="1" ht="23.25" customHeight="1" spans="1:26">
      <c r="A643" s="464"/>
      <c r="B643" s="462" t="s">
        <v>1549</v>
      </c>
      <c r="C643" s="463" t="s">
        <v>320</v>
      </c>
      <c r="D643" s="463" t="s">
        <v>147</v>
      </c>
      <c r="E643" s="465"/>
      <c r="F643" s="465"/>
      <c r="G643" s="465"/>
      <c r="H643" s="465"/>
      <c r="I643" s="465"/>
      <c r="J643" s="463"/>
      <c r="K643" s="463"/>
      <c r="L643" s="463"/>
      <c r="M643" s="463"/>
      <c r="N643" s="484"/>
      <c r="O643" s="484"/>
      <c r="P643" s="484"/>
      <c r="Q643" s="484"/>
      <c r="R643" s="484"/>
      <c r="S643" s="462" t="str">
        <f t="shared" si="128"/>
        <v>正确</v>
      </c>
      <c r="T643" s="462"/>
      <c r="U643" s="462"/>
      <c r="V643" s="462"/>
      <c r="W643" s="462"/>
      <c r="X643" s="480"/>
      <c r="Y643" s="480"/>
      <c r="Z643" s="480"/>
    </row>
    <row r="644" s="447" customFormat="1" ht="23.25" customHeight="1" spans="1:26">
      <c r="A644" s="464"/>
      <c r="B644" s="462" t="s">
        <v>1550</v>
      </c>
      <c r="C644" s="463" t="s">
        <v>320</v>
      </c>
      <c r="D644" s="463" t="s">
        <v>147</v>
      </c>
      <c r="E644" s="465"/>
      <c r="F644" s="465"/>
      <c r="G644" s="465"/>
      <c r="H644" s="465"/>
      <c r="I644" s="465"/>
      <c r="J644" s="463"/>
      <c r="K644" s="463"/>
      <c r="L644" s="463"/>
      <c r="M644" s="463"/>
      <c r="N644" s="484"/>
      <c r="O644" s="484"/>
      <c r="P644" s="484"/>
      <c r="Q644" s="484"/>
      <c r="R644" s="484"/>
      <c r="S644" s="462" t="str">
        <f t="shared" si="128"/>
        <v>正确</v>
      </c>
      <c r="T644" s="462"/>
      <c r="U644" s="462"/>
      <c r="V644" s="462"/>
      <c r="W644" s="462"/>
      <c r="X644" s="480"/>
      <c r="Y644" s="480"/>
      <c r="Z644" s="480"/>
    </row>
    <row r="645" s="447" customFormat="1" ht="23.25" customHeight="1" spans="1:26">
      <c r="A645" s="464"/>
      <c r="B645" s="462" t="s">
        <v>1551</v>
      </c>
      <c r="C645" s="463" t="s">
        <v>320</v>
      </c>
      <c r="D645" s="463" t="s">
        <v>147</v>
      </c>
      <c r="E645" s="465"/>
      <c r="F645" s="465"/>
      <c r="G645" s="465"/>
      <c r="H645" s="465"/>
      <c r="I645" s="465"/>
      <c r="J645" s="463"/>
      <c r="K645" s="463"/>
      <c r="L645" s="463"/>
      <c r="M645" s="463"/>
      <c r="N645" s="484"/>
      <c r="O645" s="484"/>
      <c r="P645" s="484"/>
      <c r="Q645" s="484"/>
      <c r="R645" s="484"/>
      <c r="S645" s="462" t="str">
        <f t="shared" si="128"/>
        <v>正确</v>
      </c>
      <c r="T645" s="462"/>
      <c r="U645" s="462"/>
      <c r="V645" s="462"/>
      <c r="W645" s="462"/>
      <c r="X645" s="480"/>
      <c r="Y645" s="480"/>
      <c r="Z645" s="480"/>
    </row>
    <row r="646" ht="30.95" customHeight="1" spans="1:23">
      <c r="A646" s="464">
        <v>1</v>
      </c>
      <c r="B646" s="462" t="s">
        <v>951</v>
      </c>
      <c r="C646" s="463" t="s">
        <v>320</v>
      </c>
      <c r="D646" s="463" t="s">
        <v>320</v>
      </c>
      <c r="E646" s="465"/>
      <c r="F646" s="465">
        <f>F647+F660+F675+F690+F743+F792+F807+F821+F835</f>
        <v>4487</v>
      </c>
      <c r="G646" s="465">
        <f>G647+G660+G675+G690+G743+G792+G807+G821+G835</f>
        <v>13769</v>
      </c>
      <c r="H646" s="465">
        <v>2018</v>
      </c>
      <c r="I646" s="465">
        <v>2020</v>
      </c>
      <c r="J646" s="463">
        <f t="shared" ref="J646:R646" si="131">J647+J660+J675+J690+J703+J743+J792+J807+J821+J835</f>
        <v>4134.0551</v>
      </c>
      <c r="K646" s="463">
        <f t="shared" si="131"/>
        <v>2381.6251</v>
      </c>
      <c r="L646" s="463">
        <f t="shared" si="131"/>
        <v>1620.09</v>
      </c>
      <c r="M646" s="463">
        <f t="shared" si="131"/>
        <v>132.34</v>
      </c>
      <c r="N646" s="463">
        <f t="shared" si="131"/>
        <v>751.915</v>
      </c>
      <c r="O646" s="463">
        <f t="shared" si="131"/>
        <v>2279.8001</v>
      </c>
      <c r="P646" s="463">
        <f t="shared" si="131"/>
        <v>1002.34</v>
      </c>
      <c r="Q646" s="463">
        <f t="shared" si="131"/>
        <v>100</v>
      </c>
      <c r="R646" s="463">
        <f t="shared" si="131"/>
        <v>0</v>
      </c>
      <c r="S646" s="462" t="str">
        <f t="shared" si="128"/>
        <v>正确</v>
      </c>
      <c r="T646" s="462"/>
      <c r="U646" s="462"/>
      <c r="V646" s="462"/>
      <c r="W646" s="462" t="s">
        <v>41</v>
      </c>
    </row>
    <row r="647" ht="41.1" customHeight="1" spans="1:23">
      <c r="A647" s="464">
        <v>60</v>
      </c>
      <c r="B647" s="485" t="s">
        <v>1175</v>
      </c>
      <c r="C647" s="463" t="s">
        <v>320</v>
      </c>
      <c r="D647" s="463" t="s">
        <v>320</v>
      </c>
      <c r="E647" s="465"/>
      <c r="F647" s="465"/>
      <c r="G647" s="465"/>
      <c r="H647" s="465"/>
      <c r="I647" s="465"/>
      <c r="J647" s="463"/>
      <c r="K647" s="463"/>
      <c r="L647" s="463"/>
      <c r="M647" s="463"/>
      <c r="N647" s="463"/>
      <c r="O647" s="463"/>
      <c r="P647" s="463"/>
      <c r="Q647" s="463"/>
      <c r="R647" s="463"/>
      <c r="S647" s="462" t="str">
        <f t="shared" ref="S647:S710" si="132">IF(SUM(K647:M647)=SUM(N647:R647),"正确","错误")</f>
        <v>正确</v>
      </c>
      <c r="T647" s="462" t="s">
        <v>320</v>
      </c>
      <c r="U647" s="462" t="s">
        <v>320</v>
      </c>
      <c r="V647" s="462" t="s">
        <v>320</v>
      </c>
      <c r="W647" s="462" t="s">
        <v>41</v>
      </c>
    </row>
    <row r="648" ht="23.25" customHeight="1" spans="1:23">
      <c r="A648" s="464"/>
      <c r="B648" s="462" t="s">
        <v>1540</v>
      </c>
      <c r="C648" s="463" t="s">
        <v>320</v>
      </c>
      <c r="D648" s="463" t="s">
        <v>320</v>
      </c>
      <c r="E648" s="465"/>
      <c r="F648" s="465"/>
      <c r="G648" s="465"/>
      <c r="H648" s="465"/>
      <c r="I648" s="465"/>
      <c r="J648" s="463"/>
      <c r="K648" s="463"/>
      <c r="L648" s="463"/>
      <c r="M648" s="463"/>
      <c r="N648" s="484"/>
      <c r="O648" s="484"/>
      <c r="P648" s="484"/>
      <c r="Q648" s="484"/>
      <c r="R648" s="484"/>
      <c r="S648" s="462" t="str">
        <f t="shared" si="132"/>
        <v>正确</v>
      </c>
      <c r="T648" s="462"/>
      <c r="U648" s="462"/>
      <c r="V648" s="462"/>
      <c r="W648" s="462"/>
    </row>
    <row r="649" ht="23.25" customHeight="1" spans="1:23">
      <c r="A649" s="464"/>
      <c r="B649" s="462" t="s">
        <v>1541</v>
      </c>
      <c r="C649" s="463" t="s">
        <v>320</v>
      </c>
      <c r="D649" s="463" t="s">
        <v>320</v>
      </c>
      <c r="E649" s="465"/>
      <c r="F649" s="465"/>
      <c r="G649" s="465"/>
      <c r="H649" s="465"/>
      <c r="I649" s="465"/>
      <c r="J649" s="463"/>
      <c r="K649" s="463"/>
      <c r="L649" s="463"/>
      <c r="M649" s="463"/>
      <c r="N649" s="484"/>
      <c r="O649" s="484"/>
      <c r="P649" s="484"/>
      <c r="Q649" s="484"/>
      <c r="R649" s="484"/>
      <c r="S649" s="462" t="str">
        <f t="shared" si="132"/>
        <v>正确</v>
      </c>
      <c r="T649" s="462"/>
      <c r="U649" s="462"/>
      <c r="V649" s="462"/>
      <c r="W649" s="462"/>
    </row>
    <row r="650" ht="23.25" customHeight="1" spans="1:23">
      <c r="A650" s="464"/>
      <c r="B650" s="462" t="s">
        <v>1542</v>
      </c>
      <c r="C650" s="463" t="s">
        <v>320</v>
      </c>
      <c r="D650" s="463" t="s">
        <v>320</v>
      </c>
      <c r="E650" s="465"/>
      <c r="F650" s="465"/>
      <c r="G650" s="465"/>
      <c r="H650" s="465"/>
      <c r="I650" s="465"/>
      <c r="J650" s="463"/>
      <c r="K650" s="463"/>
      <c r="L650" s="463"/>
      <c r="M650" s="463"/>
      <c r="N650" s="484"/>
      <c r="O650" s="484"/>
      <c r="P650" s="484"/>
      <c r="Q650" s="484"/>
      <c r="R650" s="484"/>
      <c r="S650" s="462" t="str">
        <f t="shared" si="132"/>
        <v>正确</v>
      </c>
      <c r="T650" s="462"/>
      <c r="U650" s="462"/>
      <c r="V650" s="462"/>
      <c r="W650" s="462"/>
    </row>
    <row r="651" ht="23.25" customHeight="1" spans="1:23">
      <c r="A651" s="464"/>
      <c r="B651" s="462" t="s">
        <v>1543</v>
      </c>
      <c r="C651" s="463" t="s">
        <v>320</v>
      </c>
      <c r="D651" s="463" t="s">
        <v>320</v>
      </c>
      <c r="E651" s="465"/>
      <c r="F651" s="465"/>
      <c r="G651" s="465"/>
      <c r="H651" s="465"/>
      <c r="I651" s="465"/>
      <c r="J651" s="463"/>
      <c r="K651" s="463"/>
      <c r="L651" s="463"/>
      <c r="M651" s="463"/>
      <c r="N651" s="484"/>
      <c r="O651" s="484"/>
      <c r="P651" s="484"/>
      <c r="Q651" s="484"/>
      <c r="R651" s="484"/>
      <c r="S651" s="462" t="str">
        <f t="shared" si="132"/>
        <v>正确</v>
      </c>
      <c r="T651" s="462"/>
      <c r="U651" s="462"/>
      <c r="V651" s="462"/>
      <c r="W651" s="462"/>
    </row>
    <row r="652" ht="23.25" customHeight="1" spans="1:23">
      <c r="A652" s="464"/>
      <c r="B652" s="462" t="s">
        <v>1544</v>
      </c>
      <c r="C652" s="463" t="s">
        <v>320</v>
      </c>
      <c r="D652" s="463" t="s">
        <v>320</v>
      </c>
      <c r="E652" s="465"/>
      <c r="F652" s="465"/>
      <c r="G652" s="465"/>
      <c r="H652" s="465"/>
      <c r="I652" s="465"/>
      <c r="J652" s="463"/>
      <c r="K652" s="463"/>
      <c r="L652" s="463"/>
      <c r="M652" s="463"/>
      <c r="N652" s="484"/>
      <c r="O652" s="484"/>
      <c r="P652" s="484"/>
      <c r="Q652" s="484"/>
      <c r="R652" s="484"/>
      <c r="S652" s="462" t="str">
        <f t="shared" si="132"/>
        <v>正确</v>
      </c>
      <c r="T652" s="462"/>
      <c r="U652" s="462"/>
      <c r="V652" s="462"/>
      <c r="W652" s="462"/>
    </row>
    <row r="653" ht="23.25" customHeight="1" spans="1:23">
      <c r="A653" s="464"/>
      <c r="B653" s="462" t="s">
        <v>1545</v>
      </c>
      <c r="C653" s="463" t="s">
        <v>320</v>
      </c>
      <c r="D653" s="463" t="s">
        <v>320</v>
      </c>
      <c r="E653" s="465"/>
      <c r="F653" s="465"/>
      <c r="G653" s="465"/>
      <c r="H653" s="465"/>
      <c r="I653" s="465"/>
      <c r="J653" s="463"/>
      <c r="K653" s="463"/>
      <c r="L653" s="463"/>
      <c r="M653" s="463"/>
      <c r="N653" s="484"/>
      <c r="O653" s="484"/>
      <c r="P653" s="484"/>
      <c r="Q653" s="484"/>
      <c r="R653" s="484"/>
      <c r="S653" s="462" t="str">
        <f t="shared" si="132"/>
        <v>正确</v>
      </c>
      <c r="T653" s="462"/>
      <c r="U653" s="462"/>
      <c r="V653" s="462"/>
      <c r="W653" s="462"/>
    </row>
    <row r="654" ht="23.25" customHeight="1" spans="1:23">
      <c r="A654" s="464"/>
      <c r="B654" s="462" t="s">
        <v>1546</v>
      </c>
      <c r="C654" s="463" t="s">
        <v>320</v>
      </c>
      <c r="D654" s="463" t="s">
        <v>320</v>
      </c>
      <c r="E654" s="465"/>
      <c r="F654" s="465"/>
      <c r="G654" s="465"/>
      <c r="H654" s="465"/>
      <c r="I654" s="465"/>
      <c r="J654" s="463"/>
      <c r="K654" s="463"/>
      <c r="L654" s="463"/>
      <c r="M654" s="463"/>
      <c r="N654" s="484"/>
      <c r="O654" s="484"/>
      <c r="P654" s="484"/>
      <c r="Q654" s="484"/>
      <c r="R654" s="484"/>
      <c r="S654" s="462" t="str">
        <f t="shared" si="132"/>
        <v>正确</v>
      </c>
      <c r="T654" s="462"/>
      <c r="U654" s="462"/>
      <c r="V654" s="462"/>
      <c r="W654" s="462"/>
    </row>
    <row r="655" ht="23.25" customHeight="1" spans="1:23">
      <c r="A655" s="464"/>
      <c r="B655" s="462" t="s">
        <v>1547</v>
      </c>
      <c r="C655" s="463" t="s">
        <v>320</v>
      </c>
      <c r="D655" s="463" t="s">
        <v>320</v>
      </c>
      <c r="E655" s="465"/>
      <c r="F655" s="465"/>
      <c r="G655" s="465"/>
      <c r="H655" s="465"/>
      <c r="I655" s="465"/>
      <c r="J655" s="463"/>
      <c r="K655" s="463"/>
      <c r="L655" s="463"/>
      <c r="M655" s="463"/>
      <c r="N655" s="484"/>
      <c r="O655" s="484"/>
      <c r="P655" s="484"/>
      <c r="Q655" s="484"/>
      <c r="R655" s="484"/>
      <c r="S655" s="462" t="str">
        <f t="shared" si="132"/>
        <v>正确</v>
      </c>
      <c r="T655" s="462"/>
      <c r="U655" s="462"/>
      <c r="V655" s="462"/>
      <c r="W655" s="462"/>
    </row>
    <row r="656" ht="23.25" customHeight="1" spans="1:23">
      <c r="A656" s="464"/>
      <c r="B656" s="462" t="s">
        <v>1548</v>
      </c>
      <c r="C656" s="463" t="s">
        <v>320</v>
      </c>
      <c r="D656" s="463" t="s">
        <v>320</v>
      </c>
      <c r="E656" s="465"/>
      <c r="F656" s="465"/>
      <c r="G656" s="465"/>
      <c r="H656" s="465"/>
      <c r="I656" s="465"/>
      <c r="J656" s="463"/>
      <c r="K656" s="463"/>
      <c r="L656" s="463"/>
      <c r="M656" s="463"/>
      <c r="N656" s="484"/>
      <c r="O656" s="484"/>
      <c r="P656" s="484"/>
      <c r="Q656" s="484"/>
      <c r="R656" s="484"/>
      <c r="S656" s="462" t="str">
        <f t="shared" si="132"/>
        <v>正确</v>
      </c>
      <c r="T656" s="462"/>
      <c r="U656" s="462"/>
      <c r="V656" s="462"/>
      <c r="W656" s="462"/>
    </row>
    <row r="657" ht="23.25" customHeight="1" spans="1:23">
      <c r="A657" s="464"/>
      <c r="B657" s="462" t="s">
        <v>1549</v>
      </c>
      <c r="C657" s="463" t="s">
        <v>320</v>
      </c>
      <c r="D657" s="463" t="s">
        <v>320</v>
      </c>
      <c r="E657" s="465"/>
      <c r="F657" s="465"/>
      <c r="G657" s="465"/>
      <c r="H657" s="465"/>
      <c r="I657" s="465"/>
      <c r="J657" s="463"/>
      <c r="K657" s="463"/>
      <c r="L657" s="463"/>
      <c r="M657" s="463"/>
      <c r="N657" s="484"/>
      <c r="O657" s="484"/>
      <c r="P657" s="484"/>
      <c r="Q657" s="484"/>
      <c r="R657" s="484"/>
      <c r="S657" s="462" t="str">
        <f t="shared" si="132"/>
        <v>正确</v>
      </c>
      <c r="T657" s="462"/>
      <c r="U657" s="462"/>
      <c r="V657" s="462"/>
      <c r="W657" s="462"/>
    </row>
    <row r="658" ht="23.25" customHeight="1" spans="1:23">
      <c r="A658" s="464"/>
      <c r="B658" s="462" t="s">
        <v>1550</v>
      </c>
      <c r="C658" s="463" t="s">
        <v>320</v>
      </c>
      <c r="D658" s="463" t="s">
        <v>320</v>
      </c>
      <c r="E658" s="465"/>
      <c r="F658" s="465"/>
      <c r="G658" s="465"/>
      <c r="H658" s="465"/>
      <c r="I658" s="465"/>
      <c r="J658" s="463"/>
      <c r="K658" s="463"/>
      <c r="L658" s="463"/>
      <c r="M658" s="463"/>
      <c r="N658" s="484"/>
      <c r="O658" s="484"/>
      <c r="P658" s="484"/>
      <c r="Q658" s="484"/>
      <c r="R658" s="484"/>
      <c r="S658" s="462" t="str">
        <f t="shared" si="132"/>
        <v>正确</v>
      </c>
      <c r="T658" s="462"/>
      <c r="U658" s="462"/>
      <c r="V658" s="462"/>
      <c r="W658" s="462"/>
    </row>
    <row r="659" ht="23.25" customHeight="1" spans="1:23">
      <c r="A659" s="464"/>
      <c r="B659" s="462" t="s">
        <v>1551</v>
      </c>
      <c r="C659" s="463" t="s">
        <v>320</v>
      </c>
      <c r="D659" s="463" t="s">
        <v>320</v>
      </c>
      <c r="E659" s="465"/>
      <c r="F659" s="465"/>
      <c r="G659" s="465"/>
      <c r="H659" s="465"/>
      <c r="I659" s="465"/>
      <c r="J659" s="463"/>
      <c r="K659" s="463"/>
      <c r="L659" s="463"/>
      <c r="M659" s="463"/>
      <c r="N659" s="484"/>
      <c r="O659" s="484"/>
      <c r="P659" s="484"/>
      <c r="Q659" s="484"/>
      <c r="R659" s="484"/>
      <c r="S659" s="462" t="str">
        <f t="shared" si="132"/>
        <v>正确</v>
      </c>
      <c r="T659" s="462"/>
      <c r="U659" s="462"/>
      <c r="V659" s="462"/>
      <c r="W659" s="462"/>
    </row>
    <row r="660" ht="23.25" customHeight="1" spans="1:23">
      <c r="A660" s="464">
        <v>61</v>
      </c>
      <c r="B660" s="485" t="s">
        <v>462</v>
      </c>
      <c r="C660" s="463" t="s">
        <v>320</v>
      </c>
      <c r="D660" s="463" t="s">
        <v>192</v>
      </c>
      <c r="E660" s="465">
        <f t="shared" ref="E660:G660" si="133">E661</f>
        <v>34.6</v>
      </c>
      <c r="F660" s="465">
        <f t="shared" si="133"/>
        <v>780</v>
      </c>
      <c r="G660" s="465">
        <f t="shared" si="133"/>
        <v>2801</v>
      </c>
      <c r="H660" s="465">
        <v>2018</v>
      </c>
      <c r="I660" s="465">
        <v>2019</v>
      </c>
      <c r="J660" s="463">
        <f>K660+L660+M660</f>
        <v>450</v>
      </c>
      <c r="K660" s="463">
        <f t="shared" ref="K660:R660" si="134">K661</f>
        <v>376</v>
      </c>
      <c r="L660" s="463">
        <f t="shared" si="134"/>
        <v>74</v>
      </c>
      <c r="M660" s="463">
        <f t="shared" si="134"/>
        <v>0</v>
      </c>
      <c r="N660" s="463">
        <f t="shared" si="134"/>
        <v>322</v>
      </c>
      <c r="O660" s="463">
        <f t="shared" si="134"/>
        <v>74</v>
      </c>
      <c r="P660" s="463">
        <f t="shared" si="134"/>
        <v>54</v>
      </c>
      <c r="Q660" s="463">
        <f t="shared" si="134"/>
        <v>0</v>
      </c>
      <c r="R660" s="463">
        <f t="shared" si="134"/>
        <v>0</v>
      </c>
      <c r="S660" s="462" t="str">
        <f t="shared" si="132"/>
        <v>正确</v>
      </c>
      <c r="T660" s="462" t="s">
        <v>1608</v>
      </c>
      <c r="U660" s="462" t="s">
        <v>1609</v>
      </c>
      <c r="V660" s="462" t="s">
        <v>320</v>
      </c>
      <c r="W660" s="462" t="s">
        <v>41</v>
      </c>
    </row>
    <row r="661" ht="54" customHeight="1" spans="1:23">
      <c r="A661" s="464">
        <v>62</v>
      </c>
      <c r="B661" s="462" t="s">
        <v>464</v>
      </c>
      <c r="C661" s="463" t="s">
        <v>1124</v>
      </c>
      <c r="D661" s="463" t="s">
        <v>192</v>
      </c>
      <c r="E661" s="465">
        <v>34.6</v>
      </c>
      <c r="F661" s="465">
        <f t="shared" ref="F661:G661" si="135">SUM(F662:F674)</f>
        <v>780</v>
      </c>
      <c r="G661" s="465">
        <f t="shared" si="135"/>
        <v>2801</v>
      </c>
      <c r="H661" s="465">
        <v>2018</v>
      </c>
      <c r="I661" s="465">
        <v>2019</v>
      </c>
      <c r="J661" s="463">
        <f>K661+L661+M661</f>
        <v>450</v>
      </c>
      <c r="K661" s="463">
        <f t="shared" ref="K661:R661" si="136">SUM(K662:K674)</f>
        <v>376</v>
      </c>
      <c r="L661" s="463">
        <f t="shared" si="136"/>
        <v>74</v>
      </c>
      <c r="M661" s="463">
        <f t="shared" si="136"/>
        <v>0</v>
      </c>
      <c r="N661" s="463">
        <f t="shared" si="136"/>
        <v>322</v>
      </c>
      <c r="O661" s="463">
        <f t="shared" si="136"/>
        <v>74</v>
      </c>
      <c r="P661" s="463">
        <f t="shared" si="136"/>
        <v>54</v>
      </c>
      <c r="Q661" s="463">
        <f t="shared" si="136"/>
        <v>0</v>
      </c>
      <c r="R661" s="463">
        <f t="shared" si="136"/>
        <v>0</v>
      </c>
      <c r="S661" s="462" t="str">
        <f t="shared" si="132"/>
        <v>正确</v>
      </c>
      <c r="T661" s="462" t="s">
        <v>1608</v>
      </c>
      <c r="U661" s="462" t="s">
        <v>1609</v>
      </c>
      <c r="V661" s="462" t="s">
        <v>271</v>
      </c>
      <c r="W661" s="462" t="s">
        <v>41</v>
      </c>
    </row>
    <row r="662" ht="27" customHeight="1" spans="1:23">
      <c r="A662" s="464"/>
      <c r="B662" s="462" t="s">
        <v>1540</v>
      </c>
      <c r="C662" s="463" t="s">
        <v>1124</v>
      </c>
      <c r="D662" s="463" t="s">
        <v>192</v>
      </c>
      <c r="E662" s="465"/>
      <c r="F662" s="465"/>
      <c r="G662" s="465"/>
      <c r="H662" s="465"/>
      <c r="I662" s="465"/>
      <c r="J662" s="463"/>
      <c r="K662" s="463"/>
      <c r="L662" s="463"/>
      <c r="M662" s="463"/>
      <c r="N662" s="484"/>
      <c r="O662" s="484"/>
      <c r="P662" s="484"/>
      <c r="Q662" s="484"/>
      <c r="R662" s="484"/>
      <c r="S662" s="462" t="str">
        <f t="shared" si="132"/>
        <v>正确</v>
      </c>
      <c r="T662" s="462"/>
      <c r="U662" s="462"/>
      <c r="V662" s="462"/>
      <c r="W662" s="462"/>
    </row>
    <row r="663" ht="27" customHeight="1" spans="1:23">
      <c r="A663" s="464"/>
      <c r="B663" s="462" t="s">
        <v>1541</v>
      </c>
      <c r="C663" s="463" t="s">
        <v>1124</v>
      </c>
      <c r="D663" s="463" t="s">
        <v>192</v>
      </c>
      <c r="E663" s="465"/>
      <c r="F663" s="465"/>
      <c r="G663" s="465"/>
      <c r="H663" s="465"/>
      <c r="I663" s="465"/>
      <c r="J663" s="463"/>
      <c r="K663" s="463"/>
      <c r="L663" s="463"/>
      <c r="M663" s="463"/>
      <c r="N663" s="484"/>
      <c r="O663" s="484"/>
      <c r="P663" s="484"/>
      <c r="Q663" s="484"/>
      <c r="R663" s="484"/>
      <c r="S663" s="462" t="str">
        <f t="shared" si="132"/>
        <v>正确</v>
      </c>
      <c r="T663" s="462"/>
      <c r="U663" s="462"/>
      <c r="V663" s="462"/>
      <c r="W663" s="462"/>
    </row>
    <row r="664" ht="27" customHeight="1" spans="1:23">
      <c r="A664" s="464"/>
      <c r="B664" s="462" t="s">
        <v>1542</v>
      </c>
      <c r="C664" s="463" t="s">
        <v>1124</v>
      </c>
      <c r="D664" s="463" t="s">
        <v>192</v>
      </c>
      <c r="E664" s="465"/>
      <c r="F664" s="465"/>
      <c r="G664" s="465"/>
      <c r="H664" s="465"/>
      <c r="I664" s="465"/>
      <c r="J664" s="463"/>
      <c r="K664" s="463"/>
      <c r="L664" s="463"/>
      <c r="M664" s="463"/>
      <c r="N664" s="484"/>
      <c r="O664" s="484"/>
      <c r="P664" s="484"/>
      <c r="Q664" s="484"/>
      <c r="R664" s="484"/>
      <c r="S664" s="462" t="str">
        <f t="shared" si="132"/>
        <v>正确</v>
      </c>
      <c r="T664" s="462"/>
      <c r="U664" s="462"/>
      <c r="V664" s="462"/>
      <c r="W664" s="462"/>
    </row>
    <row r="665" ht="27" customHeight="1" spans="1:23">
      <c r="A665" s="464"/>
      <c r="B665" s="462" t="s">
        <v>1543</v>
      </c>
      <c r="C665" s="463" t="s">
        <v>1124</v>
      </c>
      <c r="D665" s="463" t="s">
        <v>192</v>
      </c>
      <c r="E665" s="465"/>
      <c r="F665" s="465"/>
      <c r="G665" s="465"/>
      <c r="H665" s="465"/>
      <c r="I665" s="465"/>
      <c r="J665" s="463"/>
      <c r="K665" s="463"/>
      <c r="L665" s="463"/>
      <c r="M665" s="463"/>
      <c r="N665" s="484"/>
      <c r="O665" s="484"/>
      <c r="P665" s="484"/>
      <c r="Q665" s="484"/>
      <c r="R665" s="484"/>
      <c r="S665" s="462" t="str">
        <f t="shared" si="132"/>
        <v>正确</v>
      </c>
      <c r="T665" s="462"/>
      <c r="U665" s="462"/>
      <c r="V665" s="462"/>
      <c r="W665" s="462"/>
    </row>
    <row r="666" ht="27" customHeight="1" spans="1:23">
      <c r="A666" s="464"/>
      <c r="B666" s="462" t="s">
        <v>1544</v>
      </c>
      <c r="C666" s="463" t="s">
        <v>1124</v>
      </c>
      <c r="D666" s="463" t="s">
        <v>192</v>
      </c>
      <c r="E666" s="465"/>
      <c r="F666" s="465"/>
      <c r="G666" s="465"/>
      <c r="H666" s="465"/>
      <c r="I666" s="465"/>
      <c r="J666" s="463"/>
      <c r="K666" s="463"/>
      <c r="L666" s="463"/>
      <c r="M666" s="463"/>
      <c r="N666" s="484"/>
      <c r="O666" s="484"/>
      <c r="P666" s="484"/>
      <c r="Q666" s="484"/>
      <c r="R666" s="484"/>
      <c r="S666" s="462" t="str">
        <f t="shared" si="132"/>
        <v>正确</v>
      </c>
      <c r="T666" s="462"/>
      <c r="U666" s="462"/>
      <c r="V666" s="462"/>
      <c r="W666" s="462"/>
    </row>
    <row r="667" ht="27" customHeight="1" spans="1:23">
      <c r="A667" s="464"/>
      <c r="B667" s="462" t="s">
        <v>1545</v>
      </c>
      <c r="C667" s="463" t="s">
        <v>1124</v>
      </c>
      <c r="D667" s="463" t="s">
        <v>192</v>
      </c>
      <c r="E667" s="465"/>
      <c r="F667" s="465"/>
      <c r="G667" s="465"/>
      <c r="H667" s="465"/>
      <c r="I667" s="465"/>
      <c r="J667" s="463"/>
      <c r="K667" s="463"/>
      <c r="L667" s="463"/>
      <c r="M667" s="463"/>
      <c r="N667" s="484"/>
      <c r="O667" s="484"/>
      <c r="P667" s="484"/>
      <c r="Q667" s="484"/>
      <c r="R667" s="484"/>
      <c r="S667" s="462" t="str">
        <f t="shared" si="132"/>
        <v>正确</v>
      </c>
      <c r="T667" s="462"/>
      <c r="U667" s="462"/>
      <c r="V667" s="462"/>
      <c r="W667" s="462"/>
    </row>
    <row r="668" ht="27" customHeight="1" spans="1:23">
      <c r="A668" s="464"/>
      <c r="B668" s="462" t="s">
        <v>1546</v>
      </c>
      <c r="C668" s="463" t="s">
        <v>1124</v>
      </c>
      <c r="D668" s="463" t="s">
        <v>192</v>
      </c>
      <c r="E668" s="465"/>
      <c r="F668" s="465"/>
      <c r="G668" s="465"/>
      <c r="H668" s="465"/>
      <c r="I668" s="465"/>
      <c r="J668" s="463"/>
      <c r="K668" s="463"/>
      <c r="L668" s="463"/>
      <c r="M668" s="463"/>
      <c r="N668" s="484"/>
      <c r="O668" s="484"/>
      <c r="P668" s="484"/>
      <c r="Q668" s="484"/>
      <c r="R668" s="484"/>
      <c r="S668" s="462" t="str">
        <f t="shared" si="132"/>
        <v>正确</v>
      </c>
      <c r="T668" s="462"/>
      <c r="U668" s="462"/>
      <c r="V668" s="462"/>
      <c r="W668" s="462"/>
    </row>
    <row r="669" ht="27" customHeight="1" spans="1:23">
      <c r="A669" s="464"/>
      <c r="B669" s="462" t="s">
        <v>1547</v>
      </c>
      <c r="C669" s="463" t="s">
        <v>1124</v>
      </c>
      <c r="D669" s="463" t="s">
        <v>192</v>
      </c>
      <c r="E669" s="465"/>
      <c r="F669" s="465"/>
      <c r="G669" s="465"/>
      <c r="H669" s="465"/>
      <c r="I669" s="465"/>
      <c r="J669" s="463"/>
      <c r="K669" s="463"/>
      <c r="L669" s="463"/>
      <c r="M669" s="463"/>
      <c r="N669" s="484"/>
      <c r="O669" s="484"/>
      <c r="P669" s="484"/>
      <c r="Q669" s="484"/>
      <c r="R669" s="484"/>
      <c r="S669" s="462" t="str">
        <f t="shared" si="132"/>
        <v>正确</v>
      </c>
      <c r="T669" s="462"/>
      <c r="U669" s="462"/>
      <c r="V669" s="462"/>
      <c r="W669" s="462"/>
    </row>
    <row r="670" ht="27" customHeight="1" spans="1:23">
      <c r="A670" s="464"/>
      <c r="B670" s="462" t="s">
        <v>1655</v>
      </c>
      <c r="C670" s="463" t="s">
        <v>52</v>
      </c>
      <c r="D670" s="463" t="s">
        <v>192</v>
      </c>
      <c r="E670" s="465">
        <v>12</v>
      </c>
      <c r="F670" s="465">
        <v>372</v>
      </c>
      <c r="G670" s="465">
        <v>1349</v>
      </c>
      <c r="H670" s="465">
        <v>2018</v>
      </c>
      <c r="I670" s="465">
        <v>2018</v>
      </c>
      <c r="J670" s="463">
        <v>158</v>
      </c>
      <c r="K670" s="463">
        <v>158</v>
      </c>
      <c r="L670" s="463"/>
      <c r="M670" s="463"/>
      <c r="N670" s="484">
        <v>158</v>
      </c>
      <c r="O670" s="484"/>
      <c r="P670" s="484"/>
      <c r="Q670" s="484"/>
      <c r="R670" s="484"/>
      <c r="S670" s="462" t="str">
        <f t="shared" si="132"/>
        <v>正确</v>
      </c>
      <c r="T670" s="462"/>
      <c r="U670" s="462"/>
      <c r="V670" s="462"/>
      <c r="W670" s="462" t="s">
        <v>1656</v>
      </c>
    </row>
    <row r="671" ht="48" customHeight="1" spans="1:23">
      <c r="A671" s="464"/>
      <c r="B671" s="462" t="s">
        <v>1657</v>
      </c>
      <c r="C671" s="463" t="s">
        <v>52</v>
      </c>
      <c r="D671" s="463" t="s">
        <v>192</v>
      </c>
      <c r="E671" s="465">
        <v>11.39</v>
      </c>
      <c r="F671" s="465">
        <v>120</v>
      </c>
      <c r="G671" s="465">
        <v>430</v>
      </c>
      <c r="H671" s="465">
        <v>2018</v>
      </c>
      <c r="I671" s="465">
        <v>2018</v>
      </c>
      <c r="J671" s="463">
        <v>164</v>
      </c>
      <c r="K671" s="463">
        <v>164</v>
      </c>
      <c r="L671" s="463"/>
      <c r="M671" s="463"/>
      <c r="N671" s="484">
        <v>164</v>
      </c>
      <c r="O671" s="484"/>
      <c r="P671" s="484"/>
      <c r="Q671" s="484"/>
      <c r="R671" s="484"/>
      <c r="S671" s="462" t="str">
        <f t="shared" si="132"/>
        <v>正确</v>
      </c>
      <c r="T671" s="462"/>
      <c r="U671" s="462"/>
      <c r="V671" s="462"/>
      <c r="W671" s="462" t="s">
        <v>1656</v>
      </c>
    </row>
    <row r="672" ht="27" customHeight="1" spans="1:23">
      <c r="A672" s="464"/>
      <c r="B672" s="462" t="s">
        <v>1658</v>
      </c>
      <c r="C672" s="463" t="s">
        <v>52</v>
      </c>
      <c r="D672" s="463" t="s">
        <v>192</v>
      </c>
      <c r="E672" s="465">
        <v>8.4</v>
      </c>
      <c r="F672" s="465">
        <v>80</v>
      </c>
      <c r="G672" s="465">
        <v>295</v>
      </c>
      <c r="H672" s="465">
        <v>2018</v>
      </c>
      <c r="I672" s="465">
        <v>2018</v>
      </c>
      <c r="J672" s="463">
        <v>54</v>
      </c>
      <c r="K672" s="463">
        <v>54</v>
      </c>
      <c r="L672" s="463"/>
      <c r="M672" s="463"/>
      <c r="N672" s="484"/>
      <c r="O672" s="484"/>
      <c r="P672" s="484">
        <v>54</v>
      </c>
      <c r="Q672" s="484"/>
      <c r="R672" s="484"/>
      <c r="S672" s="462" t="str">
        <f t="shared" si="132"/>
        <v>正确</v>
      </c>
      <c r="T672" s="462"/>
      <c r="U672" s="462"/>
      <c r="V672" s="462"/>
      <c r="W672" s="462" t="s">
        <v>1656</v>
      </c>
    </row>
    <row r="673" ht="27" customHeight="1" spans="1:23">
      <c r="A673" s="464"/>
      <c r="B673" s="462" t="s">
        <v>1659</v>
      </c>
      <c r="C673" s="463" t="s">
        <v>52</v>
      </c>
      <c r="D673" s="463" t="s">
        <v>192</v>
      </c>
      <c r="E673" s="465" t="s">
        <v>1660</v>
      </c>
      <c r="F673" s="465">
        <v>84</v>
      </c>
      <c r="G673" s="465">
        <v>253</v>
      </c>
      <c r="H673" s="465">
        <v>2019</v>
      </c>
      <c r="I673" s="465">
        <v>2019</v>
      </c>
      <c r="J673" s="492">
        <f>K673+L673+M673</f>
        <v>60</v>
      </c>
      <c r="K673" s="463"/>
      <c r="L673" s="492">
        <v>60</v>
      </c>
      <c r="M673" s="463"/>
      <c r="N673" s="484"/>
      <c r="O673" s="492">
        <f>J673</f>
        <v>60</v>
      </c>
      <c r="P673" s="484"/>
      <c r="Q673" s="484"/>
      <c r="R673" s="484"/>
      <c r="S673" s="462" t="str">
        <f t="shared" si="132"/>
        <v>正确</v>
      </c>
      <c r="T673" s="462"/>
      <c r="U673" s="462"/>
      <c r="V673" s="462"/>
      <c r="W673" s="462" t="s">
        <v>1656</v>
      </c>
    </row>
    <row r="674" ht="27" customHeight="1" spans="1:23">
      <c r="A674" s="464"/>
      <c r="B674" s="462" t="s">
        <v>1661</v>
      </c>
      <c r="C674" s="463" t="s">
        <v>52</v>
      </c>
      <c r="D674" s="463" t="s">
        <v>192</v>
      </c>
      <c r="E674" s="465" t="s">
        <v>1662</v>
      </c>
      <c r="F674" s="465">
        <v>124</v>
      </c>
      <c r="G674" s="465">
        <v>474</v>
      </c>
      <c r="H674" s="465">
        <v>2019</v>
      </c>
      <c r="I674" s="465">
        <v>2019</v>
      </c>
      <c r="J674" s="492">
        <f>K674+L674+M674</f>
        <v>14</v>
      </c>
      <c r="K674" s="463"/>
      <c r="L674" s="492">
        <v>14</v>
      </c>
      <c r="M674" s="463"/>
      <c r="N674" s="484"/>
      <c r="O674" s="492">
        <f>J674</f>
        <v>14</v>
      </c>
      <c r="P674" s="484"/>
      <c r="Q674" s="484"/>
      <c r="R674" s="484"/>
      <c r="S674" s="462" t="str">
        <f t="shared" si="132"/>
        <v>正确</v>
      </c>
      <c r="T674" s="462"/>
      <c r="U674" s="462"/>
      <c r="V674" s="462"/>
      <c r="W674" s="462" t="s">
        <v>1656</v>
      </c>
    </row>
    <row r="675" ht="36.95" customHeight="1" spans="1:23">
      <c r="A675" s="464">
        <v>64</v>
      </c>
      <c r="B675" s="485" t="s">
        <v>495</v>
      </c>
      <c r="C675" s="463" t="s">
        <v>1124</v>
      </c>
      <c r="D675" s="463" t="s">
        <v>496</v>
      </c>
      <c r="E675" s="465">
        <f>SUM(E676:E687)</f>
        <v>23</v>
      </c>
      <c r="F675" s="465">
        <f t="shared" ref="F675:K675" si="137">SUM(F676:F689)</f>
        <v>217</v>
      </c>
      <c r="G675" s="465">
        <f t="shared" si="137"/>
        <v>837</v>
      </c>
      <c r="H675" s="465">
        <v>2018</v>
      </c>
      <c r="I675" s="465">
        <v>2018</v>
      </c>
      <c r="J675" s="463">
        <f t="shared" si="137"/>
        <v>874.34</v>
      </c>
      <c r="K675" s="463">
        <f t="shared" si="137"/>
        <v>874.34</v>
      </c>
      <c r="L675" s="463"/>
      <c r="M675" s="463"/>
      <c r="N675" s="463"/>
      <c r="O675" s="463"/>
      <c r="P675" s="463">
        <f>SUM(P676:P689)</f>
        <v>874.34</v>
      </c>
      <c r="Q675" s="463"/>
      <c r="R675" s="463"/>
      <c r="S675" s="462" t="str">
        <f t="shared" si="132"/>
        <v>正确</v>
      </c>
      <c r="T675" s="462" t="s">
        <v>1559</v>
      </c>
      <c r="U675" s="462"/>
      <c r="V675" s="462" t="s">
        <v>497</v>
      </c>
      <c r="W675" s="462" t="s">
        <v>41</v>
      </c>
    </row>
    <row r="676" ht="23.25" customHeight="1" spans="1:23">
      <c r="A676" s="464"/>
      <c r="B676" s="462" t="s">
        <v>1540</v>
      </c>
      <c r="C676" s="463" t="s">
        <v>1124</v>
      </c>
      <c r="D676" s="463" t="s">
        <v>496</v>
      </c>
      <c r="E676" s="465">
        <v>3</v>
      </c>
      <c r="F676" s="465">
        <v>31</v>
      </c>
      <c r="G676" s="465">
        <v>106</v>
      </c>
      <c r="H676" s="465">
        <v>2018</v>
      </c>
      <c r="I676" s="465">
        <v>2018</v>
      </c>
      <c r="J676" s="463">
        <v>87.13</v>
      </c>
      <c r="K676" s="463">
        <f>24.13+25.89+37.11</f>
        <v>87.13</v>
      </c>
      <c r="L676" s="463"/>
      <c r="M676" s="463"/>
      <c r="N676" s="484"/>
      <c r="O676" s="484"/>
      <c r="P676" s="463">
        <f>24.13+25.89+37.11</f>
        <v>87.13</v>
      </c>
      <c r="Q676" s="484"/>
      <c r="R676" s="484"/>
      <c r="S676" s="462" t="str">
        <f t="shared" si="132"/>
        <v>正确</v>
      </c>
      <c r="T676" s="462"/>
      <c r="U676" s="462"/>
      <c r="V676" s="462"/>
      <c r="W676" s="462" t="s">
        <v>1663</v>
      </c>
    </row>
    <row r="677" ht="23.25" customHeight="1" spans="1:23">
      <c r="A677" s="464"/>
      <c r="B677" s="462" t="s">
        <v>1541</v>
      </c>
      <c r="C677" s="463" t="s">
        <v>1124</v>
      </c>
      <c r="D677" s="463" t="s">
        <v>496</v>
      </c>
      <c r="E677" s="465">
        <v>2</v>
      </c>
      <c r="F677" s="465">
        <v>12</v>
      </c>
      <c r="G677" s="465">
        <v>49</v>
      </c>
      <c r="H677" s="465">
        <v>2018</v>
      </c>
      <c r="I677" s="465">
        <v>2018</v>
      </c>
      <c r="J677" s="463">
        <v>54.52</v>
      </c>
      <c r="K677" s="463">
        <f>29.22+25.3</f>
        <v>54.52</v>
      </c>
      <c r="L677" s="463"/>
      <c r="M677" s="463"/>
      <c r="N677" s="484"/>
      <c r="O677" s="484"/>
      <c r="P677" s="463">
        <f>29.22+25.3</f>
        <v>54.52</v>
      </c>
      <c r="Q677" s="484"/>
      <c r="R677" s="484"/>
      <c r="S677" s="462" t="str">
        <f t="shared" si="132"/>
        <v>正确</v>
      </c>
      <c r="T677" s="462"/>
      <c r="U677" s="462"/>
      <c r="V677" s="462"/>
      <c r="W677" s="462" t="s">
        <v>1664</v>
      </c>
    </row>
    <row r="678" ht="23.25" customHeight="1" spans="1:23">
      <c r="A678" s="464"/>
      <c r="B678" s="462" t="s">
        <v>1542</v>
      </c>
      <c r="C678" s="463" t="s">
        <v>1124</v>
      </c>
      <c r="D678" s="463" t="s">
        <v>496</v>
      </c>
      <c r="E678" s="150">
        <v>2</v>
      </c>
      <c r="F678" s="150">
        <v>6</v>
      </c>
      <c r="G678" s="150">
        <v>24</v>
      </c>
      <c r="H678" s="465">
        <v>2018</v>
      </c>
      <c r="I678" s="465">
        <v>2018</v>
      </c>
      <c r="J678" s="463">
        <v>74.77</v>
      </c>
      <c r="K678" s="463">
        <f>40.28+34.49</f>
        <v>74.77</v>
      </c>
      <c r="L678" s="463"/>
      <c r="M678" s="463"/>
      <c r="N678" s="484"/>
      <c r="O678" s="484"/>
      <c r="P678" s="463">
        <f>40.28+34.49</f>
        <v>74.77</v>
      </c>
      <c r="Q678" s="484"/>
      <c r="R678" s="484"/>
      <c r="S678" s="462" t="str">
        <f t="shared" si="132"/>
        <v>正确</v>
      </c>
      <c r="T678" s="462"/>
      <c r="U678" s="462"/>
      <c r="V678" s="462"/>
      <c r="W678" s="462" t="s">
        <v>1665</v>
      </c>
    </row>
    <row r="679" ht="23.25" customHeight="1" spans="1:23">
      <c r="A679" s="464"/>
      <c r="B679" s="462" t="s">
        <v>1543</v>
      </c>
      <c r="C679" s="463" t="s">
        <v>1124</v>
      </c>
      <c r="D679" s="463" t="s">
        <v>496</v>
      </c>
      <c r="E679" s="465">
        <v>1</v>
      </c>
      <c r="F679" s="465">
        <v>6</v>
      </c>
      <c r="G679" s="465">
        <v>14</v>
      </c>
      <c r="H679" s="465">
        <v>2018</v>
      </c>
      <c r="I679" s="465">
        <v>2018</v>
      </c>
      <c r="J679" s="463">
        <v>35.69</v>
      </c>
      <c r="K679" s="463">
        <v>35.69</v>
      </c>
      <c r="L679" s="463"/>
      <c r="M679" s="463"/>
      <c r="N679" s="484"/>
      <c r="O679" s="484"/>
      <c r="P679" s="463">
        <v>35.69</v>
      </c>
      <c r="Q679" s="484"/>
      <c r="R679" s="484"/>
      <c r="S679" s="462" t="str">
        <f t="shared" si="132"/>
        <v>正确</v>
      </c>
      <c r="T679" s="462"/>
      <c r="U679" s="462"/>
      <c r="V679" s="462"/>
      <c r="W679" s="462" t="s">
        <v>1666</v>
      </c>
    </row>
    <row r="680" ht="23.25" customHeight="1" spans="1:23">
      <c r="A680" s="464"/>
      <c r="B680" s="462" t="s">
        <v>1544</v>
      </c>
      <c r="C680" s="463" t="s">
        <v>1124</v>
      </c>
      <c r="D680" s="463" t="s">
        <v>496</v>
      </c>
      <c r="E680" s="465">
        <v>1</v>
      </c>
      <c r="F680" s="465">
        <v>3</v>
      </c>
      <c r="G680" s="465">
        <v>11</v>
      </c>
      <c r="H680" s="465">
        <v>2018</v>
      </c>
      <c r="I680" s="465">
        <v>2018</v>
      </c>
      <c r="J680" s="463">
        <v>34.97</v>
      </c>
      <c r="K680" s="463">
        <v>34.97</v>
      </c>
      <c r="L680" s="463"/>
      <c r="M680" s="463"/>
      <c r="N680" s="484"/>
      <c r="O680" s="484"/>
      <c r="P680" s="463">
        <v>34.97</v>
      </c>
      <c r="Q680" s="484"/>
      <c r="R680" s="484"/>
      <c r="S680" s="462" t="str">
        <f t="shared" si="132"/>
        <v>正确</v>
      </c>
      <c r="T680" s="462"/>
      <c r="U680" s="462"/>
      <c r="V680" s="462"/>
      <c r="W680" s="462" t="s">
        <v>1667</v>
      </c>
    </row>
    <row r="681" ht="23.25" customHeight="1" spans="1:23">
      <c r="A681" s="464"/>
      <c r="B681" s="462" t="s">
        <v>1545</v>
      </c>
      <c r="C681" s="463" t="s">
        <v>1124</v>
      </c>
      <c r="D681" s="463" t="s">
        <v>496</v>
      </c>
      <c r="E681" s="150">
        <v>3</v>
      </c>
      <c r="F681" s="150">
        <v>21</v>
      </c>
      <c r="G681" s="150">
        <v>115</v>
      </c>
      <c r="H681" s="465">
        <v>2018</v>
      </c>
      <c r="I681" s="465">
        <v>2018</v>
      </c>
      <c r="J681" s="463">
        <v>120.05</v>
      </c>
      <c r="K681" s="463">
        <f>41.9+46.53+31.62</f>
        <v>120.05</v>
      </c>
      <c r="L681" s="463"/>
      <c r="M681" s="463"/>
      <c r="N681" s="484"/>
      <c r="O681" s="484"/>
      <c r="P681" s="463">
        <f>41.9+46.53+31.62</f>
        <v>120.05</v>
      </c>
      <c r="Q681" s="484"/>
      <c r="R681" s="484"/>
      <c r="S681" s="462" t="str">
        <f t="shared" si="132"/>
        <v>正确</v>
      </c>
      <c r="T681" s="462"/>
      <c r="U681" s="462"/>
      <c r="V681" s="462"/>
      <c r="W681" s="462" t="s">
        <v>1668</v>
      </c>
    </row>
    <row r="682" ht="23.25" customHeight="1" spans="1:23">
      <c r="A682" s="464"/>
      <c r="B682" s="462" t="s">
        <v>1546</v>
      </c>
      <c r="C682" s="463" t="s">
        <v>1124</v>
      </c>
      <c r="D682" s="463" t="s">
        <v>496</v>
      </c>
      <c r="E682" s="150">
        <v>3</v>
      </c>
      <c r="F682" s="150">
        <v>44</v>
      </c>
      <c r="G682" s="150">
        <v>174</v>
      </c>
      <c r="H682" s="465">
        <v>2018</v>
      </c>
      <c r="I682" s="465">
        <v>2018</v>
      </c>
      <c r="J682" s="463">
        <v>131.83</v>
      </c>
      <c r="K682" s="463">
        <f>45.75+40.33+45.75</f>
        <v>131.83</v>
      </c>
      <c r="L682" s="463"/>
      <c r="M682" s="463"/>
      <c r="N682" s="484"/>
      <c r="O682" s="484"/>
      <c r="P682" s="463">
        <f>45.75+40.33+45.75</f>
        <v>131.83</v>
      </c>
      <c r="Q682" s="484"/>
      <c r="R682" s="484"/>
      <c r="S682" s="462" t="str">
        <f t="shared" si="132"/>
        <v>正确</v>
      </c>
      <c r="T682" s="462"/>
      <c r="U682" s="462"/>
      <c r="V682" s="462"/>
      <c r="W682" s="462" t="s">
        <v>1669</v>
      </c>
    </row>
    <row r="683" ht="23.25" customHeight="1" spans="1:23">
      <c r="A683" s="464"/>
      <c r="B683" s="462" t="s">
        <v>1547</v>
      </c>
      <c r="C683" s="463" t="s">
        <v>1124</v>
      </c>
      <c r="D683" s="463" t="s">
        <v>496</v>
      </c>
      <c r="E683" s="465">
        <v>2</v>
      </c>
      <c r="F683" s="465">
        <v>17</v>
      </c>
      <c r="G683" s="465">
        <v>70</v>
      </c>
      <c r="H683" s="465">
        <v>2018</v>
      </c>
      <c r="I683" s="465">
        <v>2018</v>
      </c>
      <c r="J683" s="463">
        <v>50.8</v>
      </c>
      <c r="K683" s="463">
        <f>25.53+25.27</f>
        <v>50.8</v>
      </c>
      <c r="L683" s="463"/>
      <c r="M683" s="463"/>
      <c r="N683" s="484"/>
      <c r="O683" s="484"/>
      <c r="P683" s="463">
        <f>25.53+25.27</f>
        <v>50.8</v>
      </c>
      <c r="Q683" s="484"/>
      <c r="R683" s="484"/>
      <c r="S683" s="462" t="str">
        <f t="shared" si="132"/>
        <v>正确</v>
      </c>
      <c r="T683" s="462"/>
      <c r="U683" s="462"/>
      <c r="V683" s="462"/>
      <c r="W683" s="462" t="s">
        <v>1670</v>
      </c>
    </row>
    <row r="684" ht="23.25" customHeight="1" spans="1:23">
      <c r="A684" s="464"/>
      <c r="B684" s="462" t="s">
        <v>1548</v>
      </c>
      <c r="C684" s="463" t="s">
        <v>1124</v>
      </c>
      <c r="D684" s="463" t="s">
        <v>496</v>
      </c>
      <c r="E684" s="465">
        <v>1</v>
      </c>
      <c r="F684" s="465">
        <v>8</v>
      </c>
      <c r="G684" s="465">
        <v>30</v>
      </c>
      <c r="H684" s="465">
        <v>2018</v>
      </c>
      <c r="I684" s="465">
        <v>2018</v>
      </c>
      <c r="J684" s="463">
        <v>35.59</v>
      </c>
      <c r="K684" s="463">
        <v>35.59</v>
      </c>
      <c r="L684" s="463"/>
      <c r="M684" s="463"/>
      <c r="N684" s="484"/>
      <c r="O684" s="484"/>
      <c r="P684" s="463">
        <v>35.59</v>
      </c>
      <c r="Q684" s="484"/>
      <c r="R684" s="484"/>
      <c r="S684" s="462" t="str">
        <f t="shared" si="132"/>
        <v>正确</v>
      </c>
      <c r="T684" s="462"/>
      <c r="U684" s="462"/>
      <c r="V684" s="462"/>
      <c r="W684" s="462" t="s">
        <v>1671</v>
      </c>
    </row>
    <row r="685" ht="23.25" customHeight="1" spans="1:23">
      <c r="A685" s="464"/>
      <c r="B685" s="462" t="s">
        <v>1549</v>
      </c>
      <c r="C685" s="463" t="s">
        <v>1124</v>
      </c>
      <c r="D685" s="463" t="s">
        <v>496</v>
      </c>
      <c r="E685" s="465">
        <v>2</v>
      </c>
      <c r="F685" s="465">
        <v>15</v>
      </c>
      <c r="G685" s="465">
        <v>51</v>
      </c>
      <c r="H685" s="465">
        <v>2018</v>
      </c>
      <c r="I685" s="465">
        <v>2018</v>
      </c>
      <c r="J685" s="463">
        <v>66.76</v>
      </c>
      <c r="K685" s="463">
        <f>34.24+32.52</f>
        <v>66.76</v>
      </c>
      <c r="L685" s="463"/>
      <c r="M685" s="463"/>
      <c r="N685" s="484"/>
      <c r="O685" s="484"/>
      <c r="P685" s="463">
        <f>34.24+32.52</f>
        <v>66.76</v>
      </c>
      <c r="Q685" s="484"/>
      <c r="R685" s="484"/>
      <c r="S685" s="462" t="str">
        <f t="shared" si="132"/>
        <v>正确</v>
      </c>
      <c r="T685" s="462"/>
      <c r="U685" s="462"/>
      <c r="V685" s="462"/>
      <c r="W685" s="462" t="s">
        <v>1672</v>
      </c>
    </row>
    <row r="686" ht="23.25" customHeight="1" spans="1:23">
      <c r="A686" s="464"/>
      <c r="B686" s="462" t="s">
        <v>1550</v>
      </c>
      <c r="C686" s="463" t="s">
        <v>1124</v>
      </c>
      <c r="D686" s="463" t="s">
        <v>496</v>
      </c>
      <c r="E686" s="465">
        <v>1</v>
      </c>
      <c r="F686" s="465">
        <v>8</v>
      </c>
      <c r="G686" s="465">
        <v>24</v>
      </c>
      <c r="H686" s="465">
        <v>2018</v>
      </c>
      <c r="I686" s="465">
        <v>2018</v>
      </c>
      <c r="J686" s="463">
        <v>27.78</v>
      </c>
      <c r="K686" s="463">
        <v>27.78</v>
      </c>
      <c r="L686" s="463"/>
      <c r="M686" s="463"/>
      <c r="N686" s="484"/>
      <c r="O686" s="484"/>
      <c r="P686" s="463">
        <v>27.78</v>
      </c>
      <c r="Q686" s="484"/>
      <c r="R686" s="484"/>
      <c r="S686" s="462" t="str">
        <f t="shared" si="132"/>
        <v>正确</v>
      </c>
      <c r="T686" s="462"/>
      <c r="U686" s="462"/>
      <c r="V686" s="462"/>
      <c r="W686" s="462" t="s">
        <v>1673</v>
      </c>
    </row>
    <row r="687" ht="23.25" customHeight="1" spans="1:23">
      <c r="A687" s="464"/>
      <c r="B687" s="462" t="s">
        <v>1551</v>
      </c>
      <c r="C687" s="463" t="s">
        <v>1124</v>
      </c>
      <c r="D687" s="463" t="s">
        <v>496</v>
      </c>
      <c r="E687" s="465">
        <v>2</v>
      </c>
      <c r="F687" s="465">
        <v>15</v>
      </c>
      <c r="G687" s="465">
        <v>59</v>
      </c>
      <c r="H687" s="465">
        <v>2018</v>
      </c>
      <c r="I687" s="465">
        <v>2018</v>
      </c>
      <c r="J687" s="463">
        <v>69.33</v>
      </c>
      <c r="K687" s="463">
        <f>37.56+31.77</f>
        <v>69.33</v>
      </c>
      <c r="L687" s="463"/>
      <c r="M687" s="463"/>
      <c r="N687" s="484"/>
      <c r="O687" s="484"/>
      <c r="P687" s="463">
        <f>37.56+31.77</f>
        <v>69.33</v>
      </c>
      <c r="Q687" s="484"/>
      <c r="R687" s="484"/>
      <c r="S687" s="462" t="str">
        <f t="shared" si="132"/>
        <v>正确</v>
      </c>
      <c r="T687" s="462"/>
      <c r="U687" s="462"/>
      <c r="V687" s="462"/>
      <c r="W687" s="462" t="s">
        <v>1674</v>
      </c>
    </row>
    <row r="688" ht="62.1" customHeight="1" spans="1:23">
      <c r="A688" s="464"/>
      <c r="B688" s="462" t="s">
        <v>1675</v>
      </c>
      <c r="C688" s="463" t="s">
        <v>52</v>
      </c>
      <c r="D688" s="463"/>
      <c r="E688" s="465"/>
      <c r="F688" s="465">
        <v>15</v>
      </c>
      <c r="G688" s="465">
        <v>52</v>
      </c>
      <c r="H688" s="465">
        <v>2018</v>
      </c>
      <c r="I688" s="465">
        <v>2018</v>
      </c>
      <c r="J688" s="463">
        <v>38.62</v>
      </c>
      <c r="K688" s="463">
        <v>38.62</v>
      </c>
      <c r="L688" s="463"/>
      <c r="M688" s="463"/>
      <c r="N688" s="484"/>
      <c r="O688" s="484"/>
      <c r="P688" s="463">
        <v>38.62</v>
      </c>
      <c r="Q688" s="484"/>
      <c r="R688" s="484"/>
      <c r="S688" s="462" t="str">
        <f t="shared" si="132"/>
        <v>正确</v>
      </c>
      <c r="T688" s="462"/>
      <c r="U688" s="462"/>
      <c r="V688" s="462" t="s">
        <v>1676</v>
      </c>
      <c r="W688" s="462"/>
    </row>
    <row r="689" ht="63.95" customHeight="1" spans="1:23">
      <c r="A689" s="464"/>
      <c r="B689" s="462" t="s">
        <v>1677</v>
      </c>
      <c r="C689" s="463" t="s">
        <v>52</v>
      </c>
      <c r="D689" s="463"/>
      <c r="E689" s="465"/>
      <c r="F689" s="465">
        <v>16</v>
      </c>
      <c r="G689" s="465">
        <v>58</v>
      </c>
      <c r="H689" s="465">
        <v>2018</v>
      </c>
      <c r="I689" s="465">
        <v>2018</v>
      </c>
      <c r="J689" s="463">
        <v>46.5</v>
      </c>
      <c r="K689" s="463">
        <v>46.5</v>
      </c>
      <c r="L689" s="463"/>
      <c r="M689" s="463"/>
      <c r="N689" s="484"/>
      <c r="O689" s="484"/>
      <c r="P689" s="463">
        <v>46.5</v>
      </c>
      <c r="Q689" s="484"/>
      <c r="R689" s="484"/>
      <c r="S689" s="462" t="str">
        <f t="shared" si="132"/>
        <v>正确</v>
      </c>
      <c r="T689" s="462"/>
      <c r="U689" s="462"/>
      <c r="V689" s="462" t="s">
        <v>1676</v>
      </c>
      <c r="W689" s="462"/>
    </row>
    <row r="690" ht="42.95" customHeight="1" spans="1:23">
      <c r="A690" s="464">
        <v>65</v>
      </c>
      <c r="B690" s="485" t="s">
        <v>499</v>
      </c>
      <c r="C690" s="463" t="s">
        <v>1124</v>
      </c>
      <c r="D690" s="463" t="s">
        <v>384</v>
      </c>
      <c r="E690" s="465">
        <f t="shared" ref="E690:G690" si="138">SUM(E691:E702)</f>
        <v>369</v>
      </c>
      <c r="F690" s="465">
        <f t="shared" si="138"/>
        <v>369</v>
      </c>
      <c r="G690" s="465">
        <f t="shared" si="138"/>
        <v>1214</v>
      </c>
      <c r="H690" s="465">
        <v>2018</v>
      </c>
      <c r="I690" s="465">
        <v>2018</v>
      </c>
      <c r="J690" s="463">
        <v>12.915</v>
      </c>
      <c r="K690" s="463">
        <v>12.915</v>
      </c>
      <c r="L690" s="463">
        <v>0</v>
      </c>
      <c r="M690" s="463">
        <v>0</v>
      </c>
      <c r="N690" s="463">
        <v>12.915</v>
      </c>
      <c r="O690" s="463"/>
      <c r="P690" s="463"/>
      <c r="Q690" s="463"/>
      <c r="R690" s="463"/>
      <c r="S690" s="462" t="str">
        <f t="shared" si="132"/>
        <v>正确</v>
      </c>
      <c r="T690" s="462" t="s">
        <v>1564</v>
      </c>
      <c r="U690" s="462" t="s">
        <v>1678</v>
      </c>
      <c r="V690" s="462" t="s">
        <v>500</v>
      </c>
      <c r="W690" s="462" t="s">
        <v>41</v>
      </c>
    </row>
    <row r="691" ht="42.95" customHeight="1" spans="1:23">
      <c r="A691" s="464"/>
      <c r="B691" s="462" t="s">
        <v>1540</v>
      </c>
      <c r="C691" s="463" t="s">
        <v>1124</v>
      </c>
      <c r="D691" s="463" t="s">
        <v>384</v>
      </c>
      <c r="E691" s="465">
        <v>31</v>
      </c>
      <c r="F691" s="465">
        <v>31</v>
      </c>
      <c r="G691" s="465">
        <v>102</v>
      </c>
      <c r="H691" s="465">
        <v>2018</v>
      </c>
      <c r="I691" s="465">
        <v>2018</v>
      </c>
      <c r="J691" s="463">
        <v>2.405</v>
      </c>
      <c r="K691" s="463">
        <v>2.405</v>
      </c>
      <c r="L691" s="463"/>
      <c r="M691" s="463"/>
      <c r="N691" s="484">
        <f t="shared" ref="N691:N702" si="139">J691</f>
        <v>2.405</v>
      </c>
      <c r="O691" s="484"/>
      <c r="P691" s="484"/>
      <c r="Q691" s="484"/>
      <c r="R691" s="484"/>
      <c r="S691" s="462" t="str">
        <f t="shared" si="132"/>
        <v>正确</v>
      </c>
      <c r="T691" s="462"/>
      <c r="U691" s="462"/>
      <c r="V691" s="462"/>
      <c r="W691" s="462"/>
    </row>
    <row r="692" ht="23.25" customHeight="1" spans="1:23">
      <c r="A692" s="464"/>
      <c r="B692" s="462" t="s">
        <v>1541</v>
      </c>
      <c r="C692" s="463" t="s">
        <v>1124</v>
      </c>
      <c r="D692" s="463" t="s">
        <v>384</v>
      </c>
      <c r="E692" s="465">
        <v>20</v>
      </c>
      <c r="F692" s="465">
        <v>20</v>
      </c>
      <c r="G692" s="465">
        <v>66</v>
      </c>
      <c r="H692" s="465">
        <v>2018</v>
      </c>
      <c r="I692" s="465">
        <v>2018</v>
      </c>
      <c r="J692" s="463">
        <v>0.7</v>
      </c>
      <c r="K692" s="463">
        <v>0.7</v>
      </c>
      <c r="L692" s="463"/>
      <c r="M692" s="463"/>
      <c r="N692" s="484">
        <f t="shared" si="139"/>
        <v>0.7</v>
      </c>
      <c r="O692" s="484"/>
      <c r="P692" s="484"/>
      <c r="Q692" s="484"/>
      <c r="R692" s="484"/>
      <c r="S692" s="462" t="str">
        <f t="shared" si="132"/>
        <v>正确</v>
      </c>
      <c r="T692" s="462"/>
      <c r="U692" s="462"/>
      <c r="V692" s="462"/>
      <c r="W692" s="462"/>
    </row>
    <row r="693" ht="23.25" customHeight="1" spans="1:23">
      <c r="A693" s="464"/>
      <c r="B693" s="462" t="s">
        <v>1542</v>
      </c>
      <c r="C693" s="463" t="s">
        <v>1124</v>
      </c>
      <c r="D693" s="463" t="s">
        <v>384</v>
      </c>
      <c r="E693" s="150">
        <v>27</v>
      </c>
      <c r="F693" s="150">
        <v>27</v>
      </c>
      <c r="G693" s="150">
        <v>83</v>
      </c>
      <c r="H693" s="465">
        <v>2018</v>
      </c>
      <c r="I693" s="465">
        <v>2018</v>
      </c>
      <c r="J693" s="463">
        <v>3.76</v>
      </c>
      <c r="K693" s="463">
        <v>3.76</v>
      </c>
      <c r="L693" s="463"/>
      <c r="M693" s="463"/>
      <c r="N693" s="484">
        <f t="shared" si="139"/>
        <v>3.76</v>
      </c>
      <c r="O693" s="484"/>
      <c r="P693" s="484"/>
      <c r="Q693" s="484"/>
      <c r="R693" s="484"/>
      <c r="S693" s="462" t="str">
        <f t="shared" si="132"/>
        <v>正确</v>
      </c>
      <c r="T693" s="462"/>
      <c r="U693" s="462"/>
      <c r="V693" s="462"/>
      <c r="W693" s="462"/>
    </row>
    <row r="694" ht="23.25" customHeight="1" spans="1:23">
      <c r="A694" s="464"/>
      <c r="B694" s="462" t="s">
        <v>1543</v>
      </c>
      <c r="C694" s="463" t="s">
        <v>1124</v>
      </c>
      <c r="D694" s="463" t="s">
        <v>384</v>
      </c>
      <c r="E694" s="465">
        <v>20</v>
      </c>
      <c r="F694" s="465">
        <v>20</v>
      </c>
      <c r="G694" s="465">
        <v>66</v>
      </c>
      <c r="H694" s="465">
        <v>2018</v>
      </c>
      <c r="I694" s="465">
        <v>2018</v>
      </c>
      <c r="J694" s="463">
        <v>1.9</v>
      </c>
      <c r="K694" s="463">
        <v>1.9</v>
      </c>
      <c r="L694" s="463"/>
      <c r="M694" s="463"/>
      <c r="N694" s="484">
        <f t="shared" si="139"/>
        <v>1.9</v>
      </c>
      <c r="O694" s="484"/>
      <c r="P694" s="484"/>
      <c r="Q694" s="484"/>
      <c r="R694" s="484"/>
      <c r="S694" s="462" t="str">
        <f t="shared" si="132"/>
        <v>正确</v>
      </c>
      <c r="T694" s="462"/>
      <c r="U694" s="462"/>
      <c r="V694" s="462"/>
      <c r="W694" s="462"/>
    </row>
    <row r="695" ht="23.25" customHeight="1" spans="1:23">
      <c r="A695" s="464"/>
      <c r="B695" s="462" t="s">
        <v>1544</v>
      </c>
      <c r="C695" s="463" t="s">
        <v>1124</v>
      </c>
      <c r="D695" s="463" t="s">
        <v>384</v>
      </c>
      <c r="E695" s="465">
        <v>18</v>
      </c>
      <c r="F695" s="465">
        <v>18</v>
      </c>
      <c r="G695" s="465">
        <v>42</v>
      </c>
      <c r="H695" s="465">
        <v>2018</v>
      </c>
      <c r="I695" s="465">
        <v>2018</v>
      </c>
      <c r="J695" s="463">
        <v>1.59</v>
      </c>
      <c r="K695" s="463">
        <v>1.59</v>
      </c>
      <c r="L695" s="463"/>
      <c r="M695" s="463"/>
      <c r="N695" s="484">
        <f t="shared" si="139"/>
        <v>1.59</v>
      </c>
      <c r="O695" s="484"/>
      <c r="P695" s="484"/>
      <c r="Q695" s="484"/>
      <c r="R695" s="484"/>
      <c r="S695" s="462" t="str">
        <f t="shared" si="132"/>
        <v>正确</v>
      </c>
      <c r="T695" s="462"/>
      <c r="U695" s="462"/>
      <c r="V695" s="462"/>
      <c r="W695" s="462"/>
    </row>
    <row r="696" ht="23.25" customHeight="1" spans="1:23">
      <c r="A696" s="464"/>
      <c r="B696" s="462" t="s">
        <v>1545</v>
      </c>
      <c r="C696" s="463" t="s">
        <v>1124</v>
      </c>
      <c r="D696" s="463" t="s">
        <v>384</v>
      </c>
      <c r="E696" s="150">
        <v>50</v>
      </c>
      <c r="F696" s="150">
        <v>50</v>
      </c>
      <c r="G696" s="150">
        <v>185</v>
      </c>
      <c r="H696" s="465">
        <v>2018</v>
      </c>
      <c r="I696" s="465">
        <v>2018</v>
      </c>
      <c r="J696" s="463">
        <v>3.88</v>
      </c>
      <c r="K696" s="463">
        <v>3.88</v>
      </c>
      <c r="L696" s="463"/>
      <c r="M696" s="463"/>
      <c r="N696" s="484">
        <f t="shared" si="139"/>
        <v>3.88</v>
      </c>
      <c r="O696" s="484"/>
      <c r="P696" s="484"/>
      <c r="Q696" s="484"/>
      <c r="R696" s="484"/>
      <c r="S696" s="462" t="str">
        <f t="shared" si="132"/>
        <v>正确</v>
      </c>
      <c r="T696" s="462"/>
      <c r="U696" s="462"/>
      <c r="V696" s="462"/>
      <c r="W696" s="462"/>
    </row>
    <row r="697" ht="23.25" customHeight="1" spans="1:23">
      <c r="A697" s="464"/>
      <c r="B697" s="462" t="s">
        <v>1546</v>
      </c>
      <c r="C697" s="463" t="s">
        <v>1124</v>
      </c>
      <c r="D697" s="463" t="s">
        <v>384</v>
      </c>
      <c r="E697" s="150">
        <v>46</v>
      </c>
      <c r="F697" s="150">
        <v>46</v>
      </c>
      <c r="G697" s="150">
        <v>152</v>
      </c>
      <c r="H697" s="465">
        <v>2018</v>
      </c>
      <c r="I697" s="465">
        <v>2018</v>
      </c>
      <c r="J697" s="463">
        <v>2.33</v>
      </c>
      <c r="K697" s="463">
        <v>2.33</v>
      </c>
      <c r="L697" s="463"/>
      <c r="M697" s="463"/>
      <c r="N697" s="484">
        <f t="shared" si="139"/>
        <v>2.33</v>
      </c>
      <c r="O697" s="484"/>
      <c r="P697" s="484"/>
      <c r="Q697" s="484"/>
      <c r="R697" s="484"/>
      <c r="S697" s="462" t="str">
        <f t="shared" si="132"/>
        <v>正确</v>
      </c>
      <c r="T697" s="462"/>
      <c r="U697" s="462"/>
      <c r="V697" s="462"/>
      <c r="W697" s="462"/>
    </row>
    <row r="698" ht="23.25" customHeight="1" spans="1:23">
      <c r="A698" s="464"/>
      <c r="B698" s="462" t="s">
        <v>1547</v>
      </c>
      <c r="C698" s="463" t="s">
        <v>1124</v>
      </c>
      <c r="D698" s="463" t="s">
        <v>384</v>
      </c>
      <c r="E698" s="465">
        <v>30</v>
      </c>
      <c r="F698" s="465">
        <v>30</v>
      </c>
      <c r="G698" s="465">
        <v>99</v>
      </c>
      <c r="H698" s="465">
        <v>2018</v>
      </c>
      <c r="I698" s="465">
        <v>2018</v>
      </c>
      <c r="J698" s="463">
        <v>1.41</v>
      </c>
      <c r="K698" s="463">
        <v>1.41</v>
      </c>
      <c r="L698" s="463"/>
      <c r="M698" s="463"/>
      <c r="N698" s="484">
        <f t="shared" si="139"/>
        <v>1.41</v>
      </c>
      <c r="O698" s="484"/>
      <c r="P698" s="484"/>
      <c r="Q698" s="484"/>
      <c r="R698" s="484"/>
      <c r="S698" s="462" t="str">
        <f t="shared" si="132"/>
        <v>正确</v>
      </c>
      <c r="T698" s="462"/>
      <c r="U698" s="462"/>
      <c r="V698" s="462"/>
      <c r="W698" s="462"/>
    </row>
    <row r="699" ht="23.25" customHeight="1" spans="1:23">
      <c r="A699" s="464"/>
      <c r="B699" s="462" t="s">
        <v>1548</v>
      </c>
      <c r="C699" s="463" t="s">
        <v>1124</v>
      </c>
      <c r="D699" s="463" t="s">
        <v>384</v>
      </c>
      <c r="E699" s="465">
        <v>68</v>
      </c>
      <c r="F699" s="465">
        <v>68</v>
      </c>
      <c r="G699" s="465">
        <v>224</v>
      </c>
      <c r="H699" s="465">
        <v>2018</v>
      </c>
      <c r="I699" s="465">
        <v>2018</v>
      </c>
      <c r="J699" s="463">
        <v>5.74</v>
      </c>
      <c r="K699" s="463">
        <v>5.74</v>
      </c>
      <c r="L699" s="463"/>
      <c r="M699" s="463"/>
      <c r="N699" s="484">
        <f t="shared" si="139"/>
        <v>5.74</v>
      </c>
      <c r="O699" s="484"/>
      <c r="P699" s="484"/>
      <c r="Q699" s="484"/>
      <c r="R699" s="484"/>
      <c r="S699" s="462" t="str">
        <f t="shared" si="132"/>
        <v>正确</v>
      </c>
      <c r="T699" s="462"/>
      <c r="U699" s="462"/>
      <c r="V699" s="462"/>
      <c r="W699" s="462"/>
    </row>
    <row r="700" ht="23.25" customHeight="1" spans="1:23">
      <c r="A700" s="464"/>
      <c r="B700" s="462" t="s">
        <v>1549</v>
      </c>
      <c r="C700" s="463" t="s">
        <v>1124</v>
      </c>
      <c r="D700" s="463" t="s">
        <v>384</v>
      </c>
      <c r="E700" s="465">
        <v>19</v>
      </c>
      <c r="F700" s="465">
        <v>19</v>
      </c>
      <c r="G700" s="465">
        <v>63</v>
      </c>
      <c r="H700" s="465">
        <v>2018</v>
      </c>
      <c r="I700" s="465">
        <v>2018</v>
      </c>
      <c r="J700" s="463">
        <v>1.745</v>
      </c>
      <c r="K700" s="463">
        <v>1.745</v>
      </c>
      <c r="L700" s="463"/>
      <c r="M700" s="463"/>
      <c r="N700" s="484">
        <f t="shared" si="139"/>
        <v>1.745</v>
      </c>
      <c r="O700" s="484"/>
      <c r="P700" s="484"/>
      <c r="Q700" s="484"/>
      <c r="R700" s="484"/>
      <c r="S700" s="462" t="str">
        <f t="shared" si="132"/>
        <v>正确</v>
      </c>
      <c r="T700" s="462"/>
      <c r="U700" s="462"/>
      <c r="V700" s="462"/>
      <c r="W700" s="462"/>
    </row>
    <row r="701" ht="23.25" customHeight="1" spans="1:23">
      <c r="A701" s="464"/>
      <c r="B701" s="462" t="s">
        <v>1550</v>
      </c>
      <c r="C701" s="463" t="s">
        <v>1124</v>
      </c>
      <c r="D701" s="463" t="s">
        <v>384</v>
      </c>
      <c r="E701" s="465">
        <v>30</v>
      </c>
      <c r="F701" s="465">
        <v>30</v>
      </c>
      <c r="G701" s="465">
        <v>99</v>
      </c>
      <c r="H701" s="465">
        <v>2018</v>
      </c>
      <c r="I701" s="465">
        <v>2018</v>
      </c>
      <c r="J701" s="463">
        <v>3.45</v>
      </c>
      <c r="K701" s="463">
        <v>3.45</v>
      </c>
      <c r="L701" s="463"/>
      <c r="M701" s="463"/>
      <c r="N701" s="484">
        <f t="shared" si="139"/>
        <v>3.45</v>
      </c>
      <c r="O701" s="484"/>
      <c r="P701" s="484"/>
      <c r="Q701" s="484"/>
      <c r="R701" s="484"/>
      <c r="S701" s="462" t="str">
        <f t="shared" si="132"/>
        <v>正确</v>
      </c>
      <c r="T701" s="462"/>
      <c r="U701" s="462"/>
      <c r="V701" s="462"/>
      <c r="W701" s="462"/>
    </row>
    <row r="702" ht="23.25" customHeight="1" spans="1:23">
      <c r="A702" s="464"/>
      <c r="B702" s="462" t="s">
        <v>1551</v>
      </c>
      <c r="C702" s="463" t="s">
        <v>1124</v>
      </c>
      <c r="D702" s="463" t="s">
        <v>384</v>
      </c>
      <c r="E702" s="465">
        <v>10</v>
      </c>
      <c r="F702" s="465">
        <v>10</v>
      </c>
      <c r="G702" s="465">
        <v>33</v>
      </c>
      <c r="H702" s="465">
        <v>2018</v>
      </c>
      <c r="I702" s="465">
        <v>2018</v>
      </c>
      <c r="J702" s="463">
        <v>0.35</v>
      </c>
      <c r="K702" s="463">
        <v>0.35</v>
      </c>
      <c r="L702" s="463"/>
      <c r="M702" s="463"/>
      <c r="N702" s="484">
        <f t="shared" si="139"/>
        <v>0.35</v>
      </c>
      <c r="O702" s="484"/>
      <c r="P702" s="484"/>
      <c r="Q702" s="484"/>
      <c r="R702" s="484"/>
      <c r="S702" s="462" t="str">
        <f t="shared" si="132"/>
        <v>正确</v>
      </c>
      <c r="T702" s="462"/>
      <c r="U702" s="462"/>
      <c r="V702" s="462"/>
      <c r="W702" s="462"/>
    </row>
    <row r="703" ht="23.25" customHeight="1" spans="1:23">
      <c r="A703" s="464">
        <v>66</v>
      </c>
      <c r="B703" s="485" t="s">
        <v>501</v>
      </c>
      <c r="C703" s="463" t="s">
        <v>320</v>
      </c>
      <c r="D703" s="463" t="s">
        <v>320</v>
      </c>
      <c r="E703" s="465"/>
      <c r="F703" s="465"/>
      <c r="G703" s="465"/>
      <c r="H703" s="465"/>
      <c r="I703" s="465"/>
      <c r="J703" s="463"/>
      <c r="K703" s="463"/>
      <c r="L703" s="463"/>
      <c r="M703" s="463"/>
      <c r="N703" s="463"/>
      <c r="O703" s="463"/>
      <c r="P703" s="463"/>
      <c r="Q703" s="463"/>
      <c r="R703" s="463"/>
      <c r="S703" s="462" t="str">
        <f t="shared" si="132"/>
        <v>正确</v>
      </c>
      <c r="T703" s="462"/>
      <c r="U703" s="462"/>
      <c r="V703" s="462" t="s">
        <v>320</v>
      </c>
      <c r="W703" s="462" t="s">
        <v>41</v>
      </c>
    </row>
    <row r="704" ht="23.25" customHeight="1" spans="1:23">
      <c r="A704" s="464">
        <v>67</v>
      </c>
      <c r="B704" s="462" t="s">
        <v>502</v>
      </c>
      <c r="C704" s="463" t="s">
        <v>1124</v>
      </c>
      <c r="D704" s="463" t="s">
        <v>496</v>
      </c>
      <c r="E704" s="465"/>
      <c r="F704" s="465"/>
      <c r="G704" s="465"/>
      <c r="H704" s="465"/>
      <c r="I704" s="465"/>
      <c r="J704" s="463"/>
      <c r="K704" s="463"/>
      <c r="L704" s="463"/>
      <c r="M704" s="463"/>
      <c r="N704" s="484"/>
      <c r="O704" s="484"/>
      <c r="P704" s="484"/>
      <c r="Q704" s="484"/>
      <c r="R704" s="484"/>
      <c r="S704" s="462" t="str">
        <f t="shared" si="132"/>
        <v>正确</v>
      </c>
      <c r="T704" s="462"/>
      <c r="U704" s="462"/>
      <c r="V704" s="462" t="s">
        <v>497</v>
      </c>
      <c r="W704" s="462" t="s">
        <v>41</v>
      </c>
    </row>
    <row r="705" ht="23.25" customHeight="1" spans="1:23">
      <c r="A705" s="464"/>
      <c r="B705" s="462" t="s">
        <v>1540</v>
      </c>
      <c r="C705" s="463" t="s">
        <v>1124</v>
      </c>
      <c r="D705" s="463" t="s">
        <v>496</v>
      </c>
      <c r="E705" s="465"/>
      <c r="F705" s="465"/>
      <c r="G705" s="465"/>
      <c r="H705" s="465"/>
      <c r="I705" s="465"/>
      <c r="J705" s="463"/>
      <c r="K705" s="463"/>
      <c r="L705" s="463"/>
      <c r="M705" s="463"/>
      <c r="N705" s="484"/>
      <c r="O705" s="484"/>
      <c r="P705" s="484"/>
      <c r="Q705" s="484"/>
      <c r="R705" s="484"/>
      <c r="S705" s="462" t="str">
        <f t="shared" si="132"/>
        <v>正确</v>
      </c>
      <c r="T705" s="462"/>
      <c r="U705" s="462"/>
      <c r="V705" s="462"/>
      <c r="W705" s="462"/>
    </row>
    <row r="706" ht="23.25" customHeight="1" spans="1:23">
      <c r="A706" s="464"/>
      <c r="B706" s="462" t="s">
        <v>1541</v>
      </c>
      <c r="C706" s="463" t="s">
        <v>1124</v>
      </c>
      <c r="D706" s="463" t="s">
        <v>496</v>
      </c>
      <c r="E706" s="465"/>
      <c r="F706" s="465"/>
      <c r="G706" s="465"/>
      <c r="H706" s="465"/>
      <c r="I706" s="465"/>
      <c r="J706" s="463"/>
      <c r="K706" s="463"/>
      <c r="L706" s="463"/>
      <c r="M706" s="463"/>
      <c r="N706" s="484"/>
      <c r="O706" s="484"/>
      <c r="P706" s="484"/>
      <c r="Q706" s="484"/>
      <c r="R706" s="484"/>
      <c r="S706" s="462" t="str">
        <f t="shared" si="132"/>
        <v>正确</v>
      </c>
      <c r="T706" s="462"/>
      <c r="U706" s="462"/>
      <c r="V706" s="462"/>
      <c r="W706" s="462"/>
    </row>
    <row r="707" ht="23.25" customHeight="1" spans="1:23">
      <c r="A707" s="464"/>
      <c r="B707" s="462" t="s">
        <v>1542</v>
      </c>
      <c r="C707" s="463" t="s">
        <v>1124</v>
      </c>
      <c r="D707" s="463" t="s">
        <v>496</v>
      </c>
      <c r="E707" s="465"/>
      <c r="F707" s="465"/>
      <c r="G707" s="465"/>
      <c r="H707" s="465"/>
      <c r="I707" s="465"/>
      <c r="J707" s="463"/>
      <c r="K707" s="463"/>
      <c r="L707" s="463"/>
      <c r="M707" s="463"/>
      <c r="N707" s="484"/>
      <c r="O707" s="484"/>
      <c r="P707" s="484"/>
      <c r="Q707" s="484"/>
      <c r="R707" s="484"/>
      <c r="S707" s="462" t="str">
        <f t="shared" si="132"/>
        <v>正确</v>
      </c>
      <c r="T707" s="462"/>
      <c r="U707" s="462"/>
      <c r="V707" s="462"/>
      <c r="W707" s="462"/>
    </row>
    <row r="708" ht="23.25" customHeight="1" spans="1:23">
      <c r="A708" s="464"/>
      <c r="B708" s="462" t="s">
        <v>1543</v>
      </c>
      <c r="C708" s="463" t="s">
        <v>1124</v>
      </c>
      <c r="D708" s="463" t="s">
        <v>496</v>
      </c>
      <c r="E708" s="465"/>
      <c r="F708" s="465"/>
      <c r="G708" s="465"/>
      <c r="H708" s="465"/>
      <c r="I708" s="465"/>
      <c r="J708" s="463"/>
      <c r="K708" s="463"/>
      <c r="L708" s="463"/>
      <c r="M708" s="463"/>
      <c r="N708" s="484"/>
      <c r="O708" s="484"/>
      <c r="P708" s="484"/>
      <c r="Q708" s="484"/>
      <c r="R708" s="484"/>
      <c r="S708" s="462" t="str">
        <f t="shared" si="132"/>
        <v>正确</v>
      </c>
      <c r="T708" s="462"/>
      <c r="U708" s="462"/>
      <c r="V708" s="462"/>
      <c r="W708" s="462"/>
    </row>
    <row r="709" ht="23.25" customHeight="1" spans="1:23">
      <c r="A709" s="464"/>
      <c r="B709" s="462" t="s">
        <v>1544</v>
      </c>
      <c r="C709" s="463" t="s">
        <v>1124</v>
      </c>
      <c r="D709" s="463" t="s">
        <v>496</v>
      </c>
      <c r="E709" s="465"/>
      <c r="F709" s="465"/>
      <c r="G709" s="465"/>
      <c r="H709" s="465"/>
      <c r="I709" s="465"/>
      <c r="J709" s="463"/>
      <c r="K709" s="463"/>
      <c r="L709" s="463"/>
      <c r="M709" s="463"/>
      <c r="N709" s="484"/>
      <c r="O709" s="484"/>
      <c r="P709" s="484"/>
      <c r="Q709" s="484"/>
      <c r="R709" s="484"/>
      <c r="S709" s="462" t="str">
        <f t="shared" si="132"/>
        <v>正确</v>
      </c>
      <c r="T709" s="462"/>
      <c r="U709" s="462"/>
      <c r="V709" s="462"/>
      <c r="W709" s="462"/>
    </row>
    <row r="710" ht="23.25" customHeight="1" spans="1:23">
      <c r="A710" s="464"/>
      <c r="B710" s="462" t="s">
        <v>1545</v>
      </c>
      <c r="C710" s="463" t="s">
        <v>1124</v>
      </c>
      <c r="D710" s="463" t="s">
        <v>496</v>
      </c>
      <c r="E710" s="465"/>
      <c r="F710" s="465"/>
      <c r="G710" s="465"/>
      <c r="H710" s="465"/>
      <c r="I710" s="465"/>
      <c r="J710" s="463"/>
      <c r="K710" s="463"/>
      <c r="L710" s="463"/>
      <c r="M710" s="463"/>
      <c r="N710" s="484"/>
      <c r="O710" s="484"/>
      <c r="P710" s="484"/>
      <c r="Q710" s="484"/>
      <c r="R710" s="484"/>
      <c r="S710" s="462" t="str">
        <f t="shared" si="132"/>
        <v>正确</v>
      </c>
      <c r="T710" s="462"/>
      <c r="U710" s="462"/>
      <c r="V710" s="462"/>
      <c r="W710" s="462"/>
    </row>
    <row r="711" ht="23.25" customHeight="1" spans="1:23">
      <c r="A711" s="464"/>
      <c r="B711" s="462" t="s">
        <v>1546</v>
      </c>
      <c r="C711" s="463" t="s">
        <v>1124</v>
      </c>
      <c r="D711" s="463" t="s">
        <v>496</v>
      </c>
      <c r="E711" s="465"/>
      <c r="F711" s="465"/>
      <c r="G711" s="465"/>
      <c r="H711" s="465"/>
      <c r="I711" s="465"/>
      <c r="J711" s="463"/>
      <c r="K711" s="463"/>
      <c r="L711" s="463"/>
      <c r="M711" s="463"/>
      <c r="N711" s="484"/>
      <c r="O711" s="484"/>
      <c r="P711" s="484"/>
      <c r="Q711" s="484"/>
      <c r="R711" s="484"/>
      <c r="S711" s="462" t="str">
        <f t="shared" ref="S711:S729" si="140">IF(SUM(K711:M711)=SUM(N711:R711),"正确","错误")</f>
        <v>正确</v>
      </c>
      <c r="T711" s="462"/>
      <c r="U711" s="462"/>
      <c r="V711" s="462"/>
      <c r="W711" s="462"/>
    </row>
    <row r="712" ht="23.25" customHeight="1" spans="1:23">
      <c r="A712" s="464"/>
      <c r="B712" s="462" t="s">
        <v>1547</v>
      </c>
      <c r="C712" s="463" t="s">
        <v>1124</v>
      </c>
      <c r="D712" s="463" t="s">
        <v>496</v>
      </c>
      <c r="E712" s="465"/>
      <c r="F712" s="465"/>
      <c r="G712" s="465"/>
      <c r="H712" s="465"/>
      <c r="I712" s="465"/>
      <c r="J712" s="463"/>
      <c r="K712" s="463"/>
      <c r="L712" s="463"/>
      <c r="M712" s="463"/>
      <c r="N712" s="484"/>
      <c r="O712" s="484"/>
      <c r="P712" s="484"/>
      <c r="Q712" s="484"/>
      <c r="R712" s="484"/>
      <c r="S712" s="462" t="str">
        <f t="shared" si="140"/>
        <v>正确</v>
      </c>
      <c r="T712" s="462"/>
      <c r="U712" s="462"/>
      <c r="V712" s="462"/>
      <c r="W712" s="462"/>
    </row>
    <row r="713" ht="23.25" customHeight="1" spans="1:23">
      <c r="A713" s="464"/>
      <c r="B713" s="462" t="s">
        <v>1548</v>
      </c>
      <c r="C713" s="463" t="s">
        <v>1124</v>
      </c>
      <c r="D713" s="463" t="s">
        <v>496</v>
      </c>
      <c r="E713" s="465"/>
      <c r="F713" s="465"/>
      <c r="G713" s="465"/>
      <c r="H713" s="465"/>
      <c r="I713" s="465"/>
      <c r="J713" s="463"/>
      <c r="K713" s="463"/>
      <c r="L713" s="463"/>
      <c r="M713" s="463"/>
      <c r="N713" s="484"/>
      <c r="O713" s="484"/>
      <c r="P713" s="484"/>
      <c r="Q713" s="484"/>
      <c r="R713" s="484"/>
      <c r="S713" s="462" t="str">
        <f t="shared" si="140"/>
        <v>正确</v>
      </c>
      <c r="T713" s="462"/>
      <c r="U713" s="462"/>
      <c r="V713" s="462"/>
      <c r="W713" s="462"/>
    </row>
    <row r="714" ht="23.25" customHeight="1" spans="1:23">
      <c r="A714" s="464"/>
      <c r="B714" s="462" t="s">
        <v>1549</v>
      </c>
      <c r="C714" s="463" t="s">
        <v>1124</v>
      </c>
      <c r="D714" s="463" t="s">
        <v>496</v>
      </c>
      <c r="E714" s="465"/>
      <c r="F714" s="465"/>
      <c r="G714" s="465"/>
      <c r="H714" s="465"/>
      <c r="I714" s="465"/>
      <c r="J714" s="463"/>
      <c r="K714" s="463"/>
      <c r="L714" s="463"/>
      <c r="M714" s="463"/>
      <c r="N714" s="484"/>
      <c r="O714" s="484"/>
      <c r="P714" s="484"/>
      <c r="Q714" s="484"/>
      <c r="R714" s="484"/>
      <c r="S714" s="462" t="str">
        <f t="shared" si="140"/>
        <v>正确</v>
      </c>
      <c r="T714" s="462"/>
      <c r="U714" s="462"/>
      <c r="V714" s="462"/>
      <c r="W714" s="462"/>
    </row>
    <row r="715" ht="23.25" customHeight="1" spans="1:23">
      <c r="A715" s="464"/>
      <c r="B715" s="462" t="s">
        <v>1550</v>
      </c>
      <c r="C715" s="463" t="s">
        <v>1124</v>
      </c>
      <c r="D715" s="463" t="s">
        <v>496</v>
      </c>
      <c r="E715" s="465"/>
      <c r="F715" s="465"/>
      <c r="G715" s="465"/>
      <c r="H715" s="465"/>
      <c r="I715" s="465"/>
      <c r="J715" s="463"/>
      <c r="K715" s="463"/>
      <c r="L715" s="463"/>
      <c r="M715" s="463"/>
      <c r="N715" s="484"/>
      <c r="O715" s="484"/>
      <c r="P715" s="484"/>
      <c r="Q715" s="484"/>
      <c r="R715" s="484"/>
      <c r="S715" s="462" t="str">
        <f t="shared" si="140"/>
        <v>正确</v>
      </c>
      <c r="T715" s="462"/>
      <c r="U715" s="462"/>
      <c r="V715" s="462"/>
      <c r="W715" s="462"/>
    </row>
    <row r="716" ht="23.25" customHeight="1" spans="1:23">
      <c r="A716" s="464"/>
      <c r="B716" s="462" t="s">
        <v>1551</v>
      </c>
      <c r="C716" s="463" t="s">
        <v>1124</v>
      </c>
      <c r="D716" s="463" t="s">
        <v>496</v>
      </c>
      <c r="E716" s="465"/>
      <c r="F716" s="465"/>
      <c r="G716" s="465"/>
      <c r="H716" s="465"/>
      <c r="I716" s="465"/>
      <c r="J716" s="463"/>
      <c r="K716" s="463"/>
      <c r="L716" s="463"/>
      <c r="M716" s="463"/>
      <c r="N716" s="484"/>
      <c r="O716" s="484"/>
      <c r="P716" s="484"/>
      <c r="Q716" s="484"/>
      <c r="R716" s="484"/>
      <c r="S716" s="462" t="str">
        <f t="shared" si="140"/>
        <v>正确</v>
      </c>
      <c r="T716" s="462"/>
      <c r="U716" s="462"/>
      <c r="V716" s="462"/>
      <c r="W716" s="462"/>
    </row>
    <row r="717" ht="23.25" customHeight="1" spans="1:23">
      <c r="A717" s="464">
        <v>68</v>
      </c>
      <c r="B717" s="462" t="s">
        <v>503</v>
      </c>
      <c r="C717" s="463" t="s">
        <v>1124</v>
      </c>
      <c r="D717" s="463" t="s">
        <v>496</v>
      </c>
      <c r="E717" s="465"/>
      <c r="F717" s="465"/>
      <c r="G717" s="465"/>
      <c r="H717" s="465"/>
      <c r="I717" s="465"/>
      <c r="J717" s="463"/>
      <c r="K717" s="463"/>
      <c r="L717" s="463"/>
      <c r="M717" s="463"/>
      <c r="N717" s="484"/>
      <c r="O717" s="484"/>
      <c r="P717" s="484"/>
      <c r="Q717" s="484"/>
      <c r="R717" s="484"/>
      <c r="S717" s="462" t="str">
        <f t="shared" si="140"/>
        <v>正确</v>
      </c>
      <c r="T717" s="462"/>
      <c r="U717" s="462"/>
      <c r="V717" s="462" t="s">
        <v>497</v>
      </c>
      <c r="W717" s="462" t="s">
        <v>41</v>
      </c>
    </row>
    <row r="718" ht="23.25" customHeight="1" spans="1:23">
      <c r="A718" s="464"/>
      <c r="B718" s="462" t="s">
        <v>1540</v>
      </c>
      <c r="C718" s="463" t="s">
        <v>1124</v>
      </c>
      <c r="D718" s="463" t="s">
        <v>496</v>
      </c>
      <c r="E718" s="465"/>
      <c r="F718" s="465"/>
      <c r="G718" s="465"/>
      <c r="H718" s="465"/>
      <c r="I718" s="465"/>
      <c r="J718" s="463"/>
      <c r="K718" s="463"/>
      <c r="L718" s="463"/>
      <c r="M718" s="463"/>
      <c r="N718" s="484"/>
      <c r="O718" s="484"/>
      <c r="P718" s="484"/>
      <c r="Q718" s="484"/>
      <c r="R718" s="484"/>
      <c r="S718" s="462" t="str">
        <f t="shared" si="140"/>
        <v>正确</v>
      </c>
      <c r="T718" s="462"/>
      <c r="U718" s="462"/>
      <c r="V718" s="462"/>
      <c r="W718" s="462"/>
    </row>
    <row r="719" ht="23.25" customHeight="1" spans="1:23">
      <c r="A719" s="464"/>
      <c r="B719" s="462" t="s">
        <v>1541</v>
      </c>
      <c r="C719" s="463" t="s">
        <v>1124</v>
      </c>
      <c r="D719" s="463" t="s">
        <v>496</v>
      </c>
      <c r="E719" s="465"/>
      <c r="F719" s="465"/>
      <c r="G719" s="465"/>
      <c r="H719" s="465"/>
      <c r="I719" s="465"/>
      <c r="J719" s="463"/>
      <c r="K719" s="463"/>
      <c r="L719" s="463"/>
      <c r="M719" s="463"/>
      <c r="N719" s="484"/>
      <c r="O719" s="484"/>
      <c r="P719" s="484"/>
      <c r="Q719" s="484"/>
      <c r="R719" s="484"/>
      <c r="S719" s="462" t="str">
        <f t="shared" si="140"/>
        <v>正确</v>
      </c>
      <c r="T719" s="462"/>
      <c r="U719" s="462"/>
      <c r="V719" s="462"/>
      <c r="W719" s="462"/>
    </row>
    <row r="720" ht="23.25" customHeight="1" spans="1:23">
      <c r="A720" s="464"/>
      <c r="B720" s="462" t="s">
        <v>1542</v>
      </c>
      <c r="C720" s="463" t="s">
        <v>1124</v>
      </c>
      <c r="D720" s="463" t="s">
        <v>496</v>
      </c>
      <c r="E720" s="465"/>
      <c r="F720" s="465"/>
      <c r="G720" s="465"/>
      <c r="H720" s="465"/>
      <c r="I720" s="465"/>
      <c r="J720" s="463"/>
      <c r="K720" s="463"/>
      <c r="L720" s="463"/>
      <c r="M720" s="463"/>
      <c r="N720" s="484"/>
      <c r="O720" s="484"/>
      <c r="P720" s="484"/>
      <c r="Q720" s="484"/>
      <c r="R720" s="484"/>
      <c r="S720" s="462" t="str">
        <f t="shared" si="140"/>
        <v>正确</v>
      </c>
      <c r="T720" s="462"/>
      <c r="U720" s="462"/>
      <c r="V720" s="462"/>
      <c r="W720" s="462"/>
    </row>
    <row r="721" ht="23.25" customHeight="1" spans="1:23">
      <c r="A721" s="464"/>
      <c r="B721" s="462" t="s">
        <v>1543</v>
      </c>
      <c r="C721" s="463" t="s">
        <v>1124</v>
      </c>
      <c r="D721" s="463" t="s">
        <v>496</v>
      </c>
      <c r="E721" s="465"/>
      <c r="F721" s="465"/>
      <c r="G721" s="465"/>
      <c r="H721" s="465"/>
      <c r="I721" s="465"/>
      <c r="J721" s="463"/>
      <c r="K721" s="463"/>
      <c r="L721" s="463"/>
      <c r="M721" s="463"/>
      <c r="N721" s="484"/>
      <c r="O721" s="484"/>
      <c r="P721" s="484"/>
      <c r="Q721" s="484"/>
      <c r="R721" s="484"/>
      <c r="S721" s="462" t="str">
        <f t="shared" si="140"/>
        <v>正确</v>
      </c>
      <c r="T721" s="462"/>
      <c r="U721" s="462"/>
      <c r="V721" s="462"/>
      <c r="W721" s="462"/>
    </row>
    <row r="722" ht="23.25" customHeight="1" spans="1:23">
      <c r="A722" s="464"/>
      <c r="B722" s="462" t="s">
        <v>1544</v>
      </c>
      <c r="C722" s="463" t="s">
        <v>1124</v>
      </c>
      <c r="D722" s="463" t="s">
        <v>496</v>
      </c>
      <c r="E722" s="465"/>
      <c r="F722" s="465"/>
      <c r="G722" s="465"/>
      <c r="H722" s="465"/>
      <c r="I722" s="465"/>
      <c r="J722" s="463"/>
      <c r="K722" s="463"/>
      <c r="L722" s="463"/>
      <c r="M722" s="463"/>
      <c r="N722" s="484"/>
      <c r="O722" s="484"/>
      <c r="P722" s="484"/>
      <c r="Q722" s="484"/>
      <c r="R722" s="484"/>
      <c r="S722" s="462" t="str">
        <f t="shared" si="140"/>
        <v>正确</v>
      </c>
      <c r="T722" s="462"/>
      <c r="U722" s="462"/>
      <c r="V722" s="462"/>
      <c r="W722" s="462"/>
    </row>
    <row r="723" ht="23.25" customHeight="1" spans="1:23">
      <c r="A723" s="464"/>
      <c r="B723" s="462" t="s">
        <v>1545</v>
      </c>
      <c r="C723" s="463" t="s">
        <v>1124</v>
      </c>
      <c r="D723" s="463" t="s">
        <v>496</v>
      </c>
      <c r="E723" s="465"/>
      <c r="F723" s="465"/>
      <c r="G723" s="465"/>
      <c r="H723" s="465"/>
      <c r="I723" s="465"/>
      <c r="J723" s="463"/>
      <c r="K723" s="463"/>
      <c r="L723" s="463"/>
      <c r="M723" s="463"/>
      <c r="N723" s="484"/>
      <c r="O723" s="484"/>
      <c r="P723" s="484"/>
      <c r="Q723" s="484"/>
      <c r="R723" s="484"/>
      <c r="S723" s="462" t="str">
        <f t="shared" si="140"/>
        <v>正确</v>
      </c>
      <c r="T723" s="462"/>
      <c r="U723" s="462"/>
      <c r="V723" s="462"/>
      <c r="W723" s="462"/>
    </row>
    <row r="724" ht="23.25" customHeight="1" spans="1:23">
      <c r="A724" s="464"/>
      <c r="B724" s="462" t="s">
        <v>1546</v>
      </c>
      <c r="C724" s="463" t="s">
        <v>1124</v>
      </c>
      <c r="D724" s="463" t="s">
        <v>496</v>
      </c>
      <c r="E724" s="465"/>
      <c r="F724" s="465"/>
      <c r="G724" s="465"/>
      <c r="H724" s="465"/>
      <c r="I724" s="465"/>
      <c r="J724" s="463"/>
      <c r="K724" s="463"/>
      <c r="L724" s="463"/>
      <c r="M724" s="463"/>
      <c r="N724" s="484"/>
      <c r="O724" s="484"/>
      <c r="P724" s="484"/>
      <c r="Q724" s="484"/>
      <c r="R724" s="484"/>
      <c r="S724" s="462" t="str">
        <f t="shared" si="140"/>
        <v>正确</v>
      </c>
      <c r="T724" s="462"/>
      <c r="U724" s="462"/>
      <c r="V724" s="462"/>
      <c r="W724" s="462"/>
    </row>
    <row r="725" ht="23.25" customHeight="1" spans="1:23">
      <c r="A725" s="464"/>
      <c r="B725" s="462" t="s">
        <v>1547</v>
      </c>
      <c r="C725" s="463" t="s">
        <v>1124</v>
      </c>
      <c r="D725" s="463" t="s">
        <v>496</v>
      </c>
      <c r="E725" s="465"/>
      <c r="F725" s="465"/>
      <c r="G725" s="465"/>
      <c r="H725" s="465"/>
      <c r="I725" s="465"/>
      <c r="J725" s="463"/>
      <c r="K725" s="463"/>
      <c r="L725" s="463"/>
      <c r="M725" s="463"/>
      <c r="N725" s="484"/>
      <c r="O725" s="484"/>
      <c r="P725" s="484"/>
      <c r="Q725" s="484"/>
      <c r="R725" s="484"/>
      <c r="S725" s="462" t="str">
        <f t="shared" si="140"/>
        <v>正确</v>
      </c>
      <c r="T725" s="462"/>
      <c r="U725" s="462"/>
      <c r="V725" s="462"/>
      <c r="W725" s="462"/>
    </row>
    <row r="726" ht="23.25" customHeight="1" spans="1:23">
      <c r="A726" s="464"/>
      <c r="B726" s="462" t="s">
        <v>1548</v>
      </c>
      <c r="C726" s="463" t="s">
        <v>1124</v>
      </c>
      <c r="D726" s="463" t="s">
        <v>496</v>
      </c>
      <c r="E726" s="465"/>
      <c r="F726" s="465"/>
      <c r="G726" s="465"/>
      <c r="H726" s="465"/>
      <c r="I726" s="465"/>
      <c r="J726" s="463"/>
      <c r="K726" s="463"/>
      <c r="L726" s="463"/>
      <c r="M726" s="463"/>
      <c r="N726" s="484"/>
      <c r="O726" s="484"/>
      <c r="P726" s="484"/>
      <c r="Q726" s="484"/>
      <c r="R726" s="484"/>
      <c r="S726" s="462" t="str">
        <f t="shared" si="140"/>
        <v>正确</v>
      </c>
      <c r="T726" s="462"/>
      <c r="U726" s="462"/>
      <c r="V726" s="462"/>
      <c r="W726" s="462"/>
    </row>
    <row r="727" ht="23.25" customHeight="1" spans="1:23">
      <c r="A727" s="464"/>
      <c r="B727" s="462" t="s">
        <v>1549</v>
      </c>
      <c r="C727" s="463" t="s">
        <v>1124</v>
      </c>
      <c r="D727" s="463" t="s">
        <v>496</v>
      </c>
      <c r="E727" s="465"/>
      <c r="F727" s="465"/>
      <c r="G727" s="465"/>
      <c r="H727" s="465"/>
      <c r="I727" s="465"/>
      <c r="J727" s="463"/>
      <c r="K727" s="463"/>
      <c r="L727" s="463"/>
      <c r="M727" s="463"/>
      <c r="N727" s="484"/>
      <c r="O727" s="484"/>
      <c r="P727" s="484"/>
      <c r="Q727" s="484"/>
      <c r="R727" s="484"/>
      <c r="S727" s="462" t="str">
        <f t="shared" si="140"/>
        <v>正确</v>
      </c>
      <c r="T727" s="462"/>
      <c r="U727" s="462"/>
      <c r="V727" s="462"/>
      <c r="W727" s="462"/>
    </row>
    <row r="728" ht="23.25" customHeight="1" spans="1:23">
      <c r="A728" s="464"/>
      <c r="B728" s="462" t="s">
        <v>1550</v>
      </c>
      <c r="C728" s="463" t="s">
        <v>1124</v>
      </c>
      <c r="D728" s="463" t="s">
        <v>496</v>
      </c>
      <c r="E728" s="465"/>
      <c r="F728" s="465"/>
      <c r="G728" s="465"/>
      <c r="H728" s="465"/>
      <c r="I728" s="465"/>
      <c r="J728" s="463"/>
      <c r="K728" s="463"/>
      <c r="L728" s="463"/>
      <c r="M728" s="463"/>
      <c r="N728" s="484"/>
      <c r="O728" s="484"/>
      <c r="P728" s="484"/>
      <c r="Q728" s="484"/>
      <c r="R728" s="484"/>
      <c r="S728" s="462" t="str">
        <f t="shared" si="140"/>
        <v>正确</v>
      </c>
      <c r="T728" s="462"/>
      <c r="U728" s="462"/>
      <c r="V728" s="462"/>
      <c r="W728" s="462"/>
    </row>
    <row r="729" ht="23.25" customHeight="1" spans="1:23">
      <c r="A729" s="464"/>
      <c r="B729" s="462" t="s">
        <v>1551</v>
      </c>
      <c r="C729" s="463" t="s">
        <v>1124</v>
      </c>
      <c r="D729" s="463" t="s">
        <v>496</v>
      </c>
      <c r="E729" s="465"/>
      <c r="F729" s="465"/>
      <c r="G729" s="465"/>
      <c r="H729" s="465"/>
      <c r="I729" s="465"/>
      <c r="J729" s="463"/>
      <c r="K729" s="463"/>
      <c r="L729" s="463"/>
      <c r="M729" s="463"/>
      <c r="N729" s="484"/>
      <c r="O729" s="484"/>
      <c r="P729" s="484"/>
      <c r="Q729" s="484"/>
      <c r="R729" s="484"/>
      <c r="S729" s="462" t="str">
        <f t="shared" si="140"/>
        <v>正确</v>
      </c>
      <c r="T729" s="462"/>
      <c r="U729" s="462"/>
      <c r="V729" s="462"/>
      <c r="W729" s="462"/>
    </row>
    <row r="730" ht="23.25" customHeight="1" spans="1:23">
      <c r="A730" s="464">
        <v>69</v>
      </c>
      <c r="B730" s="462" t="s">
        <v>504</v>
      </c>
      <c r="C730" s="463" t="s">
        <v>1124</v>
      </c>
      <c r="D730" s="463" t="s">
        <v>496</v>
      </c>
      <c r="E730" s="465"/>
      <c r="F730" s="465"/>
      <c r="G730" s="465"/>
      <c r="H730" s="465"/>
      <c r="I730" s="465"/>
      <c r="J730" s="463"/>
      <c r="K730" s="463"/>
      <c r="L730" s="463"/>
      <c r="M730" s="463"/>
      <c r="N730" s="463"/>
      <c r="O730" s="463"/>
      <c r="P730" s="463"/>
      <c r="Q730" s="463"/>
      <c r="R730" s="463"/>
      <c r="S730" s="462"/>
      <c r="T730" s="462"/>
      <c r="U730" s="462"/>
      <c r="V730" s="462"/>
      <c r="W730" s="462"/>
    </row>
    <row r="731" ht="23.25" customHeight="1" spans="1:23">
      <c r="A731" s="464"/>
      <c r="B731" s="462" t="s">
        <v>1540</v>
      </c>
      <c r="C731" s="463" t="s">
        <v>1124</v>
      </c>
      <c r="D731" s="463" t="s">
        <v>496</v>
      </c>
      <c r="E731" s="465"/>
      <c r="F731" s="465"/>
      <c r="G731" s="465"/>
      <c r="H731" s="465"/>
      <c r="I731" s="465"/>
      <c r="J731" s="463"/>
      <c r="K731" s="463"/>
      <c r="L731" s="463"/>
      <c r="M731" s="463"/>
      <c r="N731" s="484"/>
      <c r="O731" s="484"/>
      <c r="P731" s="484"/>
      <c r="Q731" s="484"/>
      <c r="R731" s="484"/>
      <c r="S731" s="462" t="str">
        <f t="shared" ref="S731:S755" si="141">IF(J731=SUM(N731:R731),"正确","错误")</f>
        <v>正确</v>
      </c>
      <c r="T731" s="462"/>
      <c r="U731" s="462"/>
      <c r="V731" s="462"/>
      <c r="W731" s="462"/>
    </row>
    <row r="732" ht="23.25" customHeight="1" spans="1:23">
      <c r="A732" s="464"/>
      <c r="B732" s="462" t="s">
        <v>1541</v>
      </c>
      <c r="C732" s="463" t="s">
        <v>1124</v>
      </c>
      <c r="D732" s="463" t="s">
        <v>496</v>
      </c>
      <c r="E732" s="465"/>
      <c r="F732" s="465"/>
      <c r="G732" s="465"/>
      <c r="H732" s="465"/>
      <c r="I732" s="465"/>
      <c r="J732" s="463"/>
      <c r="K732" s="463"/>
      <c r="L732" s="463"/>
      <c r="M732" s="463"/>
      <c r="N732" s="484"/>
      <c r="O732" s="484"/>
      <c r="P732" s="484"/>
      <c r="Q732" s="484"/>
      <c r="R732" s="484"/>
      <c r="S732" s="462" t="str">
        <f t="shared" si="141"/>
        <v>正确</v>
      </c>
      <c r="T732" s="462"/>
      <c r="U732" s="462"/>
      <c r="V732" s="462"/>
      <c r="W732" s="462"/>
    </row>
    <row r="733" ht="23.25" customHeight="1" spans="1:23">
      <c r="A733" s="464"/>
      <c r="B733" s="462" t="s">
        <v>1542</v>
      </c>
      <c r="C733" s="463" t="s">
        <v>1124</v>
      </c>
      <c r="D733" s="463" t="s">
        <v>496</v>
      </c>
      <c r="E733" s="465"/>
      <c r="F733" s="465"/>
      <c r="G733" s="465"/>
      <c r="H733" s="465"/>
      <c r="I733" s="465"/>
      <c r="J733" s="463"/>
      <c r="K733" s="463"/>
      <c r="L733" s="463"/>
      <c r="M733" s="463"/>
      <c r="N733" s="484"/>
      <c r="O733" s="484"/>
      <c r="P733" s="484"/>
      <c r="Q733" s="484"/>
      <c r="R733" s="484"/>
      <c r="S733" s="462" t="str">
        <f t="shared" si="141"/>
        <v>正确</v>
      </c>
      <c r="T733" s="462"/>
      <c r="U733" s="462"/>
      <c r="V733" s="462"/>
      <c r="W733" s="462"/>
    </row>
    <row r="734" ht="23.25" customHeight="1" spans="1:23">
      <c r="A734" s="464"/>
      <c r="B734" s="462" t="s">
        <v>1543</v>
      </c>
      <c r="C734" s="463" t="s">
        <v>1124</v>
      </c>
      <c r="D734" s="463" t="s">
        <v>496</v>
      </c>
      <c r="E734" s="465"/>
      <c r="F734" s="465"/>
      <c r="G734" s="465"/>
      <c r="H734" s="465"/>
      <c r="I734" s="465"/>
      <c r="J734" s="463"/>
      <c r="K734" s="463"/>
      <c r="L734" s="463"/>
      <c r="M734" s="463"/>
      <c r="N734" s="484"/>
      <c r="O734" s="484"/>
      <c r="P734" s="484"/>
      <c r="Q734" s="484"/>
      <c r="R734" s="484"/>
      <c r="S734" s="462" t="str">
        <f t="shared" si="141"/>
        <v>正确</v>
      </c>
      <c r="T734" s="462"/>
      <c r="U734" s="462"/>
      <c r="V734" s="462"/>
      <c r="W734" s="462"/>
    </row>
    <row r="735" ht="23.25" customHeight="1" spans="1:23">
      <c r="A735" s="464"/>
      <c r="B735" s="462" t="s">
        <v>1544</v>
      </c>
      <c r="C735" s="463" t="s">
        <v>1124</v>
      </c>
      <c r="D735" s="463" t="s">
        <v>496</v>
      </c>
      <c r="E735" s="150"/>
      <c r="F735" s="150"/>
      <c r="G735" s="150"/>
      <c r="H735" s="465"/>
      <c r="I735" s="465"/>
      <c r="J735" s="463"/>
      <c r="K735" s="463"/>
      <c r="L735" s="463"/>
      <c r="M735" s="463"/>
      <c r="N735" s="484"/>
      <c r="O735" s="484"/>
      <c r="P735" s="484"/>
      <c r="Q735" s="484"/>
      <c r="R735" s="484"/>
      <c r="S735" s="462" t="str">
        <f t="shared" si="141"/>
        <v>正确</v>
      </c>
      <c r="T735" s="462"/>
      <c r="U735" s="462"/>
      <c r="V735" s="462"/>
      <c r="W735" s="462"/>
    </row>
    <row r="736" ht="23.25" customHeight="1" spans="1:23">
      <c r="A736" s="464"/>
      <c r="B736" s="462" t="s">
        <v>1545</v>
      </c>
      <c r="C736" s="463" t="s">
        <v>1124</v>
      </c>
      <c r="D736" s="463" t="s">
        <v>496</v>
      </c>
      <c r="E736" s="150"/>
      <c r="F736" s="150"/>
      <c r="G736" s="150"/>
      <c r="H736" s="465"/>
      <c r="I736" s="465"/>
      <c r="J736" s="463"/>
      <c r="K736" s="463"/>
      <c r="L736" s="463"/>
      <c r="M736" s="463"/>
      <c r="N736" s="484"/>
      <c r="O736" s="484"/>
      <c r="P736" s="484"/>
      <c r="Q736" s="484"/>
      <c r="R736" s="484"/>
      <c r="S736" s="462" t="str">
        <f t="shared" si="141"/>
        <v>正确</v>
      </c>
      <c r="T736" s="462"/>
      <c r="U736" s="462"/>
      <c r="V736" s="462"/>
      <c r="W736" s="462"/>
    </row>
    <row r="737" ht="23.25" customHeight="1" spans="1:23">
      <c r="A737" s="464"/>
      <c r="B737" s="462" t="s">
        <v>1546</v>
      </c>
      <c r="C737" s="463" t="s">
        <v>1124</v>
      </c>
      <c r="D737" s="463" t="s">
        <v>496</v>
      </c>
      <c r="E737" s="465"/>
      <c r="F737" s="465"/>
      <c r="G737" s="465"/>
      <c r="H737" s="465"/>
      <c r="I737" s="465"/>
      <c r="J737" s="463"/>
      <c r="K737" s="463"/>
      <c r="L737" s="463"/>
      <c r="M737" s="463"/>
      <c r="N737" s="484"/>
      <c r="O737" s="484"/>
      <c r="P737" s="484"/>
      <c r="Q737" s="484"/>
      <c r="R737" s="484"/>
      <c r="S737" s="462" t="str">
        <f t="shared" si="141"/>
        <v>正确</v>
      </c>
      <c r="T737" s="462"/>
      <c r="U737" s="462"/>
      <c r="V737" s="462"/>
      <c r="W737" s="462"/>
    </row>
    <row r="738" ht="23.25" customHeight="1" spans="1:23">
      <c r="A738" s="464"/>
      <c r="B738" s="462" t="s">
        <v>1547</v>
      </c>
      <c r="C738" s="463" t="s">
        <v>1124</v>
      </c>
      <c r="D738" s="463" t="s">
        <v>496</v>
      </c>
      <c r="E738" s="465"/>
      <c r="F738" s="465"/>
      <c r="G738" s="465"/>
      <c r="H738" s="465"/>
      <c r="I738" s="465"/>
      <c r="J738" s="463"/>
      <c r="K738" s="463"/>
      <c r="L738" s="463"/>
      <c r="M738" s="463"/>
      <c r="N738" s="484"/>
      <c r="O738" s="484"/>
      <c r="P738" s="484"/>
      <c r="Q738" s="484"/>
      <c r="R738" s="484"/>
      <c r="S738" s="462" t="str">
        <f t="shared" si="141"/>
        <v>正确</v>
      </c>
      <c r="T738" s="462"/>
      <c r="U738" s="462"/>
      <c r="V738" s="462"/>
      <c r="W738" s="462"/>
    </row>
    <row r="739" ht="23.25" customHeight="1" spans="1:23">
      <c r="A739" s="464"/>
      <c r="B739" s="462" t="s">
        <v>1548</v>
      </c>
      <c r="C739" s="463" t="s">
        <v>1124</v>
      </c>
      <c r="D739" s="463" t="s">
        <v>496</v>
      </c>
      <c r="E739" s="465"/>
      <c r="F739" s="465"/>
      <c r="G739" s="465"/>
      <c r="H739" s="465"/>
      <c r="I739" s="465"/>
      <c r="J739" s="463"/>
      <c r="K739" s="463"/>
      <c r="L739" s="463"/>
      <c r="M739" s="463"/>
      <c r="N739" s="484"/>
      <c r="O739" s="484"/>
      <c r="P739" s="484"/>
      <c r="Q739" s="484"/>
      <c r="R739" s="484"/>
      <c r="S739" s="462" t="str">
        <f t="shared" si="141"/>
        <v>正确</v>
      </c>
      <c r="T739" s="462"/>
      <c r="U739" s="462"/>
      <c r="V739" s="462"/>
      <c r="W739" s="462"/>
    </row>
    <row r="740" ht="23.25" customHeight="1" spans="1:23">
      <c r="A740" s="464"/>
      <c r="B740" s="462" t="s">
        <v>1549</v>
      </c>
      <c r="C740" s="463" t="s">
        <v>1124</v>
      </c>
      <c r="D740" s="463" t="s">
        <v>496</v>
      </c>
      <c r="E740" s="465"/>
      <c r="F740" s="465"/>
      <c r="G740" s="465"/>
      <c r="H740" s="465"/>
      <c r="I740" s="465"/>
      <c r="J740" s="463"/>
      <c r="K740" s="463"/>
      <c r="L740" s="463"/>
      <c r="M740" s="463"/>
      <c r="N740" s="484"/>
      <c r="O740" s="484"/>
      <c r="P740" s="484"/>
      <c r="Q740" s="484"/>
      <c r="R740" s="484"/>
      <c r="S740" s="462" t="str">
        <f t="shared" si="141"/>
        <v>正确</v>
      </c>
      <c r="T740" s="462"/>
      <c r="U740" s="462"/>
      <c r="V740" s="462"/>
      <c r="W740" s="462"/>
    </row>
    <row r="741" ht="23.25" customHeight="1" spans="1:23">
      <c r="A741" s="464"/>
      <c r="B741" s="462" t="s">
        <v>1550</v>
      </c>
      <c r="C741" s="463" t="s">
        <v>1124</v>
      </c>
      <c r="D741" s="463" t="s">
        <v>496</v>
      </c>
      <c r="E741" s="150"/>
      <c r="F741" s="150"/>
      <c r="G741" s="150"/>
      <c r="H741" s="465"/>
      <c r="I741" s="465"/>
      <c r="J741" s="463"/>
      <c r="K741" s="463"/>
      <c r="L741" s="463"/>
      <c r="M741" s="463"/>
      <c r="N741" s="484"/>
      <c r="O741" s="484"/>
      <c r="P741" s="484"/>
      <c r="Q741" s="484"/>
      <c r="R741" s="484"/>
      <c r="S741" s="462" t="str">
        <f t="shared" si="141"/>
        <v>正确</v>
      </c>
      <c r="T741" s="462"/>
      <c r="U741" s="462"/>
      <c r="V741" s="462"/>
      <c r="W741" s="462"/>
    </row>
    <row r="742" ht="23.25" customHeight="1" spans="1:23">
      <c r="A742" s="464"/>
      <c r="B742" s="462" t="s">
        <v>1551</v>
      </c>
      <c r="C742" s="463" t="s">
        <v>1124</v>
      </c>
      <c r="D742" s="463" t="s">
        <v>496</v>
      </c>
      <c r="E742" s="465"/>
      <c r="F742" s="465"/>
      <c r="G742" s="465"/>
      <c r="H742" s="465"/>
      <c r="I742" s="465"/>
      <c r="J742" s="463"/>
      <c r="K742" s="463"/>
      <c r="L742" s="463"/>
      <c r="M742" s="463"/>
      <c r="N742" s="484"/>
      <c r="O742" s="484"/>
      <c r="P742" s="484"/>
      <c r="Q742" s="484"/>
      <c r="R742" s="484"/>
      <c r="S742" s="462" t="str">
        <f t="shared" si="141"/>
        <v>正确</v>
      </c>
      <c r="T742" s="462"/>
      <c r="U742" s="462"/>
      <c r="V742" s="462"/>
      <c r="W742" s="462"/>
    </row>
    <row r="743" ht="42" customHeight="1" spans="1:23">
      <c r="A743" s="464">
        <v>70</v>
      </c>
      <c r="B743" s="462" t="s">
        <v>505</v>
      </c>
      <c r="C743" s="463" t="s">
        <v>1124</v>
      </c>
      <c r="D743" s="463" t="s">
        <v>147</v>
      </c>
      <c r="E743" s="465">
        <f t="shared" ref="E743:G743" si="142">SUM(E744:E789)</f>
        <v>9700</v>
      </c>
      <c r="F743" s="465">
        <f t="shared" si="142"/>
        <v>986</v>
      </c>
      <c r="G743" s="465">
        <f t="shared" si="142"/>
        <v>3340</v>
      </c>
      <c r="H743" s="465">
        <v>2018</v>
      </c>
      <c r="I743" s="465">
        <v>2019</v>
      </c>
      <c r="J743" s="463">
        <f>K743+L743+M743</f>
        <v>1635.9001</v>
      </c>
      <c r="K743" s="463">
        <f t="shared" ref="K743:R743" si="143">SUM(K744:K791)</f>
        <v>546.3701</v>
      </c>
      <c r="L743" s="463">
        <f t="shared" si="143"/>
        <v>957.19</v>
      </c>
      <c r="M743" s="463">
        <f t="shared" si="143"/>
        <v>132.34</v>
      </c>
      <c r="N743" s="463">
        <f t="shared" si="143"/>
        <v>100</v>
      </c>
      <c r="O743" s="463">
        <f t="shared" si="143"/>
        <v>1535.9001</v>
      </c>
      <c r="P743" s="463">
        <f t="shared" si="143"/>
        <v>0</v>
      </c>
      <c r="Q743" s="463">
        <f t="shared" si="143"/>
        <v>0</v>
      </c>
      <c r="R743" s="463">
        <f t="shared" si="143"/>
        <v>0</v>
      </c>
      <c r="S743" s="462" t="str">
        <f t="shared" si="141"/>
        <v>正确</v>
      </c>
      <c r="T743" s="464">
        <f>SUM(T744:T789)</f>
        <v>0</v>
      </c>
      <c r="U743" s="464">
        <f>SUM(U744:U789)</f>
        <v>0</v>
      </c>
      <c r="V743" s="462"/>
      <c r="W743" s="462"/>
    </row>
    <row r="744" ht="42" customHeight="1" spans="1:23">
      <c r="A744" s="464"/>
      <c r="B744" s="462" t="s">
        <v>1679</v>
      </c>
      <c r="C744" s="463" t="s">
        <v>52</v>
      </c>
      <c r="D744" s="463" t="s">
        <v>147</v>
      </c>
      <c r="E744" s="465">
        <v>189</v>
      </c>
      <c r="F744" s="465">
        <v>21</v>
      </c>
      <c r="G744" s="465">
        <v>78</v>
      </c>
      <c r="H744" s="465">
        <v>2018</v>
      </c>
      <c r="I744" s="465">
        <v>2019</v>
      </c>
      <c r="J744" s="463">
        <v>33.81</v>
      </c>
      <c r="K744" s="463">
        <v>26</v>
      </c>
      <c r="L744" s="463">
        <v>7.81</v>
      </c>
      <c r="M744" s="463"/>
      <c r="N744" s="463"/>
      <c r="O744" s="463">
        <v>33.81</v>
      </c>
      <c r="P744" s="484"/>
      <c r="Q744" s="484"/>
      <c r="R744" s="484"/>
      <c r="S744" s="462" t="str">
        <f t="shared" si="141"/>
        <v>正确</v>
      </c>
      <c r="T744" s="487"/>
      <c r="U744" s="487"/>
      <c r="V744" s="487" t="s">
        <v>1002</v>
      </c>
      <c r="W744" s="462"/>
    </row>
    <row r="745" ht="42" customHeight="1" spans="1:23">
      <c r="A745" s="464"/>
      <c r="B745" s="462" t="s">
        <v>1680</v>
      </c>
      <c r="C745" s="463" t="s">
        <v>52</v>
      </c>
      <c r="D745" s="463" t="s">
        <v>147</v>
      </c>
      <c r="E745" s="465">
        <v>99</v>
      </c>
      <c r="F745" s="465">
        <v>9</v>
      </c>
      <c r="G745" s="465">
        <v>40</v>
      </c>
      <c r="H745" s="465">
        <v>2018</v>
      </c>
      <c r="I745" s="465">
        <v>2019</v>
      </c>
      <c r="J745" s="463">
        <v>52.83</v>
      </c>
      <c r="K745" s="463">
        <v>33</v>
      </c>
      <c r="L745" s="463">
        <v>19.83</v>
      </c>
      <c r="M745" s="463"/>
      <c r="N745" s="463"/>
      <c r="O745" s="463">
        <v>52.83</v>
      </c>
      <c r="P745" s="484"/>
      <c r="Q745" s="484"/>
      <c r="R745" s="484"/>
      <c r="S745" s="462" t="str">
        <f t="shared" si="141"/>
        <v>正确</v>
      </c>
      <c r="T745" s="487"/>
      <c r="U745" s="487"/>
      <c r="V745" s="487" t="s">
        <v>1002</v>
      </c>
      <c r="W745" s="462"/>
    </row>
    <row r="746" ht="42" customHeight="1" spans="1:23">
      <c r="A746" s="464"/>
      <c r="B746" s="462" t="s">
        <v>1681</v>
      </c>
      <c r="C746" s="463" t="s">
        <v>52</v>
      </c>
      <c r="D746" s="463" t="s">
        <v>147</v>
      </c>
      <c r="E746" s="465">
        <v>126</v>
      </c>
      <c r="F746" s="465">
        <v>8</v>
      </c>
      <c r="G746" s="465">
        <v>26</v>
      </c>
      <c r="H746" s="465">
        <v>2018</v>
      </c>
      <c r="I746" s="465">
        <v>2019</v>
      </c>
      <c r="J746" s="463">
        <v>27.3</v>
      </c>
      <c r="K746" s="463">
        <v>22</v>
      </c>
      <c r="L746" s="463">
        <v>5.3</v>
      </c>
      <c r="M746" s="463"/>
      <c r="N746" s="463">
        <v>16</v>
      </c>
      <c r="O746" s="463">
        <v>11.3</v>
      </c>
      <c r="P746" s="484"/>
      <c r="Q746" s="484"/>
      <c r="R746" s="484"/>
      <c r="S746" s="462" t="str">
        <f t="shared" si="141"/>
        <v>正确</v>
      </c>
      <c r="T746" s="487"/>
      <c r="U746" s="487"/>
      <c r="V746" s="487" t="s">
        <v>1002</v>
      </c>
      <c r="W746" s="462"/>
    </row>
    <row r="747" ht="42" customHeight="1" spans="1:23">
      <c r="A747" s="464"/>
      <c r="B747" s="462" t="s">
        <v>1682</v>
      </c>
      <c r="C747" s="463" t="s">
        <v>52</v>
      </c>
      <c r="D747" s="463" t="s">
        <v>147</v>
      </c>
      <c r="E747" s="465">
        <v>209</v>
      </c>
      <c r="F747" s="465">
        <v>10</v>
      </c>
      <c r="G747" s="465">
        <v>38</v>
      </c>
      <c r="H747" s="465">
        <v>2018</v>
      </c>
      <c r="I747" s="465">
        <v>2019</v>
      </c>
      <c r="J747" s="463">
        <v>38.34</v>
      </c>
      <c r="K747" s="463">
        <v>32</v>
      </c>
      <c r="L747" s="463">
        <v>6.34</v>
      </c>
      <c r="M747" s="463"/>
      <c r="N747" s="463">
        <v>24</v>
      </c>
      <c r="O747" s="463">
        <v>14.34</v>
      </c>
      <c r="P747" s="484"/>
      <c r="Q747" s="484"/>
      <c r="R747" s="484"/>
      <c r="S747" s="462" t="str">
        <f t="shared" si="141"/>
        <v>正确</v>
      </c>
      <c r="T747" s="487"/>
      <c r="U747" s="487"/>
      <c r="V747" s="487" t="s">
        <v>1002</v>
      </c>
      <c r="W747" s="462"/>
    </row>
    <row r="748" ht="42" customHeight="1" spans="1:23">
      <c r="A748" s="464"/>
      <c r="B748" s="462" t="s">
        <v>1683</v>
      </c>
      <c r="C748" s="463" t="s">
        <v>52</v>
      </c>
      <c r="D748" s="463" t="s">
        <v>147</v>
      </c>
      <c r="E748" s="465">
        <v>289</v>
      </c>
      <c r="F748" s="465">
        <v>27</v>
      </c>
      <c r="G748" s="465">
        <v>87</v>
      </c>
      <c r="H748" s="465">
        <v>2018</v>
      </c>
      <c r="I748" s="465">
        <v>2019</v>
      </c>
      <c r="J748" s="463">
        <v>26.33</v>
      </c>
      <c r="K748" s="463">
        <v>21</v>
      </c>
      <c r="L748" s="463">
        <v>5.33</v>
      </c>
      <c r="M748" s="463"/>
      <c r="N748" s="463">
        <v>15</v>
      </c>
      <c r="O748" s="463">
        <v>11.33</v>
      </c>
      <c r="P748" s="484"/>
      <c r="Q748" s="484"/>
      <c r="R748" s="484"/>
      <c r="S748" s="462" t="str">
        <f t="shared" si="141"/>
        <v>正确</v>
      </c>
      <c r="T748" s="487"/>
      <c r="U748" s="487"/>
      <c r="V748" s="487" t="s">
        <v>1002</v>
      </c>
      <c r="W748" s="462"/>
    </row>
    <row r="749" ht="42" customHeight="1" spans="1:23">
      <c r="A749" s="464"/>
      <c r="B749" s="462" t="s">
        <v>1684</v>
      </c>
      <c r="C749" s="463" t="s">
        <v>52</v>
      </c>
      <c r="D749" s="463" t="s">
        <v>147</v>
      </c>
      <c r="E749" s="465">
        <v>192</v>
      </c>
      <c r="F749" s="465">
        <v>25</v>
      </c>
      <c r="G749" s="465">
        <v>107</v>
      </c>
      <c r="H749" s="465">
        <v>2018</v>
      </c>
      <c r="I749" s="465">
        <v>2019</v>
      </c>
      <c r="J749" s="463">
        <v>14.73</v>
      </c>
      <c r="K749" s="463">
        <v>12</v>
      </c>
      <c r="L749" s="463">
        <v>2.73</v>
      </c>
      <c r="M749" s="463"/>
      <c r="N749" s="463"/>
      <c r="O749" s="463">
        <v>14.73</v>
      </c>
      <c r="P749" s="484"/>
      <c r="Q749" s="484"/>
      <c r="R749" s="484"/>
      <c r="S749" s="462" t="str">
        <f t="shared" si="141"/>
        <v>正确</v>
      </c>
      <c r="T749" s="487"/>
      <c r="U749" s="487"/>
      <c r="V749" s="487" t="s">
        <v>1002</v>
      </c>
      <c r="W749" s="462"/>
    </row>
    <row r="750" ht="42" customHeight="1" spans="1:23">
      <c r="A750" s="464"/>
      <c r="B750" s="462" t="s">
        <v>1685</v>
      </c>
      <c r="C750" s="463" t="s">
        <v>52</v>
      </c>
      <c r="D750" s="463" t="s">
        <v>147</v>
      </c>
      <c r="E750" s="465">
        <v>249</v>
      </c>
      <c r="F750" s="465">
        <v>9</v>
      </c>
      <c r="G750" s="465">
        <v>27</v>
      </c>
      <c r="H750" s="465">
        <v>2018</v>
      </c>
      <c r="I750" s="465">
        <v>2019</v>
      </c>
      <c r="J750" s="463">
        <v>46.38</v>
      </c>
      <c r="K750" s="463"/>
      <c r="L750" s="463">
        <v>46.38</v>
      </c>
      <c r="M750" s="463"/>
      <c r="N750" s="463"/>
      <c r="O750" s="463">
        <v>46.38</v>
      </c>
      <c r="P750" s="484"/>
      <c r="Q750" s="484"/>
      <c r="R750" s="484"/>
      <c r="S750" s="462" t="str">
        <f t="shared" si="141"/>
        <v>正确</v>
      </c>
      <c r="T750" s="487"/>
      <c r="U750" s="487"/>
      <c r="V750" s="487" t="s">
        <v>1002</v>
      </c>
      <c r="W750" s="462"/>
    </row>
    <row r="751" ht="42" customHeight="1" spans="1:23">
      <c r="A751" s="464"/>
      <c r="B751" s="462" t="s">
        <v>1686</v>
      </c>
      <c r="C751" s="463" t="s">
        <v>52</v>
      </c>
      <c r="D751" s="463" t="s">
        <v>147</v>
      </c>
      <c r="E751" s="465">
        <v>356</v>
      </c>
      <c r="F751" s="465">
        <v>24</v>
      </c>
      <c r="G751" s="465">
        <v>87</v>
      </c>
      <c r="H751" s="465">
        <v>2018</v>
      </c>
      <c r="I751" s="465">
        <v>2019</v>
      </c>
      <c r="J751" s="463">
        <v>54.6</v>
      </c>
      <c r="K751" s="463">
        <v>45</v>
      </c>
      <c r="L751" s="463">
        <v>9.6</v>
      </c>
      <c r="M751" s="463"/>
      <c r="N751" s="463">
        <v>45</v>
      </c>
      <c r="O751" s="463">
        <v>9.6</v>
      </c>
      <c r="P751" s="484"/>
      <c r="Q751" s="484"/>
      <c r="R751" s="484"/>
      <c r="S751" s="462" t="str">
        <f t="shared" si="141"/>
        <v>正确</v>
      </c>
      <c r="T751" s="487"/>
      <c r="U751" s="487"/>
      <c r="V751" s="487" t="s">
        <v>1002</v>
      </c>
      <c r="W751" s="462"/>
    </row>
    <row r="752" ht="42" customHeight="1" spans="1:23">
      <c r="A752" s="464"/>
      <c r="B752" s="462" t="s">
        <v>1687</v>
      </c>
      <c r="C752" s="463" t="s">
        <v>1688</v>
      </c>
      <c r="D752" s="463" t="s">
        <v>147</v>
      </c>
      <c r="E752" s="465">
        <v>1020</v>
      </c>
      <c r="F752" s="465">
        <v>38</v>
      </c>
      <c r="G752" s="465">
        <v>132</v>
      </c>
      <c r="H752" s="465">
        <v>2018</v>
      </c>
      <c r="I752" s="465">
        <v>2019</v>
      </c>
      <c r="J752" s="463">
        <v>44.47</v>
      </c>
      <c r="K752" s="463">
        <v>43</v>
      </c>
      <c r="L752" s="463">
        <v>1.47</v>
      </c>
      <c r="M752" s="463"/>
      <c r="N752" s="463"/>
      <c r="O752" s="463">
        <v>44.47</v>
      </c>
      <c r="P752" s="484"/>
      <c r="Q752" s="484"/>
      <c r="R752" s="484"/>
      <c r="S752" s="462" t="str">
        <f t="shared" si="141"/>
        <v>正确</v>
      </c>
      <c r="T752" s="487"/>
      <c r="U752" s="487"/>
      <c r="V752" s="487" t="s">
        <v>1002</v>
      </c>
      <c r="W752" s="462"/>
    </row>
    <row r="753" ht="42" customHeight="1" spans="1:23">
      <c r="A753" s="464"/>
      <c r="B753" s="462" t="s">
        <v>1689</v>
      </c>
      <c r="C753" s="463" t="s">
        <v>162</v>
      </c>
      <c r="D753" s="463" t="s">
        <v>147</v>
      </c>
      <c r="E753" s="465">
        <v>474</v>
      </c>
      <c r="F753" s="465">
        <v>22</v>
      </c>
      <c r="G753" s="465">
        <v>89</v>
      </c>
      <c r="H753" s="465">
        <v>2018</v>
      </c>
      <c r="I753" s="465">
        <v>2019</v>
      </c>
      <c r="J753" s="463">
        <v>40.29</v>
      </c>
      <c r="K753" s="463">
        <v>38</v>
      </c>
      <c r="L753" s="463">
        <v>2.29</v>
      </c>
      <c r="M753" s="463"/>
      <c r="N753" s="463"/>
      <c r="O753" s="463">
        <v>40.29</v>
      </c>
      <c r="P753" s="484"/>
      <c r="Q753" s="484"/>
      <c r="R753" s="484"/>
      <c r="S753" s="462" t="str">
        <f t="shared" si="141"/>
        <v>正确</v>
      </c>
      <c r="T753" s="487"/>
      <c r="U753" s="487"/>
      <c r="V753" s="487" t="s">
        <v>1002</v>
      </c>
      <c r="W753" s="462"/>
    </row>
    <row r="754" ht="42" customHeight="1" spans="1:23">
      <c r="A754" s="464"/>
      <c r="B754" s="462" t="s">
        <v>1690</v>
      </c>
      <c r="C754" s="463" t="s">
        <v>162</v>
      </c>
      <c r="D754" s="463" t="s">
        <v>147</v>
      </c>
      <c r="E754" s="465">
        <v>897</v>
      </c>
      <c r="F754" s="465">
        <v>32</v>
      </c>
      <c r="G754" s="465">
        <v>97</v>
      </c>
      <c r="H754" s="465">
        <v>2018</v>
      </c>
      <c r="I754" s="465">
        <v>2019</v>
      </c>
      <c r="J754" s="463">
        <v>31.83</v>
      </c>
      <c r="K754" s="463">
        <v>29.8</v>
      </c>
      <c r="L754" s="463">
        <v>2.03</v>
      </c>
      <c r="M754" s="463"/>
      <c r="N754" s="463"/>
      <c r="O754" s="463">
        <v>31.83</v>
      </c>
      <c r="P754" s="484"/>
      <c r="Q754" s="484"/>
      <c r="R754" s="484"/>
      <c r="S754" s="462" t="str">
        <f t="shared" si="141"/>
        <v>正确</v>
      </c>
      <c r="T754" s="487"/>
      <c r="U754" s="487"/>
      <c r="V754" s="487" t="s">
        <v>1002</v>
      </c>
      <c r="W754" s="462"/>
    </row>
    <row r="755" ht="42" customHeight="1" spans="1:23">
      <c r="A755" s="464"/>
      <c r="B755" s="462" t="s">
        <v>1691</v>
      </c>
      <c r="C755" s="463" t="s">
        <v>52</v>
      </c>
      <c r="D755" s="463" t="s">
        <v>147</v>
      </c>
      <c r="E755" s="465">
        <v>176</v>
      </c>
      <c r="F755" s="465">
        <v>4</v>
      </c>
      <c r="G755" s="465">
        <v>16</v>
      </c>
      <c r="H755" s="465">
        <v>2018</v>
      </c>
      <c r="I755" s="465">
        <v>2019</v>
      </c>
      <c r="J755" s="463">
        <v>67.66</v>
      </c>
      <c r="K755" s="463">
        <v>50.02</v>
      </c>
      <c r="L755" s="463">
        <v>17.64</v>
      </c>
      <c r="M755" s="463"/>
      <c r="N755" s="463"/>
      <c r="O755" s="463">
        <v>67.66</v>
      </c>
      <c r="P755" s="484"/>
      <c r="Q755" s="484"/>
      <c r="R755" s="484"/>
      <c r="S755" s="462" t="str">
        <f t="shared" si="141"/>
        <v>正确</v>
      </c>
      <c r="T755" s="487"/>
      <c r="U755" s="487"/>
      <c r="V755" s="487" t="s">
        <v>1002</v>
      </c>
      <c r="W755" s="462"/>
    </row>
    <row r="756" ht="42" customHeight="1" spans="1:23">
      <c r="A756" s="464"/>
      <c r="B756" s="462" t="s">
        <v>1692</v>
      </c>
      <c r="C756" s="463"/>
      <c r="D756" s="463"/>
      <c r="E756" s="465"/>
      <c r="F756" s="465"/>
      <c r="G756" s="465"/>
      <c r="H756" s="465"/>
      <c r="I756" s="465"/>
      <c r="J756" s="463">
        <v>23.25</v>
      </c>
      <c r="K756" s="463"/>
      <c r="L756" s="463">
        <v>23.25</v>
      </c>
      <c r="M756" s="463"/>
      <c r="N756" s="463"/>
      <c r="O756" s="463">
        <v>23.25</v>
      </c>
      <c r="P756" s="484"/>
      <c r="Q756" s="484"/>
      <c r="R756" s="484"/>
      <c r="S756" s="462"/>
      <c r="T756" s="487"/>
      <c r="U756" s="487"/>
      <c r="V756" s="487"/>
      <c r="W756" s="462"/>
    </row>
    <row r="757" ht="156" customHeight="1" spans="1:23">
      <c r="A757" s="464"/>
      <c r="B757" s="410" t="s">
        <v>1693</v>
      </c>
      <c r="C757" s="463" t="s">
        <v>488</v>
      </c>
      <c r="D757" s="463"/>
      <c r="E757" s="256" t="s">
        <v>1694</v>
      </c>
      <c r="F757" s="140">
        <v>313</v>
      </c>
      <c r="G757" s="140">
        <v>786</v>
      </c>
      <c r="H757" s="465">
        <v>2019.1</v>
      </c>
      <c r="I757" s="465">
        <v>2019</v>
      </c>
      <c r="J757" s="140">
        <v>177.19</v>
      </c>
      <c r="K757" s="463"/>
      <c r="L757" s="140">
        <v>177.19</v>
      </c>
      <c r="M757" s="463"/>
      <c r="N757" s="463"/>
      <c r="O757" s="140">
        <v>177.19</v>
      </c>
      <c r="P757" s="484"/>
      <c r="Q757" s="484"/>
      <c r="R757" s="484"/>
      <c r="S757" s="462"/>
      <c r="T757" s="487"/>
      <c r="U757" s="487"/>
      <c r="V757" s="487"/>
      <c r="W757" s="462" t="s">
        <v>1695</v>
      </c>
    </row>
    <row r="758" ht="42" customHeight="1" spans="1:23">
      <c r="A758" s="464"/>
      <c r="B758" s="462" t="s">
        <v>1696</v>
      </c>
      <c r="C758" s="463" t="s">
        <v>52</v>
      </c>
      <c r="D758" s="463" t="s">
        <v>147</v>
      </c>
      <c r="E758" s="465">
        <v>4</v>
      </c>
      <c r="F758" s="465">
        <v>1</v>
      </c>
      <c r="G758" s="465">
        <v>4</v>
      </c>
      <c r="H758" s="465">
        <v>2018</v>
      </c>
      <c r="I758" s="465">
        <v>2019</v>
      </c>
      <c r="J758" s="463">
        <v>2.1</v>
      </c>
      <c r="K758" s="463">
        <v>2.1</v>
      </c>
      <c r="L758" s="463"/>
      <c r="M758" s="463"/>
      <c r="N758" s="463"/>
      <c r="O758" s="463">
        <v>2.1</v>
      </c>
      <c r="P758" s="484"/>
      <c r="Q758" s="484"/>
      <c r="R758" s="484"/>
      <c r="S758" s="462" t="str">
        <f t="shared" ref="S758:S760" si="144">IF(J758=SUM(N758:R758),"正确","错误")</f>
        <v>正确</v>
      </c>
      <c r="T758" s="487"/>
      <c r="U758" s="487"/>
      <c r="V758" s="487" t="s">
        <v>1002</v>
      </c>
      <c r="W758" s="462"/>
    </row>
    <row r="759" ht="42" customHeight="1" spans="1:23">
      <c r="A759" s="464"/>
      <c r="B759" s="462" t="s">
        <v>1697</v>
      </c>
      <c r="C759" s="463" t="s">
        <v>52</v>
      </c>
      <c r="D759" s="463" t="s">
        <v>147</v>
      </c>
      <c r="E759" s="465">
        <v>5</v>
      </c>
      <c r="F759" s="465">
        <v>1</v>
      </c>
      <c r="G759" s="465">
        <v>5</v>
      </c>
      <c r="H759" s="465">
        <v>2018</v>
      </c>
      <c r="I759" s="465">
        <v>2019</v>
      </c>
      <c r="J759" s="463">
        <v>2.1</v>
      </c>
      <c r="K759" s="463">
        <v>2.1</v>
      </c>
      <c r="L759" s="463"/>
      <c r="M759" s="463"/>
      <c r="N759" s="463"/>
      <c r="O759" s="463">
        <v>2.1</v>
      </c>
      <c r="P759" s="484"/>
      <c r="Q759" s="484"/>
      <c r="R759" s="484"/>
      <c r="S759" s="462" t="str">
        <f t="shared" si="144"/>
        <v>正确</v>
      </c>
      <c r="T759" s="487"/>
      <c r="U759" s="487"/>
      <c r="V759" s="487" t="s">
        <v>1002</v>
      </c>
      <c r="W759" s="462"/>
    </row>
    <row r="760" ht="42" customHeight="1" spans="1:23">
      <c r="A760" s="464"/>
      <c r="B760" s="462" t="s">
        <v>1698</v>
      </c>
      <c r="C760" s="463" t="s">
        <v>162</v>
      </c>
      <c r="D760" s="463" t="s">
        <v>147</v>
      </c>
      <c r="E760" s="465">
        <v>684</v>
      </c>
      <c r="F760" s="465">
        <v>29</v>
      </c>
      <c r="G760" s="465">
        <v>98</v>
      </c>
      <c r="H760" s="465">
        <v>2018</v>
      </c>
      <c r="I760" s="465">
        <v>2019</v>
      </c>
      <c r="J760" s="463">
        <v>66.3</v>
      </c>
      <c r="K760" s="463"/>
      <c r="L760" s="463">
        <v>66.3</v>
      </c>
      <c r="M760" s="463"/>
      <c r="N760" s="463"/>
      <c r="O760" s="463">
        <v>66.3</v>
      </c>
      <c r="P760" s="484"/>
      <c r="Q760" s="484"/>
      <c r="R760" s="484"/>
      <c r="S760" s="462" t="str">
        <f t="shared" si="144"/>
        <v>正确</v>
      </c>
      <c r="T760" s="487"/>
      <c r="U760" s="487"/>
      <c r="V760" s="462"/>
      <c r="W760" s="462" t="s">
        <v>1699</v>
      </c>
    </row>
    <row r="761" ht="71.1" customHeight="1" spans="1:23">
      <c r="A761" s="464"/>
      <c r="B761" s="493" t="s">
        <v>1700</v>
      </c>
      <c r="C761" s="463" t="s">
        <v>162</v>
      </c>
      <c r="D761" s="463" t="s">
        <v>147</v>
      </c>
      <c r="E761" s="465"/>
      <c r="F761" s="465"/>
      <c r="G761" s="465"/>
      <c r="H761" s="465">
        <v>2018</v>
      </c>
      <c r="I761" s="465">
        <v>2019</v>
      </c>
      <c r="J761" s="463">
        <v>33.7</v>
      </c>
      <c r="K761" s="463"/>
      <c r="L761" s="463">
        <v>33.7</v>
      </c>
      <c r="M761" s="463"/>
      <c r="N761" s="463"/>
      <c r="O761" s="463">
        <v>33.7</v>
      </c>
      <c r="P761" s="484"/>
      <c r="Q761" s="484"/>
      <c r="R761" s="484"/>
      <c r="S761" s="462"/>
      <c r="T761" s="487"/>
      <c r="U761" s="487"/>
      <c r="V761" s="462"/>
      <c r="W761" s="462"/>
    </row>
    <row r="762" ht="42" customHeight="1" spans="1:23">
      <c r="A762" s="464"/>
      <c r="B762" s="493" t="s">
        <v>1701</v>
      </c>
      <c r="C762" s="463" t="s">
        <v>52</v>
      </c>
      <c r="D762" s="463" t="s">
        <v>147</v>
      </c>
      <c r="E762" s="465">
        <v>190</v>
      </c>
      <c r="F762" s="465">
        <v>17</v>
      </c>
      <c r="G762" s="465">
        <v>67</v>
      </c>
      <c r="H762" s="465">
        <v>2019</v>
      </c>
      <c r="I762" s="465">
        <v>2019</v>
      </c>
      <c r="J762" s="463">
        <f t="shared" ref="J762:J786" si="145">E762*1400/10000</f>
        <v>26.6</v>
      </c>
      <c r="K762" s="463"/>
      <c r="L762" s="463">
        <f t="shared" ref="L762:L785" si="146">J762*0.8</f>
        <v>21.28</v>
      </c>
      <c r="M762" s="463">
        <f t="shared" ref="M762:M786" si="147">J762-L762</f>
        <v>5.32</v>
      </c>
      <c r="N762" s="463"/>
      <c r="O762" s="463">
        <f t="shared" ref="O762:O786" si="148">J762</f>
        <v>26.6</v>
      </c>
      <c r="P762" s="484"/>
      <c r="Q762" s="484"/>
      <c r="R762" s="484"/>
      <c r="S762" s="462" t="str">
        <f t="shared" ref="S762:S825" si="149">IF(J762=SUM(N762:R762),"正确","错误")</f>
        <v>正确</v>
      </c>
      <c r="T762" s="487"/>
      <c r="U762" s="487"/>
      <c r="V762" s="462" t="s">
        <v>1010</v>
      </c>
      <c r="W762" s="462" t="s">
        <v>1702</v>
      </c>
    </row>
    <row r="763" ht="42" customHeight="1" spans="1:23">
      <c r="A763" s="464"/>
      <c r="B763" s="493" t="s">
        <v>1703</v>
      </c>
      <c r="C763" s="463" t="s">
        <v>1688</v>
      </c>
      <c r="D763" s="463" t="s">
        <v>147</v>
      </c>
      <c r="E763" s="465">
        <v>457</v>
      </c>
      <c r="F763" s="465">
        <v>42</v>
      </c>
      <c r="G763" s="465">
        <v>160</v>
      </c>
      <c r="H763" s="465">
        <v>2019</v>
      </c>
      <c r="I763" s="465">
        <v>2019</v>
      </c>
      <c r="J763" s="463">
        <f t="shared" si="145"/>
        <v>63.98</v>
      </c>
      <c r="K763" s="463"/>
      <c r="L763" s="463">
        <f t="shared" si="146"/>
        <v>51.184</v>
      </c>
      <c r="M763" s="463">
        <f t="shared" si="147"/>
        <v>12.796</v>
      </c>
      <c r="N763" s="463"/>
      <c r="O763" s="463">
        <f t="shared" si="148"/>
        <v>63.98</v>
      </c>
      <c r="P763" s="484"/>
      <c r="Q763" s="484"/>
      <c r="R763" s="484"/>
      <c r="S763" s="462" t="str">
        <f t="shared" si="149"/>
        <v>正确</v>
      </c>
      <c r="T763" s="487"/>
      <c r="U763" s="487"/>
      <c r="V763" s="462" t="s">
        <v>1010</v>
      </c>
      <c r="W763" s="462"/>
    </row>
    <row r="764" ht="42" customHeight="1" spans="1:23">
      <c r="A764" s="464"/>
      <c r="B764" s="462" t="s">
        <v>1704</v>
      </c>
      <c r="C764" s="463" t="s">
        <v>52</v>
      </c>
      <c r="D764" s="463" t="s">
        <v>147</v>
      </c>
      <c r="E764" s="465">
        <v>281</v>
      </c>
      <c r="F764" s="465">
        <v>11</v>
      </c>
      <c r="G764" s="465">
        <v>43</v>
      </c>
      <c r="H764" s="465">
        <v>2019</v>
      </c>
      <c r="I764" s="465">
        <v>2019</v>
      </c>
      <c r="J764" s="463">
        <f t="shared" si="145"/>
        <v>39.34</v>
      </c>
      <c r="K764" s="463"/>
      <c r="L764" s="463">
        <f t="shared" si="146"/>
        <v>31.472</v>
      </c>
      <c r="M764" s="463">
        <f t="shared" si="147"/>
        <v>7.868</v>
      </c>
      <c r="N764" s="463"/>
      <c r="O764" s="463">
        <f t="shared" si="148"/>
        <v>39.34</v>
      </c>
      <c r="P764" s="484"/>
      <c r="Q764" s="484"/>
      <c r="R764" s="484"/>
      <c r="S764" s="462" t="str">
        <f t="shared" si="149"/>
        <v>正确</v>
      </c>
      <c r="T764" s="487"/>
      <c r="U764" s="487"/>
      <c r="V764" s="462" t="s">
        <v>1010</v>
      </c>
      <c r="W764" s="462"/>
    </row>
    <row r="765" ht="42" customHeight="1" spans="1:23">
      <c r="A765" s="464"/>
      <c r="B765" s="462" t="s">
        <v>1705</v>
      </c>
      <c r="C765" s="463" t="s">
        <v>52</v>
      </c>
      <c r="D765" s="463" t="s">
        <v>147</v>
      </c>
      <c r="E765" s="465">
        <v>111</v>
      </c>
      <c r="F765" s="465">
        <v>11</v>
      </c>
      <c r="G765" s="465">
        <v>52</v>
      </c>
      <c r="H765" s="465">
        <v>2019</v>
      </c>
      <c r="I765" s="465">
        <v>2019</v>
      </c>
      <c r="J765" s="463">
        <f t="shared" si="145"/>
        <v>15.54</v>
      </c>
      <c r="K765" s="463"/>
      <c r="L765" s="463">
        <f t="shared" si="146"/>
        <v>12.432</v>
      </c>
      <c r="M765" s="463">
        <f t="shared" si="147"/>
        <v>3.108</v>
      </c>
      <c r="N765" s="463"/>
      <c r="O765" s="463">
        <f t="shared" si="148"/>
        <v>15.54</v>
      </c>
      <c r="P765" s="484"/>
      <c r="Q765" s="484"/>
      <c r="R765" s="484"/>
      <c r="S765" s="462" t="str">
        <f t="shared" si="149"/>
        <v>正确</v>
      </c>
      <c r="T765" s="487"/>
      <c r="U765" s="487"/>
      <c r="V765" s="462" t="s">
        <v>1010</v>
      </c>
      <c r="W765" s="462"/>
    </row>
    <row r="766" ht="42" customHeight="1" spans="1:23">
      <c r="A766" s="464"/>
      <c r="B766" s="462" t="s">
        <v>1706</v>
      </c>
      <c r="C766" s="463" t="s">
        <v>52</v>
      </c>
      <c r="D766" s="463" t="s">
        <v>147</v>
      </c>
      <c r="E766" s="465">
        <v>124</v>
      </c>
      <c r="F766" s="465">
        <v>8</v>
      </c>
      <c r="G766" s="465">
        <v>31</v>
      </c>
      <c r="H766" s="465">
        <v>2019</v>
      </c>
      <c r="I766" s="465">
        <v>2019</v>
      </c>
      <c r="J766" s="463">
        <f t="shared" si="145"/>
        <v>17.36</v>
      </c>
      <c r="K766" s="463"/>
      <c r="L766" s="463">
        <f t="shared" si="146"/>
        <v>13.888</v>
      </c>
      <c r="M766" s="463">
        <f t="shared" si="147"/>
        <v>3.472</v>
      </c>
      <c r="N766" s="463"/>
      <c r="O766" s="463">
        <f t="shared" si="148"/>
        <v>17.36</v>
      </c>
      <c r="P766" s="484"/>
      <c r="Q766" s="484"/>
      <c r="R766" s="484"/>
      <c r="S766" s="462" t="str">
        <f t="shared" si="149"/>
        <v>正确</v>
      </c>
      <c r="T766" s="487"/>
      <c r="U766" s="487"/>
      <c r="V766" s="462" t="s">
        <v>1010</v>
      </c>
      <c r="W766" s="462"/>
    </row>
    <row r="767" ht="42" customHeight="1" spans="1:23">
      <c r="A767" s="464"/>
      <c r="B767" s="462" t="s">
        <v>1707</v>
      </c>
      <c r="C767" s="463" t="s">
        <v>52</v>
      </c>
      <c r="D767" s="463" t="s">
        <v>147</v>
      </c>
      <c r="E767" s="465">
        <v>130</v>
      </c>
      <c r="F767" s="465">
        <v>7</v>
      </c>
      <c r="G767" s="465">
        <v>29</v>
      </c>
      <c r="H767" s="465">
        <v>2019</v>
      </c>
      <c r="I767" s="465">
        <v>2019</v>
      </c>
      <c r="J767" s="463">
        <f t="shared" si="145"/>
        <v>18.2</v>
      </c>
      <c r="K767" s="463"/>
      <c r="L767" s="463">
        <f t="shared" si="146"/>
        <v>14.56</v>
      </c>
      <c r="M767" s="463">
        <f t="shared" si="147"/>
        <v>3.64</v>
      </c>
      <c r="N767" s="463"/>
      <c r="O767" s="463">
        <f t="shared" si="148"/>
        <v>18.2</v>
      </c>
      <c r="P767" s="484"/>
      <c r="Q767" s="484"/>
      <c r="R767" s="484"/>
      <c r="S767" s="462" t="str">
        <f t="shared" si="149"/>
        <v>正确</v>
      </c>
      <c r="T767" s="487"/>
      <c r="U767" s="487"/>
      <c r="V767" s="462" t="s">
        <v>1010</v>
      </c>
      <c r="W767" s="462"/>
    </row>
    <row r="768" ht="42" customHeight="1" spans="1:23">
      <c r="A768" s="464"/>
      <c r="B768" s="462" t="s">
        <v>1708</v>
      </c>
      <c r="C768" s="463" t="s">
        <v>52</v>
      </c>
      <c r="D768" s="463" t="s">
        <v>147</v>
      </c>
      <c r="E768" s="465">
        <v>73</v>
      </c>
      <c r="F768" s="465">
        <v>5</v>
      </c>
      <c r="G768" s="465">
        <v>26</v>
      </c>
      <c r="H768" s="465">
        <v>2019</v>
      </c>
      <c r="I768" s="465">
        <v>2019</v>
      </c>
      <c r="J768" s="463">
        <f t="shared" si="145"/>
        <v>10.22</v>
      </c>
      <c r="K768" s="463"/>
      <c r="L768" s="463">
        <f t="shared" si="146"/>
        <v>8.176</v>
      </c>
      <c r="M768" s="463">
        <f t="shared" si="147"/>
        <v>2.044</v>
      </c>
      <c r="N768" s="463"/>
      <c r="O768" s="463">
        <f t="shared" si="148"/>
        <v>10.22</v>
      </c>
      <c r="P768" s="484"/>
      <c r="Q768" s="484"/>
      <c r="R768" s="484"/>
      <c r="S768" s="462" t="str">
        <f t="shared" si="149"/>
        <v>正确</v>
      </c>
      <c r="T768" s="487"/>
      <c r="U768" s="487"/>
      <c r="V768" s="462" t="s">
        <v>1010</v>
      </c>
      <c r="W768" s="462"/>
    </row>
    <row r="769" ht="42" customHeight="1" spans="1:23">
      <c r="A769" s="464"/>
      <c r="B769" s="462" t="s">
        <v>1709</v>
      </c>
      <c r="C769" s="463" t="s">
        <v>52</v>
      </c>
      <c r="D769" s="463" t="s">
        <v>147</v>
      </c>
      <c r="E769" s="465">
        <v>51</v>
      </c>
      <c r="F769" s="465">
        <v>4</v>
      </c>
      <c r="G769" s="465">
        <v>23</v>
      </c>
      <c r="H769" s="465">
        <v>2019</v>
      </c>
      <c r="I769" s="465">
        <v>2019</v>
      </c>
      <c r="J769" s="463">
        <f t="shared" si="145"/>
        <v>7.14</v>
      </c>
      <c r="K769" s="463"/>
      <c r="L769" s="463">
        <f t="shared" si="146"/>
        <v>5.712</v>
      </c>
      <c r="M769" s="463">
        <f t="shared" si="147"/>
        <v>1.428</v>
      </c>
      <c r="N769" s="463"/>
      <c r="O769" s="463">
        <f t="shared" si="148"/>
        <v>7.14</v>
      </c>
      <c r="P769" s="484"/>
      <c r="Q769" s="484"/>
      <c r="R769" s="484"/>
      <c r="S769" s="462" t="str">
        <f t="shared" si="149"/>
        <v>正确</v>
      </c>
      <c r="T769" s="487"/>
      <c r="U769" s="487"/>
      <c r="V769" s="462" t="s">
        <v>1010</v>
      </c>
      <c r="W769" s="462"/>
    </row>
    <row r="770" ht="42" customHeight="1" spans="1:23">
      <c r="A770" s="464"/>
      <c r="B770" s="462" t="s">
        <v>1710</v>
      </c>
      <c r="C770" s="463" t="s">
        <v>52</v>
      </c>
      <c r="D770" s="463" t="s">
        <v>147</v>
      </c>
      <c r="E770" s="465">
        <v>131</v>
      </c>
      <c r="F770" s="465">
        <v>9</v>
      </c>
      <c r="G770" s="465">
        <v>36</v>
      </c>
      <c r="H770" s="465">
        <v>2019</v>
      </c>
      <c r="I770" s="465">
        <v>2019</v>
      </c>
      <c r="J770" s="463">
        <f t="shared" si="145"/>
        <v>18.34</v>
      </c>
      <c r="K770" s="463"/>
      <c r="L770" s="463">
        <f t="shared" si="146"/>
        <v>14.672</v>
      </c>
      <c r="M770" s="463">
        <f t="shared" si="147"/>
        <v>3.668</v>
      </c>
      <c r="N770" s="463"/>
      <c r="O770" s="463">
        <f t="shared" si="148"/>
        <v>18.34</v>
      </c>
      <c r="P770" s="484"/>
      <c r="Q770" s="484"/>
      <c r="R770" s="484"/>
      <c r="S770" s="462" t="str">
        <f t="shared" si="149"/>
        <v>正确</v>
      </c>
      <c r="T770" s="487"/>
      <c r="U770" s="487"/>
      <c r="V770" s="462" t="s">
        <v>1010</v>
      </c>
      <c r="W770" s="462"/>
    </row>
    <row r="771" ht="42" customHeight="1" spans="1:23">
      <c r="A771" s="464"/>
      <c r="B771" s="462" t="s">
        <v>1711</v>
      </c>
      <c r="C771" s="463" t="s">
        <v>52</v>
      </c>
      <c r="D771" s="463" t="s">
        <v>147</v>
      </c>
      <c r="E771" s="465">
        <v>132</v>
      </c>
      <c r="F771" s="465">
        <v>7</v>
      </c>
      <c r="G771" s="465">
        <v>32</v>
      </c>
      <c r="H771" s="465">
        <v>2019</v>
      </c>
      <c r="I771" s="465">
        <v>2019</v>
      </c>
      <c r="J771" s="463">
        <f t="shared" si="145"/>
        <v>18.48</v>
      </c>
      <c r="K771" s="463"/>
      <c r="L771" s="463">
        <f t="shared" si="146"/>
        <v>14.784</v>
      </c>
      <c r="M771" s="463">
        <f t="shared" si="147"/>
        <v>3.696</v>
      </c>
      <c r="N771" s="463"/>
      <c r="O771" s="463">
        <f t="shared" si="148"/>
        <v>18.48</v>
      </c>
      <c r="P771" s="484"/>
      <c r="Q771" s="484"/>
      <c r="R771" s="484"/>
      <c r="S771" s="462" t="str">
        <f t="shared" si="149"/>
        <v>正确</v>
      </c>
      <c r="T771" s="487"/>
      <c r="U771" s="487"/>
      <c r="V771" s="462" t="s">
        <v>1010</v>
      </c>
      <c r="W771" s="462"/>
    </row>
    <row r="772" ht="42" customHeight="1" spans="1:23">
      <c r="A772" s="464"/>
      <c r="B772" s="462" t="s">
        <v>1712</v>
      </c>
      <c r="C772" s="463" t="s">
        <v>162</v>
      </c>
      <c r="D772" s="463" t="s">
        <v>147</v>
      </c>
      <c r="E772" s="465">
        <v>150</v>
      </c>
      <c r="F772" s="465">
        <v>19</v>
      </c>
      <c r="G772" s="465">
        <v>94</v>
      </c>
      <c r="H772" s="465">
        <v>2019</v>
      </c>
      <c r="I772" s="465">
        <v>2019</v>
      </c>
      <c r="J772" s="463">
        <f t="shared" si="145"/>
        <v>21</v>
      </c>
      <c r="K772" s="463"/>
      <c r="L772" s="463">
        <f t="shared" si="146"/>
        <v>16.8</v>
      </c>
      <c r="M772" s="463">
        <f t="shared" si="147"/>
        <v>4.2</v>
      </c>
      <c r="N772" s="463"/>
      <c r="O772" s="463">
        <f t="shared" si="148"/>
        <v>21</v>
      </c>
      <c r="P772" s="484"/>
      <c r="Q772" s="484"/>
      <c r="R772" s="484"/>
      <c r="S772" s="462" t="str">
        <f t="shared" si="149"/>
        <v>正确</v>
      </c>
      <c r="T772" s="487"/>
      <c r="U772" s="487"/>
      <c r="V772" s="462" t="s">
        <v>1010</v>
      </c>
      <c r="W772" s="462"/>
    </row>
    <row r="773" ht="42" customHeight="1" spans="1:23">
      <c r="A773" s="464"/>
      <c r="B773" s="462" t="s">
        <v>1713</v>
      </c>
      <c r="C773" s="463" t="s">
        <v>52</v>
      </c>
      <c r="D773" s="463" t="s">
        <v>147</v>
      </c>
      <c r="E773" s="465">
        <v>397</v>
      </c>
      <c r="F773" s="465">
        <v>26</v>
      </c>
      <c r="G773" s="465">
        <v>95</v>
      </c>
      <c r="H773" s="465">
        <v>2019</v>
      </c>
      <c r="I773" s="465">
        <v>2019</v>
      </c>
      <c r="J773" s="463">
        <f t="shared" si="145"/>
        <v>55.58</v>
      </c>
      <c r="K773" s="463"/>
      <c r="L773" s="463">
        <f t="shared" si="146"/>
        <v>44.464</v>
      </c>
      <c r="M773" s="463">
        <f t="shared" si="147"/>
        <v>11.116</v>
      </c>
      <c r="N773" s="463"/>
      <c r="O773" s="463">
        <f t="shared" si="148"/>
        <v>55.58</v>
      </c>
      <c r="P773" s="484"/>
      <c r="Q773" s="484"/>
      <c r="R773" s="484"/>
      <c r="S773" s="462" t="str">
        <f t="shared" si="149"/>
        <v>正确</v>
      </c>
      <c r="T773" s="487"/>
      <c r="U773" s="487"/>
      <c r="V773" s="462" t="s">
        <v>1010</v>
      </c>
      <c r="W773" s="462"/>
    </row>
    <row r="774" ht="42" customHeight="1" spans="1:23">
      <c r="A774" s="464"/>
      <c r="B774" s="462" t="s">
        <v>1714</v>
      </c>
      <c r="C774" s="463" t="s">
        <v>52</v>
      </c>
      <c r="D774" s="463" t="s">
        <v>147</v>
      </c>
      <c r="E774" s="465">
        <v>203</v>
      </c>
      <c r="F774" s="465">
        <v>15</v>
      </c>
      <c r="G774" s="465">
        <v>83</v>
      </c>
      <c r="H774" s="465">
        <v>2019</v>
      </c>
      <c r="I774" s="465">
        <v>2019</v>
      </c>
      <c r="J774" s="463">
        <f t="shared" si="145"/>
        <v>28.42</v>
      </c>
      <c r="K774" s="463"/>
      <c r="L774" s="463">
        <f t="shared" si="146"/>
        <v>22.736</v>
      </c>
      <c r="M774" s="463">
        <f t="shared" si="147"/>
        <v>5.684</v>
      </c>
      <c r="N774" s="463"/>
      <c r="O774" s="463">
        <f t="shared" si="148"/>
        <v>28.42</v>
      </c>
      <c r="P774" s="484"/>
      <c r="Q774" s="484"/>
      <c r="R774" s="484"/>
      <c r="S774" s="462" t="str">
        <f t="shared" si="149"/>
        <v>正确</v>
      </c>
      <c r="T774" s="487"/>
      <c r="U774" s="487"/>
      <c r="V774" s="462" t="s">
        <v>1010</v>
      </c>
      <c r="W774" s="462"/>
    </row>
    <row r="775" ht="42" customHeight="1" spans="1:23">
      <c r="A775" s="464"/>
      <c r="B775" s="462" t="s">
        <v>1715</v>
      </c>
      <c r="C775" s="463" t="s">
        <v>52</v>
      </c>
      <c r="D775" s="463" t="s">
        <v>147</v>
      </c>
      <c r="E775" s="465">
        <v>285</v>
      </c>
      <c r="F775" s="465">
        <v>24</v>
      </c>
      <c r="G775" s="465">
        <v>95</v>
      </c>
      <c r="H775" s="465">
        <v>2019</v>
      </c>
      <c r="I775" s="465">
        <v>2019</v>
      </c>
      <c r="J775" s="463">
        <f t="shared" si="145"/>
        <v>39.9</v>
      </c>
      <c r="K775" s="463"/>
      <c r="L775" s="463">
        <f t="shared" si="146"/>
        <v>31.92</v>
      </c>
      <c r="M775" s="463">
        <f t="shared" si="147"/>
        <v>7.98</v>
      </c>
      <c r="N775" s="463"/>
      <c r="O775" s="463">
        <f t="shared" si="148"/>
        <v>39.9</v>
      </c>
      <c r="P775" s="484"/>
      <c r="Q775" s="484"/>
      <c r="R775" s="484"/>
      <c r="S775" s="462" t="str">
        <f t="shared" si="149"/>
        <v>正确</v>
      </c>
      <c r="T775" s="487"/>
      <c r="U775" s="487"/>
      <c r="V775" s="462" t="s">
        <v>1010</v>
      </c>
      <c r="W775" s="462"/>
    </row>
    <row r="776" ht="42" customHeight="1" spans="1:23">
      <c r="A776" s="464"/>
      <c r="B776" s="462" t="s">
        <v>1716</v>
      </c>
      <c r="C776" s="463" t="s">
        <v>52</v>
      </c>
      <c r="D776" s="463" t="s">
        <v>147</v>
      </c>
      <c r="E776" s="465">
        <v>75</v>
      </c>
      <c r="F776" s="465">
        <v>3</v>
      </c>
      <c r="G776" s="465">
        <v>13</v>
      </c>
      <c r="H776" s="465">
        <v>2019</v>
      </c>
      <c r="I776" s="465">
        <v>2019</v>
      </c>
      <c r="J776" s="463">
        <f t="shared" si="145"/>
        <v>10.5</v>
      </c>
      <c r="K776" s="463"/>
      <c r="L776" s="463">
        <f t="shared" si="146"/>
        <v>8.4</v>
      </c>
      <c r="M776" s="463">
        <f t="shared" si="147"/>
        <v>2.1</v>
      </c>
      <c r="N776" s="463"/>
      <c r="O776" s="463">
        <f t="shared" si="148"/>
        <v>10.5</v>
      </c>
      <c r="P776" s="484"/>
      <c r="Q776" s="484"/>
      <c r="R776" s="484"/>
      <c r="S776" s="462" t="str">
        <f t="shared" si="149"/>
        <v>正确</v>
      </c>
      <c r="T776" s="487"/>
      <c r="U776" s="487"/>
      <c r="V776" s="462" t="s">
        <v>1010</v>
      </c>
      <c r="W776" s="462"/>
    </row>
    <row r="777" ht="42" customHeight="1" spans="1:23">
      <c r="A777" s="464"/>
      <c r="B777" s="462" t="s">
        <v>1717</v>
      </c>
      <c r="C777" s="463" t="s">
        <v>52</v>
      </c>
      <c r="D777" s="463" t="s">
        <v>147</v>
      </c>
      <c r="E777" s="465">
        <v>66</v>
      </c>
      <c r="F777" s="465">
        <v>3</v>
      </c>
      <c r="G777" s="465">
        <v>16</v>
      </c>
      <c r="H777" s="465">
        <v>2019</v>
      </c>
      <c r="I777" s="465">
        <v>2019</v>
      </c>
      <c r="J777" s="463">
        <f t="shared" si="145"/>
        <v>9.24</v>
      </c>
      <c r="K777" s="463"/>
      <c r="L777" s="463">
        <f t="shared" si="146"/>
        <v>7.392</v>
      </c>
      <c r="M777" s="463">
        <f t="shared" si="147"/>
        <v>1.848</v>
      </c>
      <c r="N777" s="463"/>
      <c r="O777" s="463">
        <f t="shared" si="148"/>
        <v>9.24</v>
      </c>
      <c r="P777" s="484"/>
      <c r="Q777" s="484"/>
      <c r="R777" s="484"/>
      <c r="S777" s="462" t="str">
        <f t="shared" si="149"/>
        <v>正确</v>
      </c>
      <c r="T777" s="487"/>
      <c r="U777" s="487"/>
      <c r="V777" s="462" t="s">
        <v>1010</v>
      </c>
      <c r="W777" s="462"/>
    </row>
    <row r="778" ht="42" customHeight="1" spans="1:23">
      <c r="A778" s="464"/>
      <c r="B778" s="462" t="s">
        <v>1718</v>
      </c>
      <c r="C778" s="463" t="s">
        <v>52</v>
      </c>
      <c r="D778" s="463" t="s">
        <v>147</v>
      </c>
      <c r="E778" s="465">
        <v>183</v>
      </c>
      <c r="F778" s="465">
        <v>10</v>
      </c>
      <c r="G778" s="465">
        <v>39</v>
      </c>
      <c r="H778" s="465">
        <v>2019</v>
      </c>
      <c r="I778" s="465">
        <v>2019</v>
      </c>
      <c r="J778" s="463">
        <f t="shared" si="145"/>
        <v>25.62</v>
      </c>
      <c r="K778" s="463"/>
      <c r="L778" s="463">
        <f t="shared" si="146"/>
        <v>20.496</v>
      </c>
      <c r="M778" s="463">
        <f t="shared" si="147"/>
        <v>5.124</v>
      </c>
      <c r="N778" s="463"/>
      <c r="O778" s="463">
        <f t="shared" si="148"/>
        <v>25.62</v>
      </c>
      <c r="P778" s="484"/>
      <c r="Q778" s="484"/>
      <c r="R778" s="484"/>
      <c r="S778" s="462" t="str">
        <f t="shared" si="149"/>
        <v>正确</v>
      </c>
      <c r="T778" s="487"/>
      <c r="U778" s="487"/>
      <c r="V778" s="462" t="s">
        <v>1010</v>
      </c>
      <c r="W778" s="462"/>
    </row>
    <row r="779" ht="42" customHeight="1" spans="1:23">
      <c r="A779" s="464"/>
      <c r="B779" s="462" t="s">
        <v>1719</v>
      </c>
      <c r="C779" s="463" t="s">
        <v>52</v>
      </c>
      <c r="D779" s="463" t="s">
        <v>147</v>
      </c>
      <c r="E779" s="465">
        <v>124</v>
      </c>
      <c r="F779" s="465">
        <v>7</v>
      </c>
      <c r="G779" s="465">
        <v>31</v>
      </c>
      <c r="H779" s="465">
        <v>2019</v>
      </c>
      <c r="I779" s="465">
        <v>2019</v>
      </c>
      <c r="J779" s="463">
        <f t="shared" si="145"/>
        <v>17.36</v>
      </c>
      <c r="K779" s="463"/>
      <c r="L779" s="463">
        <f t="shared" si="146"/>
        <v>13.888</v>
      </c>
      <c r="M779" s="463">
        <f t="shared" si="147"/>
        <v>3.472</v>
      </c>
      <c r="N779" s="463"/>
      <c r="O779" s="463">
        <f t="shared" si="148"/>
        <v>17.36</v>
      </c>
      <c r="P779" s="484"/>
      <c r="Q779" s="484"/>
      <c r="R779" s="484"/>
      <c r="S779" s="462" t="str">
        <f t="shared" si="149"/>
        <v>正确</v>
      </c>
      <c r="T779" s="487"/>
      <c r="U779" s="487"/>
      <c r="V779" s="462" t="s">
        <v>1010</v>
      </c>
      <c r="W779" s="462"/>
    </row>
    <row r="780" ht="42" customHeight="1" spans="1:23">
      <c r="A780" s="464"/>
      <c r="B780" s="462" t="s">
        <v>1720</v>
      </c>
      <c r="C780" s="463" t="s">
        <v>52</v>
      </c>
      <c r="D780" s="463" t="s">
        <v>147</v>
      </c>
      <c r="E780" s="465">
        <v>116</v>
      </c>
      <c r="F780" s="465">
        <v>6</v>
      </c>
      <c r="G780" s="465">
        <v>14</v>
      </c>
      <c r="H780" s="465">
        <v>2019</v>
      </c>
      <c r="I780" s="465">
        <v>2019</v>
      </c>
      <c r="J780" s="463">
        <f t="shared" si="145"/>
        <v>16.24</v>
      </c>
      <c r="K780" s="463"/>
      <c r="L780" s="463">
        <f t="shared" si="146"/>
        <v>12.992</v>
      </c>
      <c r="M780" s="463">
        <f t="shared" si="147"/>
        <v>3.248</v>
      </c>
      <c r="N780" s="463"/>
      <c r="O780" s="463">
        <f t="shared" si="148"/>
        <v>16.24</v>
      </c>
      <c r="P780" s="484"/>
      <c r="Q780" s="484"/>
      <c r="R780" s="484"/>
      <c r="S780" s="462" t="str">
        <f t="shared" si="149"/>
        <v>正确</v>
      </c>
      <c r="T780" s="487"/>
      <c r="U780" s="487"/>
      <c r="V780" s="462" t="s">
        <v>1010</v>
      </c>
      <c r="W780" s="462"/>
    </row>
    <row r="781" ht="42" customHeight="1" spans="1:23">
      <c r="A781" s="464"/>
      <c r="B781" s="462" t="s">
        <v>1721</v>
      </c>
      <c r="C781" s="463" t="s">
        <v>52</v>
      </c>
      <c r="D781" s="463" t="s">
        <v>147</v>
      </c>
      <c r="E781" s="465">
        <v>266</v>
      </c>
      <c r="F781" s="465">
        <v>12</v>
      </c>
      <c r="G781" s="465">
        <v>38</v>
      </c>
      <c r="H781" s="465">
        <v>2019</v>
      </c>
      <c r="I781" s="465">
        <v>2019</v>
      </c>
      <c r="J781" s="463">
        <f t="shared" si="145"/>
        <v>37.24</v>
      </c>
      <c r="K781" s="463"/>
      <c r="L781" s="463">
        <f t="shared" si="146"/>
        <v>29.792</v>
      </c>
      <c r="M781" s="463">
        <f t="shared" si="147"/>
        <v>7.448</v>
      </c>
      <c r="N781" s="463"/>
      <c r="O781" s="463">
        <f t="shared" si="148"/>
        <v>37.24</v>
      </c>
      <c r="P781" s="484"/>
      <c r="Q781" s="484"/>
      <c r="R781" s="484"/>
      <c r="S781" s="462" t="str">
        <f t="shared" si="149"/>
        <v>正确</v>
      </c>
      <c r="T781" s="487"/>
      <c r="U781" s="487"/>
      <c r="V781" s="462" t="s">
        <v>1010</v>
      </c>
      <c r="W781" s="462"/>
    </row>
    <row r="782" ht="42" customHeight="1" spans="1:23">
      <c r="A782" s="464"/>
      <c r="B782" s="462" t="s">
        <v>1722</v>
      </c>
      <c r="C782" s="463" t="s">
        <v>52</v>
      </c>
      <c r="D782" s="463" t="s">
        <v>147</v>
      </c>
      <c r="E782" s="465">
        <v>186</v>
      </c>
      <c r="F782" s="465">
        <v>8</v>
      </c>
      <c r="G782" s="465">
        <v>30</v>
      </c>
      <c r="H782" s="465">
        <v>2019</v>
      </c>
      <c r="I782" s="465">
        <v>2019</v>
      </c>
      <c r="J782" s="463">
        <f t="shared" si="145"/>
        <v>26.04</v>
      </c>
      <c r="K782" s="463"/>
      <c r="L782" s="463">
        <f t="shared" si="146"/>
        <v>20.832</v>
      </c>
      <c r="M782" s="463">
        <f t="shared" si="147"/>
        <v>5.208</v>
      </c>
      <c r="N782" s="463"/>
      <c r="O782" s="463">
        <f t="shared" si="148"/>
        <v>26.04</v>
      </c>
      <c r="P782" s="484"/>
      <c r="Q782" s="484"/>
      <c r="R782" s="484"/>
      <c r="S782" s="462" t="str">
        <f t="shared" si="149"/>
        <v>正确</v>
      </c>
      <c r="T782" s="487"/>
      <c r="U782" s="487"/>
      <c r="V782" s="462" t="s">
        <v>1010</v>
      </c>
      <c r="W782" s="462"/>
    </row>
    <row r="783" ht="42" customHeight="1" spans="1:23">
      <c r="A783" s="464"/>
      <c r="B783" s="462" t="s">
        <v>1723</v>
      </c>
      <c r="C783" s="463" t="s">
        <v>162</v>
      </c>
      <c r="D783" s="463" t="s">
        <v>147</v>
      </c>
      <c r="E783" s="465">
        <v>594</v>
      </c>
      <c r="F783" s="465">
        <v>55</v>
      </c>
      <c r="G783" s="465">
        <v>201</v>
      </c>
      <c r="H783" s="465">
        <v>2019</v>
      </c>
      <c r="I783" s="465">
        <v>2019</v>
      </c>
      <c r="J783" s="463">
        <f t="shared" si="145"/>
        <v>83.16</v>
      </c>
      <c r="K783" s="463"/>
      <c r="L783" s="463">
        <f t="shared" si="146"/>
        <v>66.528</v>
      </c>
      <c r="M783" s="463">
        <f t="shared" si="147"/>
        <v>16.632</v>
      </c>
      <c r="N783" s="463"/>
      <c r="O783" s="463">
        <f t="shared" si="148"/>
        <v>83.16</v>
      </c>
      <c r="P783" s="484"/>
      <c r="Q783" s="484"/>
      <c r="R783" s="484"/>
      <c r="S783" s="462" t="str">
        <f t="shared" si="149"/>
        <v>正确</v>
      </c>
      <c r="T783" s="487"/>
      <c r="U783" s="487"/>
      <c r="V783" s="462" t="s">
        <v>1010</v>
      </c>
      <c r="W783" s="462"/>
    </row>
    <row r="784" ht="42" customHeight="1" spans="1:23">
      <c r="A784" s="464"/>
      <c r="B784" s="462" t="s">
        <v>1724</v>
      </c>
      <c r="C784" s="463" t="s">
        <v>52</v>
      </c>
      <c r="D784" s="463" t="s">
        <v>147</v>
      </c>
      <c r="E784" s="465">
        <v>202</v>
      </c>
      <c r="F784" s="465">
        <v>11</v>
      </c>
      <c r="G784" s="465">
        <v>40</v>
      </c>
      <c r="H784" s="465">
        <v>2019</v>
      </c>
      <c r="I784" s="465">
        <v>2019</v>
      </c>
      <c r="J784" s="463">
        <f t="shared" si="145"/>
        <v>28.28</v>
      </c>
      <c r="K784" s="463"/>
      <c r="L784" s="463">
        <f t="shared" si="146"/>
        <v>22.624</v>
      </c>
      <c r="M784" s="463">
        <f t="shared" si="147"/>
        <v>5.656</v>
      </c>
      <c r="N784" s="463"/>
      <c r="O784" s="463">
        <f t="shared" si="148"/>
        <v>28.28</v>
      </c>
      <c r="P784" s="484"/>
      <c r="Q784" s="484"/>
      <c r="R784" s="484"/>
      <c r="S784" s="462" t="str">
        <f t="shared" si="149"/>
        <v>正确</v>
      </c>
      <c r="T784" s="487"/>
      <c r="U784" s="487"/>
      <c r="V784" s="462" t="s">
        <v>1010</v>
      </c>
      <c r="W784" s="462"/>
    </row>
    <row r="785" ht="42" customHeight="1" spans="1:23">
      <c r="A785" s="464"/>
      <c r="B785" s="462" t="s">
        <v>1725</v>
      </c>
      <c r="C785" s="463" t="s">
        <v>52</v>
      </c>
      <c r="D785" s="463" t="s">
        <v>147</v>
      </c>
      <c r="E785" s="465">
        <v>144</v>
      </c>
      <c r="F785" s="465">
        <v>9</v>
      </c>
      <c r="G785" s="465">
        <v>32</v>
      </c>
      <c r="H785" s="465">
        <v>2019</v>
      </c>
      <c r="I785" s="465">
        <v>2019</v>
      </c>
      <c r="J785" s="463">
        <f t="shared" si="145"/>
        <v>20.16</v>
      </c>
      <c r="K785" s="463"/>
      <c r="L785" s="463">
        <f t="shared" si="146"/>
        <v>16.128</v>
      </c>
      <c r="M785" s="463">
        <f t="shared" si="147"/>
        <v>4.032</v>
      </c>
      <c r="N785" s="463"/>
      <c r="O785" s="463">
        <f t="shared" si="148"/>
        <v>20.16</v>
      </c>
      <c r="P785" s="484"/>
      <c r="Q785" s="484"/>
      <c r="R785" s="484"/>
      <c r="S785" s="462" t="str">
        <f t="shared" si="149"/>
        <v>正确</v>
      </c>
      <c r="T785" s="487"/>
      <c r="U785" s="487"/>
      <c r="V785" s="462" t="s">
        <v>1010</v>
      </c>
      <c r="W785" s="462"/>
    </row>
    <row r="786" ht="42" customHeight="1" spans="1:23">
      <c r="A786" s="464"/>
      <c r="B786" s="462" t="s">
        <v>1726</v>
      </c>
      <c r="C786" s="463" t="s">
        <v>52</v>
      </c>
      <c r="D786" s="463" t="s">
        <v>147</v>
      </c>
      <c r="E786" s="465">
        <v>60</v>
      </c>
      <c r="F786" s="465">
        <v>5</v>
      </c>
      <c r="G786" s="465">
        <v>24</v>
      </c>
      <c r="H786" s="465">
        <v>2019</v>
      </c>
      <c r="I786" s="465">
        <v>2019</v>
      </c>
      <c r="J786" s="463">
        <f t="shared" si="145"/>
        <v>8.4</v>
      </c>
      <c r="K786" s="463"/>
      <c r="L786" s="463">
        <v>6.848</v>
      </c>
      <c r="M786" s="463">
        <f t="shared" si="147"/>
        <v>1.552</v>
      </c>
      <c r="N786" s="463"/>
      <c r="O786" s="463">
        <f t="shared" si="148"/>
        <v>8.4</v>
      </c>
      <c r="P786" s="484"/>
      <c r="Q786" s="484"/>
      <c r="R786" s="484"/>
      <c r="S786" s="462" t="str">
        <f t="shared" si="149"/>
        <v>正确</v>
      </c>
      <c r="T786" s="487"/>
      <c r="U786" s="487"/>
      <c r="V786" s="462" t="s">
        <v>1010</v>
      </c>
      <c r="W786" s="462"/>
    </row>
    <row r="787" ht="42" customHeight="1" spans="1:23">
      <c r="A787" s="464"/>
      <c r="B787" s="488" t="s">
        <v>1727</v>
      </c>
      <c r="C787" s="463" t="s">
        <v>52</v>
      </c>
      <c r="D787" s="463" t="s">
        <v>1652</v>
      </c>
      <c r="E787" s="465" t="s">
        <v>1728</v>
      </c>
      <c r="F787" s="465">
        <v>26</v>
      </c>
      <c r="G787" s="465">
        <v>95</v>
      </c>
      <c r="H787" s="465">
        <v>2018</v>
      </c>
      <c r="I787" s="465">
        <v>2018</v>
      </c>
      <c r="J787" s="463">
        <v>54.9866</v>
      </c>
      <c r="K787" s="463">
        <v>54.9866</v>
      </c>
      <c r="L787" s="463"/>
      <c r="M787" s="463"/>
      <c r="N787" s="463"/>
      <c r="O787" s="463">
        <v>54.9866</v>
      </c>
      <c r="P787" s="463"/>
      <c r="Q787" s="463"/>
      <c r="R787" s="463"/>
      <c r="S787" s="462" t="str">
        <f t="shared" si="149"/>
        <v>正确</v>
      </c>
      <c r="T787" s="462"/>
      <c r="U787" s="462"/>
      <c r="V787" s="462" t="s">
        <v>1637</v>
      </c>
      <c r="W787" s="462"/>
    </row>
    <row r="788" ht="42" customHeight="1" spans="1:23">
      <c r="A788" s="464"/>
      <c r="B788" s="490" t="s">
        <v>1729</v>
      </c>
      <c r="C788" s="463" t="s">
        <v>52</v>
      </c>
      <c r="D788" s="463" t="s">
        <v>1652</v>
      </c>
      <c r="E788" s="465" t="s">
        <v>1730</v>
      </c>
      <c r="F788" s="465">
        <v>25</v>
      </c>
      <c r="G788" s="465">
        <v>87</v>
      </c>
      <c r="H788" s="465">
        <v>2018</v>
      </c>
      <c r="I788" s="465">
        <v>2018</v>
      </c>
      <c r="J788" s="463">
        <v>44.04</v>
      </c>
      <c r="K788" s="463">
        <v>44.04</v>
      </c>
      <c r="L788" s="463"/>
      <c r="M788" s="463"/>
      <c r="N788" s="463"/>
      <c r="O788" s="463">
        <v>44.04</v>
      </c>
      <c r="P788" s="463"/>
      <c r="Q788" s="463"/>
      <c r="R788" s="463"/>
      <c r="S788" s="462" t="str">
        <f t="shared" si="149"/>
        <v>正确</v>
      </c>
      <c r="T788" s="462"/>
      <c r="U788" s="462"/>
      <c r="V788" s="462" t="s">
        <v>1731</v>
      </c>
      <c r="W788" s="462"/>
    </row>
    <row r="789" ht="42" customHeight="1" spans="1:23">
      <c r="A789" s="464"/>
      <c r="B789" s="490" t="s">
        <v>1732</v>
      </c>
      <c r="C789" s="463" t="s">
        <v>52</v>
      </c>
      <c r="D789" s="463" t="s">
        <v>1652</v>
      </c>
      <c r="E789" s="489" t="s">
        <v>1733</v>
      </c>
      <c r="F789" s="465">
        <v>28</v>
      </c>
      <c r="G789" s="465">
        <v>97</v>
      </c>
      <c r="H789" s="465">
        <v>2018</v>
      </c>
      <c r="I789" s="465">
        <v>2018</v>
      </c>
      <c r="J789" s="463">
        <v>18.912</v>
      </c>
      <c r="K789" s="463">
        <v>18.912</v>
      </c>
      <c r="L789" s="463"/>
      <c r="M789" s="463"/>
      <c r="N789" s="463"/>
      <c r="O789" s="463">
        <v>18.912</v>
      </c>
      <c r="P789" s="463"/>
      <c r="Q789" s="463"/>
      <c r="R789" s="463"/>
      <c r="S789" s="462" t="str">
        <f t="shared" si="149"/>
        <v>正确</v>
      </c>
      <c r="T789" s="462"/>
      <c r="U789" s="462"/>
      <c r="V789" s="462" t="s">
        <v>1734</v>
      </c>
      <c r="W789" s="462"/>
    </row>
    <row r="790" ht="42" customHeight="1" spans="1:23">
      <c r="A790" s="464"/>
      <c r="B790" s="490" t="s">
        <v>1735</v>
      </c>
      <c r="C790" s="463" t="s">
        <v>52</v>
      </c>
      <c r="D790" s="463" t="s">
        <v>1652</v>
      </c>
      <c r="E790" s="465" t="s">
        <v>1736</v>
      </c>
      <c r="F790" s="465">
        <v>9</v>
      </c>
      <c r="G790" s="465">
        <v>28</v>
      </c>
      <c r="H790" s="465">
        <v>2018</v>
      </c>
      <c r="I790" s="465">
        <v>2018</v>
      </c>
      <c r="J790" s="463">
        <v>23.8</v>
      </c>
      <c r="K790" s="463">
        <v>23.8</v>
      </c>
      <c r="L790" s="463"/>
      <c r="M790" s="463"/>
      <c r="N790" s="463"/>
      <c r="O790" s="463">
        <v>23.8</v>
      </c>
      <c r="P790" s="463"/>
      <c r="Q790" s="463"/>
      <c r="R790" s="463"/>
      <c r="S790" s="462" t="str">
        <f t="shared" si="149"/>
        <v>正确</v>
      </c>
      <c r="T790" s="462"/>
      <c r="U790" s="462"/>
      <c r="V790" s="462" t="s">
        <v>1737</v>
      </c>
      <c r="W790" s="462"/>
    </row>
    <row r="791" ht="42" customHeight="1" spans="1:23">
      <c r="A791" s="464"/>
      <c r="B791" s="490" t="s">
        <v>1738</v>
      </c>
      <c r="C791" s="463" t="s">
        <v>52</v>
      </c>
      <c r="D791" s="463" t="s">
        <v>1652</v>
      </c>
      <c r="E791" s="465" t="s">
        <v>1739</v>
      </c>
      <c r="F791" s="465">
        <v>3</v>
      </c>
      <c r="G791" s="465">
        <v>12</v>
      </c>
      <c r="H791" s="465">
        <v>2018</v>
      </c>
      <c r="I791" s="465">
        <v>2018</v>
      </c>
      <c r="J791" s="463">
        <v>48.6115</v>
      </c>
      <c r="K791" s="463">
        <v>48.6115</v>
      </c>
      <c r="L791" s="463"/>
      <c r="M791" s="463"/>
      <c r="N791" s="463"/>
      <c r="O791" s="463">
        <v>48.6115</v>
      </c>
      <c r="P791" s="463"/>
      <c r="Q791" s="463"/>
      <c r="R791" s="463"/>
      <c r="S791" s="462" t="str">
        <f t="shared" si="149"/>
        <v>正确</v>
      </c>
      <c r="T791" s="462"/>
      <c r="U791" s="462"/>
      <c r="V791" s="462" t="s">
        <v>1740</v>
      </c>
      <c r="W791" s="462"/>
    </row>
    <row r="792" ht="39.95" customHeight="1" spans="1:23">
      <c r="A792" s="464">
        <v>71</v>
      </c>
      <c r="B792" s="485" t="s">
        <v>537</v>
      </c>
      <c r="C792" s="463" t="s">
        <v>320</v>
      </c>
      <c r="D792" s="463" t="s">
        <v>320</v>
      </c>
      <c r="E792" s="465">
        <f t="shared" ref="E792:G792" si="150">SUM(E794:E806)</f>
        <v>12</v>
      </c>
      <c r="F792" s="465">
        <f t="shared" si="150"/>
        <v>782</v>
      </c>
      <c r="G792" s="465">
        <f t="shared" si="150"/>
        <v>2658</v>
      </c>
      <c r="H792" s="465">
        <v>2018</v>
      </c>
      <c r="I792" s="465">
        <v>2018</v>
      </c>
      <c r="J792" s="465">
        <f t="shared" ref="J792:R792" si="151">SUM(J794:J806)</f>
        <v>74</v>
      </c>
      <c r="K792" s="465">
        <f t="shared" si="151"/>
        <v>74</v>
      </c>
      <c r="L792" s="465">
        <f t="shared" si="151"/>
        <v>0</v>
      </c>
      <c r="M792" s="465">
        <f t="shared" si="151"/>
        <v>0</v>
      </c>
      <c r="N792" s="465">
        <f t="shared" si="151"/>
        <v>0</v>
      </c>
      <c r="O792" s="465">
        <f t="shared" si="151"/>
        <v>0</v>
      </c>
      <c r="P792" s="465">
        <f t="shared" si="151"/>
        <v>74</v>
      </c>
      <c r="Q792" s="465">
        <f t="shared" si="151"/>
        <v>0</v>
      </c>
      <c r="R792" s="465">
        <f t="shared" si="151"/>
        <v>0</v>
      </c>
      <c r="S792" s="462" t="str">
        <f t="shared" si="149"/>
        <v>正确</v>
      </c>
      <c r="T792" s="462" t="s">
        <v>1564</v>
      </c>
      <c r="U792" s="462" t="s">
        <v>1565</v>
      </c>
      <c r="V792" s="462" t="s">
        <v>320</v>
      </c>
      <c r="W792" s="462" t="s">
        <v>41</v>
      </c>
    </row>
    <row r="793" ht="33" customHeight="1" spans="1:23">
      <c r="A793" s="464"/>
      <c r="B793" s="462" t="s">
        <v>1019</v>
      </c>
      <c r="C793" s="463" t="s">
        <v>52</v>
      </c>
      <c r="D793" s="463" t="s">
        <v>150</v>
      </c>
      <c r="E793" s="465"/>
      <c r="F793" s="465"/>
      <c r="G793" s="465"/>
      <c r="H793" s="465"/>
      <c r="I793" s="465"/>
      <c r="J793" s="463"/>
      <c r="K793" s="463"/>
      <c r="L793" s="463"/>
      <c r="M793" s="463"/>
      <c r="N793" s="463"/>
      <c r="O793" s="463"/>
      <c r="P793" s="463"/>
      <c r="Q793" s="463"/>
      <c r="R793" s="463"/>
      <c r="S793" s="462" t="str">
        <f t="shared" si="149"/>
        <v>正确</v>
      </c>
      <c r="T793" s="462" t="s">
        <v>1564</v>
      </c>
      <c r="U793" s="462" t="s">
        <v>1565</v>
      </c>
      <c r="V793" s="462" t="s">
        <v>358</v>
      </c>
      <c r="W793" s="462" t="s">
        <v>41</v>
      </c>
    </row>
    <row r="794" ht="23.25" customHeight="1" spans="1:23">
      <c r="A794" s="464"/>
      <c r="B794" s="462" t="s">
        <v>1540</v>
      </c>
      <c r="C794" s="463" t="s">
        <v>52</v>
      </c>
      <c r="D794" s="463" t="s">
        <v>150</v>
      </c>
      <c r="E794" s="150">
        <v>1</v>
      </c>
      <c r="F794" s="150">
        <v>252</v>
      </c>
      <c r="G794" s="150">
        <v>978</v>
      </c>
      <c r="H794" s="465">
        <v>2018</v>
      </c>
      <c r="I794" s="465">
        <v>2018</v>
      </c>
      <c r="J794" s="463">
        <f>K794+L794+M794</f>
        <v>30</v>
      </c>
      <c r="K794" s="463">
        <v>30</v>
      </c>
      <c r="L794" s="463"/>
      <c r="M794" s="463"/>
      <c r="N794" s="484"/>
      <c r="O794" s="484"/>
      <c r="P794" s="484">
        <f>J794</f>
        <v>30</v>
      </c>
      <c r="Q794" s="484"/>
      <c r="R794" s="484"/>
      <c r="S794" s="462" t="str">
        <f t="shared" si="149"/>
        <v>正确</v>
      </c>
      <c r="T794" s="462"/>
      <c r="U794" s="462"/>
      <c r="V794" s="462"/>
      <c r="W794" s="462"/>
    </row>
    <row r="795" ht="23.25" customHeight="1" spans="1:23">
      <c r="A795" s="464"/>
      <c r="B795" s="462" t="s">
        <v>1541</v>
      </c>
      <c r="C795" s="463" t="s">
        <v>52</v>
      </c>
      <c r="D795" s="463" t="s">
        <v>150</v>
      </c>
      <c r="E795" s="465"/>
      <c r="F795" s="465"/>
      <c r="G795" s="465"/>
      <c r="H795" s="465"/>
      <c r="I795" s="465"/>
      <c r="J795" s="463"/>
      <c r="K795" s="463"/>
      <c r="L795" s="463"/>
      <c r="M795" s="463"/>
      <c r="N795" s="484"/>
      <c r="O795" s="484"/>
      <c r="P795" s="484"/>
      <c r="Q795" s="484"/>
      <c r="R795" s="484"/>
      <c r="S795" s="462" t="str">
        <f t="shared" si="149"/>
        <v>正确</v>
      </c>
      <c r="T795" s="462"/>
      <c r="U795" s="462"/>
      <c r="V795" s="462"/>
      <c r="W795" s="462"/>
    </row>
    <row r="796" ht="23.25" customHeight="1" spans="1:23">
      <c r="A796" s="464"/>
      <c r="B796" s="462" t="s">
        <v>1542</v>
      </c>
      <c r="C796" s="463" t="s">
        <v>546</v>
      </c>
      <c r="D796" s="463" t="s">
        <v>150</v>
      </c>
      <c r="E796" s="465"/>
      <c r="F796" s="465"/>
      <c r="G796" s="465"/>
      <c r="H796" s="465"/>
      <c r="I796" s="465"/>
      <c r="J796" s="463"/>
      <c r="K796" s="463"/>
      <c r="L796" s="463"/>
      <c r="M796" s="463"/>
      <c r="N796" s="484"/>
      <c r="O796" s="484"/>
      <c r="P796" s="484"/>
      <c r="Q796" s="484"/>
      <c r="R796" s="484"/>
      <c r="S796" s="462" t="str">
        <f t="shared" si="149"/>
        <v>正确</v>
      </c>
      <c r="T796" s="462"/>
      <c r="U796" s="462"/>
      <c r="V796" s="462"/>
      <c r="W796" s="462"/>
    </row>
    <row r="797" ht="23.25" customHeight="1" spans="1:23">
      <c r="A797" s="464"/>
      <c r="B797" s="462" t="s">
        <v>1543</v>
      </c>
      <c r="C797" s="463" t="s">
        <v>52</v>
      </c>
      <c r="D797" s="463" t="s">
        <v>150</v>
      </c>
      <c r="E797" s="465"/>
      <c r="F797" s="465"/>
      <c r="G797" s="465"/>
      <c r="H797" s="465"/>
      <c r="I797" s="465"/>
      <c r="J797" s="463"/>
      <c r="K797" s="463"/>
      <c r="L797" s="463"/>
      <c r="M797" s="463"/>
      <c r="N797" s="484"/>
      <c r="O797" s="484"/>
      <c r="P797" s="484"/>
      <c r="Q797" s="484"/>
      <c r="R797" s="484"/>
      <c r="S797" s="462" t="str">
        <f t="shared" si="149"/>
        <v>正确</v>
      </c>
      <c r="T797" s="462"/>
      <c r="U797" s="462"/>
      <c r="V797" s="462"/>
      <c r="W797" s="462"/>
    </row>
    <row r="798" ht="23.25" customHeight="1" spans="1:23">
      <c r="A798" s="464"/>
      <c r="B798" s="462" t="s">
        <v>1544</v>
      </c>
      <c r="C798" s="463" t="s">
        <v>52</v>
      </c>
      <c r="D798" s="463" t="s">
        <v>150</v>
      </c>
      <c r="E798" s="150"/>
      <c r="F798" s="150"/>
      <c r="G798" s="150"/>
      <c r="H798" s="465"/>
      <c r="I798" s="465"/>
      <c r="J798" s="463"/>
      <c r="K798" s="463"/>
      <c r="L798" s="463"/>
      <c r="M798" s="463"/>
      <c r="N798" s="484"/>
      <c r="O798" s="484"/>
      <c r="P798" s="484"/>
      <c r="Q798" s="484"/>
      <c r="R798" s="484"/>
      <c r="S798" s="462" t="str">
        <f t="shared" si="149"/>
        <v>正确</v>
      </c>
      <c r="T798" s="462"/>
      <c r="U798" s="462"/>
      <c r="V798" s="462"/>
      <c r="W798" s="462"/>
    </row>
    <row r="799" ht="23.25" customHeight="1" spans="1:23">
      <c r="A799" s="464"/>
      <c r="B799" s="462" t="s">
        <v>1545</v>
      </c>
      <c r="C799" s="463" t="s">
        <v>546</v>
      </c>
      <c r="D799" s="463" t="s">
        <v>150</v>
      </c>
      <c r="E799" s="150"/>
      <c r="F799" s="150"/>
      <c r="G799" s="150"/>
      <c r="H799" s="465"/>
      <c r="I799" s="465"/>
      <c r="J799" s="463"/>
      <c r="K799" s="463"/>
      <c r="L799" s="463"/>
      <c r="M799" s="463"/>
      <c r="N799" s="484"/>
      <c r="O799" s="484"/>
      <c r="P799" s="484"/>
      <c r="Q799" s="484"/>
      <c r="R799" s="484"/>
      <c r="S799" s="462" t="str">
        <f t="shared" si="149"/>
        <v>正确</v>
      </c>
      <c r="T799" s="462"/>
      <c r="U799" s="462"/>
      <c r="V799" s="462"/>
      <c r="W799" s="462"/>
    </row>
    <row r="800" ht="23.25" customHeight="1" spans="1:23">
      <c r="A800" s="464"/>
      <c r="B800" s="462" t="s">
        <v>1546</v>
      </c>
      <c r="C800" s="463" t="s">
        <v>52</v>
      </c>
      <c r="D800" s="463" t="s">
        <v>150</v>
      </c>
      <c r="E800" s="465"/>
      <c r="F800" s="465"/>
      <c r="G800" s="465"/>
      <c r="H800" s="465"/>
      <c r="I800" s="465"/>
      <c r="J800" s="463"/>
      <c r="K800" s="463"/>
      <c r="L800" s="463"/>
      <c r="M800" s="463"/>
      <c r="N800" s="484"/>
      <c r="O800" s="484"/>
      <c r="P800" s="484"/>
      <c r="Q800" s="484"/>
      <c r="R800" s="484"/>
      <c r="S800" s="462" t="str">
        <f t="shared" si="149"/>
        <v>正确</v>
      </c>
      <c r="T800" s="462"/>
      <c r="U800" s="462"/>
      <c r="V800" s="462"/>
      <c r="W800" s="462"/>
    </row>
    <row r="801" ht="23.25" customHeight="1" spans="1:23">
      <c r="A801" s="464"/>
      <c r="B801" s="462" t="s">
        <v>1547</v>
      </c>
      <c r="C801" s="463" t="s">
        <v>52</v>
      </c>
      <c r="D801" s="463" t="s">
        <v>150</v>
      </c>
      <c r="E801" s="465"/>
      <c r="F801" s="465"/>
      <c r="G801" s="465"/>
      <c r="H801" s="465"/>
      <c r="I801" s="465"/>
      <c r="J801" s="463"/>
      <c r="K801" s="463"/>
      <c r="L801" s="463"/>
      <c r="M801" s="463"/>
      <c r="N801" s="484"/>
      <c r="O801" s="484"/>
      <c r="P801" s="484"/>
      <c r="Q801" s="484"/>
      <c r="R801" s="484"/>
      <c r="S801" s="462" t="str">
        <f t="shared" si="149"/>
        <v>正确</v>
      </c>
      <c r="T801" s="462"/>
      <c r="U801" s="462"/>
      <c r="V801" s="462"/>
      <c r="W801" s="462"/>
    </row>
    <row r="802" ht="23.25" customHeight="1" spans="1:23">
      <c r="A802" s="464"/>
      <c r="B802" s="462" t="s">
        <v>1548</v>
      </c>
      <c r="C802" s="463" t="s">
        <v>52</v>
      </c>
      <c r="D802" s="463" t="s">
        <v>150</v>
      </c>
      <c r="E802" s="465"/>
      <c r="F802" s="465"/>
      <c r="G802" s="465"/>
      <c r="H802" s="465"/>
      <c r="I802" s="465"/>
      <c r="J802" s="463"/>
      <c r="K802" s="463"/>
      <c r="L802" s="463"/>
      <c r="M802" s="463"/>
      <c r="N802" s="484"/>
      <c r="O802" s="484"/>
      <c r="P802" s="484"/>
      <c r="Q802" s="484"/>
      <c r="R802" s="484"/>
      <c r="S802" s="462" t="str">
        <f t="shared" si="149"/>
        <v>正确</v>
      </c>
      <c r="T802" s="462"/>
      <c r="U802" s="462"/>
      <c r="V802" s="462"/>
      <c r="W802" s="462"/>
    </row>
    <row r="803" ht="23.25" customHeight="1" spans="1:23">
      <c r="A803" s="464"/>
      <c r="B803" s="462" t="s">
        <v>1549</v>
      </c>
      <c r="C803" s="463" t="s">
        <v>52</v>
      </c>
      <c r="D803" s="463" t="s">
        <v>150</v>
      </c>
      <c r="E803" s="465"/>
      <c r="F803" s="465"/>
      <c r="G803" s="465"/>
      <c r="H803" s="465"/>
      <c r="I803" s="465"/>
      <c r="J803" s="463"/>
      <c r="K803" s="463"/>
      <c r="L803" s="463"/>
      <c r="M803" s="463"/>
      <c r="N803" s="484"/>
      <c r="O803" s="484"/>
      <c r="P803" s="484"/>
      <c r="Q803" s="484"/>
      <c r="R803" s="484"/>
      <c r="S803" s="462" t="str">
        <f t="shared" si="149"/>
        <v>正确</v>
      </c>
      <c r="T803" s="462"/>
      <c r="U803" s="462"/>
      <c r="V803" s="462"/>
      <c r="W803" s="462"/>
    </row>
    <row r="804" ht="23.25" customHeight="1" spans="1:23">
      <c r="A804" s="464"/>
      <c r="B804" s="462" t="s">
        <v>1550</v>
      </c>
      <c r="C804" s="463" t="s">
        <v>52</v>
      </c>
      <c r="D804" s="463" t="s">
        <v>150</v>
      </c>
      <c r="E804" s="465"/>
      <c r="F804" s="465"/>
      <c r="G804" s="465"/>
      <c r="H804" s="465"/>
      <c r="I804" s="465"/>
      <c r="J804" s="463"/>
      <c r="K804" s="463"/>
      <c r="L804" s="463"/>
      <c r="M804" s="463"/>
      <c r="N804" s="484"/>
      <c r="O804" s="484"/>
      <c r="P804" s="484"/>
      <c r="Q804" s="484"/>
      <c r="R804" s="484"/>
      <c r="S804" s="462" t="str">
        <f t="shared" si="149"/>
        <v>正确</v>
      </c>
      <c r="T804" s="462"/>
      <c r="U804" s="462"/>
      <c r="V804" s="462"/>
      <c r="W804" s="462"/>
    </row>
    <row r="805" ht="23.25" customHeight="1" spans="1:23">
      <c r="A805" s="464"/>
      <c r="B805" s="462" t="s">
        <v>1551</v>
      </c>
      <c r="C805" s="463" t="s">
        <v>52</v>
      </c>
      <c r="D805" s="463" t="s">
        <v>150</v>
      </c>
      <c r="E805" s="465"/>
      <c r="F805" s="465"/>
      <c r="G805" s="465"/>
      <c r="H805" s="465"/>
      <c r="I805" s="465"/>
      <c r="J805" s="463"/>
      <c r="K805" s="463"/>
      <c r="L805" s="463"/>
      <c r="M805" s="463"/>
      <c r="N805" s="484"/>
      <c r="O805" s="484"/>
      <c r="P805" s="484"/>
      <c r="Q805" s="484"/>
      <c r="R805" s="484"/>
      <c r="S805" s="462" t="str">
        <f t="shared" si="149"/>
        <v>正确</v>
      </c>
      <c r="T805" s="462"/>
      <c r="U805" s="462"/>
      <c r="V805" s="462"/>
      <c r="W805" s="462"/>
    </row>
    <row r="806" ht="23.25" customHeight="1" spans="1:23">
      <c r="A806" s="464"/>
      <c r="B806" s="462" t="s">
        <v>1741</v>
      </c>
      <c r="C806" s="463" t="s">
        <v>52</v>
      </c>
      <c r="D806" s="463" t="s">
        <v>150</v>
      </c>
      <c r="E806" s="465">
        <v>11</v>
      </c>
      <c r="F806" s="465">
        <v>530</v>
      </c>
      <c r="G806" s="465">
        <v>1680</v>
      </c>
      <c r="H806" s="465">
        <v>2018</v>
      </c>
      <c r="I806" s="465">
        <v>2018</v>
      </c>
      <c r="J806" s="463">
        <v>44</v>
      </c>
      <c r="K806" s="463">
        <v>44</v>
      </c>
      <c r="L806" s="463"/>
      <c r="M806" s="463"/>
      <c r="N806" s="484"/>
      <c r="O806" s="484"/>
      <c r="P806" s="484">
        <f>J806</f>
        <v>44</v>
      </c>
      <c r="Q806" s="484"/>
      <c r="R806" s="484"/>
      <c r="S806" s="462" t="str">
        <f t="shared" si="149"/>
        <v>正确</v>
      </c>
      <c r="T806" s="462"/>
      <c r="U806" s="462"/>
      <c r="V806" s="462"/>
      <c r="W806" s="462"/>
    </row>
    <row r="807" ht="23.25" customHeight="1" spans="1:23">
      <c r="A807" s="464">
        <v>72</v>
      </c>
      <c r="B807" s="485" t="s">
        <v>552</v>
      </c>
      <c r="C807" s="463" t="s">
        <v>320</v>
      </c>
      <c r="D807" s="463" t="s">
        <v>320</v>
      </c>
      <c r="E807" s="465">
        <f>E808</f>
        <v>7</v>
      </c>
      <c r="F807" s="465">
        <f>F808</f>
        <v>93</v>
      </c>
      <c r="G807" s="465">
        <f>G808</f>
        <v>370</v>
      </c>
      <c r="H807" s="465">
        <f>H808</f>
        <v>2018</v>
      </c>
      <c r="I807" s="465">
        <f>I808</f>
        <v>2018</v>
      </c>
      <c r="J807" s="463">
        <f t="shared" ref="J807:Q807" si="152">J808</f>
        <v>151</v>
      </c>
      <c r="K807" s="463">
        <f t="shared" si="152"/>
        <v>81</v>
      </c>
      <c r="L807" s="463">
        <f t="shared" si="152"/>
        <v>70</v>
      </c>
      <c r="M807" s="463">
        <f t="shared" si="152"/>
        <v>0</v>
      </c>
      <c r="N807" s="463">
        <f t="shared" si="152"/>
        <v>0</v>
      </c>
      <c r="O807" s="463">
        <f t="shared" si="152"/>
        <v>151</v>
      </c>
      <c r="P807" s="463">
        <f t="shared" si="152"/>
        <v>0</v>
      </c>
      <c r="Q807" s="463">
        <f t="shared" si="152"/>
        <v>0</v>
      </c>
      <c r="R807" s="463"/>
      <c r="S807" s="462" t="str">
        <f t="shared" si="149"/>
        <v>正确</v>
      </c>
      <c r="T807" s="462" t="s">
        <v>1742</v>
      </c>
      <c r="U807" s="462"/>
      <c r="V807" s="462" t="s">
        <v>320</v>
      </c>
      <c r="W807" s="462" t="s">
        <v>41</v>
      </c>
    </row>
    <row r="808" ht="30.75" customHeight="1" spans="1:23">
      <c r="A808" s="464"/>
      <c r="B808" s="462" t="s">
        <v>554</v>
      </c>
      <c r="C808" s="463" t="s">
        <v>52</v>
      </c>
      <c r="D808" s="463" t="s">
        <v>150</v>
      </c>
      <c r="E808" s="465">
        <f>SUM(E809:E820)</f>
        <v>7</v>
      </c>
      <c r="F808" s="465">
        <f t="shared" ref="F808:G808" si="153">SUM(F809:F820)</f>
        <v>93</v>
      </c>
      <c r="G808" s="465">
        <f t="shared" si="153"/>
        <v>370</v>
      </c>
      <c r="H808" s="465">
        <v>2018</v>
      </c>
      <c r="I808" s="465">
        <v>2018</v>
      </c>
      <c r="J808" s="463">
        <v>151</v>
      </c>
      <c r="K808" s="463">
        <f t="shared" ref="K808:Q808" si="154">SUM(K809:K820)</f>
        <v>81</v>
      </c>
      <c r="L808" s="463">
        <f t="shared" si="154"/>
        <v>70</v>
      </c>
      <c r="M808" s="463">
        <f t="shared" si="154"/>
        <v>0</v>
      </c>
      <c r="N808" s="463">
        <f t="shared" si="154"/>
        <v>0</v>
      </c>
      <c r="O808" s="463">
        <f t="shared" si="154"/>
        <v>151</v>
      </c>
      <c r="P808" s="463">
        <f t="shared" si="154"/>
        <v>0</v>
      </c>
      <c r="Q808" s="463">
        <f t="shared" si="154"/>
        <v>0</v>
      </c>
      <c r="R808" s="463"/>
      <c r="S808" s="462" t="str">
        <f t="shared" si="149"/>
        <v>正确</v>
      </c>
      <c r="T808" s="462" t="s">
        <v>1742</v>
      </c>
      <c r="U808" s="462"/>
      <c r="V808" s="462" t="s">
        <v>553</v>
      </c>
      <c r="W808" s="462" t="s">
        <v>41</v>
      </c>
    </row>
    <row r="809" ht="84" customHeight="1" spans="1:24">
      <c r="A809" s="464"/>
      <c r="B809" s="462" t="s">
        <v>1540</v>
      </c>
      <c r="C809" s="463" t="s">
        <v>52</v>
      </c>
      <c r="D809" s="463" t="s">
        <v>150</v>
      </c>
      <c r="E809" s="150">
        <v>4</v>
      </c>
      <c r="F809" s="150">
        <v>72</v>
      </c>
      <c r="G809" s="150">
        <v>285</v>
      </c>
      <c r="H809" s="465">
        <v>2018</v>
      </c>
      <c r="I809" s="465">
        <v>2018</v>
      </c>
      <c r="J809" s="463">
        <v>91</v>
      </c>
      <c r="K809" s="463">
        <v>81</v>
      </c>
      <c r="L809" s="463">
        <v>10</v>
      </c>
      <c r="M809" s="463"/>
      <c r="N809" s="484"/>
      <c r="O809" s="463">
        <f>J809</f>
        <v>91</v>
      </c>
      <c r="P809" s="484"/>
      <c r="Q809" s="484"/>
      <c r="R809" s="484"/>
      <c r="S809" s="462" t="str">
        <f t="shared" si="149"/>
        <v>正确</v>
      </c>
      <c r="T809" s="462"/>
      <c r="U809" s="462"/>
      <c r="V809" s="462"/>
      <c r="W809" s="462" t="s">
        <v>1743</v>
      </c>
      <c r="X809" s="494" t="s">
        <v>1610</v>
      </c>
    </row>
    <row r="810" ht="30.75" customHeight="1" spans="1:23">
      <c r="A810" s="464"/>
      <c r="B810" s="462" t="s">
        <v>1541</v>
      </c>
      <c r="C810" s="463" t="s">
        <v>52</v>
      </c>
      <c r="D810" s="463" t="s">
        <v>150</v>
      </c>
      <c r="E810" s="465"/>
      <c r="F810" s="465"/>
      <c r="G810" s="465"/>
      <c r="H810" s="465"/>
      <c r="I810" s="465"/>
      <c r="J810" s="463"/>
      <c r="K810" s="463"/>
      <c r="L810" s="463"/>
      <c r="M810" s="463"/>
      <c r="N810" s="484"/>
      <c r="O810" s="463"/>
      <c r="P810" s="484"/>
      <c r="Q810" s="484"/>
      <c r="R810" s="484"/>
      <c r="S810" s="462" t="str">
        <f t="shared" si="149"/>
        <v>正确</v>
      </c>
      <c r="T810" s="462"/>
      <c r="U810" s="462"/>
      <c r="V810" s="462"/>
      <c r="W810" s="462"/>
    </row>
    <row r="811" ht="30.75" customHeight="1" spans="1:23">
      <c r="A811" s="464"/>
      <c r="B811" s="462" t="s">
        <v>1542</v>
      </c>
      <c r="C811" s="463" t="s">
        <v>52</v>
      </c>
      <c r="D811" s="463" t="s">
        <v>150</v>
      </c>
      <c r="E811" s="465"/>
      <c r="F811" s="465"/>
      <c r="G811" s="465"/>
      <c r="H811" s="465"/>
      <c r="I811" s="465"/>
      <c r="J811" s="463"/>
      <c r="K811" s="463"/>
      <c r="L811" s="463"/>
      <c r="M811" s="463"/>
      <c r="N811" s="484"/>
      <c r="O811" s="463"/>
      <c r="P811" s="484"/>
      <c r="Q811" s="484"/>
      <c r="R811" s="484"/>
      <c r="S811" s="462" t="str">
        <f t="shared" si="149"/>
        <v>正确</v>
      </c>
      <c r="T811" s="462"/>
      <c r="U811" s="462"/>
      <c r="V811" s="462"/>
      <c r="W811" s="462"/>
    </row>
    <row r="812" ht="30.75" customHeight="1" spans="1:23">
      <c r="A812" s="464"/>
      <c r="B812" s="462" t="s">
        <v>1543</v>
      </c>
      <c r="C812" s="463" t="s">
        <v>52</v>
      </c>
      <c r="D812" s="463" t="s">
        <v>150</v>
      </c>
      <c r="E812" s="465"/>
      <c r="F812" s="465"/>
      <c r="G812" s="465"/>
      <c r="H812" s="465"/>
      <c r="I812" s="465"/>
      <c r="J812" s="463"/>
      <c r="K812" s="463"/>
      <c r="L812" s="463"/>
      <c r="M812" s="463"/>
      <c r="N812" s="484"/>
      <c r="O812" s="463"/>
      <c r="P812" s="484"/>
      <c r="Q812" s="484"/>
      <c r="R812" s="484"/>
      <c r="S812" s="462" t="str">
        <f t="shared" si="149"/>
        <v>正确</v>
      </c>
      <c r="T812" s="462"/>
      <c r="U812" s="462"/>
      <c r="V812" s="462"/>
      <c r="W812" s="462"/>
    </row>
    <row r="813" ht="30.75" customHeight="1" spans="1:23">
      <c r="A813" s="464"/>
      <c r="B813" s="462" t="s">
        <v>1544</v>
      </c>
      <c r="C813" s="463" t="s">
        <v>52</v>
      </c>
      <c r="D813" s="463" t="s">
        <v>150</v>
      </c>
      <c r="E813" s="465"/>
      <c r="F813" s="465"/>
      <c r="G813" s="465"/>
      <c r="H813" s="465"/>
      <c r="I813" s="465"/>
      <c r="J813" s="463"/>
      <c r="K813" s="463"/>
      <c r="L813" s="463"/>
      <c r="M813" s="463"/>
      <c r="N813" s="484"/>
      <c r="O813" s="463"/>
      <c r="P813" s="484"/>
      <c r="Q813" s="484"/>
      <c r="R813" s="484"/>
      <c r="S813" s="462" t="str">
        <f t="shared" si="149"/>
        <v>正确</v>
      </c>
      <c r="T813" s="462"/>
      <c r="U813" s="462"/>
      <c r="V813" s="462"/>
      <c r="W813" s="462"/>
    </row>
    <row r="814" ht="30.75" customHeight="1" spans="1:23">
      <c r="A814" s="464"/>
      <c r="B814" s="462" t="s">
        <v>1545</v>
      </c>
      <c r="C814" s="463" t="s">
        <v>52</v>
      </c>
      <c r="D814" s="463" t="s">
        <v>150</v>
      </c>
      <c r="E814" s="465"/>
      <c r="F814" s="465"/>
      <c r="G814" s="465"/>
      <c r="H814" s="465"/>
      <c r="I814" s="465"/>
      <c r="J814" s="463"/>
      <c r="K814" s="463"/>
      <c r="L814" s="463"/>
      <c r="M814" s="463"/>
      <c r="N814" s="484"/>
      <c r="O814" s="463"/>
      <c r="P814" s="484"/>
      <c r="Q814" s="484"/>
      <c r="R814" s="484"/>
      <c r="S814" s="462" t="str">
        <f t="shared" si="149"/>
        <v>正确</v>
      </c>
      <c r="T814" s="462"/>
      <c r="U814" s="462"/>
      <c r="V814" s="462"/>
      <c r="W814" s="462"/>
    </row>
    <row r="815" ht="30.75" customHeight="1" spans="1:23">
      <c r="A815" s="464"/>
      <c r="B815" s="462" t="s">
        <v>1546</v>
      </c>
      <c r="C815" s="463" t="s">
        <v>52</v>
      </c>
      <c r="D815" s="463" t="s">
        <v>150</v>
      </c>
      <c r="E815" s="465"/>
      <c r="F815" s="465"/>
      <c r="G815" s="465"/>
      <c r="H815" s="465"/>
      <c r="I815" s="465"/>
      <c r="J815" s="463"/>
      <c r="K815" s="463"/>
      <c r="L815" s="463"/>
      <c r="M815" s="463"/>
      <c r="N815" s="484"/>
      <c r="O815" s="463"/>
      <c r="P815" s="484"/>
      <c r="Q815" s="484"/>
      <c r="R815" s="484"/>
      <c r="S815" s="462" t="str">
        <f t="shared" si="149"/>
        <v>正确</v>
      </c>
      <c r="T815" s="462"/>
      <c r="U815" s="462"/>
      <c r="V815" s="462"/>
      <c r="W815" s="462"/>
    </row>
    <row r="816" ht="30.75" customHeight="1" spans="1:24">
      <c r="A816" s="464"/>
      <c r="B816" s="462" t="s">
        <v>1547</v>
      </c>
      <c r="C816" s="463" t="s">
        <v>52</v>
      </c>
      <c r="D816" s="463" t="s">
        <v>150</v>
      </c>
      <c r="E816" s="465">
        <v>2</v>
      </c>
      <c r="F816" s="465">
        <v>16</v>
      </c>
      <c r="G816" s="465">
        <v>65</v>
      </c>
      <c r="H816" s="465">
        <v>2018</v>
      </c>
      <c r="I816" s="465">
        <v>2018</v>
      </c>
      <c r="J816" s="463">
        <v>40</v>
      </c>
      <c r="K816" s="463"/>
      <c r="L816" s="463">
        <v>40</v>
      </c>
      <c r="M816" s="463"/>
      <c r="N816" s="484"/>
      <c r="O816" s="463">
        <v>40</v>
      </c>
      <c r="P816" s="484"/>
      <c r="Q816" s="484"/>
      <c r="R816" s="484"/>
      <c r="S816" s="462" t="str">
        <f t="shared" si="149"/>
        <v>正确</v>
      </c>
      <c r="T816" s="462"/>
      <c r="U816" s="462"/>
      <c r="V816" s="462"/>
      <c r="W816" s="462" t="s">
        <v>1744</v>
      </c>
      <c r="X816" s="494" t="s">
        <v>1610</v>
      </c>
    </row>
    <row r="817" ht="30.75" customHeight="1" spans="1:23">
      <c r="A817" s="464"/>
      <c r="B817" s="462" t="s">
        <v>1548</v>
      </c>
      <c r="C817" s="463" t="s">
        <v>52</v>
      </c>
      <c r="D817" s="463" t="s">
        <v>150</v>
      </c>
      <c r="E817" s="465"/>
      <c r="F817" s="465"/>
      <c r="G817" s="465"/>
      <c r="H817" s="465"/>
      <c r="I817" s="465"/>
      <c r="J817" s="463"/>
      <c r="K817" s="463"/>
      <c r="L817" s="463"/>
      <c r="M817" s="463"/>
      <c r="N817" s="484"/>
      <c r="O817" s="463"/>
      <c r="P817" s="484"/>
      <c r="Q817" s="484"/>
      <c r="R817" s="484"/>
      <c r="S817" s="462" t="str">
        <f t="shared" si="149"/>
        <v>正确</v>
      </c>
      <c r="T817" s="462"/>
      <c r="U817" s="462"/>
      <c r="V817" s="462"/>
      <c r="W817" s="462"/>
    </row>
    <row r="818" ht="30.75" customHeight="1" spans="1:24">
      <c r="A818" s="464"/>
      <c r="B818" s="462" t="s">
        <v>1549</v>
      </c>
      <c r="C818" s="463" t="s">
        <v>52</v>
      </c>
      <c r="D818" s="463" t="s">
        <v>150</v>
      </c>
      <c r="E818" s="465">
        <v>1</v>
      </c>
      <c r="F818" s="465">
        <v>5</v>
      </c>
      <c r="G818" s="465">
        <v>20</v>
      </c>
      <c r="H818" s="465">
        <v>2018</v>
      </c>
      <c r="I818" s="465">
        <v>2018</v>
      </c>
      <c r="J818" s="463">
        <v>20</v>
      </c>
      <c r="K818" s="463"/>
      <c r="L818" s="463">
        <v>20</v>
      </c>
      <c r="M818" s="463"/>
      <c r="N818" s="484"/>
      <c r="O818" s="463">
        <v>20</v>
      </c>
      <c r="P818" s="484"/>
      <c r="Q818" s="484"/>
      <c r="R818" s="484"/>
      <c r="S818" s="462" t="str">
        <f t="shared" si="149"/>
        <v>正确</v>
      </c>
      <c r="T818" s="462"/>
      <c r="U818" s="462"/>
      <c r="V818" s="462"/>
      <c r="W818" s="462" t="s">
        <v>1745</v>
      </c>
      <c r="X818" s="494" t="s">
        <v>1610</v>
      </c>
    </row>
    <row r="819" ht="30.75" customHeight="1" spans="1:23">
      <c r="A819" s="464"/>
      <c r="B819" s="462" t="s">
        <v>1550</v>
      </c>
      <c r="C819" s="463" t="s">
        <v>52</v>
      </c>
      <c r="D819" s="463" t="s">
        <v>150</v>
      </c>
      <c r="E819" s="465"/>
      <c r="F819" s="465"/>
      <c r="G819" s="465"/>
      <c r="H819" s="465"/>
      <c r="I819" s="465"/>
      <c r="J819" s="463"/>
      <c r="K819" s="463"/>
      <c r="L819" s="463"/>
      <c r="M819" s="463"/>
      <c r="N819" s="484"/>
      <c r="O819" s="484"/>
      <c r="P819" s="484"/>
      <c r="Q819" s="484"/>
      <c r="R819" s="484"/>
      <c r="S819" s="462" t="str">
        <f t="shared" si="149"/>
        <v>正确</v>
      </c>
      <c r="T819" s="462"/>
      <c r="U819" s="462"/>
      <c r="V819" s="462"/>
      <c r="W819" s="462"/>
    </row>
    <row r="820" ht="30.75" customHeight="1" spans="1:23">
      <c r="A820" s="464"/>
      <c r="B820" s="462" t="s">
        <v>1551</v>
      </c>
      <c r="C820" s="463" t="s">
        <v>52</v>
      </c>
      <c r="D820" s="463" t="s">
        <v>150</v>
      </c>
      <c r="E820" s="465"/>
      <c r="F820" s="465"/>
      <c r="G820" s="465"/>
      <c r="H820" s="465"/>
      <c r="I820" s="465"/>
      <c r="J820" s="463"/>
      <c r="K820" s="463"/>
      <c r="L820" s="463"/>
      <c r="M820" s="463"/>
      <c r="N820" s="484"/>
      <c r="O820" s="484"/>
      <c r="P820" s="484"/>
      <c r="Q820" s="484"/>
      <c r="R820" s="484"/>
      <c r="S820" s="462" t="str">
        <f t="shared" si="149"/>
        <v>正确</v>
      </c>
      <c r="T820" s="462"/>
      <c r="U820" s="462"/>
      <c r="V820" s="462"/>
      <c r="W820" s="462"/>
    </row>
    <row r="821" ht="27.95" customHeight="1" spans="1:23">
      <c r="A821" s="464">
        <v>73</v>
      </c>
      <c r="B821" s="485" t="s">
        <v>555</v>
      </c>
      <c r="C821" s="463" t="s">
        <v>320</v>
      </c>
      <c r="D821" s="463" t="s">
        <v>320</v>
      </c>
      <c r="E821" s="465">
        <f t="shared" ref="E821:G821" si="155">E822</f>
        <v>3501</v>
      </c>
      <c r="F821" s="465">
        <f t="shared" si="155"/>
        <v>846</v>
      </c>
      <c r="G821" s="465">
        <f t="shared" si="155"/>
        <v>1016</v>
      </c>
      <c r="H821" s="465">
        <v>2018</v>
      </c>
      <c r="I821" s="465">
        <v>2020</v>
      </c>
      <c r="J821" s="463"/>
      <c r="K821" s="463"/>
      <c r="L821" s="463"/>
      <c r="M821" s="463"/>
      <c r="N821" s="463"/>
      <c r="O821" s="463"/>
      <c r="P821" s="463"/>
      <c r="Q821" s="463"/>
      <c r="R821" s="463"/>
      <c r="S821" s="462" t="str">
        <f t="shared" si="149"/>
        <v>正确</v>
      </c>
      <c r="T821" s="462" t="s">
        <v>1559</v>
      </c>
      <c r="U821" s="462" t="s">
        <v>1560</v>
      </c>
      <c r="V821" s="462" t="s">
        <v>320</v>
      </c>
      <c r="W821" s="462" t="s">
        <v>41</v>
      </c>
    </row>
    <row r="822" ht="72" customHeight="1" spans="1:23">
      <c r="A822" s="464"/>
      <c r="B822" s="462" t="s">
        <v>1225</v>
      </c>
      <c r="C822" s="463" t="s">
        <v>320</v>
      </c>
      <c r="D822" s="463" t="s">
        <v>147</v>
      </c>
      <c r="E822" s="465">
        <f t="shared" ref="E822:G822" si="156">SUM(E823:E834)</f>
        <v>3501</v>
      </c>
      <c r="F822" s="465">
        <f t="shared" si="156"/>
        <v>846</v>
      </c>
      <c r="G822" s="465">
        <f t="shared" si="156"/>
        <v>1016</v>
      </c>
      <c r="H822" s="465">
        <v>2018</v>
      </c>
      <c r="I822" s="465">
        <v>2020</v>
      </c>
      <c r="J822" s="463"/>
      <c r="K822" s="463"/>
      <c r="L822" s="463"/>
      <c r="M822" s="463"/>
      <c r="N822" s="463"/>
      <c r="O822" s="463"/>
      <c r="P822" s="463"/>
      <c r="Q822" s="463"/>
      <c r="R822" s="463"/>
      <c r="S822" s="462" t="str">
        <f t="shared" si="149"/>
        <v>正确</v>
      </c>
      <c r="T822" s="462"/>
      <c r="U822" s="462"/>
      <c r="V822" s="462" t="s">
        <v>294</v>
      </c>
      <c r="W822" s="462" t="s">
        <v>41</v>
      </c>
    </row>
    <row r="823" ht="27.95" customHeight="1" spans="1:23">
      <c r="A823" s="464"/>
      <c r="B823" s="462" t="s">
        <v>1540</v>
      </c>
      <c r="C823" s="463" t="s">
        <v>320</v>
      </c>
      <c r="D823" s="463" t="s">
        <v>147</v>
      </c>
      <c r="E823" s="150">
        <v>446</v>
      </c>
      <c r="F823" s="150">
        <v>87</v>
      </c>
      <c r="G823" s="150">
        <v>124</v>
      </c>
      <c r="H823" s="465">
        <v>2018</v>
      </c>
      <c r="I823" s="465">
        <v>2020</v>
      </c>
      <c r="J823" s="463"/>
      <c r="K823" s="463"/>
      <c r="L823" s="463"/>
      <c r="M823" s="463"/>
      <c r="N823" s="484"/>
      <c r="O823" s="484"/>
      <c r="P823" s="484"/>
      <c r="Q823" s="484"/>
      <c r="R823" s="484"/>
      <c r="S823" s="462" t="str">
        <f t="shared" si="149"/>
        <v>正确</v>
      </c>
      <c r="T823" s="462"/>
      <c r="U823" s="462"/>
      <c r="V823" s="462"/>
      <c r="W823" s="462"/>
    </row>
    <row r="824" ht="27.95" customHeight="1" spans="1:23">
      <c r="A824" s="464"/>
      <c r="B824" s="462" t="s">
        <v>1541</v>
      </c>
      <c r="C824" s="463" t="s">
        <v>320</v>
      </c>
      <c r="D824" s="463" t="s">
        <v>147</v>
      </c>
      <c r="E824" s="150">
        <v>308</v>
      </c>
      <c r="F824" s="150">
        <v>119</v>
      </c>
      <c r="G824" s="150">
        <v>127</v>
      </c>
      <c r="H824" s="465">
        <v>2018</v>
      </c>
      <c r="I824" s="465">
        <v>2020</v>
      </c>
      <c r="J824" s="463"/>
      <c r="K824" s="463"/>
      <c r="L824" s="463"/>
      <c r="M824" s="463"/>
      <c r="N824" s="484"/>
      <c r="O824" s="484"/>
      <c r="P824" s="484"/>
      <c r="Q824" s="484"/>
      <c r="R824" s="484"/>
      <c r="S824" s="462" t="str">
        <f t="shared" si="149"/>
        <v>正确</v>
      </c>
      <c r="T824" s="462"/>
      <c r="U824" s="462"/>
      <c r="V824" s="462"/>
      <c r="W824" s="462"/>
    </row>
    <row r="825" ht="27.95" customHeight="1" spans="1:23">
      <c r="A825" s="464"/>
      <c r="B825" s="462" t="s">
        <v>1542</v>
      </c>
      <c r="C825" s="463" t="s">
        <v>320</v>
      </c>
      <c r="D825" s="463" t="s">
        <v>147</v>
      </c>
      <c r="E825" s="150">
        <v>380</v>
      </c>
      <c r="F825" s="150">
        <v>56</v>
      </c>
      <c r="G825" s="150">
        <v>63</v>
      </c>
      <c r="H825" s="465">
        <v>2018</v>
      </c>
      <c r="I825" s="465">
        <v>2020</v>
      </c>
      <c r="J825" s="463"/>
      <c r="K825" s="463"/>
      <c r="L825" s="463"/>
      <c r="M825" s="463"/>
      <c r="N825" s="484"/>
      <c r="O825" s="484"/>
      <c r="P825" s="484"/>
      <c r="Q825" s="484"/>
      <c r="R825" s="484"/>
      <c r="S825" s="462" t="str">
        <f t="shared" si="149"/>
        <v>正确</v>
      </c>
      <c r="T825" s="462"/>
      <c r="U825" s="462"/>
      <c r="V825" s="462"/>
      <c r="W825" s="462"/>
    </row>
    <row r="826" ht="27.95" customHeight="1" spans="1:23">
      <c r="A826" s="464"/>
      <c r="B826" s="462" t="s">
        <v>1543</v>
      </c>
      <c r="C826" s="463" t="s">
        <v>320</v>
      </c>
      <c r="D826" s="463" t="s">
        <v>147</v>
      </c>
      <c r="E826" s="150">
        <v>197</v>
      </c>
      <c r="F826" s="150">
        <v>26</v>
      </c>
      <c r="G826" s="150">
        <v>31</v>
      </c>
      <c r="H826" s="465">
        <v>2018</v>
      </c>
      <c r="I826" s="465">
        <v>2020</v>
      </c>
      <c r="J826" s="463"/>
      <c r="K826" s="463"/>
      <c r="L826" s="463"/>
      <c r="M826" s="463"/>
      <c r="N826" s="484"/>
      <c r="O826" s="484"/>
      <c r="P826" s="484"/>
      <c r="Q826" s="484"/>
      <c r="R826" s="484"/>
      <c r="S826" s="462" t="str">
        <f t="shared" ref="S826:S840" si="157">IF(J826=SUM(N826:R826),"正确","错误")</f>
        <v>正确</v>
      </c>
      <c r="T826" s="462"/>
      <c r="U826" s="462"/>
      <c r="V826" s="462"/>
      <c r="W826" s="462"/>
    </row>
    <row r="827" ht="27.95" customHeight="1" spans="1:23">
      <c r="A827" s="464"/>
      <c r="B827" s="462" t="s">
        <v>1544</v>
      </c>
      <c r="C827" s="463" t="s">
        <v>320</v>
      </c>
      <c r="D827" s="463" t="s">
        <v>147</v>
      </c>
      <c r="E827" s="150">
        <v>211</v>
      </c>
      <c r="F827" s="150">
        <v>40</v>
      </c>
      <c r="G827" s="150">
        <v>52</v>
      </c>
      <c r="H827" s="465">
        <v>2018</v>
      </c>
      <c r="I827" s="465">
        <v>2020</v>
      </c>
      <c r="J827" s="463"/>
      <c r="K827" s="463"/>
      <c r="L827" s="463"/>
      <c r="M827" s="463"/>
      <c r="N827" s="484"/>
      <c r="O827" s="484"/>
      <c r="P827" s="484"/>
      <c r="Q827" s="484"/>
      <c r="R827" s="484"/>
      <c r="S827" s="462" t="str">
        <f t="shared" si="157"/>
        <v>正确</v>
      </c>
      <c r="T827" s="462"/>
      <c r="U827" s="462"/>
      <c r="V827" s="462"/>
      <c r="W827" s="462"/>
    </row>
    <row r="828" ht="27.95" customHeight="1" spans="1:23">
      <c r="A828" s="464"/>
      <c r="B828" s="462" t="s">
        <v>1545</v>
      </c>
      <c r="C828" s="463" t="s">
        <v>320</v>
      </c>
      <c r="D828" s="463" t="s">
        <v>147</v>
      </c>
      <c r="E828" s="150">
        <v>548</v>
      </c>
      <c r="F828" s="150">
        <v>87</v>
      </c>
      <c r="G828" s="150">
        <v>95</v>
      </c>
      <c r="H828" s="465">
        <v>2018</v>
      </c>
      <c r="I828" s="465">
        <v>2020</v>
      </c>
      <c r="J828" s="463"/>
      <c r="K828" s="463"/>
      <c r="L828" s="463"/>
      <c r="M828" s="463"/>
      <c r="N828" s="484"/>
      <c r="O828" s="484"/>
      <c r="P828" s="484"/>
      <c r="Q828" s="484"/>
      <c r="R828" s="484"/>
      <c r="S828" s="462" t="str">
        <f t="shared" si="157"/>
        <v>正确</v>
      </c>
      <c r="T828" s="462"/>
      <c r="U828" s="462"/>
      <c r="V828" s="462"/>
      <c r="W828" s="462"/>
    </row>
    <row r="829" ht="27.95" customHeight="1" spans="1:23">
      <c r="A829" s="464"/>
      <c r="B829" s="462" t="s">
        <v>1546</v>
      </c>
      <c r="C829" s="463" t="s">
        <v>320</v>
      </c>
      <c r="D829" s="463" t="s">
        <v>147</v>
      </c>
      <c r="E829" s="150">
        <v>114</v>
      </c>
      <c r="F829" s="150">
        <v>88</v>
      </c>
      <c r="G829" s="150">
        <v>114</v>
      </c>
      <c r="H829" s="465">
        <v>2018</v>
      </c>
      <c r="I829" s="465">
        <v>2020</v>
      </c>
      <c r="J829" s="463"/>
      <c r="K829" s="463"/>
      <c r="L829" s="463"/>
      <c r="M829" s="463"/>
      <c r="N829" s="484"/>
      <c r="O829" s="484"/>
      <c r="P829" s="484"/>
      <c r="Q829" s="484"/>
      <c r="R829" s="484"/>
      <c r="S829" s="462" t="str">
        <f t="shared" si="157"/>
        <v>正确</v>
      </c>
      <c r="T829" s="462"/>
      <c r="U829" s="462"/>
      <c r="V829" s="462"/>
      <c r="W829" s="462"/>
    </row>
    <row r="830" ht="27.95" customHeight="1" spans="1:23">
      <c r="A830" s="464"/>
      <c r="B830" s="462" t="s">
        <v>1547</v>
      </c>
      <c r="C830" s="463" t="s">
        <v>320</v>
      </c>
      <c r="D830" s="463" t="s">
        <v>147</v>
      </c>
      <c r="E830" s="150">
        <v>135</v>
      </c>
      <c r="F830" s="150">
        <v>98</v>
      </c>
      <c r="G830" s="150">
        <v>135</v>
      </c>
      <c r="H830" s="465">
        <v>2018</v>
      </c>
      <c r="I830" s="465">
        <v>2020</v>
      </c>
      <c r="J830" s="463"/>
      <c r="K830" s="463"/>
      <c r="L830" s="463"/>
      <c r="M830" s="463"/>
      <c r="N830" s="484"/>
      <c r="O830" s="484"/>
      <c r="P830" s="484"/>
      <c r="Q830" s="484"/>
      <c r="R830" s="484"/>
      <c r="S830" s="462" t="str">
        <f t="shared" si="157"/>
        <v>正确</v>
      </c>
      <c r="T830" s="462"/>
      <c r="U830" s="462"/>
      <c r="V830" s="462"/>
      <c r="W830" s="462"/>
    </row>
    <row r="831" ht="27.95" customHeight="1" spans="1:23">
      <c r="A831" s="464"/>
      <c r="B831" s="462" t="s">
        <v>1548</v>
      </c>
      <c r="C831" s="463" t="s">
        <v>320</v>
      </c>
      <c r="D831" s="463" t="s">
        <v>147</v>
      </c>
      <c r="E831" s="465">
        <v>510</v>
      </c>
      <c r="F831" s="465">
        <v>153</v>
      </c>
      <c r="G831" s="465">
        <v>165</v>
      </c>
      <c r="H831" s="465">
        <v>2018</v>
      </c>
      <c r="I831" s="465">
        <v>2020</v>
      </c>
      <c r="J831" s="463"/>
      <c r="K831" s="463"/>
      <c r="L831" s="463"/>
      <c r="M831" s="463"/>
      <c r="N831" s="484"/>
      <c r="O831" s="484"/>
      <c r="P831" s="484"/>
      <c r="Q831" s="484"/>
      <c r="R831" s="484"/>
      <c r="S831" s="462" t="str">
        <f t="shared" si="157"/>
        <v>正确</v>
      </c>
      <c r="T831" s="462"/>
      <c r="U831" s="462"/>
      <c r="V831" s="462"/>
      <c r="W831" s="462"/>
    </row>
    <row r="832" ht="27.95" customHeight="1" spans="1:23">
      <c r="A832" s="464"/>
      <c r="B832" s="462" t="s">
        <v>1549</v>
      </c>
      <c r="C832" s="463" t="s">
        <v>320</v>
      </c>
      <c r="D832" s="463" t="s">
        <v>147</v>
      </c>
      <c r="E832" s="150">
        <v>372</v>
      </c>
      <c r="F832" s="150">
        <v>50</v>
      </c>
      <c r="G832" s="150">
        <v>58</v>
      </c>
      <c r="H832" s="465">
        <v>2018</v>
      </c>
      <c r="I832" s="465">
        <v>2020</v>
      </c>
      <c r="J832" s="463"/>
      <c r="K832" s="463"/>
      <c r="L832" s="463"/>
      <c r="M832" s="463"/>
      <c r="N832" s="484"/>
      <c r="O832" s="484"/>
      <c r="P832" s="484"/>
      <c r="Q832" s="484"/>
      <c r="R832" s="484"/>
      <c r="S832" s="462" t="str">
        <f t="shared" si="157"/>
        <v>正确</v>
      </c>
      <c r="T832" s="462"/>
      <c r="U832" s="462"/>
      <c r="V832" s="462"/>
      <c r="W832" s="462"/>
    </row>
    <row r="833" ht="27.95" customHeight="1" spans="1:23">
      <c r="A833" s="464"/>
      <c r="B833" s="462" t="s">
        <v>1550</v>
      </c>
      <c r="C833" s="463" t="s">
        <v>320</v>
      </c>
      <c r="D833" s="463" t="s">
        <v>147</v>
      </c>
      <c r="E833" s="150">
        <v>179</v>
      </c>
      <c r="F833" s="150">
        <v>20</v>
      </c>
      <c r="G833" s="150">
        <v>23</v>
      </c>
      <c r="H833" s="465">
        <v>2018</v>
      </c>
      <c r="I833" s="465">
        <v>2020</v>
      </c>
      <c r="J833" s="463"/>
      <c r="K833" s="463"/>
      <c r="L833" s="463"/>
      <c r="M833" s="463"/>
      <c r="N833" s="484"/>
      <c r="O833" s="484"/>
      <c r="P833" s="484"/>
      <c r="Q833" s="484"/>
      <c r="R833" s="484"/>
      <c r="S833" s="462" t="str">
        <f t="shared" si="157"/>
        <v>正确</v>
      </c>
      <c r="T833" s="462"/>
      <c r="U833" s="462"/>
      <c r="V833" s="462"/>
      <c r="W833" s="462"/>
    </row>
    <row r="834" ht="27.95" customHeight="1" spans="1:23">
      <c r="A834" s="464"/>
      <c r="B834" s="462" t="s">
        <v>1551</v>
      </c>
      <c r="C834" s="463" t="s">
        <v>320</v>
      </c>
      <c r="D834" s="463" t="s">
        <v>147</v>
      </c>
      <c r="E834" s="150">
        <v>101</v>
      </c>
      <c r="F834" s="150">
        <v>22</v>
      </c>
      <c r="G834" s="150">
        <v>29</v>
      </c>
      <c r="H834" s="465">
        <v>2018</v>
      </c>
      <c r="I834" s="465">
        <v>2020</v>
      </c>
      <c r="J834" s="463"/>
      <c r="K834" s="463"/>
      <c r="L834" s="463"/>
      <c r="M834" s="463"/>
      <c r="N834" s="484"/>
      <c r="O834" s="484"/>
      <c r="P834" s="484"/>
      <c r="Q834" s="484"/>
      <c r="R834" s="484"/>
      <c r="S834" s="462" t="str">
        <f t="shared" si="157"/>
        <v>正确</v>
      </c>
      <c r="T834" s="462"/>
      <c r="U834" s="462"/>
      <c r="V834" s="462"/>
      <c r="W834" s="462"/>
    </row>
    <row r="835" ht="35.1" customHeight="1" spans="1:23">
      <c r="A835" s="464"/>
      <c r="B835" s="462" t="s">
        <v>570</v>
      </c>
      <c r="C835" s="463"/>
      <c r="D835" s="484"/>
      <c r="E835" s="486">
        <v>9</v>
      </c>
      <c r="F835" s="486">
        <f>F836+F837+F840+F844+F847</f>
        <v>414</v>
      </c>
      <c r="G835" s="486">
        <f>G836+G837+G840+G844+G847</f>
        <v>1533</v>
      </c>
      <c r="H835" s="486">
        <v>2018</v>
      </c>
      <c r="I835" s="486">
        <v>2019</v>
      </c>
      <c r="J835" s="484">
        <f>J836+J837+J840+J844+J847</f>
        <v>935.9</v>
      </c>
      <c r="K835" s="484">
        <f t="shared" ref="K835:L835" si="158">K836+K837+K840+K844+K847</f>
        <v>417</v>
      </c>
      <c r="L835" s="484">
        <f t="shared" si="158"/>
        <v>518.9</v>
      </c>
      <c r="M835" s="484"/>
      <c r="N835" s="484">
        <f t="shared" ref="N835:Q835" si="159">N836+N837+N840+N844+N847</f>
        <v>317</v>
      </c>
      <c r="O835" s="484">
        <f t="shared" si="159"/>
        <v>518.9</v>
      </c>
      <c r="P835" s="484"/>
      <c r="Q835" s="484">
        <f t="shared" si="159"/>
        <v>100</v>
      </c>
      <c r="R835" s="484"/>
      <c r="S835" s="462" t="str">
        <f t="shared" si="157"/>
        <v>正确</v>
      </c>
      <c r="T835" s="487" t="s">
        <v>1624</v>
      </c>
      <c r="U835" s="487" t="s">
        <v>1609</v>
      </c>
      <c r="V835" s="462"/>
      <c r="W835" s="462"/>
    </row>
    <row r="836" ht="40.5" spans="1:23">
      <c r="A836" s="464"/>
      <c r="B836" s="462" t="s">
        <v>1746</v>
      </c>
      <c r="C836" s="463" t="s">
        <v>52</v>
      </c>
      <c r="D836" s="463" t="s">
        <v>492</v>
      </c>
      <c r="E836" s="465" t="s">
        <v>1747</v>
      </c>
      <c r="F836" s="465">
        <v>23</v>
      </c>
      <c r="G836" s="465">
        <v>64</v>
      </c>
      <c r="H836" s="465">
        <v>2018</v>
      </c>
      <c r="I836" s="465">
        <v>2019</v>
      </c>
      <c r="J836" s="463">
        <v>20</v>
      </c>
      <c r="K836" s="463">
        <v>20</v>
      </c>
      <c r="L836" s="463"/>
      <c r="M836" s="463"/>
      <c r="N836" s="463">
        <f>J836</f>
        <v>20</v>
      </c>
      <c r="O836" s="463"/>
      <c r="P836" s="463"/>
      <c r="Q836" s="463"/>
      <c r="R836" s="463"/>
      <c r="S836" s="462" t="str">
        <f t="shared" si="157"/>
        <v>正确</v>
      </c>
      <c r="T836" s="462"/>
      <c r="U836" s="462"/>
      <c r="V836" s="462" t="s">
        <v>1650</v>
      </c>
      <c r="W836" s="462"/>
    </row>
    <row r="837" ht="21" customHeight="1" spans="1:23">
      <c r="A837" s="464"/>
      <c r="B837" s="462" t="s">
        <v>1748</v>
      </c>
      <c r="C837" s="463"/>
      <c r="D837" s="463"/>
      <c r="E837" s="465"/>
      <c r="F837" s="465">
        <f t="shared" ref="F837:J837" si="160">F838+F839</f>
        <v>15</v>
      </c>
      <c r="G837" s="465">
        <f t="shared" si="160"/>
        <v>48</v>
      </c>
      <c r="H837" s="465">
        <v>2018</v>
      </c>
      <c r="I837" s="465">
        <v>2019</v>
      </c>
      <c r="J837" s="463">
        <f t="shared" si="160"/>
        <v>263.9</v>
      </c>
      <c r="K837" s="463"/>
      <c r="L837" s="463">
        <f>L838+L839</f>
        <v>263.9</v>
      </c>
      <c r="M837" s="463"/>
      <c r="N837" s="463"/>
      <c r="O837" s="463">
        <v>263.9</v>
      </c>
      <c r="P837" s="463"/>
      <c r="Q837" s="463"/>
      <c r="R837" s="463"/>
      <c r="S837" s="462" t="str">
        <f t="shared" si="157"/>
        <v>正确</v>
      </c>
      <c r="T837" s="462"/>
      <c r="U837" s="462"/>
      <c r="V837" s="462"/>
      <c r="W837" s="462"/>
    </row>
    <row r="838" ht="40.5" spans="1:24">
      <c r="A838" s="464"/>
      <c r="B838" s="462" t="s">
        <v>1749</v>
      </c>
      <c r="C838" s="463" t="s">
        <v>52</v>
      </c>
      <c r="D838" s="463" t="s">
        <v>492</v>
      </c>
      <c r="E838" s="465" t="s">
        <v>1750</v>
      </c>
      <c r="F838" s="465">
        <v>5</v>
      </c>
      <c r="G838" s="465">
        <v>18</v>
      </c>
      <c r="H838" s="465">
        <v>2018</v>
      </c>
      <c r="I838" s="465">
        <v>2019</v>
      </c>
      <c r="J838" s="463">
        <v>136.5</v>
      </c>
      <c r="K838" s="463"/>
      <c r="L838" s="463">
        <v>136.5</v>
      </c>
      <c r="M838" s="463"/>
      <c r="N838" s="463"/>
      <c r="O838" s="463">
        <v>136.5</v>
      </c>
      <c r="P838" s="463"/>
      <c r="Q838" s="463"/>
      <c r="R838" s="463"/>
      <c r="S838" s="462" t="str">
        <f t="shared" si="157"/>
        <v>正确</v>
      </c>
      <c r="T838" s="462"/>
      <c r="U838" s="462" t="s">
        <v>1751</v>
      </c>
      <c r="V838" s="462" t="s">
        <v>1752</v>
      </c>
      <c r="W838" s="462"/>
      <c r="X838" s="494" t="s">
        <v>1610</v>
      </c>
    </row>
    <row r="839" ht="40.5" spans="1:24">
      <c r="A839" s="464"/>
      <c r="B839" s="462" t="s">
        <v>1753</v>
      </c>
      <c r="C839" s="463" t="s">
        <v>52</v>
      </c>
      <c r="D839" s="463" t="s">
        <v>492</v>
      </c>
      <c r="E839" s="465" t="s">
        <v>1754</v>
      </c>
      <c r="F839" s="465">
        <v>10</v>
      </c>
      <c r="G839" s="465">
        <v>30</v>
      </c>
      <c r="H839" s="465">
        <v>2018</v>
      </c>
      <c r="I839" s="465">
        <v>2019</v>
      </c>
      <c r="J839" s="463">
        <v>127.4</v>
      </c>
      <c r="K839" s="463"/>
      <c r="L839" s="463">
        <v>127.4</v>
      </c>
      <c r="M839" s="463"/>
      <c r="N839" s="463"/>
      <c r="O839" s="463">
        <v>127.4</v>
      </c>
      <c r="P839" s="463"/>
      <c r="Q839" s="463"/>
      <c r="R839" s="463"/>
      <c r="S839" s="462" t="str">
        <f t="shared" si="157"/>
        <v>正确</v>
      </c>
      <c r="T839" s="462"/>
      <c r="U839" s="462" t="s">
        <v>1751</v>
      </c>
      <c r="V839" s="462" t="s">
        <v>1752</v>
      </c>
      <c r="W839" s="462"/>
      <c r="X839" s="494" t="s">
        <v>1610</v>
      </c>
    </row>
    <row r="840" ht="20.1" customHeight="1" spans="1:23">
      <c r="A840" s="464"/>
      <c r="B840" s="462" t="s">
        <v>1755</v>
      </c>
      <c r="C840" s="463"/>
      <c r="D840" s="463"/>
      <c r="E840" s="465"/>
      <c r="F840" s="465">
        <f>F842+F843</f>
        <v>49</v>
      </c>
      <c r="G840" s="465">
        <f>G842+G843</f>
        <v>183</v>
      </c>
      <c r="H840" s="465">
        <v>2018</v>
      </c>
      <c r="I840" s="465">
        <v>2019</v>
      </c>
      <c r="J840" s="463">
        <f>K840+L840+M840</f>
        <v>73</v>
      </c>
      <c r="K840" s="463">
        <f t="shared" ref="K840:O840" si="161">SUM(K841:K843)</f>
        <v>68</v>
      </c>
      <c r="L840" s="463">
        <f t="shared" si="161"/>
        <v>5</v>
      </c>
      <c r="M840" s="463"/>
      <c r="N840" s="463">
        <f t="shared" si="161"/>
        <v>68</v>
      </c>
      <c r="O840" s="463">
        <f t="shared" si="161"/>
        <v>5</v>
      </c>
      <c r="P840" s="463"/>
      <c r="Q840" s="463"/>
      <c r="R840" s="463"/>
      <c r="S840" s="462" t="str">
        <f t="shared" si="157"/>
        <v>正确</v>
      </c>
      <c r="T840" s="462"/>
      <c r="U840" s="462"/>
      <c r="V840" s="462"/>
      <c r="W840" s="462"/>
    </row>
    <row r="841" ht="54" customHeight="1" spans="1:24">
      <c r="A841" s="464"/>
      <c r="B841" s="462" t="s">
        <v>1756</v>
      </c>
      <c r="C841" s="463" t="s">
        <v>52</v>
      </c>
      <c r="D841" s="463"/>
      <c r="E841" s="463" t="s">
        <v>1757</v>
      </c>
      <c r="F841" s="465">
        <v>9</v>
      </c>
      <c r="G841" s="465">
        <v>37</v>
      </c>
      <c r="H841" s="465">
        <v>2019</v>
      </c>
      <c r="I841" s="465">
        <v>2019</v>
      </c>
      <c r="J841" s="463">
        <v>5</v>
      </c>
      <c r="K841" s="463"/>
      <c r="L841" s="463">
        <v>5</v>
      </c>
      <c r="M841" s="463"/>
      <c r="N841" s="463"/>
      <c r="O841" s="463">
        <v>5</v>
      </c>
      <c r="P841" s="463"/>
      <c r="Q841" s="463"/>
      <c r="R841" s="463"/>
      <c r="S841" s="462"/>
      <c r="T841" s="462"/>
      <c r="U841" s="462"/>
      <c r="V841" s="462"/>
      <c r="W841" s="462" t="s">
        <v>1695</v>
      </c>
      <c r="X841" s="494" t="s">
        <v>1610</v>
      </c>
    </row>
    <row r="842" ht="39.95" customHeight="1" spans="1:23">
      <c r="A842" s="464"/>
      <c r="B842" s="462" t="s">
        <v>1758</v>
      </c>
      <c r="C842" s="463" t="s">
        <v>52</v>
      </c>
      <c r="D842" s="484"/>
      <c r="E842" s="465" t="s">
        <v>1759</v>
      </c>
      <c r="F842" s="486">
        <v>7</v>
      </c>
      <c r="G842" s="486">
        <v>23</v>
      </c>
      <c r="H842" s="486">
        <v>2018</v>
      </c>
      <c r="I842" s="486">
        <v>2018</v>
      </c>
      <c r="J842" s="463">
        <v>35</v>
      </c>
      <c r="K842" s="463">
        <v>35</v>
      </c>
      <c r="L842" s="463"/>
      <c r="M842" s="463"/>
      <c r="N842" s="463">
        <f t="shared" ref="N842:N845" si="162">J842</f>
        <v>35</v>
      </c>
      <c r="O842" s="484"/>
      <c r="P842" s="484"/>
      <c r="Q842" s="484"/>
      <c r="R842" s="484"/>
      <c r="S842" s="462" t="str">
        <f t="shared" ref="S842:S890" si="163">IF(J842=SUM(N842:R842),"正确","错误")</f>
        <v>正确</v>
      </c>
      <c r="T842" s="487"/>
      <c r="U842" s="487"/>
      <c r="V842" s="462"/>
      <c r="W842" s="462"/>
    </row>
    <row r="843" ht="39" customHeight="1" spans="1:23">
      <c r="A843" s="464"/>
      <c r="B843" s="462" t="s">
        <v>1760</v>
      </c>
      <c r="C843" s="463" t="s">
        <v>52</v>
      </c>
      <c r="D843" s="484"/>
      <c r="E843" s="465" t="s">
        <v>1761</v>
      </c>
      <c r="F843" s="486">
        <v>42</v>
      </c>
      <c r="G843" s="486">
        <v>160</v>
      </c>
      <c r="H843" s="486">
        <v>2018</v>
      </c>
      <c r="I843" s="486">
        <v>2018</v>
      </c>
      <c r="J843" s="463">
        <v>33</v>
      </c>
      <c r="K843" s="463">
        <v>33</v>
      </c>
      <c r="L843" s="463"/>
      <c r="M843" s="463"/>
      <c r="N843" s="463">
        <f t="shared" si="162"/>
        <v>33</v>
      </c>
      <c r="O843" s="484"/>
      <c r="P843" s="484"/>
      <c r="Q843" s="484"/>
      <c r="R843" s="484"/>
      <c r="S843" s="462" t="str">
        <f t="shared" si="163"/>
        <v>正确</v>
      </c>
      <c r="T843" s="487"/>
      <c r="U843" s="487"/>
      <c r="V843" s="462"/>
      <c r="W843" s="462"/>
    </row>
    <row r="844" ht="24" customHeight="1" spans="1:23">
      <c r="A844" s="464"/>
      <c r="B844" s="462" t="s">
        <v>1762</v>
      </c>
      <c r="C844" s="463"/>
      <c r="D844" s="484"/>
      <c r="E844" s="465"/>
      <c r="F844" s="486">
        <f>F845+F846</f>
        <v>285</v>
      </c>
      <c r="G844" s="486">
        <f>G845+G846</f>
        <v>1078</v>
      </c>
      <c r="H844" s="486">
        <v>2018</v>
      </c>
      <c r="I844" s="486">
        <v>2018</v>
      </c>
      <c r="J844" s="484">
        <f>K844+L844+M844</f>
        <v>479</v>
      </c>
      <c r="K844" s="484">
        <f t="shared" ref="K844:O844" si="164">SUM(K845:K846)</f>
        <v>229</v>
      </c>
      <c r="L844" s="484">
        <f t="shared" si="164"/>
        <v>250</v>
      </c>
      <c r="M844" s="484"/>
      <c r="N844" s="484">
        <f t="shared" si="164"/>
        <v>229</v>
      </c>
      <c r="O844" s="484">
        <f t="shared" si="164"/>
        <v>250</v>
      </c>
      <c r="P844" s="484"/>
      <c r="Q844" s="484"/>
      <c r="R844" s="484"/>
      <c r="S844" s="462"/>
      <c r="T844" s="487"/>
      <c r="U844" s="487"/>
      <c r="V844" s="462"/>
      <c r="W844" s="462"/>
    </row>
    <row r="845" ht="27" spans="1:23">
      <c r="A845" s="464"/>
      <c r="B845" s="462" t="s">
        <v>1763</v>
      </c>
      <c r="C845" s="463" t="s">
        <v>52</v>
      </c>
      <c r="D845" s="484"/>
      <c r="E845" s="465" t="s">
        <v>1764</v>
      </c>
      <c r="F845" s="486">
        <v>252</v>
      </c>
      <c r="G845" s="486">
        <v>968</v>
      </c>
      <c r="H845" s="486">
        <v>2018</v>
      </c>
      <c r="I845" s="486">
        <v>2018</v>
      </c>
      <c r="J845" s="463">
        <v>179</v>
      </c>
      <c r="K845" s="463">
        <v>179</v>
      </c>
      <c r="L845" s="463"/>
      <c r="M845" s="463"/>
      <c r="N845" s="463">
        <f t="shared" si="162"/>
        <v>179</v>
      </c>
      <c r="O845" s="484"/>
      <c r="P845" s="484"/>
      <c r="Q845" s="484"/>
      <c r="R845" s="484"/>
      <c r="S845" s="462" t="str">
        <f t="shared" si="163"/>
        <v>正确</v>
      </c>
      <c r="T845" s="487"/>
      <c r="U845" s="487"/>
      <c r="V845" s="462"/>
      <c r="W845" s="462"/>
    </row>
    <row r="846" ht="81" spans="1:24">
      <c r="A846" s="464"/>
      <c r="B846" s="462" t="s">
        <v>1765</v>
      </c>
      <c r="C846" s="463" t="s">
        <v>52</v>
      </c>
      <c r="D846" s="484"/>
      <c r="E846" s="465" t="s">
        <v>1766</v>
      </c>
      <c r="F846" s="486">
        <v>33</v>
      </c>
      <c r="G846" s="486">
        <v>110</v>
      </c>
      <c r="H846" s="486">
        <v>2018</v>
      </c>
      <c r="I846" s="486">
        <v>2018</v>
      </c>
      <c r="J846" s="463">
        <v>300</v>
      </c>
      <c r="K846" s="463">
        <v>50</v>
      </c>
      <c r="L846" s="463">
        <v>250</v>
      </c>
      <c r="M846" s="463"/>
      <c r="N846" s="463">
        <v>50</v>
      </c>
      <c r="O846" s="484">
        <v>250</v>
      </c>
      <c r="P846" s="484"/>
      <c r="Q846" s="484"/>
      <c r="R846" s="484"/>
      <c r="S846" s="462" t="str">
        <f t="shared" si="163"/>
        <v>正确</v>
      </c>
      <c r="T846" s="487"/>
      <c r="U846" s="487"/>
      <c r="V846" s="462"/>
      <c r="W846" s="462" t="s">
        <v>1767</v>
      </c>
      <c r="X846" s="494" t="s">
        <v>1610</v>
      </c>
    </row>
    <row r="847" ht="27" spans="1:23">
      <c r="A847" s="464"/>
      <c r="B847" s="462" t="s">
        <v>1768</v>
      </c>
      <c r="C847" s="463" t="s">
        <v>52</v>
      </c>
      <c r="D847" s="484"/>
      <c r="E847" s="465" t="s">
        <v>1769</v>
      </c>
      <c r="F847" s="486">
        <v>42</v>
      </c>
      <c r="G847" s="486">
        <v>160</v>
      </c>
      <c r="H847" s="486">
        <v>2018</v>
      </c>
      <c r="I847" s="486">
        <v>2018</v>
      </c>
      <c r="J847" s="463">
        <v>100</v>
      </c>
      <c r="K847" s="463">
        <v>100</v>
      </c>
      <c r="L847" s="463"/>
      <c r="M847" s="463"/>
      <c r="N847" s="463"/>
      <c r="O847" s="484"/>
      <c r="P847" s="484"/>
      <c r="Q847" s="484">
        <v>100</v>
      </c>
      <c r="R847" s="484"/>
      <c r="S847" s="462" t="str">
        <f t="shared" si="163"/>
        <v>正确</v>
      </c>
      <c r="T847" s="487" t="s">
        <v>1624</v>
      </c>
      <c r="U847" s="487" t="s">
        <v>1609</v>
      </c>
      <c r="V847" s="462"/>
      <c r="W847" s="462"/>
    </row>
    <row r="848" ht="53.25" customHeight="1" spans="1:23">
      <c r="A848" s="464">
        <v>74</v>
      </c>
      <c r="B848" s="462" t="s">
        <v>1048</v>
      </c>
      <c r="C848" s="463"/>
      <c r="D848" s="463"/>
      <c r="E848" s="465"/>
      <c r="F848" s="465">
        <f t="shared" ref="F848:L848" si="165">F849+F895</f>
        <v>2227</v>
      </c>
      <c r="G848" s="465">
        <f t="shared" si="165"/>
        <v>8387</v>
      </c>
      <c r="H848" s="465">
        <v>2018</v>
      </c>
      <c r="I848" s="465">
        <v>2019</v>
      </c>
      <c r="J848" s="463">
        <f>K848+L848+M848</f>
        <v>2050</v>
      </c>
      <c r="K848" s="463">
        <f t="shared" si="165"/>
        <v>710</v>
      </c>
      <c r="L848" s="463">
        <f t="shared" si="165"/>
        <v>1340</v>
      </c>
      <c r="M848" s="463"/>
      <c r="N848" s="463"/>
      <c r="O848" s="463">
        <f t="shared" ref="O848:R848" si="166">O849+O895</f>
        <v>2010</v>
      </c>
      <c r="P848" s="463">
        <f t="shared" si="166"/>
        <v>40</v>
      </c>
      <c r="Q848" s="463">
        <f t="shared" si="166"/>
        <v>0</v>
      </c>
      <c r="R848" s="463">
        <f t="shared" si="166"/>
        <v>0</v>
      </c>
      <c r="S848" s="462" t="str">
        <f t="shared" si="163"/>
        <v>正确</v>
      </c>
      <c r="T848" s="462"/>
      <c r="U848" s="462"/>
      <c r="V848" s="462"/>
      <c r="W848" s="462" t="s">
        <v>41</v>
      </c>
    </row>
    <row r="849" ht="23.25" customHeight="1" spans="1:23">
      <c r="A849" s="464">
        <v>75</v>
      </c>
      <c r="B849" s="485" t="s">
        <v>1049</v>
      </c>
      <c r="C849" s="463" t="s">
        <v>320</v>
      </c>
      <c r="D849" s="463" t="s">
        <v>320</v>
      </c>
      <c r="E849" s="465">
        <f t="shared" ref="E849:G849" si="167">E850+E876</f>
        <v>13</v>
      </c>
      <c r="F849" s="465">
        <f t="shared" si="167"/>
        <v>2019</v>
      </c>
      <c r="G849" s="465">
        <f t="shared" si="167"/>
        <v>7660</v>
      </c>
      <c r="H849" s="465">
        <v>2018</v>
      </c>
      <c r="I849" s="465">
        <v>2019</v>
      </c>
      <c r="J849" s="463">
        <f t="shared" ref="J849:L849" si="168">J850+J863+J876</f>
        <v>2010</v>
      </c>
      <c r="K849" s="463">
        <f t="shared" si="168"/>
        <v>670</v>
      </c>
      <c r="L849" s="463">
        <f t="shared" si="168"/>
        <v>1340</v>
      </c>
      <c r="M849" s="463"/>
      <c r="N849" s="463"/>
      <c r="O849" s="463">
        <f>O850+O863+O876</f>
        <v>2010</v>
      </c>
      <c r="P849" s="463"/>
      <c r="Q849" s="463"/>
      <c r="R849" s="463"/>
      <c r="S849" s="462" t="str">
        <f t="shared" si="163"/>
        <v>正确</v>
      </c>
      <c r="T849" s="462"/>
      <c r="U849" s="462"/>
      <c r="V849" s="462" t="s">
        <v>320</v>
      </c>
      <c r="W849" s="462" t="s">
        <v>41</v>
      </c>
    </row>
    <row r="850" ht="23.25" customHeight="1" spans="1:23">
      <c r="A850" s="464">
        <v>76</v>
      </c>
      <c r="B850" s="462" t="s">
        <v>1237</v>
      </c>
      <c r="C850" s="463" t="s">
        <v>52</v>
      </c>
      <c r="D850" s="463" t="s">
        <v>202</v>
      </c>
      <c r="E850" s="465"/>
      <c r="F850" s="465"/>
      <c r="G850" s="465"/>
      <c r="H850" s="465"/>
      <c r="I850" s="465"/>
      <c r="J850" s="463"/>
      <c r="K850" s="463"/>
      <c r="L850" s="463"/>
      <c r="M850" s="463"/>
      <c r="N850" s="484"/>
      <c r="O850" s="484"/>
      <c r="P850" s="484"/>
      <c r="Q850" s="484"/>
      <c r="R850" s="484"/>
      <c r="S850" s="462" t="str">
        <f t="shared" si="163"/>
        <v>正确</v>
      </c>
      <c r="T850" s="462"/>
      <c r="U850" s="462"/>
      <c r="V850" s="462" t="s">
        <v>497</v>
      </c>
      <c r="W850" s="462" t="s">
        <v>41</v>
      </c>
    </row>
    <row r="851" ht="23.25" customHeight="1" spans="1:23">
      <c r="A851" s="464"/>
      <c r="B851" s="462" t="s">
        <v>1540</v>
      </c>
      <c r="C851" s="463" t="s">
        <v>52</v>
      </c>
      <c r="D851" s="463" t="s">
        <v>202</v>
      </c>
      <c r="E851" s="465"/>
      <c r="F851" s="465"/>
      <c r="G851" s="465"/>
      <c r="H851" s="465"/>
      <c r="I851" s="465"/>
      <c r="J851" s="463"/>
      <c r="K851" s="463"/>
      <c r="L851" s="463"/>
      <c r="M851" s="463"/>
      <c r="N851" s="484"/>
      <c r="O851" s="484"/>
      <c r="P851" s="484"/>
      <c r="Q851" s="484"/>
      <c r="R851" s="484"/>
      <c r="S851" s="462" t="str">
        <f t="shared" si="163"/>
        <v>正确</v>
      </c>
      <c r="T851" s="462"/>
      <c r="U851" s="462"/>
      <c r="V851" s="462"/>
      <c r="W851" s="462"/>
    </row>
    <row r="852" ht="23.25" customHeight="1" spans="1:23">
      <c r="A852" s="464"/>
      <c r="B852" s="462" t="s">
        <v>1541</v>
      </c>
      <c r="C852" s="463" t="s">
        <v>52</v>
      </c>
      <c r="D852" s="463" t="s">
        <v>202</v>
      </c>
      <c r="E852" s="465"/>
      <c r="F852" s="465"/>
      <c r="G852" s="465"/>
      <c r="H852" s="465"/>
      <c r="I852" s="465"/>
      <c r="J852" s="463"/>
      <c r="K852" s="463"/>
      <c r="L852" s="463"/>
      <c r="M852" s="463"/>
      <c r="N852" s="484"/>
      <c r="O852" s="484"/>
      <c r="P852" s="484"/>
      <c r="Q852" s="484"/>
      <c r="R852" s="484"/>
      <c r="S852" s="462" t="str">
        <f t="shared" si="163"/>
        <v>正确</v>
      </c>
      <c r="T852" s="462"/>
      <c r="U852" s="462"/>
      <c r="V852" s="462"/>
      <c r="W852" s="462"/>
    </row>
    <row r="853" ht="23.25" customHeight="1" spans="1:23">
      <c r="A853" s="464"/>
      <c r="B853" s="462" t="s">
        <v>1542</v>
      </c>
      <c r="C853" s="463" t="s">
        <v>52</v>
      </c>
      <c r="D853" s="463" t="s">
        <v>202</v>
      </c>
      <c r="E853" s="465"/>
      <c r="F853" s="465"/>
      <c r="G853" s="465"/>
      <c r="H853" s="465"/>
      <c r="I853" s="465"/>
      <c r="J853" s="463"/>
      <c r="K853" s="463"/>
      <c r="L853" s="463"/>
      <c r="M853" s="463"/>
      <c r="N853" s="484"/>
      <c r="O853" s="484"/>
      <c r="P853" s="484"/>
      <c r="Q853" s="484"/>
      <c r="R853" s="484"/>
      <c r="S853" s="462" t="str">
        <f t="shared" si="163"/>
        <v>正确</v>
      </c>
      <c r="T853" s="462"/>
      <c r="U853" s="462"/>
      <c r="V853" s="462"/>
      <c r="W853" s="462"/>
    </row>
    <row r="854" ht="23.25" customHeight="1" spans="1:23">
      <c r="A854" s="464"/>
      <c r="B854" s="462" t="s">
        <v>1543</v>
      </c>
      <c r="C854" s="463" t="s">
        <v>52</v>
      </c>
      <c r="D854" s="463" t="s">
        <v>202</v>
      </c>
      <c r="E854" s="465"/>
      <c r="F854" s="465"/>
      <c r="G854" s="465"/>
      <c r="H854" s="465"/>
      <c r="I854" s="465"/>
      <c r="J854" s="463"/>
      <c r="K854" s="463"/>
      <c r="L854" s="463"/>
      <c r="M854" s="463"/>
      <c r="N854" s="484"/>
      <c r="O854" s="484"/>
      <c r="P854" s="484"/>
      <c r="Q854" s="484"/>
      <c r="R854" s="484"/>
      <c r="S854" s="462" t="str">
        <f t="shared" si="163"/>
        <v>正确</v>
      </c>
      <c r="T854" s="462"/>
      <c r="U854" s="462"/>
      <c r="V854" s="462"/>
      <c r="W854" s="462"/>
    </row>
    <row r="855" ht="23.25" customHeight="1" spans="1:23">
      <c r="A855" s="464"/>
      <c r="B855" s="462" t="s">
        <v>1544</v>
      </c>
      <c r="C855" s="463" t="s">
        <v>52</v>
      </c>
      <c r="D855" s="463" t="s">
        <v>202</v>
      </c>
      <c r="E855" s="465"/>
      <c r="F855" s="465"/>
      <c r="G855" s="465"/>
      <c r="H855" s="465"/>
      <c r="I855" s="465"/>
      <c r="J855" s="463"/>
      <c r="K855" s="463"/>
      <c r="L855" s="463"/>
      <c r="M855" s="463"/>
      <c r="N855" s="484"/>
      <c r="O855" s="484"/>
      <c r="P855" s="484"/>
      <c r="Q855" s="484"/>
      <c r="R855" s="484"/>
      <c r="S855" s="462" t="str">
        <f t="shared" si="163"/>
        <v>正确</v>
      </c>
      <c r="T855" s="462"/>
      <c r="U855" s="462"/>
      <c r="V855" s="462"/>
      <c r="W855" s="462"/>
    </row>
    <row r="856" ht="23.25" customHeight="1" spans="1:23">
      <c r="A856" s="464"/>
      <c r="B856" s="462" t="s">
        <v>1545</v>
      </c>
      <c r="C856" s="463" t="s">
        <v>52</v>
      </c>
      <c r="D856" s="463" t="s">
        <v>202</v>
      </c>
      <c r="E856" s="465"/>
      <c r="F856" s="465"/>
      <c r="G856" s="465"/>
      <c r="H856" s="465"/>
      <c r="I856" s="465"/>
      <c r="J856" s="463"/>
      <c r="K856" s="463"/>
      <c r="L856" s="463"/>
      <c r="M856" s="463"/>
      <c r="N856" s="484"/>
      <c r="O856" s="484"/>
      <c r="P856" s="484"/>
      <c r="Q856" s="484"/>
      <c r="R856" s="484"/>
      <c r="S856" s="462" t="str">
        <f t="shared" si="163"/>
        <v>正确</v>
      </c>
      <c r="T856" s="462"/>
      <c r="U856" s="462"/>
      <c r="V856" s="462"/>
      <c r="W856" s="462"/>
    </row>
    <row r="857" ht="23.25" customHeight="1" spans="1:23">
      <c r="A857" s="464"/>
      <c r="B857" s="462" t="s">
        <v>1546</v>
      </c>
      <c r="C857" s="463" t="s">
        <v>52</v>
      </c>
      <c r="D857" s="463" t="s">
        <v>202</v>
      </c>
      <c r="E857" s="465"/>
      <c r="F857" s="465"/>
      <c r="G857" s="465"/>
      <c r="H857" s="465"/>
      <c r="I857" s="465"/>
      <c r="J857" s="463"/>
      <c r="K857" s="463"/>
      <c r="L857" s="463"/>
      <c r="M857" s="463"/>
      <c r="N857" s="484"/>
      <c r="O857" s="484"/>
      <c r="P857" s="484"/>
      <c r="Q857" s="484"/>
      <c r="R857" s="484"/>
      <c r="S857" s="462" t="str">
        <f t="shared" si="163"/>
        <v>正确</v>
      </c>
      <c r="T857" s="462"/>
      <c r="U857" s="462"/>
      <c r="V857" s="462"/>
      <c r="W857" s="462"/>
    </row>
    <row r="858" ht="23.25" customHeight="1" spans="1:23">
      <c r="A858" s="464"/>
      <c r="B858" s="462" t="s">
        <v>1547</v>
      </c>
      <c r="C858" s="463" t="s">
        <v>52</v>
      </c>
      <c r="D858" s="463" t="s">
        <v>202</v>
      </c>
      <c r="E858" s="465"/>
      <c r="F858" s="465"/>
      <c r="G858" s="465"/>
      <c r="H858" s="465"/>
      <c r="I858" s="465"/>
      <c r="J858" s="463"/>
      <c r="K858" s="463"/>
      <c r="L858" s="463"/>
      <c r="M858" s="463"/>
      <c r="N858" s="484"/>
      <c r="O858" s="484"/>
      <c r="P858" s="484"/>
      <c r="Q858" s="484"/>
      <c r="R858" s="484"/>
      <c r="S858" s="462" t="str">
        <f t="shared" si="163"/>
        <v>正确</v>
      </c>
      <c r="T858" s="462"/>
      <c r="U858" s="462"/>
      <c r="V858" s="462"/>
      <c r="W858" s="462"/>
    </row>
    <row r="859" ht="23.25" customHeight="1" spans="1:23">
      <c r="A859" s="464"/>
      <c r="B859" s="462" t="s">
        <v>1548</v>
      </c>
      <c r="C859" s="463" t="s">
        <v>52</v>
      </c>
      <c r="D859" s="463" t="s">
        <v>202</v>
      </c>
      <c r="E859" s="465"/>
      <c r="F859" s="465"/>
      <c r="G859" s="465"/>
      <c r="H859" s="465"/>
      <c r="I859" s="465"/>
      <c r="J859" s="463"/>
      <c r="K859" s="463"/>
      <c r="L859" s="463"/>
      <c r="M859" s="463"/>
      <c r="N859" s="484"/>
      <c r="O859" s="484"/>
      <c r="P859" s="484"/>
      <c r="Q859" s="484"/>
      <c r="R859" s="484"/>
      <c r="S859" s="462" t="str">
        <f t="shared" si="163"/>
        <v>正确</v>
      </c>
      <c r="T859" s="462"/>
      <c r="U859" s="462"/>
      <c r="V859" s="462"/>
      <c r="W859" s="462"/>
    </row>
    <row r="860" ht="23.25" customHeight="1" spans="1:23">
      <c r="A860" s="464"/>
      <c r="B860" s="462" t="s">
        <v>1549</v>
      </c>
      <c r="C860" s="463" t="s">
        <v>52</v>
      </c>
      <c r="D860" s="463" t="s">
        <v>202</v>
      </c>
      <c r="E860" s="465"/>
      <c r="F860" s="465"/>
      <c r="G860" s="465"/>
      <c r="H860" s="465"/>
      <c r="I860" s="465"/>
      <c r="J860" s="463"/>
      <c r="K860" s="463"/>
      <c r="L860" s="463"/>
      <c r="M860" s="463"/>
      <c r="N860" s="484"/>
      <c r="O860" s="484"/>
      <c r="P860" s="484"/>
      <c r="Q860" s="484"/>
      <c r="R860" s="484"/>
      <c r="S860" s="462" t="str">
        <f t="shared" si="163"/>
        <v>正确</v>
      </c>
      <c r="T860" s="462"/>
      <c r="U860" s="462"/>
      <c r="V860" s="462"/>
      <c r="W860" s="462"/>
    </row>
    <row r="861" ht="23.25" customHeight="1" spans="1:23">
      <c r="A861" s="464"/>
      <c r="B861" s="462" t="s">
        <v>1550</v>
      </c>
      <c r="C861" s="463" t="s">
        <v>52</v>
      </c>
      <c r="D861" s="463" t="s">
        <v>202</v>
      </c>
      <c r="E861" s="465"/>
      <c r="F861" s="465"/>
      <c r="G861" s="465"/>
      <c r="H861" s="465"/>
      <c r="I861" s="465"/>
      <c r="J861" s="463"/>
      <c r="K861" s="463"/>
      <c r="L861" s="463"/>
      <c r="M861" s="463"/>
      <c r="N861" s="484"/>
      <c r="O861" s="484"/>
      <c r="P861" s="484"/>
      <c r="Q861" s="484"/>
      <c r="R861" s="484"/>
      <c r="S861" s="462" t="str">
        <f t="shared" si="163"/>
        <v>正确</v>
      </c>
      <c r="T861" s="462"/>
      <c r="U861" s="462"/>
      <c r="V861" s="462"/>
      <c r="W861" s="462"/>
    </row>
    <row r="862" ht="23.25" customHeight="1" spans="1:23">
      <c r="A862" s="464"/>
      <c r="B862" s="462" t="s">
        <v>1551</v>
      </c>
      <c r="C862" s="463" t="s">
        <v>52</v>
      </c>
      <c r="D862" s="463" t="s">
        <v>202</v>
      </c>
      <c r="E862" s="465"/>
      <c r="F862" s="465"/>
      <c r="G862" s="465"/>
      <c r="H862" s="465"/>
      <c r="I862" s="465"/>
      <c r="J862" s="463"/>
      <c r="K862" s="463"/>
      <c r="L862" s="463"/>
      <c r="M862" s="463"/>
      <c r="N862" s="484"/>
      <c r="O862" s="484"/>
      <c r="P862" s="484"/>
      <c r="Q862" s="484"/>
      <c r="R862" s="484"/>
      <c r="S862" s="462" t="str">
        <f t="shared" si="163"/>
        <v>正确</v>
      </c>
      <c r="T862" s="462"/>
      <c r="U862" s="462"/>
      <c r="V862" s="462"/>
      <c r="W862" s="462"/>
    </row>
    <row r="863" ht="23.25" customHeight="1" spans="1:23">
      <c r="A863" s="464">
        <v>77</v>
      </c>
      <c r="B863" s="462" t="s">
        <v>1238</v>
      </c>
      <c r="C863" s="463" t="s">
        <v>320</v>
      </c>
      <c r="D863" s="463" t="s">
        <v>320</v>
      </c>
      <c r="E863" s="465"/>
      <c r="F863" s="465"/>
      <c r="G863" s="465"/>
      <c r="H863" s="465"/>
      <c r="I863" s="465"/>
      <c r="J863" s="463"/>
      <c r="K863" s="463"/>
      <c r="L863" s="463"/>
      <c r="M863" s="463"/>
      <c r="N863" s="484"/>
      <c r="O863" s="484"/>
      <c r="P863" s="484"/>
      <c r="Q863" s="484"/>
      <c r="R863" s="484"/>
      <c r="S863" s="462" t="str">
        <f t="shared" si="163"/>
        <v>正确</v>
      </c>
      <c r="T863" s="462"/>
      <c r="U863" s="462"/>
      <c r="V863" s="462" t="s">
        <v>160</v>
      </c>
      <c r="W863" s="462" t="s">
        <v>41</v>
      </c>
    </row>
    <row r="864" ht="23.25" customHeight="1" spans="1:23">
      <c r="A864" s="464"/>
      <c r="B864" s="462" t="s">
        <v>1540</v>
      </c>
      <c r="C864" s="463" t="s">
        <v>320</v>
      </c>
      <c r="D864" s="463" t="s">
        <v>320</v>
      </c>
      <c r="E864" s="465"/>
      <c r="F864" s="465"/>
      <c r="G864" s="465"/>
      <c r="H864" s="465"/>
      <c r="I864" s="465"/>
      <c r="J864" s="463"/>
      <c r="K864" s="463"/>
      <c r="L864" s="463"/>
      <c r="M864" s="463"/>
      <c r="N864" s="484"/>
      <c r="O864" s="484"/>
      <c r="P864" s="484"/>
      <c r="Q864" s="484"/>
      <c r="R864" s="484"/>
      <c r="S864" s="462" t="str">
        <f t="shared" si="163"/>
        <v>正确</v>
      </c>
      <c r="T864" s="462"/>
      <c r="U864" s="462"/>
      <c r="V864" s="462"/>
      <c r="W864" s="462"/>
    </row>
    <row r="865" ht="23.25" customHeight="1" spans="1:23">
      <c r="A865" s="464"/>
      <c r="B865" s="462" t="s">
        <v>1541</v>
      </c>
      <c r="C865" s="463" t="s">
        <v>320</v>
      </c>
      <c r="D865" s="463" t="s">
        <v>320</v>
      </c>
      <c r="E865" s="465"/>
      <c r="F865" s="465"/>
      <c r="G865" s="465"/>
      <c r="H865" s="465"/>
      <c r="I865" s="465"/>
      <c r="J865" s="463"/>
      <c r="K865" s="463"/>
      <c r="L865" s="463"/>
      <c r="M865" s="463"/>
      <c r="N865" s="484"/>
      <c r="O865" s="484"/>
      <c r="P865" s="484"/>
      <c r="Q865" s="484"/>
      <c r="R865" s="484"/>
      <c r="S865" s="462" t="str">
        <f t="shared" si="163"/>
        <v>正确</v>
      </c>
      <c r="T865" s="462"/>
      <c r="U865" s="462"/>
      <c r="V865" s="462"/>
      <c r="W865" s="462"/>
    </row>
    <row r="866" ht="23.25" customHeight="1" spans="1:23">
      <c r="A866" s="464"/>
      <c r="B866" s="462" t="s">
        <v>1542</v>
      </c>
      <c r="C866" s="463" t="s">
        <v>320</v>
      </c>
      <c r="D866" s="463" t="s">
        <v>320</v>
      </c>
      <c r="E866" s="465"/>
      <c r="F866" s="465"/>
      <c r="G866" s="465"/>
      <c r="H866" s="465"/>
      <c r="I866" s="465"/>
      <c r="J866" s="463"/>
      <c r="K866" s="463"/>
      <c r="L866" s="463"/>
      <c r="M866" s="463"/>
      <c r="N866" s="484"/>
      <c r="O866" s="484"/>
      <c r="P866" s="484"/>
      <c r="Q866" s="484"/>
      <c r="R866" s="484"/>
      <c r="S866" s="462" t="str">
        <f t="shared" si="163"/>
        <v>正确</v>
      </c>
      <c r="T866" s="462"/>
      <c r="U866" s="462"/>
      <c r="V866" s="462"/>
      <c r="W866" s="462"/>
    </row>
    <row r="867" ht="23.25" customHeight="1" spans="1:23">
      <c r="A867" s="464"/>
      <c r="B867" s="462" t="s">
        <v>1543</v>
      </c>
      <c r="C867" s="463" t="s">
        <v>320</v>
      </c>
      <c r="D867" s="463" t="s">
        <v>320</v>
      </c>
      <c r="E867" s="465"/>
      <c r="F867" s="465"/>
      <c r="G867" s="465"/>
      <c r="H867" s="465"/>
      <c r="I867" s="465"/>
      <c r="J867" s="463"/>
      <c r="K867" s="463"/>
      <c r="L867" s="463"/>
      <c r="M867" s="463"/>
      <c r="N867" s="484"/>
      <c r="O867" s="484"/>
      <c r="P867" s="484"/>
      <c r="Q867" s="484"/>
      <c r="R867" s="484"/>
      <c r="S867" s="462" t="str">
        <f t="shared" si="163"/>
        <v>正确</v>
      </c>
      <c r="T867" s="462"/>
      <c r="U867" s="462"/>
      <c r="V867" s="462"/>
      <c r="W867" s="462"/>
    </row>
    <row r="868" ht="23.25" customHeight="1" spans="1:23">
      <c r="A868" s="464"/>
      <c r="B868" s="462" t="s">
        <v>1544</v>
      </c>
      <c r="C868" s="463" t="s">
        <v>320</v>
      </c>
      <c r="D868" s="463" t="s">
        <v>320</v>
      </c>
      <c r="E868" s="465"/>
      <c r="F868" s="465"/>
      <c r="G868" s="465"/>
      <c r="H868" s="465"/>
      <c r="I868" s="465"/>
      <c r="J868" s="463"/>
      <c r="K868" s="463"/>
      <c r="L868" s="463"/>
      <c r="M868" s="463"/>
      <c r="N868" s="484"/>
      <c r="O868" s="484"/>
      <c r="P868" s="484"/>
      <c r="Q868" s="484"/>
      <c r="R868" s="484"/>
      <c r="S868" s="462" t="str">
        <f t="shared" si="163"/>
        <v>正确</v>
      </c>
      <c r="T868" s="462"/>
      <c r="U868" s="462"/>
      <c r="V868" s="462"/>
      <c r="W868" s="462"/>
    </row>
    <row r="869" ht="23.25" customHeight="1" spans="1:23">
      <c r="A869" s="464"/>
      <c r="B869" s="462" t="s">
        <v>1545</v>
      </c>
      <c r="C869" s="463" t="s">
        <v>320</v>
      </c>
      <c r="D869" s="463" t="s">
        <v>320</v>
      </c>
      <c r="E869" s="465"/>
      <c r="F869" s="465"/>
      <c r="G869" s="465"/>
      <c r="H869" s="465"/>
      <c r="I869" s="465"/>
      <c r="J869" s="463"/>
      <c r="K869" s="463"/>
      <c r="L869" s="463"/>
      <c r="M869" s="463"/>
      <c r="N869" s="484"/>
      <c r="O869" s="484"/>
      <c r="P869" s="484"/>
      <c r="Q869" s="484"/>
      <c r="R869" s="484"/>
      <c r="S869" s="462" t="str">
        <f t="shared" si="163"/>
        <v>正确</v>
      </c>
      <c r="T869" s="462"/>
      <c r="U869" s="462"/>
      <c r="V869" s="462"/>
      <c r="W869" s="462"/>
    </row>
    <row r="870" ht="23.25" customHeight="1" spans="1:23">
      <c r="A870" s="464"/>
      <c r="B870" s="462" t="s">
        <v>1546</v>
      </c>
      <c r="C870" s="463" t="s">
        <v>320</v>
      </c>
      <c r="D870" s="463" t="s">
        <v>320</v>
      </c>
      <c r="E870" s="465"/>
      <c r="F870" s="465"/>
      <c r="G870" s="465"/>
      <c r="H870" s="465"/>
      <c r="I870" s="465"/>
      <c r="J870" s="463"/>
      <c r="K870" s="463"/>
      <c r="L870" s="463"/>
      <c r="M870" s="463"/>
      <c r="N870" s="484"/>
      <c r="O870" s="484"/>
      <c r="P870" s="484"/>
      <c r="Q870" s="484"/>
      <c r="R870" s="484"/>
      <c r="S870" s="462" t="str">
        <f t="shared" si="163"/>
        <v>正确</v>
      </c>
      <c r="T870" s="462"/>
      <c r="U870" s="462"/>
      <c r="V870" s="462"/>
      <c r="W870" s="462"/>
    </row>
    <row r="871" ht="23.25" customHeight="1" spans="1:23">
      <c r="A871" s="464"/>
      <c r="B871" s="462" t="s">
        <v>1547</v>
      </c>
      <c r="C871" s="463" t="s">
        <v>320</v>
      </c>
      <c r="D871" s="463" t="s">
        <v>320</v>
      </c>
      <c r="E871" s="465"/>
      <c r="F871" s="465"/>
      <c r="G871" s="465"/>
      <c r="H871" s="465"/>
      <c r="I871" s="465"/>
      <c r="J871" s="463"/>
      <c r="K871" s="463"/>
      <c r="L871" s="463"/>
      <c r="M871" s="463"/>
      <c r="N871" s="484"/>
      <c r="O871" s="484"/>
      <c r="P871" s="484"/>
      <c r="Q871" s="484"/>
      <c r="R871" s="484"/>
      <c r="S871" s="462" t="str">
        <f t="shared" si="163"/>
        <v>正确</v>
      </c>
      <c r="T871" s="462"/>
      <c r="U871" s="462"/>
      <c r="V871" s="462"/>
      <c r="W871" s="462"/>
    </row>
    <row r="872" ht="23.25" customHeight="1" spans="1:23">
      <c r="A872" s="464"/>
      <c r="B872" s="462" t="s">
        <v>1548</v>
      </c>
      <c r="C872" s="463" t="s">
        <v>320</v>
      </c>
      <c r="D872" s="463" t="s">
        <v>320</v>
      </c>
      <c r="E872" s="465"/>
      <c r="F872" s="465"/>
      <c r="G872" s="465"/>
      <c r="H872" s="465"/>
      <c r="I872" s="465"/>
      <c r="J872" s="463"/>
      <c r="K872" s="463"/>
      <c r="L872" s="463"/>
      <c r="M872" s="463"/>
      <c r="N872" s="484"/>
      <c r="O872" s="484"/>
      <c r="P872" s="484"/>
      <c r="Q872" s="484"/>
      <c r="R872" s="484"/>
      <c r="S872" s="462" t="str">
        <f t="shared" si="163"/>
        <v>正确</v>
      </c>
      <c r="T872" s="462"/>
      <c r="U872" s="462"/>
      <c r="V872" s="462"/>
      <c r="W872" s="462"/>
    </row>
    <row r="873" ht="23.25" customHeight="1" spans="1:23">
      <c r="A873" s="464"/>
      <c r="B873" s="462" t="s">
        <v>1549</v>
      </c>
      <c r="C873" s="463" t="s">
        <v>320</v>
      </c>
      <c r="D873" s="463" t="s">
        <v>320</v>
      </c>
      <c r="E873" s="465"/>
      <c r="F873" s="465"/>
      <c r="G873" s="465"/>
      <c r="H873" s="465"/>
      <c r="I873" s="465"/>
      <c r="J873" s="463"/>
      <c r="K873" s="463"/>
      <c r="L873" s="463"/>
      <c r="M873" s="463"/>
      <c r="N873" s="484"/>
      <c r="O873" s="484"/>
      <c r="P873" s="484"/>
      <c r="Q873" s="484"/>
      <c r="R873" s="484"/>
      <c r="S873" s="462" t="str">
        <f t="shared" si="163"/>
        <v>正确</v>
      </c>
      <c r="T873" s="462"/>
      <c r="U873" s="462"/>
      <c r="V873" s="462"/>
      <c r="W873" s="462"/>
    </row>
    <row r="874" ht="23.25" customHeight="1" spans="1:23">
      <c r="A874" s="464"/>
      <c r="B874" s="462" t="s">
        <v>1550</v>
      </c>
      <c r="C874" s="463" t="s">
        <v>320</v>
      </c>
      <c r="D874" s="463" t="s">
        <v>320</v>
      </c>
      <c r="E874" s="465"/>
      <c r="F874" s="465"/>
      <c r="G874" s="465"/>
      <c r="H874" s="465"/>
      <c r="I874" s="465"/>
      <c r="J874" s="463"/>
      <c r="K874" s="463"/>
      <c r="L874" s="463"/>
      <c r="M874" s="463"/>
      <c r="N874" s="484"/>
      <c r="O874" s="484"/>
      <c r="P874" s="484"/>
      <c r="Q874" s="484"/>
      <c r="R874" s="484"/>
      <c r="S874" s="462" t="str">
        <f t="shared" si="163"/>
        <v>正确</v>
      </c>
      <c r="T874" s="462"/>
      <c r="U874" s="462"/>
      <c r="V874" s="462"/>
      <c r="W874" s="462"/>
    </row>
    <row r="875" ht="23.25" customHeight="1" spans="1:23">
      <c r="A875" s="464"/>
      <c r="B875" s="462" t="s">
        <v>1551</v>
      </c>
      <c r="C875" s="463" t="s">
        <v>320</v>
      </c>
      <c r="D875" s="463" t="s">
        <v>320</v>
      </c>
      <c r="E875" s="465"/>
      <c r="F875" s="465"/>
      <c r="G875" s="465"/>
      <c r="H875" s="465"/>
      <c r="I875" s="465"/>
      <c r="J875" s="463"/>
      <c r="K875" s="463"/>
      <c r="L875" s="463"/>
      <c r="M875" s="463"/>
      <c r="N875" s="484"/>
      <c r="O875" s="484"/>
      <c r="P875" s="484"/>
      <c r="Q875" s="484"/>
      <c r="R875" s="484"/>
      <c r="S875" s="462" t="str">
        <f t="shared" si="163"/>
        <v>正确</v>
      </c>
      <c r="T875" s="462"/>
      <c r="U875" s="462"/>
      <c r="V875" s="462"/>
      <c r="W875" s="462"/>
    </row>
    <row r="876" ht="35.1" customHeight="1" spans="1:23">
      <c r="A876" s="464">
        <v>78</v>
      </c>
      <c r="B876" s="462" t="s">
        <v>1239</v>
      </c>
      <c r="C876" s="463" t="s">
        <v>320</v>
      </c>
      <c r="D876" s="463" t="s">
        <v>320</v>
      </c>
      <c r="E876" s="465">
        <f t="shared" ref="E876:G876" si="169">SUM(E877:E890)</f>
        <v>13</v>
      </c>
      <c r="F876" s="465">
        <f t="shared" si="169"/>
        <v>2019</v>
      </c>
      <c r="G876" s="465">
        <f t="shared" si="169"/>
        <v>7660</v>
      </c>
      <c r="H876" s="465">
        <v>2018</v>
      </c>
      <c r="I876" s="465">
        <v>2019</v>
      </c>
      <c r="J876" s="463">
        <f t="shared" ref="J876:L876" si="170">SUM(J877:J894)</f>
        <v>2010</v>
      </c>
      <c r="K876" s="463">
        <f t="shared" si="170"/>
        <v>670</v>
      </c>
      <c r="L876" s="463">
        <f t="shared" si="170"/>
        <v>1340</v>
      </c>
      <c r="M876" s="463"/>
      <c r="N876" s="463"/>
      <c r="O876" s="463">
        <f>SUM(O877:O894)</f>
        <v>2010</v>
      </c>
      <c r="P876" s="463"/>
      <c r="Q876" s="463"/>
      <c r="R876" s="463"/>
      <c r="S876" s="462" t="str">
        <f t="shared" si="163"/>
        <v>正确</v>
      </c>
      <c r="T876" s="462" t="s">
        <v>1742</v>
      </c>
      <c r="U876" s="462" t="s">
        <v>1574</v>
      </c>
      <c r="V876" s="462" t="s">
        <v>160</v>
      </c>
      <c r="W876" s="462" t="s">
        <v>41</v>
      </c>
    </row>
    <row r="877" ht="23.25" customHeight="1" spans="1:23">
      <c r="A877" s="464"/>
      <c r="B877" s="462" t="s">
        <v>1540</v>
      </c>
      <c r="C877" s="463" t="s">
        <v>320</v>
      </c>
      <c r="D877" s="463" t="s">
        <v>320</v>
      </c>
      <c r="E877" s="465"/>
      <c r="F877" s="465"/>
      <c r="G877" s="465"/>
      <c r="H877" s="465"/>
      <c r="I877" s="465"/>
      <c r="J877" s="463"/>
      <c r="K877" s="463"/>
      <c r="L877" s="463"/>
      <c r="M877" s="463"/>
      <c r="N877" s="484"/>
      <c r="O877" s="484"/>
      <c r="P877" s="484"/>
      <c r="Q877" s="484"/>
      <c r="R877" s="484"/>
      <c r="S877" s="462" t="str">
        <f t="shared" si="163"/>
        <v>正确</v>
      </c>
      <c r="T877" s="462"/>
      <c r="U877" s="462"/>
      <c r="V877" s="462"/>
      <c r="W877" s="462"/>
    </row>
    <row r="878" ht="23.25" customHeight="1" spans="1:23">
      <c r="A878" s="464"/>
      <c r="B878" s="462" t="s">
        <v>1541</v>
      </c>
      <c r="C878" s="463" t="s">
        <v>320</v>
      </c>
      <c r="D878" s="463" t="s">
        <v>320</v>
      </c>
      <c r="E878" s="486">
        <v>1</v>
      </c>
      <c r="F878" s="486">
        <v>229</v>
      </c>
      <c r="G878" s="486">
        <v>879</v>
      </c>
      <c r="H878" s="486">
        <v>2018</v>
      </c>
      <c r="I878" s="486">
        <v>2018</v>
      </c>
      <c r="J878" s="463">
        <v>30</v>
      </c>
      <c r="K878" s="463">
        <v>30</v>
      </c>
      <c r="L878" s="463"/>
      <c r="M878" s="463"/>
      <c r="N878" s="484"/>
      <c r="O878" s="484">
        <v>30</v>
      </c>
      <c r="P878" s="484"/>
      <c r="Q878" s="484"/>
      <c r="R878" s="484"/>
      <c r="S878" s="462" t="str">
        <f t="shared" si="163"/>
        <v>正确</v>
      </c>
      <c r="T878" s="487"/>
      <c r="U878" s="487"/>
      <c r="V878" s="462"/>
      <c r="W878" s="462" t="s">
        <v>1770</v>
      </c>
    </row>
    <row r="879" ht="23.25" customHeight="1" spans="1:23">
      <c r="A879" s="464"/>
      <c r="B879" s="462" t="s">
        <v>1542</v>
      </c>
      <c r="C879" s="463" t="s">
        <v>320</v>
      </c>
      <c r="D879" s="463" t="s">
        <v>320</v>
      </c>
      <c r="E879" s="465"/>
      <c r="F879" s="465"/>
      <c r="G879" s="465"/>
      <c r="H879" s="465"/>
      <c r="I879" s="465"/>
      <c r="J879" s="463"/>
      <c r="K879" s="463"/>
      <c r="L879" s="463"/>
      <c r="M879" s="463"/>
      <c r="N879" s="484"/>
      <c r="O879" s="484"/>
      <c r="P879" s="484"/>
      <c r="Q879" s="484"/>
      <c r="R879" s="484"/>
      <c r="S879" s="462" t="str">
        <f t="shared" si="163"/>
        <v>正确</v>
      </c>
      <c r="T879" s="462"/>
      <c r="U879" s="462"/>
      <c r="V879" s="462"/>
      <c r="W879" s="462"/>
    </row>
    <row r="880" ht="23.25" customHeight="1" spans="1:23">
      <c r="A880" s="464"/>
      <c r="B880" s="462" t="s">
        <v>1543</v>
      </c>
      <c r="C880" s="463" t="s">
        <v>320</v>
      </c>
      <c r="D880" s="463" t="s">
        <v>320</v>
      </c>
      <c r="E880" s="465"/>
      <c r="F880" s="465"/>
      <c r="G880" s="465"/>
      <c r="H880" s="465"/>
      <c r="I880" s="465"/>
      <c r="J880" s="463"/>
      <c r="K880" s="463"/>
      <c r="L880" s="463"/>
      <c r="M880" s="463"/>
      <c r="N880" s="484"/>
      <c r="O880" s="484"/>
      <c r="P880" s="484"/>
      <c r="Q880" s="484"/>
      <c r="R880" s="484"/>
      <c r="S880" s="462" t="str">
        <f t="shared" si="163"/>
        <v>正确</v>
      </c>
      <c r="T880" s="462"/>
      <c r="U880" s="462"/>
      <c r="V880" s="462"/>
      <c r="W880" s="462"/>
    </row>
    <row r="881" ht="23.25" customHeight="1" spans="1:23">
      <c r="A881" s="464"/>
      <c r="B881" s="462" t="s">
        <v>1544</v>
      </c>
      <c r="C881" s="463" t="s">
        <v>320</v>
      </c>
      <c r="D881" s="463" t="s">
        <v>320</v>
      </c>
      <c r="E881" s="150">
        <v>1</v>
      </c>
      <c r="F881" s="150">
        <v>141</v>
      </c>
      <c r="G881" s="150">
        <v>502</v>
      </c>
      <c r="H881" s="465">
        <v>2018</v>
      </c>
      <c r="I881" s="465">
        <v>2018</v>
      </c>
      <c r="J881" s="463">
        <v>35</v>
      </c>
      <c r="K881" s="463">
        <v>35</v>
      </c>
      <c r="L881" s="463"/>
      <c r="M881" s="463"/>
      <c r="N881" s="484"/>
      <c r="O881" s="484">
        <v>35</v>
      </c>
      <c r="P881" s="484"/>
      <c r="Q881" s="484"/>
      <c r="R881" s="484"/>
      <c r="S881" s="462" t="str">
        <f t="shared" si="163"/>
        <v>正确</v>
      </c>
      <c r="T881" s="462"/>
      <c r="U881" s="462"/>
      <c r="V881" s="462"/>
      <c r="W881" s="462" t="s">
        <v>1771</v>
      </c>
    </row>
    <row r="882" ht="23.25" customHeight="1" spans="1:23">
      <c r="A882" s="464"/>
      <c r="B882" s="462" t="s">
        <v>1545</v>
      </c>
      <c r="C882" s="463" t="s">
        <v>320</v>
      </c>
      <c r="D882" s="463" t="s">
        <v>320</v>
      </c>
      <c r="E882" s="465">
        <v>1</v>
      </c>
      <c r="F882" s="465">
        <v>222</v>
      </c>
      <c r="G882" s="465">
        <v>790</v>
      </c>
      <c r="H882" s="465">
        <v>2018</v>
      </c>
      <c r="I882" s="465">
        <v>2018</v>
      </c>
      <c r="J882" s="463">
        <v>35</v>
      </c>
      <c r="K882" s="463">
        <v>35</v>
      </c>
      <c r="L882" s="463"/>
      <c r="M882" s="463"/>
      <c r="N882" s="484"/>
      <c r="O882" s="484">
        <v>35</v>
      </c>
      <c r="P882" s="484"/>
      <c r="Q882" s="484"/>
      <c r="R882" s="484"/>
      <c r="S882" s="462" t="str">
        <f t="shared" si="163"/>
        <v>正确</v>
      </c>
      <c r="T882" s="462"/>
      <c r="U882" s="462"/>
      <c r="V882" s="462"/>
      <c r="W882" s="462" t="s">
        <v>1772</v>
      </c>
    </row>
    <row r="883" ht="42.95" customHeight="1" spans="1:24">
      <c r="A883" s="464"/>
      <c r="B883" s="462" t="s">
        <v>1546</v>
      </c>
      <c r="C883" s="463" t="s">
        <v>320</v>
      </c>
      <c r="D883" s="463" t="s">
        <v>320</v>
      </c>
      <c r="E883" s="150">
        <v>2</v>
      </c>
      <c r="F883" s="150">
        <v>291</v>
      </c>
      <c r="G883" s="150">
        <v>1164</v>
      </c>
      <c r="H883" s="465">
        <v>2018</v>
      </c>
      <c r="I883" s="465">
        <v>2019</v>
      </c>
      <c r="J883" s="463">
        <v>460</v>
      </c>
      <c r="K883" s="463">
        <v>260</v>
      </c>
      <c r="L883" s="463">
        <v>200</v>
      </c>
      <c r="M883" s="463"/>
      <c r="N883" s="484"/>
      <c r="O883" s="484">
        <v>460</v>
      </c>
      <c r="P883" s="484"/>
      <c r="Q883" s="484"/>
      <c r="R883" s="484"/>
      <c r="S883" s="462" t="str">
        <f t="shared" si="163"/>
        <v>正确</v>
      </c>
      <c r="T883" s="462"/>
      <c r="U883" s="462"/>
      <c r="V883" s="462"/>
      <c r="W883" s="462" t="s">
        <v>1773</v>
      </c>
      <c r="X883" s="453" t="s">
        <v>1774</v>
      </c>
    </row>
    <row r="884" ht="23.25" customHeight="1" spans="1:24">
      <c r="A884" s="464"/>
      <c r="B884" s="462" t="s">
        <v>1547</v>
      </c>
      <c r="C884" s="463" t="s">
        <v>320</v>
      </c>
      <c r="D884" s="463" t="s">
        <v>320</v>
      </c>
      <c r="E884" s="465">
        <v>2</v>
      </c>
      <c r="F884" s="465">
        <v>95</v>
      </c>
      <c r="G884" s="465">
        <v>426</v>
      </c>
      <c r="H884" s="465">
        <v>2018</v>
      </c>
      <c r="I884" s="465">
        <v>2019</v>
      </c>
      <c r="J884" s="463">
        <v>30</v>
      </c>
      <c r="K884" s="463">
        <v>15</v>
      </c>
      <c r="L884" s="463">
        <v>15</v>
      </c>
      <c r="M884" s="463"/>
      <c r="N884" s="484"/>
      <c r="O884" s="484">
        <v>30</v>
      </c>
      <c r="P884" s="484"/>
      <c r="Q884" s="484"/>
      <c r="R884" s="484"/>
      <c r="S884" s="462" t="str">
        <f t="shared" si="163"/>
        <v>正确</v>
      </c>
      <c r="T884" s="462"/>
      <c r="U884" s="462"/>
      <c r="V884" s="462"/>
      <c r="W884" s="462"/>
      <c r="X884" s="453" t="s">
        <v>1774</v>
      </c>
    </row>
    <row r="885" ht="51" customHeight="1" spans="1:24">
      <c r="A885" s="464"/>
      <c r="B885" s="462" t="s">
        <v>1548</v>
      </c>
      <c r="C885" s="463" t="s">
        <v>320</v>
      </c>
      <c r="D885" s="463" t="s">
        <v>320</v>
      </c>
      <c r="E885" s="465">
        <v>1</v>
      </c>
      <c r="F885" s="465">
        <v>372</v>
      </c>
      <c r="G885" s="465">
        <v>1373</v>
      </c>
      <c r="H885" s="465">
        <v>2018</v>
      </c>
      <c r="I885" s="465">
        <v>2019</v>
      </c>
      <c r="J885" s="463">
        <v>230</v>
      </c>
      <c r="K885" s="463">
        <v>200</v>
      </c>
      <c r="L885" s="463">
        <v>30</v>
      </c>
      <c r="M885" s="463"/>
      <c r="N885" s="484"/>
      <c r="O885" s="484">
        <v>230</v>
      </c>
      <c r="P885" s="484"/>
      <c r="Q885" s="484"/>
      <c r="R885" s="484"/>
      <c r="S885" s="462" t="str">
        <f t="shared" si="163"/>
        <v>正确</v>
      </c>
      <c r="T885" s="462"/>
      <c r="U885" s="462"/>
      <c r="V885" s="462"/>
      <c r="W885" s="462" t="s">
        <v>1775</v>
      </c>
      <c r="X885" s="453" t="s">
        <v>1774</v>
      </c>
    </row>
    <row r="886" ht="23.25" customHeight="1" spans="1:24">
      <c r="A886" s="464"/>
      <c r="B886" s="462" t="s">
        <v>1549</v>
      </c>
      <c r="C886" s="463" t="s">
        <v>320</v>
      </c>
      <c r="D886" s="463" t="s">
        <v>320</v>
      </c>
      <c r="E886" s="465">
        <v>1</v>
      </c>
      <c r="F886" s="465">
        <v>125</v>
      </c>
      <c r="G886" s="465">
        <v>473</v>
      </c>
      <c r="H886" s="465">
        <v>2018</v>
      </c>
      <c r="I886" s="465">
        <v>2019</v>
      </c>
      <c r="J886" s="484">
        <v>30</v>
      </c>
      <c r="K886" s="463">
        <v>15</v>
      </c>
      <c r="L886" s="484">
        <v>15</v>
      </c>
      <c r="M886" s="463"/>
      <c r="N886" s="484"/>
      <c r="O886" s="484">
        <v>30</v>
      </c>
      <c r="P886" s="484"/>
      <c r="Q886" s="484"/>
      <c r="R886" s="484"/>
      <c r="S886" s="462" t="str">
        <f t="shared" si="163"/>
        <v>正确</v>
      </c>
      <c r="T886" s="462"/>
      <c r="U886" s="462"/>
      <c r="V886" s="462"/>
      <c r="W886" s="462" t="s">
        <v>1770</v>
      </c>
      <c r="X886" s="453" t="s">
        <v>1774</v>
      </c>
    </row>
    <row r="887" ht="23.25" customHeight="1" spans="1:24">
      <c r="A887" s="464"/>
      <c r="B887" s="462" t="s">
        <v>1550</v>
      </c>
      <c r="C887" s="463" t="s">
        <v>320</v>
      </c>
      <c r="D887" s="463" t="s">
        <v>320</v>
      </c>
      <c r="E887" s="465">
        <v>1</v>
      </c>
      <c r="F887" s="465">
        <v>84</v>
      </c>
      <c r="G887" s="465">
        <v>260</v>
      </c>
      <c r="H887" s="465">
        <v>2018</v>
      </c>
      <c r="I887" s="465">
        <v>2019</v>
      </c>
      <c r="J887" s="484">
        <v>30</v>
      </c>
      <c r="K887" s="463">
        <v>15</v>
      </c>
      <c r="L887" s="484">
        <v>15</v>
      </c>
      <c r="M887" s="463"/>
      <c r="N887" s="484"/>
      <c r="O887" s="484">
        <v>30</v>
      </c>
      <c r="P887" s="484"/>
      <c r="Q887" s="484"/>
      <c r="R887" s="484"/>
      <c r="S887" s="462" t="str">
        <f t="shared" si="163"/>
        <v>正确</v>
      </c>
      <c r="T887" s="462"/>
      <c r="U887" s="462"/>
      <c r="V887" s="462"/>
      <c r="W887" s="462" t="s">
        <v>1770</v>
      </c>
      <c r="X887" s="453" t="s">
        <v>1774</v>
      </c>
    </row>
    <row r="888" ht="23.25" customHeight="1" spans="1:24">
      <c r="A888" s="464"/>
      <c r="B888" s="462" t="s">
        <v>1551</v>
      </c>
      <c r="C888" s="463" t="s">
        <v>320</v>
      </c>
      <c r="D888" s="463" t="s">
        <v>320</v>
      </c>
      <c r="E888" s="465">
        <v>1</v>
      </c>
      <c r="F888" s="465">
        <v>80</v>
      </c>
      <c r="G888" s="465">
        <v>295</v>
      </c>
      <c r="H888" s="465">
        <v>2018</v>
      </c>
      <c r="I888" s="465">
        <v>2019</v>
      </c>
      <c r="J888" s="484">
        <v>30</v>
      </c>
      <c r="K888" s="463">
        <v>15</v>
      </c>
      <c r="L888" s="484">
        <v>15</v>
      </c>
      <c r="M888" s="463"/>
      <c r="N888" s="484"/>
      <c r="O888" s="484">
        <v>30</v>
      </c>
      <c r="P888" s="484"/>
      <c r="Q888" s="484"/>
      <c r="R888" s="484"/>
      <c r="S888" s="462" t="str">
        <f t="shared" si="163"/>
        <v>正确</v>
      </c>
      <c r="T888" s="462"/>
      <c r="U888" s="462"/>
      <c r="V888" s="462"/>
      <c r="W888" s="462" t="s">
        <v>1770</v>
      </c>
      <c r="X888" s="453" t="s">
        <v>1774</v>
      </c>
    </row>
    <row r="889" ht="41.1" customHeight="1" spans="1:23">
      <c r="A889" s="464"/>
      <c r="B889" s="462" t="s">
        <v>1776</v>
      </c>
      <c r="C889" s="463" t="s">
        <v>320</v>
      </c>
      <c r="D889" s="463" t="s">
        <v>320</v>
      </c>
      <c r="E889" s="465">
        <v>1</v>
      </c>
      <c r="F889" s="465">
        <v>83</v>
      </c>
      <c r="G889" s="465">
        <v>308</v>
      </c>
      <c r="H889" s="465">
        <v>2019</v>
      </c>
      <c r="I889" s="465">
        <v>2019</v>
      </c>
      <c r="J889" s="484">
        <v>500</v>
      </c>
      <c r="K889" s="463"/>
      <c r="L889" s="484">
        <v>500</v>
      </c>
      <c r="M889" s="463"/>
      <c r="N889" s="484"/>
      <c r="O889" s="484">
        <v>500</v>
      </c>
      <c r="P889" s="484"/>
      <c r="Q889" s="484"/>
      <c r="R889" s="484"/>
      <c r="S889" s="462" t="str">
        <f t="shared" si="163"/>
        <v>正确</v>
      </c>
      <c r="T889" s="462"/>
      <c r="U889" s="462"/>
      <c r="V889" s="462"/>
      <c r="W889" s="462"/>
    </row>
    <row r="890" ht="39" customHeight="1" spans="1:23">
      <c r="A890" s="464"/>
      <c r="B890" s="462" t="s">
        <v>1777</v>
      </c>
      <c r="C890" s="463" t="s">
        <v>320</v>
      </c>
      <c r="D890" s="463" t="s">
        <v>320</v>
      </c>
      <c r="E890" s="465">
        <v>1</v>
      </c>
      <c r="F890" s="465">
        <v>297</v>
      </c>
      <c r="G890" s="465">
        <v>1190</v>
      </c>
      <c r="H890" s="465">
        <v>2019</v>
      </c>
      <c r="I890" s="465">
        <v>2019</v>
      </c>
      <c r="J890" s="484">
        <v>50</v>
      </c>
      <c r="K890" s="463"/>
      <c r="L890" s="484">
        <v>50</v>
      </c>
      <c r="M890" s="463"/>
      <c r="N890" s="484"/>
      <c r="O890" s="484">
        <v>50</v>
      </c>
      <c r="P890" s="484"/>
      <c r="Q890" s="484"/>
      <c r="R890" s="484"/>
      <c r="S890" s="462" t="str">
        <f t="shared" si="163"/>
        <v>正确</v>
      </c>
      <c r="T890" s="462"/>
      <c r="U890" s="462"/>
      <c r="V890" s="462"/>
      <c r="W890" s="462" t="s">
        <v>1546</v>
      </c>
    </row>
    <row r="891" ht="39" customHeight="1" spans="1:23">
      <c r="A891" s="464"/>
      <c r="B891" s="462" t="s">
        <v>1778</v>
      </c>
      <c r="C891" s="463"/>
      <c r="D891" s="463"/>
      <c r="E891" s="465">
        <v>1</v>
      </c>
      <c r="F891" s="465"/>
      <c r="G891" s="465"/>
      <c r="H891" s="465">
        <v>2018</v>
      </c>
      <c r="I891" s="465">
        <v>2018</v>
      </c>
      <c r="J891" s="484">
        <v>50</v>
      </c>
      <c r="K891" s="463">
        <v>50</v>
      </c>
      <c r="L891" s="484"/>
      <c r="M891" s="463"/>
      <c r="N891" s="484"/>
      <c r="O891" s="484">
        <v>50</v>
      </c>
      <c r="P891" s="484"/>
      <c r="Q891" s="484"/>
      <c r="R891" s="484"/>
      <c r="S891" s="462"/>
      <c r="T891" s="462"/>
      <c r="U891" s="462"/>
      <c r="V891" s="462"/>
      <c r="W891" s="462"/>
    </row>
    <row r="892" ht="66" customHeight="1" spans="1:24">
      <c r="A892" s="464"/>
      <c r="B892" s="462" t="s">
        <v>1779</v>
      </c>
      <c r="C892" s="463" t="s">
        <v>52</v>
      </c>
      <c r="D892" s="463"/>
      <c r="E892" s="463" t="s">
        <v>1780</v>
      </c>
      <c r="F892" s="465">
        <v>272</v>
      </c>
      <c r="G892" s="465">
        <v>870</v>
      </c>
      <c r="H892" s="465">
        <v>2019</v>
      </c>
      <c r="I892" s="465">
        <v>2019</v>
      </c>
      <c r="J892" s="465">
        <v>200</v>
      </c>
      <c r="K892" s="465"/>
      <c r="L892" s="465">
        <v>200</v>
      </c>
      <c r="M892" s="465"/>
      <c r="N892" s="465"/>
      <c r="O892" s="465">
        <v>200</v>
      </c>
      <c r="P892" s="484"/>
      <c r="Q892" s="484"/>
      <c r="R892" s="484"/>
      <c r="S892" s="462"/>
      <c r="T892" s="462"/>
      <c r="U892" s="462"/>
      <c r="V892" s="462"/>
      <c r="W892" s="496" t="s">
        <v>1781</v>
      </c>
      <c r="X892" s="462" t="s">
        <v>1695</v>
      </c>
    </row>
    <row r="893" ht="72" customHeight="1" spans="1:24">
      <c r="A893" s="464"/>
      <c r="B893" s="462" t="s">
        <v>1782</v>
      </c>
      <c r="C893" s="463" t="s">
        <v>52</v>
      </c>
      <c r="D893" s="463"/>
      <c r="E893" s="463" t="s">
        <v>1783</v>
      </c>
      <c r="F893" s="465">
        <v>137</v>
      </c>
      <c r="G893" s="465">
        <v>411</v>
      </c>
      <c r="H893" s="465">
        <v>2019</v>
      </c>
      <c r="I893" s="465">
        <v>2019</v>
      </c>
      <c r="J893" s="465">
        <v>150</v>
      </c>
      <c r="K893" s="465"/>
      <c r="L893" s="465">
        <v>150</v>
      </c>
      <c r="M893" s="465"/>
      <c r="N893" s="465"/>
      <c r="O893" s="465">
        <v>150</v>
      </c>
      <c r="P893" s="484"/>
      <c r="Q893" s="484"/>
      <c r="R893" s="484"/>
      <c r="S893" s="462"/>
      <c r="T893" s="462"/>
      <c r="U893" s="462"/>
      <c r="V893" s="462"/>
      <c r="W893" s="496" t="s">
        <v>1784</v>
      </c>
      <c r="X893" s="462" t="s">
        <v>1695</v>
      </c>
    </row>
    <row r="894" ht="68.1" customHeight="1" spans="1:24">
      <c r="A894" s="464"/>
      <c r="B894" s="462" t="s">
        <v>1785</v>
      </c>
      <c r="C894" s="463" t="s">
        <v>52</v>
      </c>
      <c r="D894" s="463"/>
      <c r="E894" s="463" t="s">
        <v>1786</v>
      </c>
      <c r="F894" s="465">
        <v>163</v>
      </c>
      <c r="G894" s="465">
        <v>570</v>
      </c>
      <c r="H894" s="465">
        <v>2019</v>
      </c>
      <c r="I894" s="465">
        <v>2019</v>
      </c>
      <c r="J894" s="465">
        <v>150</v>
      </c>
      <c r="K894" s="465"/>
      <c r="L894" s="465">
        <v>150</v>
      </c>
      <c r="M894" s="465"/>
      <c r="N894" s="465"/>
      <c r="O894" s="465">
        <v>150</v>
      </c>
      <c r="P894" s="484"/>
      <c r="Q894" s="484"/>
      <c r="R894" s="484"/>
      <c r="S894" s="462"/>
      <c r="T894" s="462"/>
      <c r="U894" s="462"/>
      <c r="V894" s="462"/>
      <c r="W894" s="496" t="s">
        <v>1784</v>
      </c>
      <c r="X894" s="462" t="s">
        <v>1695</v>
      </c>
    </row>
    <row r="895" ht="24.95" customHeight="1" spans="1:23">
      <c r="A895" s="464">
        <v>79</v>
      </c>
      <c r="B895" s="462" t="s">
        <v>1059</v>
      </c>
      <c r="C895" s="484" t="s">
        <v>52</v>
      </c>
      <c r="D895" s="484" t="s">
        <v>150</v>
      </c>
      <c r="E895" s="486">
        <f t="shared" ref="E895:G895" si="171">E900+E901+E902+E903+E904+E905+E906+E907+E908+E909+E910+E911</f>
        <v>2</v>
      </c>
      <c r="F895" s="486">
        <f t="shared" si="171"/>
        <v>208</v>
      </c>
      <c r="G895" s="486">
        <f t="shared" si="171"/>
        <v>727</v>
      </c>
      <c r="H895" s="465">
        <v>2019</v>
      </c>
      <c r="I895" s="465">
        <v>2019</v>
      </c>
      <c r="J895" s="484">
        <f>J896+J897+J898+J899</f>
        <v>40</v>
      </c>
      <c r="K895" s="484">
        <f>K896+K897+K898+K899</f>
        <v>40</v>
      </c>
      <c r="L895" s="484"/>
      <c r="M895" s="484"/>
      <c r="N895" s="484"/>
      <c r="O895" s="484"/>
      <c r="P895" s="484">
        <f>P896+P897+P898+P899</f>
        <v>40</v>
      </c>
      <c r="Q895" s="484"/>
      <c r="R895" s="484"/>
      <c r="S895" s="462" t="str">
        <f t="shared" ref="S895:S911" si="172">IF(J895=SUM(N895:R895),"正确","错误")</f>
        <v>正确</v>
      </c>
      <c r="T895" s="487" t="s">
        <v>1559</v>
      </c>
      <c r="U895" s="487" t="s">
        <v>1574</v>
      </c>
      <c r="V895" s="462" t="s">
        <v>43</v>
      </c>
      <c r="W895" s="462" t="s">
        <v>41</v>
      </c>
    </row>
    <row r="896" ht="24.95" customHeight="1" spans="1:23">
      <c r="A896" s="464"/>
      <c r="B896" s="462" t="s">
        <v>1787</v>
      </c>
      <c r="C896" s="484"/>
      <c r="D896" s="486">
        <v>1</v>
      </c>
      <c r="E896" s="486"/>
      <c r="F896" s="486"/>
      <c r="G896" s="486"/>
      <c r="H896" s="486">
        <v>2018</v>
      </c>
      <c r="I896" s="486">
        <v>2018</v>
      </c>
      <c r="J896" s="484">
        <v>10</v>
      </c>
      <c r="K896" s="484">
        <v>10</v>
      </c>
      <c r="L896" s="484"/>
      <c r="M896" s="484"/>
      <c r="N896" s="495"/>
      <c r="O896" s="484"/>
      <c r="P896" s="484">
        <v>10</v>
      </c>
      <c r="Q896" s="495"/>
      <c r="R896" s="495"/>
      <c r="S896" s="462" t="str">
        <f t="shared" si="172"/>
        <v>正确</v>
      </c>
      <c r="T896" s="487"/>
      <c r="U896" s="462" t="s">
        <v>435</v>
      </c>
      <c r="V896" s="462"/>
      <c r="W896" s="462"/>
    </row>
    <row r="897" ht="24.95" customHeight="1" spans="1:23">
      <c r="A897" s="464"/>
      <c r="B897" s="462" t="s">
        <v>1788</v>
      </c>
      <c r="C897" s="484"/>
      <c r="D897" s="486">
        <v>1</v>
      </c>
      <c r="E897" s="486"/>
      <c r="F897" s="486"/>
      <c r="G897" s="486"/>
      <c r="H897" s="486">
        <v>2018</v>
      </c>
      <c r="I897" s="486">
        <v>2018</v>
      </c>
      <c r="J897" s="484">
        <v>10</v>
      </c>
      <c r="K897" s="484">
        <v>10</v>
      </c>
      <c r="L897" s="484"/>
      <c r="M897" s="484"/>
      <c r="N897" s="495"/>
      <c r="O897" s="484"/>
      <c r="P897" s="484">
        <v>10</v>
      </c>
      <c r="Q897" s="495"/>
      <c r="R897" s="495"/>
      <c r="S897" s="462" t="str">
        <f t="shared" si="172"/>
        <v>正确</v>
      </c>
      <c r="T897" s="487"/>
      <c r="U897" s="462" t="s">
        <v>435</v>
      </c>
      <c r="V897" s="462"/>
      <c r="W897" s="462"/>
    </row>
    <row r="898" ht="24.95" customHeight="1" spans="1:23">
      <c r="A898" s="464"/>
      <c r="B898" s="462" t="s">
        <v>1789</v>
      </c>
      <c r="C898" s="484"/>
      <c r="D898" s="486">
        <v>1</v>
      </c>
      <c r="E898" s="486"/>
      <c r="F898" s="486"/>
      <c r="G898" s="486"/>
      <c r="H898" s="486">
        <v>2018</v>
      </c>
      <c r="I898" s="486">
        <v>2018</v>
      </c>
      <c r="J898" s="484">
        <v>10</v>
      </c>
      <c r="K898" s="484">
        <v>10</v>
      </c>
      <c r="L898" s="484"/>
      <c r="M898" s="484"/>
      <c r="N898" s="495"/>
      <c r="O898" s="484"/>
      <c r="P898" s="484">
        <v>10</v>
      </c>
      <c r="Q898" s="495"/>
      <c r="R898" s="495"/>
      <c r="S898" s="462" t="str">
        <f t="shared" si="172"/>
        <v>正确</v>
      </c>
      <c r="T898" s="487"/>
      <c r="U898" s="462" t="s">
        <v>435</v>
      </c>
      <c r="V898" s="462"/>
      <c r="W898" s="462"/>
    </row>
    <row r="899" ht="24.95" customHeight="1" spans="1:23">
      <c r="A899" s="464"/>
      <c r="B899" s="462" t="s">
        <v>1790</v>
      </c>
      <c r="C899" s="484"/>
      <c r="D899" s="486">
        <v>1</v>
      </c>
      <c r="E899" s="486"/>
      <c r="F899" s="486"/>
      <c r="G899" s="486"/>
      <c r="H899" s="486">
        <v>2018</v>
      </c>
      <c r="I899" s="486">
        <v>2018</v>
      </c>
      <c r="J899" s="484">
        <v>10</v>
      </c>
      <c r="K899" s="484">
        <v>10</v>
      </c>
      <c r="L899" s="484"/>
      <c r="M899" s="484"/>
      <c r="N899" s="495"/>
      <c r="O899" s="484"/>
      <c r="P899" s="484">
        <v>10</v>
      </c>
      <c r="Q899" s="495"/>
      <c r="R899" s="495"/>
      <c r="S899" s="462" t="str">
        <f t="shared" si="172"/>
        <v>正确</v>
      </c>
      <c r="T899" s="487"/>
      <c r="U899" s="462" t="s">
        <v>435</v>
      </c>
      <c r="V899" s="462"/>
      <c r="W899" s="462"/>
    </row>
    <row r="900" ht="17.1" customHeight="1" spans="1:23">
      <c r="A900" s="464"/>
      <c r="B900" s="462" t="s">
        <v>1540</v>
      </c>
      <c r="C900" s="463" t="s">
        <v>52</v>
      </c>
      <c r="D900" s="484"/>
      <c r="E900" s="486"/>
      <c r="F900" s="486"/>
      <c r="G900" s="486"/>
      <c r="H900" s="486"/>
      <c r="I900" s="486"/>
      <c r="J900" s="463"/>
      <c r="K900" s="463"/>
      <c r="L900" s="463"/>
      <c r="M900" s="463"/>
      <c r="N900" s="484"/>
      <c r="O900" s="484"/>
      <c r="P900" s="484"/>
      <c r="Q900" s="484"/>
      <c r="R900" s="484"/>
      <c r="S900" s="462" t="str">
        <f t="shared" si="172"/>
        <v>正确</v>
      </c>
      <c r="T900" s="487"/>
      <c r="U900" s="487"/>
      <c r="V900" s="462"/>
      <c r="W900" s="462"/>
    </row>
    <row r="901" ht="17.1" customHeight="1" spans="1:23">
      <c r="A901" s="464"/>
      <c r="B901" s="462" t="s">
        <v>1541</v>
      </c>
      <c r="C901" s="463" t="s">
        <v>52</v>
      </c>
      <c r="D901" s="484"/>
      <c r="E901" s="486"/>
      <c r="F901" s="486"/>
      <c r="G901" s="486"/>
      <c r="H901" s="486"/>
      <c r="I901" s="486"/>
      <c r="J901" s="463"/>
      <c r="K901" s="463"/>
      <c r="L901" s="463"/>
      <c r="M901" s="463"/>
      <c r="N901" s="484"/>
      <c r="O901" s="484"/>
      <c r="P901" s="484"/>
      <c r="Q901" s="484"/>
      <c r="R901" s="484"/>
      <c r="S901" s="462" t="str">
        <f t="shared" si="172"/>
        <v>正确</v>
      </c>
      <c r="T901" s="487"/>
      <c r="U901" s="487"/>
      <c r="V901" s="462"/>
      <c r="W901" s="462"/>
    </row>
    <row r="902" ht="17.1" customHeight="1" spans="1:23">
      <c r="A902" s="464"/>
      <c r="B902" s="462" t="s">
        <v>1542</v>
      </c>
      <c r="C902" s="463" t="s">
        <v>52</v>
      </c>
      <c r="D902" s="484"/>
      <c r="E902" s="465"/>
      <c r="F902" s="465"/>
      <c r="G902" s="465"/>
      <c r="H902" s="486"/>
      <c r="I902" s="486"/>
      <c r="J902" s="463"/>
      <c r="K902" s="463"/>
      <c r="L902" s="463"/>
      <c r="M902" s="463"/>
      <c r="N902" s="484"/>
      <c r="O902" s="484"/>
      <c r="P902" s="484"/>
      <c r="Q902" s="484"/>
      <c r="R902" s="484"/>
      <c r="S902" s="462" t="str">
        <f t="shared" si="172"/>
        <v>正确</v>
      </c>
      <c r="T902" s="487"/>
      <c r="U902" s="487"/>
      <c r="V902" s="462"/>
      <c r="W902" s="462"/>
    </row>
    <row r="903" ht="17.1" customHeight="1" spans="1:23">
      <c r="A903" s="464"/>
      <c r="B903" s="462" t="s">
        <v>1543</v>
      </c>
      <c r="C903" s="463" t="s">
        <v>52</v>
      </c>
      <c r="D903" s="484"/>
      <c r="E903" s="486"/>
      <c r="F903" s="486"/>
      <c r="G903" s="486"/>
      <c r="H903" s="486"/>
      <c r="I903" s="486"/>
      <c r="J903" s="463"/>
      <c r="K903" s="463"/>
      <c r="L903" s="463"/>
      <c r="M903" s="463"/>
      <c r="N903" s="484"/>
      <c r="O903" s="484"/>
      <c r="P903" s="484"/>
      <c r="Q903" s="484"/>
      <c r="R903" s="484"/>
      <c r="S903" s="462" t="str">
        <f t="shared" si="172"/>
        <v>正确</v>
      </c>
      <c r="T903" s="487"/>
      <c r="U903" s="487"/>
      <c r="V903" s="462"/>
      <c r="W903" s="462"/>
    </row>
    <row r="904" ht="17.1" customHeight="1" spans="1:23">
      <c r="A904" s="464"/>
      <c r="B904" s="462" t="s">
        <v>1544</v>
      </c>
      <c r="C904" s="463" t="s">
        <v>52</v>
      </c>
      <c r="D904" s="484"/>
      <c r="E904" s="486"/>
      <c r="F904" s="486"/>
      <c r="G904" s="486"/>
      <c r="H904" s="486"/>
      <c r="I904" s="486"/>
      <c r="J904" s="463"/>
      <c r="K904" s="463"/>
      <c r="L904" s="463"/>
      <c r="M904" s="463"/>
      <c r="N904" s="484"/>
      <c r="O904" s="484"/>
      <c r="P904" s="484"/>
      <c r="Q904" s="484"/>
      <c r="R904" s="484"/>
      <c r="S904" s="462" t="str">
        <f t="shared" si="172"/>
        <v>正确</v>
      </c>
      <c r="T904" s="487"/>
      <c r="U904" s="487"/>
      <c r="V904" s="462"/>
      <c r="W904" s="462"/>
    </row>
    <row r="905" ht="17.1" customHeight="1" spans="1:23">
      <c r="A905" s="464"/>
      <c r="B905" s="462" t="s">
        <v>1545</v>
      </c>
      <c r="C905" s="463" t="s">
        <v>52</v>
      </c>
      <c r="D905" s="484"/>
      <c r="E905" s="486"/>
      <c r="F905" s="486"/>
      <c r="G905" s="486"/>
      <c r="H905" s="486"/>
      <c r="I905" s="486"/>
      <c r="J905" s="463"/>
      <c r="K905" s="463"/>
      <c r="L905" s="463"/>
      <c r="M905" s="463"/>
      <c r="N905" s="484"/>
      <c r="O905" s="484"/>
      <c r="P905" s="484"/>
      <c r="Q905" s="484"/>
      <c r="R905" s="484"/>
      <c r="S905" s="462" t="str">
        <f t="shared" si="172"/>
        <v>正确</v>
      </c>
      <c r="T905" s="487"/>
      <c r="U905" s="487"/>
      <c r="V905" s="462"/>
      <c r="W905" s="462"/>
    </row>
    <row r="906" ht="17.1" customHeight="1" spans="1:23">
      <c r="A906" s="464"/>
      <c r="B906" s="462" t="s">
        <v>1546</v>
      </c>
      <c r="C906" s="463" t="s">
        <v>52</v>
      </c>
      <c r="D906" s="484"/>
      <c r="E906" s="465"/>
      <c r="F906" s="465"/>
      <c r="G906" s="465"/>
      <c r="H906" s="465"/>
      <c r="I906" s="465"/>
      <c r="J906" s="463"/>
      <c r="K906" s="463"/>
      <c r="L906" s="463"/>
      <c r="M906" s="463"/>
      <c r="N906" s="484"/>
      <c r="O906" s="484"/>
      <c r="P906" s="484"/>
      <c r="Q906" s="484"/>
      <c r="R906" s="484"/>
      <c r="S906" s="462" t="str">
        <f t="shared" si="172"/>
        <v>正确</v>
      </c>
      <c r="T906" s="487"/>
      <c r="U906" s="487"/>
      <c r="V906" s="462"/>
      <c r="W906" s="462"/>
    </row>
    <row r="907" ht="17.1" customHeight="1" spans="1:23">
      <c r="A907" s="464"/>
      <c r="B907" s="462" t="s">
        <v>1547</v>
      </c>
      <c r="C907" s="463" t="s">
        <v>52</v>
      </c>
      <c r="D907" s="484"/>
      <c r="E907" s="486"/>
      <c r="F907" s="486"/>
      <c r="G907" s="486"/>
      <c r="H907" s="486"/>
      <c r="I907" s="486"/>
      <c r="J907" s="463"/>
      <c r="K907" s="463"/>
      <c r="L907" s="463"/>
      <c r="M907" s="463"/>
      <c r="N907" s="484"/>
      <c r="O907" s="484"/>
      <c r="P907" s="484"/>
      <c r="Q907" s="484"/>
      <c r="R907" s="484"/>
      <c r="S907" s="462" t="str">
        <f t="shared" si="172"/>
        <v>正确</v>
      </c>
      <c r="T907" s="487"/>
      <c r="U907" s="487"/>
      <c r="V907" s="462"/>
      <c r="W907" s="462"/>
    </row>
    <row r="908" ht="17.1" customHeight="1" spans="1:23">
      <c r="A908" s="464"/>
      <c r="B908" s="462" t="s">
        <v>1548</v>
      </c>
      <c r="C908" s="463" t="s">
        <v>52</v>
      </c>
      <c r="D908" s="484"/>
      <c r="E908" s="486"/>
      <c r="F908" s="486"/>
      <c r="G908" s="486"/>
      <c r="H908" s="486"/>
      <c r="I908" s="486"/>
      <c r="J908" s="463"/>
      <c r="K908" s="463"/>
      <c r="L908" s="463"/>
      <c r="M908" s="463"/>
      <c r="N908" s="484"/>
      <c r="O908" s="484"/>
      <c r="P908" s="484"/>
      <c r="Q908" s="484"/>
      <c r="R908" s="484"/>
      <c r="S908" s="462" t="str">
        <f t="shared" si="172"/>
        <v>正确</v>
      </c>
      <c r="T908" s="487"/>
      <c r="U908" s="487"/>
      <c r="V908" s="462"/>
      <c r="W908" s="462"/>
    </row>
    <row r="909" ht="17.1" customHeight="1" spans="1:23">
      <c r="A909" s="464"/>
      <c r="B909" s="462" t="s">
        <v>1549</v>
      </c>
      <c r="C909" s="463" t="s">
        <v>52</v>
      </c>
      <c r="D909" s="484"/>
      <c r="E909" s="465">
        <v>1</v>
      </c>
      <c r="F909" s="465">
        <v>124</v>
      </c>
      <c r="G909" s="465">
        <v>474</v>
      </c>
      <c r="H909" s="465">
        <v>2019</v>
      </c>
      <c r="I909" s="465">
        <v>2019</v>
      </c>
      <c r="J909" s="463"/>
      <c r="K909" s="463"/>
      <c r="L909" s="463"/>
      <c r="M909" s="463"/>
      <c r="N909" s="484"/>
      <c r="O909" s="484"/>
      <c r="P909" s="484"/>
      <c r="Q909" s="484"/>
      <c r="R909" s="484" t="s">
        <v>1791</v>
      </c>
      <c r="S909" s="462" t="str">
        <f t="shared" si="172"/>
        <v>正确</v>
      </c>
      <c r="T909" s="462" t="s">
        <v>1559</v>
      </c>
      <c r="U909" s="462"/>
      <c r="V909" s="462"/>
      <c r="W909" s="462" t="s">
        <v>1792</v>
      </c>
    </row>
    <row r="910" ht="17.1" customHeight="1" spans="1:23">
      <c r="A910" s="464"/>
      <c r="B910" s="462" t="s">
        <v>1550</v>
      </c>
      <c r="C910" s="463" t="s">
        <v>52</v>
      </c>
      <c r="D910" s="484"/>
      <c r="E910" s="486">
        <v>1</v>
      </c>
      <c r="F910" s="486">
        <v>84</v>
      </c>
      <c r="G910" s="486">
        <v>253</v>
      </c>
      <c r="H910" s="486">
        <v>2019</v>
      </c>
      <c r="I910" s="486">
        <v>2019</v>
      </c>
      <c r="J910" s="463"/>
      <c r="K910" s="463"/>
      <c r="L910" s="463"/>
      <c r="M910" s="463"/>
      <c r="N910" s="484"/>
      <c r="O910" s="484"/>
      <c r="P910" s="484"/>
      <c r="Q910" s="484"/>
      <c r="R910" s="484" t="s">
        <v>1791</v>
      </c>
      <c r="S910" s="462" t="str">
        <f t="shared" si="172"/>
        <v>正确</v>
      </c>
      <c r="T910" s="487" t="s">
        <v>1574</v>
      </c>
      <c r="U910" s="487"/>
      <c r="V910" s="462"/>
      <c r="W910" s="462" t="s">
        <v>1793</v>
      </c>
    </row>
    <row r="911" ht="17.1" customHeight="1" spans="1:23">
      <c r="A911" s="464"/>
      <c r="B911" s="462" t="s">
        <v>1551</v>
      </c>
      <c r="C911" s="463" t="s">
        <v>52</v>
      </c>
      <c r="D911" s="484"/>
      <c r="E911" s="486"/>
      <c r="F911" s="486"/>
      <c r="G911" s="486"/>
      <c r="H911" s="486"/>
      <c r="I911" s="486"/>
      <c r="J911" s="463"/>
      <c r="K911" s="463"/>
      <c r="L911" s="463"/>
      <c r="M911" s="463"/>
      <c r="N911" s="484"/>
      <c r="O911" s="484"/>
      <c r="P911" s="484"/>
      <c r="Q911" s="484"/>
      <c r="R911" s="484"/>
      <c r="S911" s="462" t="str">
        <f t="shared" si="172"/>
        <v>正确</v>
      </c>
      <c r="T911" s="487"/>
      <c r="U911" s="487"/>
      <c r="V911" s="462"/>
      <c r="W911" s="462"/>
    </row>
    <row r="912" ht="29.1" customHeight="1" spans="1:22">
      <c r="A912" s="447" t="s">
        <v>1416</v>
      </c>
      <c r="B912" s="447"/>
      <c r="C912" s="497"/>
      <c r="D912" s="497"/>
      <c r="E912" s="497"/>
      <c r="F912" s="497"/>
      <c r="G912" s="497"/>
      <c r="H912" s="497"/>
      <c r="I912" s="497"/>
      <c r="J912" s="498"/>
      <c r="K912" s="499"/>
      <c r="L912" s="499"/>
      <c r="M912" s="499"/>
      <c r="N912" s="499"/>
      <c r="O912" s="499"/>
      <c r="P912" s="499"/>
      <c r="Q912" s="499"/>
      <c r="R912" s="499"/>
      <c r="S912" s="500"/>
      <c r="T912" s="447"/>
      <c r="U912" s="447"/>
      <c r="V912" s="447"/>
    </row>
    <row r="913" ht="18.95" customHeight="1" spans="1:23">
      <c r="A913" s="448" t="s">
        <v>1258</v>
      </c>
      <c r="S913" s="500"/>
      <c r="W913" s="448"/>
    </row>
  </sheetData>
  <mergeCells count="20">
    <mergeCell ref="A1:B1"/>
    <mergeCell ref="A2:W2"/>
    <mergeCell ref="A3:U3"/>
    <mergeCell ref="F4:G4"/>
    <mergeCell ref="H4:I4"/>
    <mergeCell ref="J4:M4"/>
    <mergeCell ref="N4:R4"/>
    <mergeCell ref="A4:A6"/>
    <mergeCell ref="B4:B6"/>
    <mergeCell ref="C4:C6"/>
    <mergeCell ref="D4:D5"/>
    <mergeCell ref="E4:E5"/>
    <mergeCell ref="V4:V5"/>
    <mergeCell ref="W4:W5"/>
    <mergeCell ref="W760:W761"/>
    <mergeCell ref="W762:W786"/>
    <mergeCell ref="X4:X5"/>
    <mergeCell ref="Y4:Y6"/>
    <mergeCell ref="Z4:Z6"/>
    <mergeCell ref="T4:U5"/>
  </mergeCells>
  <dataValidations count="1">
    <dataValidation allowBlank="1" showInputMessage="1" showErrorMessage="1" sqref="A2"/>
  </dataValidations>
  <pageMargins left="0.2" right="0.2" top="0.2" bottom="0.2" header="0.297916666666667" footer="0.297916666666667"/>
  <pageSetup paperSize="9" scale="48" fitToHeight="0" orientation="landscape"/>
  <headerFooter/>
</worksheet>
</file>

<file path=docProps/app.xml><?xml version="1.0" encoding="utf-8"?>
<Properties xmlns="http://schemas.openxmlformats.org/officeDocument/2006/extended-properties" xmlns:vt="http://schemas.openxmlformats.org/officeDocument/2006/docPropsVTypes">
  <Company>文山州麻栗坡县党政机关单位</Company>
  <Application>Microsoft Excel</Application>
  <HeadingPairs>
    <vt:vector size="2" baseType="variant">
      <vt:variant>
        <vt:lpstr>工作表</vt:lpstr>
      </vt:variant>
      <vt:variant>
        <vt:i4>17</vt:i4>
      </vt:variant>
    </vt:vector>
  </HeadingPairs>
  <TitlesOfParts>
    <vt:vector size="17" baseType="lpstr">
      <vt:lpstr>全县汇总</vt:lpstr>
      <vt:lpstr>2018年</vt:lpstr>
      <vt:lpstr>2019年</vt:lpstr>
      <vt:lpstr>2020年</vt:lpstr>
      <vt:lpstr>八布</vt:lpstr>
      <vt:lpstr>大坪</vt:lpstr>
      <vt:lpstr>董干</vt:lpstr>
      <vt:lpstr>六河</vt:lpstr>
      <vt:lpstr>麻栗镇</vt:lpstr>
      <vt:lpstr>马街</vt:lpstr>
      <vt:lpstr>猛硐</vt:lpstr>
      <vt:lpstr>天保</vt:lpstr>
      <vt:lpstr>铁厂</vt:lpstr>
      <vt:lpstr>下金厂</vt:lpstr>
      <vt:lpstr>杨万</vt:lpstr>
      <vt:lpstr>县级层面项目</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鲍兰敏</dc:creator>
  <cp:lastModifiedBy>Administrator</cp:lastModifiedBy>
  <cp:revision>1</cp:revision>
  <dcterms:created xsi:type="dcterms:W3CDTF">2018-08-24T08:10:00Z</dcterms:created>
  <dcterms:modified xsi:type="dcterms:W3CDTF">2024-04-02T09:16:16Z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KSORubyTemplateID" linkTarget="0">
    <vt:lpwstr>11</vt:lpwstr>
  </property>
  <property fmtid="{D5CDD505-2E9C-101B-9397-08002B2CF9AE}" pid="4" name="KSOReadingLayout">
    <vt:bool>false</vt:bool>
  </property>
  <property fmtid="{D5CDD505-2E9C-101B-9397-08002B2CF9AE}" pid="5" name="ICV">
    <vt:lpwstr>C83CBE52EB19496C9EC59CB12EC6C9BB</vt:lpwstr>
  </property>
</Properties>
</file>